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mhaciendacr-my.sharepoint.com/personal/corralesra_hacienda_go_cr/Documents/DCP/Estadisticas Portal DCP/2025/Febrero/"/>
    </mc:Choice>
  </mc:AlternateContent>
  <xr:revisionPtr revIDLastSave="18" documentId="13_ncr:1_{0ED6060F-4161-481B-849C-0AD77107DD09}" xr6:coauthVersionLast="47" xr6:coauthVersionMax="47" xr10:uidLastSave="{8D3064D0-8474-4FED-88BE-AD68A15CFAA8}"/>
  <bookViews>
    <workbookView xWindow="-108" yWindow="-108" windowWidth="23256" windowHeight="12456" xr2:uid="{00000000-000D-0000-FFFF-FFFF00000000}"/>
  </bookViews>
  <sheets>
    <sheet name="Saldo de Deuda" sheetId="5" r:id="rId1"/>
  </sheets>
  <definedNames>
    <definedName name="_xlnm.Print_Area" localSheetId="0">'Saldo de Deuda'!$A$1:$A$25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C14" i="5" l="1"/>
  <c r="BB14" i="5"/>
  <c r="BB12" i="5"/>
  <c r="BC11" i="5" l="1"/>
  <c r="AZ12" i="5" l="1"/>
  <c r="BA11" i="5"/>
  <c r="AX12" i="5"/>
  <c r="AX14" i="5" s="1"/>
  <c r="AY11" i="5"/>
  <c r="AY14" i="5" s="1"/>
  <c r="AZ14" i="5" l="1"/>
  <c r="BA14" i="5"/>
  <c r="AW11" i="5"/>
  <c r="AV12" i="5" l="1"/>
  <c r="AT11" i="5"/>
  <c r="AU11" i="5" s="1"/>
  <c r="AT12" i="5"/>
  <c r="AS11" i="5"/>
  <c r="AS14" i="5" s="1"/>
  <c r="AR12" i="5"/>
  <c r="AR14" i="5" s="1"/>
  <c r="AP12" i="5"/>
  <c r="AV14" i="5" l="1"/>
  <c r="AW14" i="5"/>
  <c r="AU14" i="5"/>
  <c r="AT14" i="5"/>
  <c r="AQ11" i="5"/>
  <c r="AP14" i="5" l="1"/>
  <c r="AQ14" i="5"/>
  <c r="AO12" i="5"/>
  <c r="AN12" i="5" s="1"/>
  <c r="AO11" i="5"/>
  <c r="AM12" i="5"/>
  <c r="AO14" i="5" l="1"/>
  <c r="AN14" i="5"/>
  <c r="AM11" i="5"/>
  <c r="AL12" i="5"/>
  <c r="AK12" i="5"/>
  <c r="AJ12" i="5"/>
  <c r="AJ14" i="5" s="1"/>
  <c r="AK11" i="5"/>
  <c r="AK14" i="5" s="1"/>
  <c r="AI12" i="5" l="1"/>
  <c r="AH12" i="5" s="1"/>
  <c r="AH14" i="5" s="1"/>
  <c r="AI11" i="5"/>
  <c r="AI14" i="5" s="1"/>
  <c r="AG12" i="5"/>
  <c r="AF12" i="5" s="1"/>
  <c r="AF14" i="5" s="1"/>
  <c r="AG11" i="5"/>
  <c r="AD12" i="5"/>
  <c r="AD14" i="5" s="1"/>
  <c r="AE11" i="5"/>
  <c r="AE14" i="5" s="1"/>
  <c r="AB12" i="5"/>
  <c r="AB14" i="5" s="1"/>
  <c r="AC11" i="5"/>
  <c r="AC14" i="5" s="1"/>
  <c r="AA12" i="5"/>
  <c r="AL14" i="5" l="1"/>
  <c r="AM14" i="5"/>
  <c r="AG14" i="5"/>
  <c r="Z12" i="5"/>
  <c r="AA11" i="5"/>
  <c r="Y12" i="5"/>
  <c r="X12" i="5" s="1"/>
  <c r="Y11" i="5"/>
  <c r="W12" i="5"/>
  <c r="V12" i="5" s="1"/>
  <c r="W11" i="5"/>
  <c r="U11" i="5"/>
  <c r="U12" i="5"/>
  <c r="T12" i="5" s="1"/>
  <c r="R12" i="5" l="1"/>
  <c r="S11" i="5"/>
  <c r="Q11" i="5" l="1"/>
  <c r="Q12" i="5" l="1"/>
  <c r="P12" i="5" s="1"/>
  <c r="N12" i="5" l="1"/>
  <c r="O11" i="5" l="1"/>
  <c r="L12" i="5" l="1"/>
  <c r="K12" i="5"/>
  <c r="M11" i="5"/>
  <c r="K11" i="5" l="1"/>
  <c r="J12" i="5"/>
  <c r="I12" i="5" l="1"/>
  <c r="I11" i="5" l="1"/>
  <c r="H12" i="5"/>
  <c r="G12" i="5" l="1"/>
  <c r="F12" i="5" s="1"/>
  <c r="G11" i="5"/>
  <c r="E11" i="5" l="1"/>
  <c r="E12" i="5"/>
  <c r="D12" i="5" s="1"/>
  <c r="C12" i="5" l="1"/>
  <c r="B12" i="5" s="1"/>
  <c r="C11" i="5"/>
  <c r="D14" i="5" l="1"/>
  <c r="E14" i="5"/>
  <c r="B14" i="5"/>
  <c r="G14" i="5"/>
  <c r="I14" i="5"/>
  <c r="K14" i="5"/>
  <c r="Q14" i="5"/>
  <c r="U14" i="5"/>
  <c r="W14" i="5"/>
  <c r="AA14" i="5"/>
  <c r="F14" i="5"/>
  <c r="H14" i="5"/>
  <c r="J14" i="5"/>
  <c r="L14" i="5"/>
  <c r="P14" i="5"/>
  <c r="R14" i="5"/>
  <c r="T14" i="5"/>
  <c r="V14" i="5"/>
  <c r="Z14" i="5"/>
  <c r="M14" i="5"/>
  <c r="S14" i="5"/>
  <c r="C14" i="5" l="1"/>
  <c r="Y14" i="5"/>
  <c r="X14" i="5"/>
  <c r="N14" i="5"/>
  <c r="O14" i="5"/>
</calcChain>
</file>

<file path=xl/sharedStrings.xml><?xml version="1.0" encoding="utf-8"?>
<sst xmlns="http://schemas.openxmlformats.org/spreadsheetml/2006/main" count="95" uniqueCount="43">
  <si>
    <t>Millones de colones y dólares</t>
  </si>
  <si>
    <t>Colones</t>
  </si>
  <si>
    <t>Dólares</t>
  </si>
  <si>
    <t xml:space="preserve"> </t>
  </si>
  <si>
    <t>Deuda Interna</t>
  </si>
  <si>
    <t>Deuda Externa</t>
  </si>
  <si>
    <t>Total Deuda Pública</t>
  </si>
  <si>
    <t>Por Tipo de Deuda</t>
  </si>
  <si>
    <t>Saldo Deuda Pública del Gobierno Central</t>
  </si>
  <si>
    <t>Al 31/12/2022</t>
  </si>
  <si>
    <t xml:space="preserve">Contactar con: </t>
  </si>
  <si>
    <t>Al 31/01/2023</t>
  </si>
  <si>
    <t>Al 28/02/2023</t>
  </si>
  <si>
    <t>Al 31/03/2023</t>
  </si>
  <si>
    <t>Al 30/04/2023</t>
  </si>
  <si>
    <t>Al 31/05/2023</t>
  </si>
  <si>
    <t>Al 30/06/2023</t>
  </si>
  <si>
    <t>Al 31/07/2023</t>
  </si>
  <si>
    <t>Al 31/08/2023</t>
  </si>
  <si>
    <t>Al 30/09/2023</t>
  </si>
  <si>
    <t>Al 31/10/2023</t>
  </si>
  <si>
    <t>Al 30/11/2023</t>
  </si>
  <si>
    <t>Al 31/12/2023</t>
  </si>
  <si>
    <t xml:space="preserve">   </t>
  </si>
  <si>
    <t>Al 31/01/2024</t>
  </si>
  <si>
    <t>Al 29/02/2024</t>
  </si>
  <si>
    <t>Al 31/03/2024</t>
  </si>
  <si>
    <t>Al 30/04/2024</t>
  </si>
  <si>
    <t>Al 31/05/2024</t>
  </si>
  <si>
    <t>Al 30/06/2024</t>
  </si>
  <si>
    <t>Al 31/07/2024</t>
  </si>
  <si>
    <t>Al 31/08/2024</t>
  </si>
  <si>
    <t>Al 30/09/2024</t>
  </si>
  <si>
    <t>Al 31/10/2024</t>
  </si>
  <si>
    <t>Al 30/11/2024</t>
  </si>
  <si>
    <t>Al 31/12/2024</t>
  </si>
  <si>
    <t>Al 31/01/2025</t>
  </si>
  <si>
    <t>2/ En la Deuda Externa  no se incluye el monto de intereses devengados por  $ 487,81 millones , según metodología exponencial Sistema Gestor</t>
  </si>
  <si>
    <t>Diciembre 2022 -Febrero 2025</t>
  </si>
  <si>
    <t>1/  En la Deuda Interna  no se incluye el monto de intereses devengados por ¢ 20,147,82 millones,  según metodología exponencial Sistema Gestor</t>
  </si>
  <si>
    <t>Al 28/02/2025</t>
  </si>
  <si>
    <r>
      <rPr>
        <b/>
        <sz val="9"/>
        <rFont val="HendersonSansW00-BasicLight"/>
      </rPr>
      <t>Fuente:</t>
    </r>
    <r>
      <rPr>
        <sz val="9"/>
        <rFont val="HendersonSansW00-BasicLight"/>
      </rPr>
      <t xml:space="preserve"> Dirección General de Gestión de Deuda Pública, Ministerio de Hacienda.</t>
    </r>
  </si>
  <si>
    <t>DGGDP-UnidadEstadistica@hacienda.go.cr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</si>
</sst>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.0000_);_(* \(#,##0.0000\);_(* &quot;-&quot;??_);_(@_)"/>
    <numFmt numFmtId="166" formatCode="_-* #,##0.000000000_-;\-* #,##0.0000000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9"/>
      <name val="HendersonSansW00-BasicLight"/>
    </font>
    <font>
      <sz val="11"/>
      <color theme="1"/>
      <name val="HendersonSansW00-BasicLight"/>
    </font>
    <font>
      <b/>
      <sz val="9"/>
      <name val="HendersonSansW00-BasicLight"/>
    </font>
    <font>
      <b/>
      <sz val="9"/>
      <color indexed="18"/>
      <name val="HendersonSansW00-BasicLight"/>
    </font>
    <font>
      <sz val="9"/>
      <color theme="1"/>
      <name val="HendersonSansW00-BasicLight"/>
    </font>
    <font>
      <u/>
      <sz val="9"/>
      <color theme="10"/>
      <name val="HendersonSansW00-BasicLight"/>
    </font>
    <font>
      <sz val="10"/>
      <name val="HendersonSansW00-BasicLight"/>
    </font>
    <font>
      <sz val="10"/>
      <color theme="1"/>
      <name val="HendersonSansW00-BasicLight"/>
    </font>
    <font>
      <b/>
      <sz val="10"/>
      <name val="HendersonSansW00-Basic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 applyAlignment="1">
      <alignment horizontal="center"/>
    </xf>
    <xf numFmtId="164" fontId="9" fillId="2" borderId="0" xfId="1" applyFont="1" applyFill="1" applyBorder="1"/>
    <xf numFmtId="164" fontId="9" fillId="2" borderId="0" xfId="1" applyFont="1" applyFill="1" applyBorder="1" applyAlignment="1">
      <alignment horizontal="right"/>
    </xf>
    <xf numFmtId="164" fontId="9" fillId="0" borderId="0" xfId="1" applyFont="1" applyFill="1" applyBorder="1"/>
    <xf numFmtId="0" fontId="8" fillId="2" borderId="0" xfId="0" applyFont="1" applyFill="1"/>
    <xf numFmtId="164" fontId="7" fillId="2" borderId="0" xfId="1" applyFont="1" applyFill="1" applyBorder="1"/>
    <xf numFmtId="0" fontId="8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10" fillId="0" borderId="0" xfId="12" applyFont="1"/>
    <xf numFmtId="164" fontId="5" fillId="0" borderId="0" xfId="1" applyFont="1"/>
    <xf numFmtId="0" fontId="11" fillId="2" borderId="0" xfId="0" applyFont="1" applyFill="1"/>
    <xf numFmtId="0" fontId="12" fillId="2" borderId="0" xfId="0" applyFont="1" applyFill="1"/>
    <xf numFmtId="0" fontId="13" fillId="2" borderId="0" xfId="0" applyFont="1" applyFill="1" applyAlignment="1">
      <alignment horizontal="center"/>
    </xf>
    <xf numFmtId="0" fontId="9" fillId="2" borderId="0" xfId="0" applyFont="1" applyFill="1"/>
    <xf numFmtId="164" fontId="9" fillId="2" borderId="0" xfId="0" applyNumberFormat="1" applyFont="1" applyFill="1"/>
    <xf numFmtId="43" fontId="9" fillId="2" borderId="0" xfId="0" applyNumberFormat="1" applyFont="1" applyFill="1"/>
    <xf numFmtId="4" fontId="9" fillId="2" borderId="0" xfId="0" applyNumberFormat="1" applyFont="1" applyFill="1"/>
    <xf numFmtId="165" fontId="9" fillId="2" borderId="0" xfId="1" applyNumberFormat="1" applyFont="1" applyFill="1" applyBorder="1"/>
    <xf numFmtId="164" fontId="9" fillId="2" borderId="0" xfId="1" applyFont="1" applyFill="1"/>
    <xf numFmtId="0" fontId="9" fillId="0" borderId="0" xfId="0" applyFont="1" applyAlignment="1">
      <alignment vertical="center" wrapText="1"/>
    </xf>
    <xf numFmtId="166" fontId="9" fillId="2" borderId="0" xfId="0" applyNumberFormat="1" applyFont="1" applyFill="1"/>
  </cellXfs>
  <cellStyles count="13">
    <cellStyle name="Hipervínculo" xfId="12" builtinId="8"/>
    <cellStyle name="Millares" xfId="1" builtinId="3"/>
    <cellStyle name="Millares 2" xfId="7" xr:uid="{00000000-0005-0000-0000-000001000000}"/>
    <cellStyle name="Millares 3" xfId="3" xr:uid="{00000000-0005-0000-0000-000002000000}"/>
    <cellStyle name="Normal" xfId="0" builtinId="0"/>
    <cellStyle name="Normal 2" xfId="4" xr:uid="{00000000-0005-0000-0000-000004000000}"/>
    <cellStyle name="Normal 2 2" xfId="6" xr:uid="{00000000-0005-0000-0000-000005000000}"/>
    <cellStyle name="Normal 2 2 2" xfId="10" xr:uid="{00000000-0005-0000-0000-000006000000}"/>
    <cellStyle name="Normal 2 3" xfId="11" xr:uid="{00000000-0005-0000-0000-000007000000}"/>
    <cellStyle name="Normal 3" xfId="9" xr:uid="{00000000-0005-0000-0000-000008000000}"/>
    <cellStyle name="Normal 4" xfId="2" xr:uid="{00000000-0005-0000-0000-000009000000}"/>
    <cellStyle name="Porcentaje 2" xfId="8" xr:uid="{00000000-0005-0000-0000-00000A000000}"/>
    <cellStyle name="Porcentaje 3" xfId="5" xr:uid="{00000000-0005-0000-0000-00000B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2</xdr:row>
      <xdr:rowOff>53340</xdr:rowOff>
    </xdr:from>
    <xdr:to>
      <xdr:col>49</xdr:col>
      <xdr:colOff>259079</xdr:colOff>
      <xdr:row>4</xdr:row>
      <xdr:rowOff>129539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32E2C6-0856-4ED0-983A-E8717EEED2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" y="434340"/>
          <a:ext cx="2225039" cy="4419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01871-EC97-427C-99F8-0F1FD5D3D8D1}">
  <dimension ref="A1:BC25"/>
  <sheetViews>
    <sheetView tabSelected="1" zoomScaleNormal="100" workbookViewId="0">
      <pane xSplit="1" ySplit="6" topLeftCell="AX7" activePane="bottomRight" state="frozen"/>
      <selection pane="topRight" activeCell="B1" sqref="B1"/>
      <selection pane="bottomLeft" activeCell="A7" sqref="A7"/>
      <selection pane="bottomRight" activeCell="BB21" sqref="BB21"/>
    </sheetView>
  </sheetViews>
  <sheetFormatPr baseColWidth="10" defaultColWidth="11.44140625" defaultRowHeight="15" x14ac:dyDescent="0.35"/>
  <cols>
    <col min="1" max="1" width="28.88671875" style="2" customWidth="1"/>
    <col min="2" max="2" width="23.6640625" style="2" hidden="1" customWidth="1"/>
    <col min="3" max="3" width="21.6640625" style="2" hidden="1" customWidth="1"/>
    <col min="4" max="4" width="23.6640625" style="2" hidden="1" customWidth="1"/>
    <col min="5" max="5" width="16.88671875" style="2" hidden="1" customWidth="1"/>
    <col min="6" max="6" width="23.21875" style="2" hidden="1" customWidth="1"/>
    <col min="7" max="7" width="15.44140625" style="2" hidden="1" customWidth="1"/>
    <col min="8" max="8" width="23.5546875" style="2" hidden="1" customWidth="1"/>
    <col min="9" max="9" width="16.44140625" style="2" hidden="1" customWidth="1"/>
    <col min="10" max="10" width="23.21875" style="2" hidden="1" customWidth="1"/>
    <col min="11" max="11" width="18" style="2" hidden="1" customWidth="1"/>
    <col min="12" max="12" width="20.77734375" style="2" hidden="1" customWidth="1"/>
    <col min="13" max="13" width="16.109375" style="2" hidden="1" customWidth="1"/>
    <col min="14" max="14" width="22" style="2" hidden="1" customWidth="1"/>
    <col min="15" max="15" width="16.109375" style="2" hidden="1" customWidth="1"/>
    <col min="16" max="16" width="22.21875" style="2" hidden="1" customWidth="1"/>
    <col min="17" max="17" width="17.44140625" style="2" hidden="1" customWidth="1"/>
    <col min="18" max="18" width="23.6640625" style="2" hidden="1" customWidth="1"/>
    <col min="19" max="19" width="14.44140625" style="2" hidden="1" customWidth="1"/>
    <col min="20" max="20" width="20.77734375" style="2" hidden="1" customWidth="1"/>
    <col min="21" max="21" width="13.77734375" style="2" hidden="1" customWidth="1"/>
    <col min="22" max="22" width="20.44140625" style="2" hidden="1" customWidth="1"/>
    <col min="23" max="23" width="15.109375" style="2" hidden="1" customWidth="1"/>
    <col min="24" max="24" width="20.88671875" style="2" hidden="1" customWidth="1"/>
    <col min="25" max="25" width="17.109375" style="2" hidden="1" customWidth="1"/>
    <col min="26" max="26" width="20.109375" style="2" hidden="1" customWidth="1"/>
    <col min="27" max="27" width="15" style="2" hidden="1" customWidth="1"/>
    <col min="28" max="28" width="20.88671875" style="2" hidden="1" customWidth="1"/>
    <col min="29" max="29" width="15" style="2" hidden="1" customWidth="1"/>
    <col min="30" max="30" width="22.77734375" style="2" hidden="1" customWidth="1"/>
    <col min="31" max="31" width="19" style="2" hidden="1" customWidth="1"/>
    <col min="32" max="32" width="22.33203125" style="2" hidden="1" customWidth="1"/>
    <col min="33" max="35" width="20" style="2" hidden="1" customWidth="1"/>
    <col min="36" max="36" width="23" style="2" hidden="1" customWidth="1"/>
    <col min="37" max="37" width="20" style="2" hidden="1" customWidth="1"/>
    <col min="38" max="38" width="21.5546875" style="2" hidden="1" customWidth="1"/>
    <col min="39" max="39" width="21" style="2" hidden="1" customWidth="1"/>
    <col min="40" max="40" width="22.109375" style="2" hidden="1" customWidth="1"/>
    <col min="41" max="41" width="22.44140625" style="2" hidden="1" customWidth="1"/>
    <col min="42" max="43" width="22.77734375" style="2" hidden="1" customWidth="1"/>
    <col min="44" max="44" width="20.6640625" style="2" hidden="1" customWidth="1"/>
    <col min="45" max="45" width="15.5546875" style="2" hidden="1" customWidth="1"/>
    <col min="46" max="46" width="21.77734375" style="2" hidden="1" customWidth="1"/>
    <col min="47" max="47" width="15.44140625" style="2" hidden="1" customWidth="1"/>
    <col min="48" max="48" width="20.6640625" style="2" hidden="1" customWidth="1"/>
    <col min="49" max="49" width="16.44140625" style="2" hidden="1" customWidth="1"/>
    <col min="50" max="50" width="22.6640625" style="2" customWidth="1"/>
    <col min="51" max="51" width="16.44140625" style="2" customWidth="1"/>
    <col min="52" max="52" width="23.6640625" style="2" bestFit="1" customWidth="1"/>
    <col min="53" max="53" width="17.21875" style="2" bestFit="1" customWidth="1"/>
    <col min="54" max="54" width="23" style="2" customWidth="1"/>
    <col min="55" max="55" width="21.21875" style="2" customWidth="1"/>
    <col min="56" max="16384" width="11.44140625" style="2"/>
  </cols>
  <sheetData>
    <row r="1" spans="1:55" x14ac:dyDescent="0.35">
      <c r="A1" s="1"/>
    </row>
    <row r="2" spans="1:55" s="15" customFormat="1" ht="14.4" x14ac:dyDescent="0.35">
      <c r="A2" s="14"/>
    </row>
    <row r="3" spans="1:55" s="15" customFormat="1" ht="14.4" x14ac:dyDescent="0.35">
      <c r="A3" s="16" t="s">
        <v>8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</row>
    <row r="4" spans="1:55" s="15" customFormat="1" ht="14.4" x14ac:dyDescent="0.35">
      <c r="A4" s="16" t="s">
        <v>7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</row>
    <row r="5" spans="1:55" s="15" customFormat="1" ht="14.4" x14ac:dyDescent="0.35">
      <c r="A5" s="16" t="s">
        <v>38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</row>
    <row r="6" spans="1:55" s="15" customFormat="1" ht="14.4" x14ac:dyDescent="0.35">
      <c r="A6" s="16" t="s">
        <v>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</row>
    <row r="7" spans="1:55" s="17" customFormat="1" ht="12.6" x14ac:dyDescent="0.3">
      <c r="A7" s="3"/>
    </row>
    <row r="8" spans="1:55" s="17" customFormat="1" ht="12.6" x14ac:dyDescent="0.3">
      <c r="A8" s="4"/>
      <c r="B8" s="10" t="s">
        <v>9</v>
      </c>
      <c r="C8" s="10"/>
      <c r="D8" s="10" t="s">
        <v>11</v>
      </c>
      <c r="E8" s="10"/>
      <c r="F8" s="10" t="s">
        <v>12</v>
      </c>
      <c r="G8" s="10"/>
      <c r="H8" s="10" t="s">
        <v>13</v>
      </c>
      <c r="I8" s="10"/>
      <c r="J8" s="10" t="s">
        <v>14</v>
      </c>
      <c r="K8" s="10"/>
      <c r="L8" s="10" t="s">
        <v>15</v>
      </c>
      <c r="M8" s="10"/>
      <c r="N8" s="10" t="s">
        <v>16</v>
      </c>
      <c r="O8" s="10"/>
      <c r="P8" s="10" t="s">
        <v>17</v>
      </c>
      <c r="Q8" s="10"/>
      <c r="R8" s="10" t="s">
        <v>18</v>
      </c>
      <c r="S8" s="10"/>
      <c r="T8" s="10" t="s">
        <v>19</v>
      </c>
      <c r="U8" s="10"/>
      <c r="V8" s="10" t="s">
        <v>20</v>
      </c>
      <c r="W8" s="10"/>
      <c r="X8" s="10" t="s">
        <v>21</v>
      </c>
      <c r="Y8" s="10"/>
      <c r="Z8" s="10" t="s">
        <v>22</v>
      </c>
      <c r="AA8" s="10"/>
      <c r="AB8" s="10" t="s">
        <v>24</v>
      </c>
      <c r="AC8" s="10"/>
      <c r="AD8" s="10" t="s">
        <v>25</v>
      </c>
      <c r="AE8" s="10"/>
      <c r="AF8" s="10" t="s">
        <v>26</v>
      </c>
      <c r="AG8" s="10"/>
      <c r="AH8" s="10" t="s">
        <v>27</v>
      </c>
      <c r="AI8" s="10"/>
      <c r="AJ8" s="10" t="s">
        <v>28</v>
      </c>
      <c r="AK8" s="10"/>
      <c r="AL8" s="10" t="s">
        <v>29</v>
      </c>
      <c r="AM8" s="10"/>
      <c r="AN8" s="10" t="s">
        <v>30</v>
      </c>
      <c r="AO8" s="10"/>
      <c r="AP8" s="10" t="s">
        <v>31</v>
      </c>
      <c r="AQ8" s="10"/>
      <c r="AR8" s="10" t="s">
        <v>32</v>
      </c>
      <c r="AS8" s="10"/>
      <c r="AT8" s="10" t="s">
        <v>33</v>
      </c>
      <c r="AU8" s="10"/>
      <c r="AV8" s="10" t="s">
        <v>34</v>
      </c>
      <c r="AW8" s="10"/>
      <c r="AX8" s="10" t="s">
        <v>35</v>
      </c>
      <c r="AY8" s="10"/>
      <c r="AZ8" s="10" t="s">
        <v>36</v>
      </c>
      <c r="BA8" s="10"/>
      <c r="BB8" s="10" t="s">
        <v>40</v>
      </c>
      <c r="BC8" s="10"/>
    </row>
    <row r="9" spans="1:55" s="17" customFormat="1" ht="12.6" x14ac:dyDescent="0.3">
      <c r="A9" s="4"/>
      <c r="B9" s="4" t="s">
        <v>1</v>
      </c>
      <c r="C9" s="4" t="s">
        <v>2</v>
      </c>
      <c r="D9" s="4" t="s">
        <v>1</v>
      </c>
      <c r="E9" s="4" t="s">
        <v>2</v>
      </c>
      <c r="F9" s="4" t="s">
        <v>1</v>
      </c>
      <c r="G9" s="4" t="s">
        <v>2</v>
      </c>
      <c r="H9" s="4" t="s">
        <v>1</v>
      </c>
      <c r="I9" s="4" t="s">
        <v>2</v>
      </c>
      <c r="J9" s="4" t="s">
        <v>1</v>
      </c>
      <c r="K9" s="4" t="s">
        <v>2</v>
      </c>
      <c r="L9" s="4" t="s">
        <v>1</v>
      </c>
      <c r="M9" s="4" t="s">
        <v>2</v>
      </c>
      <c r="N9" s="4" t="s">
        <v>1</v>
      </c>
      <c r="O9" s="4" t="s">
        <v>2</v>
      </c>
      <c r="P9" s="4" t="s">
        <v>1</v>
      </c>
      <c r="Q9" s="4" t="s">
        <v>2</v>
      </c>
      <c r="R9" s="4" t="s">
        <v>1</v>
      </c>
      <c r="S9" s="4" t="s">
        <v>2</v>
      </c>
      <c r="T9" s="4" t="s">
        <v>1</v>
      </c>
      <c r="U9" s="4" t="s">
        <v>2</v>
      </c>
      <c r="V9" s="4" t="s">
        <v>1</v>
      </c>
      <c r="W9" s="4" t="s">
        <v>2</v>
      </c>
      <c r="X9" s="4" t="s">
        <v>1</v>
      </c>
      <c r="Y9" s="4" t="s">
        <v>2</v>
      </c>
      <c r="Z9" s="4" t="s">
        <v>1</v>
      </c>
      <c r="AA9" s="4" t="s">
        <v>2</v>
      </c>
      <c r="AB9" s="4" t="s">
        <v>1</v>
      </c>
      <c r="AC9" s="4" t="s">
        <v>2</v>
      </c>
      <c r="AD9" s="4" t="s">
        <v>1</v>
      </c>
      <c r="AE9" s="4" t="s">
        <v>2</v>
      </c>
      <c r="AF9" s="4" t="s">
        <v>1</v>
      </c>
      <c r="AG9" s="4" t="s">
        <v>2</v>
      </c>
      <c r="AH9" s="4" t="s">
        <v>1</v>
      </c>
      <c r="AI9" s="4" t="s">
        <v>2</v>
      </c>
      <c r="AJ9" s="4" t="s">
        <v>1</v>
      </c>
      <c r="AK9" s="4" t="s">
        <v>2</v>
      </c>
      <c r="AL9" s="4" t="s">
        <v>1</v>
      </c>
      <c r="AM9" s="4" t="s">
        <v>2</v>
      </c>
      <c r="AN9" s="4" t="s">
        <v>1</v>
      </c>
      <c r="AO9" s="4" t="s">
        <v>2</v>
      </c>
      <c r="AP9" s="4" t="s">
        <v>1</v>
      </c>
      <c r="AQ9" s="4" t="s">
        <v>2</v>
      </c>
      <c r="AR9" s="4" t="s">
        <v>1</v>
      </c>
      <c r="AS9" s="4" t="s">
        <v>2</v>
      </c>
      <c r="AT9" s="4" t="s">
        <v>1</v>
      </c>
      <c r="AU9" s="4" t="s">
        <v>2</v>
      </c>
      <c r="AV9" s="4" t="s">
        <v>1</v>
      </c>
      <c r="AW9" s="4" t="s">
        <v>2</v>
      </c>
      <c r="AX9" s="4" t="s">
        <v>1</v>
      </c>
      <c r="AY9" s="4" t="s">
        <v>2</v>
      </c>
      <c r="AZ9" s="4" t="s">
        <v>1</v>
      </c>
      <c r="BA9" s="4" t="s">
        <v>2</v>
      </c>
      <c r="BB9" s="4" t="s">
        <v>1</v>
      </c>
      <c r="BC9" s="4" t="s">
        <v>2</v>
      </c>
    </row>
    <row r="10" spans="1:55" s="17" customFormat="1" ht="12.6" x14ac:dyDescent="0.3">
      <c r="A10" s="3" t="s">
        <v>3</v>
      </c>
    </row>
    <row r="11" spans="1:55" s="17" customFormat="1" ht="12.6" x14ac:dyDescent="0.3">
      <c r="A11" s="3" t="s">
        <v>4</v>
      </c>
      <c r="B11" s="5">
        <v>21013776.638411354</v>
      </c>
      <c r="C11" s="5">
        <f>B11/597.64</f>
        <v>35161.262027995705</v>
      </c>
      <c r="D11" s="6">
        <v>21099291.598162528</v>
      </c>
      <c r="E11" s="7">
        <f>+D11/557.65</f>
        <v>37836.082844369281</v>
      </c>
      <c r="F11" s="6">
        <v>21274466.155222476</v>
      </c>
      <c r="G11" s="7">
        <f>+F11/560.79</f>
        <v>37936.600430147606</v>
      </c>
      <c r="H11" s="6">
        <v>21313666.56483813</v>
      </c>
      <c r="I11" s="7">
        <f>+H11/543.31</f>
        <v>39229.291868064516</v>
      </c>
      <c r="J11" s="6">
        <v>21622273.878678575</v>
      </c>
      <c r="K11" s="7">
        <f>+J11/547.7</f>
        <v>39478.316375166287</v>
      </c>
      <c r="L11" s="6">
        <v>21728178.59644562</v>
      </c>
      <c r="M11" s="7">
        <f>+L11/544.31</f>
        <v>39918.756951820877</v>
      </c>
      <c r="N11" s="6">
        <v>21739120.140000001</v>
      </c>
      <c r="O11" s="7">
        <f>+N11/547.86</f>
        <v>39680.064505530609</v>
      </c>
      <c r="P11" s="6">
        <v>21450096.713874597</v>
      </c>
      <c r="Q11" s="7">
        <f>+P11/547</f>
        <v>39214.070774907857</v>
      </c>
      <c r="R11" s="6">
        <v>21429439.476565976</v>
      </c>
      <c r="S11" s="7">
        <f>+R11/538.18</f>
        <v>39818.349765071122</v>
      </c>
      <c r="T11" s="6">
        <v>21298688.133740105</v>
      </c>
      <c r="U11" s="7">
        <f>+T11/541.5</f>
        <v>39332.757403028816</v>
      </c>
      <c r="V11" s="6">
        <v>21333330.105521403</v>
      </c>
      <c r="W11" s="7">
        <f>+V11/535.17</f>
        <v>39862.71671715792</v>
      </c>
      <c r="X11" s="5">
        <v>21259659.093629364</v>
      </c>
      <c r="Y11" s="5">
        <f>X11/536.54</f>
        <v>39623.623762681935</v>
      </c>
      <c r="Z11" s="5">
        <v>21223700.054051958</v>
      </c>
      <c r="AA11" s="5">
        <f>Z11/523.72</f>
        <v>40524.898904093709</v>
      </c>
      <c r="AB11" s="5">
        <v>21132063.167984795</v>
      </c>
      <c r="AC11" s="5">
        <f>AB11/518.3</f>
        <v>40771.875685866864</v>
      </c>
      <c r="AD11" s="5">
        <v>21025110.602627575</v>
      </c>
      <c r="AE11" s="5">
        <f>AD11/515.99</f>
        <v>40747.128050209452</v>
      </c>
      <c r="AF11" s="5">
        <v>20888158.527699571</v>
      </c>
      <c r="AG11" s="5">
        <f>AF11/504.1</f>
        <v>41436.537448322895</v>
      </c>
      <c r="AH11" s="5">
        <v>21139468.301371828</v>
      </c>
      <c r="AI11" s="5">
        <f>AH11/509.44</f>
        <v>41495.501533785777</v>
      </c>
      <c r="AJ11" s="5">
        <v>21363494.717740849</v>
      </c>
      <c r="AK11" s="5">
        <f>AJ11/531.82</f>
        <v>40170.536493063155</v>
      </c>
      <c r="AL11" s="5">
        <v>21008282.539021295</v>
      </c>
      <c r="AM11" s="5">
        <f>AL11/528.53</f>
        <v>39748.514822283119</v>
      </c>
      <c r="AN11" s="5">
        <v>21057277.664991826</v>
      </c>
      <c r="AO11" s="5">
        <f>AN11/524.1</f>
        <v>40177.976846006153</v>
      </c>
      <c r="AP11" s="5">
        <v>21302098.1707571</v>
      </c>
      <c r="AQ11" s="5">
        <f>AP11/520.67</f>
        <v>40912.858760360883</v>
      </c>
      <c r="AR11" s="5">
        <v>21209771.026138823</v>
      </c>
      <c r="AS11" s="5">
        <f>AR11/519.02</f>
        <v>40865.036079801983</v>
      </c>
      <c r="AT11" s="5">
        <f>21356007.52289</f>
        <v>21356007.522890002</v>
      </c>
      <c r="AU11" s="5">
        <f>AT11/513.84</f>
        <v>41561.590228261717</v>
      </c>
      <c r="AV11" s="5">
        <v>21510548.107459251</v>
      </c>
      <c r="AW11" s="5">
        <f>AV11/510.01</f>
        <v>42176.71831426688</v>
      </c>
      <c r="AX11" s="5">
        <v>21530671.806680303</v>
      </c>
      <c r="AY11" s="5">
        <f>AX11/511.53</f>
        <v>42090.731348465008</v>
      </c>
      <c r="AZ11" s="5">
        <v>21531631.558497384</v>
      </c>
      <c r="BA11" s="5">
        <f>AZ11/509.68</f>
        <v>42245.392321647669</v>
      </c>
      <c r="BB11" s="5">
        <v>21659268.791514877</v>
      </c>
      <c r="BC11" s="5">
        <f>BB11/505</f>
        <v>42889.641171316587</v>
      </c>
    </row>
    <row r="12" spans="1:55" s="17" customFormat="1" ht="12.6" x14ac:dyDescent="0.3">
      <c r="A12" s="3" t="s">
        <v>5</v>
      </c>
      <c r="B12" s="5">
        <f>C12*597.64</f>
        <v>7209746.4500001883</v>
      </c>
      <c r="C12" s="5">
        <f>12063694615.4879/1000000</f>
        <v>12063.694615487901</v>
      </c>
      <c r="D12" s="5">
        <f>+E12*557.65</f>
        <v>6182613.1739716027</v>
      </c>
      <c r="E12" s="5">
        <f>11086906077.2377/1000000</f>
        <v>11086.9060772377</v>
      </c>
      <c r="F12" s="5">
        <f>+G12*560.79</f>
        <v>6232099.2863361631</v>
      </c>
      <c r="G12" s="5">
        <f>11113071357.0787/1000000</f>
        <v>11113.071357078699</v>
      </c>
      <c r="H12" s="5">
        <f>+I12*543.31</f>
        <v>6022011.1268389188</v>
      </c>
      <c r="I12" s="5">
        <f>11083932058.749/1000000</f>
        <v>11083.932058749</v>
      </c>
      <c r="J12" s="5">
        <f>+K12*547.7</f>
        <v>6896016.9212664366</v>
      </c>
      <c r="K12" s="5">
        <f>12590865293.5301/1000000</f>
        <v>12590.8652935301</v>
      </c>
      <c r="L12" s="5">
        <f>+M12*544.31</f>
        <v>6845268.0400275365</v>
      </c>
      <c r="M12" s="5">
        <v>12576.04681161018</v>
      </c>
      <c r="N12" s="5">
        <f>+O12*547.86</f>
        <v>6894077.1835235273</v>
      </c>
      <c r="O12" s="5">
        <v>12583.647617134902</v>
      </c>
      <c r="P12" s="5">
        <f>+Q12*547</f>
        <v>7047965.8330137935</v>
      </c>
      <c r="Q12" s="5">
        <f>12884763862.9137/1000000</f>
        <v>12884.7638629137</v>
      </c>
      <c r="R12" s="5">
        <f>+S12*538.18</f>
        <v>6915373.8742703469</v>
      </c>
      <c r="S12" s="5">
        <v>12849.555677041784</v>
      </c>
      <c r="T12" s="5">
        <f>+U12*541.5</f>
        <v>6933560.2166167563</v>
      </c>
      <c r="U12" s="5">
        <f>12804358664.1122/1000000</f>
        <v>12804.3586641122</v>
      </c>
      <c r="V12" s="5">
        <f>+W12*535.17</f>
        <v>6883341.9302197583</v>
      </c>
      <c r="W12" s="5">
        <f>12861972700.6741/1000000</f>
        <v>12861.972700674101</v>
      </c>
      <c r="X12" s="5">
        <f>Y12*536.54</f>
        <v>7739221.272861978</v>
      </c>
      <c r="Y12" s="5">
        <f>14424313700.492/1000000</f>
        <v>14424.313700492001</v>
      </c>
      <c r="Z12" s="5">
        <f>AA12*523.72</f>
        <v>7538581.4496026617</v>
      </c>
      <c r="AA12" s="5">
        <f>14394297429.1657/1000000</f>
        <v>14394.297429165701</v>
      </c>
      <c r="AB12" s="5">
        <f>AC12*518.3</f>
        <v>7850386.0831324579</v>
      </c>
      <c r="AC12" s="5">
        <v>15146.41343456002</v>
      </c>
      <c r="AD12" s="5">
        <f>AE12*515.99</f>
        <v>7806203.0611369153</v>
      </c>
      <c r="AE12" s="5">
        <v>15128.593695879601</v>
      </c>
      <c r="AF12" s="5">
        <f>AG12*504.1</f>
        <v>7577080.4288697252</v>
      </c>
      <c r="AG12" s="5">
        <f>15030907416.9207/1000000</f>
        <v>15030.9074169207</v>
      </c>
      <c r="AH12" s="5">
        <f>AI12*509.44</f>
        <v>7645933.0849217279</v>
      </c>
      <c r="AI12" s="5">
        <f>15008505584.4098/1000000</f>
        <v>15008.505584409799</v>
      </c>
      <c r="AJ12" s="5">
        <f>AK12*531.82</f>
        <v>7981282.1324333139</v>
      </c>
      <c r="AK12" s="5">
        <f>15007487744.7883/1000000</f>
        <v>15007.487744788299</v>
      </c>
      <c r="AL12" s="5">
        <f>AM12*528.53</f>
        <v>8203116.3904289361</v>
      </c>
      <c r="AM12" s="5">
        <f>15520625868.785/1000000</f>
        <v>15520.625868785</v>
      </c>
      <c r="AN12" s="5">
        <f>AO12*524.1</f>
        <v>8154826.7326935241</v>
      </c>
      <c r="AO12" s="5">
        <f>15559677032.4242/1000000</f>
        <v>15559.677032424201</v>
      </c>
      <c r="AP12" s="5">
        <f>AQ12*520.67</f>
        <v>8117559.7712830845</v>
      </c>
      <c r="AQ12" s="5">
        <v>15590.603974269854</v>
      </c>
      <c r="AR12" s="5">
        <f>AS12*519.02</f>
        <v>8047410.9182077544</v>
      </c>
      <c r="AS12" s="5">
        <v>15505.011209987582</v>
      </c>
      <c r="AT12" s="5">
        <f>AU12*513.84</f>
        <v>7930224.3055518167</v>
      </c>
      <c r="AU12" s="5">
        <v>15433.256082733567</v>
      </c>
      <c r="AV12" s="5">
        <f>AW12*510.01</f>
        <v>7866407.2821182888</v>
      </c>
      <c r="AW12" s="5">
        <v>15424.025572279541</v>
      </c>
      <c r="AX12" s="5">
        <f>AY12*511.53</f>
        <v>7817765.7610065956</v>
      </c>
      <c r="AY12" s="5">
        <v>15283.103163072734</v>
      </c>
      <c r="AZ12" s="5">
        <f>BA12*509.68</f>
        <v>7798764.4222540017</v>
      </c>
      <c r="BA12" s="5">
        <v>15301.2957586211</v>
      </c>
      <c r="BB12" s="5">
        <f>BC12*505</f>
        <v>7739480.6786098443</v>
      </c>
      <c r="BC12" s="5">
        <v>15325.704314078899</v>
      </c>
    </row>
    <row r="13" spans="1:55" s="17" customFormat="1" ht="12.6" x14ac:dyDescent="0.3">
      <c r="A13" s="3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 t="s">
        <v>23</v>
      </c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</row>
    <row r="14" spans="1:55" s="17" customFormat="1" ht="12.6" x14ac:dyDescent="0.3">
      <c r="A14" s="8" t="s">
        <v>6</v>
      </c>
      <c r="B14" s="9">
        <f t="shared" ref="B14:C14" si="0">SUM(B11:B12)</f>
        <v>28223523.088411544</v>
      </c>
      <c r="C14" s="9">
        <f t="shared" si="0"/>
        <v>47224.956643483602</v>
      </c>
      <c r="D14" s="9">
        <f t="shared" ref="D14:AA14" si="1">SUM(D11:D12)</f>
        <v>27281904.772134133</v>
      </c>
      <c r="E14" s="9">
        <f t="shared" si="1"/>
        <v>48922.988921606979</v>
      </c>
      <c r="F14" s="9">
        <f t="shared" si="1"/>
        <v>27506565.441558637</v>
      </c>
      <c r="G14" s="9">
        <f t="shared" si="1"/>
        <v>49049.671787226303</v>
      </c>
      <c r="H14" s="9">
        <f t="shared" si="1"/>
        <v>27335677.691677049</v>
      </c>
      <c r="I14" s="9">
        <f t="shared" si="1"/>
        <v>50313.223926813516</v>
      </c>
      <c r="J14" s="9">
        <f t="shared" si="1"/>
        <v>28518290.799945012</v>
      </c>
      <c r="K14" s="9">
        <f t="shared" si="1"/>
        <v>52069.181668696387</v>
      </c>
      <c r="L14" s="9">
        <f t="shared" si="1"/>
        <v>28573446.636473157</v>
      </c>
      <c r="M14" s="9">
        <f t="shared" si="1"/>
        <v>52494.80376343106</v>
      </c>
      <c r="N14" s="9">
        <f>SUM(N11:N12)</f>
        <v>28633197.323523529</v>
      </c>
      <c r="O14" s="9">
        <f>SUM(O11:O12)</f>
        <v>52263.712122665514</v>
      </c>
      <c r="P14" s="9">
        <f t="shared" si="1"/>
        <v>28498062.546888389</v>
      </c>
      <c r="Q14" s="9">
        <f t="shared" si="1"/>
        <v>52098.834637821557</v>
      </c>
      <c r="R14" s="9">
        <f t="shared" si="1"/>
        <v>28344813.350836322</v>
      </c>
      <c r="S14" s="9">
        <f t="shared" si="1"/>
        <v>52667.905442112904</v>
      </c>
      <c r="T14" s="9">
        <f t="shared" si="1"/>
        <v>28232248.350356862</v>
      </c>
      <c r="U14" s="9">
        <f t="shared" si="1"/>
        <v>52137.116067141018</v>
      </c>
      <c r="V14" s="9">
        <f t="shared" si="1"/>
        <v>28216672.035741162</v>
      </c>
      <c r="W14" s="9">
        <f t="shared" si="1"/>
        <v>52724.689417832022</v>
      </c>
      <c r="X14" s="9">
        <f t="shared" si="1"/>
        <v>28998880.36649134</v>
      </c>
      <c r="Y14" s="9">
        <f t="shared" si="1"/>
        <v>54047.937463173934</v>
      </c>
      <c r="Z14" s="9">
        <f t="shared" si="1"/>
        <v>28762281.503654622</v>
      </c>
      <c r="AA14" s="9">
        <f t="shared" si="1"/>
        <v>54919.19633325941</v>
      </c>
      <c r="AB14" s="9">
        <f t="shared" ref="AB14:AC14" si="2">SUM(AB11:AB12)</f>
        <v>28982449.251117252</v>
      </c>
      <c r="AC14" s="9">
        <f t="shared" si="2"/>
        <v>55918.289120426882</v>
      </c>
      <c r="AD14" s="9">
        <f t="shared" ref="AD14:AE14" si="3">SUM(AD11:AD12)</f>
        <v>28831313.663764492</v>
      </c>
      <c r="AE14" s="9">
        <f t="shared" si="3"/>
        <v>55875.721746089053</v>
      </c>
      <c r="AF14" s="9">
        <f t="shared" ref="AF14:AK14" si="4">SUM(AF11:AF12)</f>
        <v>28465238.956569295</v>
      </c>
      <c r="AG14" s="9">
        <f t="shared" si="4"/>
        <v>56467.444865243597</v>
      </c>
      <c r="AH14" s="9">
        <f t="shared" si="4"/>
        <v>28785401.386293557</v>
      </c>
      <c r="AI14" s="9">
        <f t="shared" si="4"/>
        <v>56504.007118195572</v>
      </c>
      <c r="AJ14" s="9">
        <f t="shared" si="4"/>
        <v>29344776.850174163</v>
      </c>
      <c r="AK14" s="9">
        <f t="shared" si="4"/>
        <v>55178.024237851452</v>
      </c>
      <c r="AL14" s="9">
        <f t="shared" ref="AL14:AM14" si="5">SUM(AL11:AL12)</f>
        <v>29211398.929450229</v>
      </c>
      <c r="AM14" s="9">
        <f t="shared" si="5"/>
        <v>55269.140691068118</v>
      </c>
      <c r="AN14" s="9">
        <f t="shared" ref="AN14:AO14" si="6">SUM(AN11:AN12)</f>
        <v>29212104.397685349</v>
      </c>
      <c r="AO14" s="9">
        <f t="shared" si="6"/>
        <v>55737.653878430356</v>
      </c>
      <c r="AP14" s="9">
        <f t="shared" ref="AP14:AQ14" si="7">SUM(AP11:AP12)</f>
        <v>29419657.942040183</v>
      </c>
      <c r="AQ14" s="9">
        <f t="shared" si="7"/>
        <v>56503.462734630739</v>
      </c>
      <c r="AR14" s="9">
        <f t="shared" ref="AR14:AS14" si="8">SUM(AR11:AR12)</f>
        <v>29257181.944346577</v>
      </c>
      <c r="AS14" s="9">
        <f t="shared" si="8"/>
        <v>56370.047289789567</v>
      </c>
      <c r="AT14" s="9">
        <f t="shared" ref="AT14:AU14" si="9">SUM(AT11:AT12)</f>
        <v>29286231.828441817</v>
      </c>
      <c r="AU14" s="9">
        <f t="shared" si="9"/>
        <v>56994.846310995286</v>
      </c>
      <c r="AV14" s="9">
        <f t="shared" ref="AV14:AY14" si="10">SUM(AV11:AV12)</f>
        <v>29376955.389577538</v>
      </c>
      <c r="AW14" s="9">
        <f t="shared" si="10"/>
        <v>57600.743886546421</v>
      </c>
      <c r="AX14" s="9">
        <f t="shared" si="10"/>
        <v>29348437.5676869</v>
      </c>
      <c r="AY14" s="9">
        <f t="shared" si="10"/>
        <v>57373.834511537745</v>
      </c>
      <c r="AZ14" s="9">
        <f t="shared" ref="AZ14:BA14" si="11">SUM(AZ11:AZ12)</f>
        <v>29330395.980751388</v>
      </c>
      <c r="BA14" s="9">
        <f t="shared" si="11"/>
        <v>57546.688080268766</v>
      </c>
      <c r="BB14" s="9">
        <f>SUM(BB11:BB12)</f>
        <v>29398749.470124722</v>
      </c>
      <c r="BC14" s="9">
        <f>SUM(BC11:BC12)</f>
        <v>58215.34548539549</v>
      </c>
    </row>
    <row r="15" spans="1:55" s="17" customFormat="1" ht="12.6" x14ac:dyDescent="0.3">
      <c r="A15" s="8"/>
      <c r="D15" s="19"/>
      <c r="I15" s="18"/>
      <c r="T15" s="19"/>
      <c r="X15" s="19"/>
      <c r="AA15" s="18"/>
      <c r="AC15" s="18"/>
    </row>
    <row r="16" spans="1:55" s="17" customFormat="1" ht="12.6" x14ac:dyDescent="0.3">
      <c r="A16" s="3"/>
      <c r="B16" s="18"/>
      <c r="C16" s="18"/>
      <c r="D16" s="5"/>
      <c r="G16" s="19"/>
      <c r="H16" s="5"/>
      <c r="M16" s="18"/>
      <c r="N16" s="18"/>
      <c r="O16" s="18"/>
      <c r="P16" s="20"/>
      <c r="T16" s="5"/>
      <c r="U16" s="5"/>
      <c r="V16" s="5"/>
      <c r="X16" s="21"/>
      <c r="Y16" s="19"/>
      <c r="Z16" s="5"/>
      <c r="AA16" s="19"/>
      <c r="AB16" s="5"/>
      <c r="AC16" s="19"/>
      <c r="AF16" s="18"/>
      <c r="AG16" s="18"/>
      <c r="AH16" s="18"/>
      <c r="AI16" s="18"/>
      <c r="AJ16" s="18"/>
      <c r="AK16" s="18"/>
      <c r="AZ16" s="22"/>
    </row>
    <row r="17" spans="1:54" s="17" customFormat="1" ht="12.6" x14ac:dyDescent="0.3">
      <c r="A17" s="1" t="s">
        <v>39</v>
      </c>
      <c r="F17" s="5"/>
      <c r="H17" s="19"/>
      <c r="N17" s="19"/>
      <c r="R17" s="19"/>
      <c r="T17" s="19"/>
      <c r="Z17" s="19"/>
      <c r="AB17" s="19"/>
      <c r="AL17" s="5"/>
      <c r="AM17" s="23"/>
      <c r="AN17" s="5"/>
      <c r="AZ17" s="19"/>
    </row>
    <row r="18" spans="1:54" s="17" customFormat="1" ht="12.6" x14ac:dyDescent="0.3">
      <c r="A18" s="1" t="s">
        <v>37</v>
      </c>
      <c r="F18" s="5"/>
      <c r="N18" s="19"/>
      <c r="R18" s="19"/>
      <c r="AM18" s="5"/>
    </row>
    <row r="19" spans="1:54" s="17" customFormat="1" ht="12.6" x14ac:dyDescent="0.3">
      <c r="A19" s="1"/>
      <c r="D19" s="5"/>
      <c r="F19" s="5"/>
      <c r="AA19" s="19"/>
      <c r="AC19" s="19"/>
      <c r="AL19" s="24"/>
      <c r="AM19" s="22"/>
    </row>
    <row r="20" spans="1:54" s="17" customFormat="1" ht="12.6" x14ac:dyDescent="0.3">
      <c r="A20" s="1" t="s">
        <v>41</v>
      </c>
      <c r="C20" s="5"/>
      <c r="D20" s="5"/>
      <c r="F20" s="5"/>
      <c r="G20" s="5"/>
      <c r="K20" s="5"/>
      <c r="BB20" s="19"/>
    </row>
    <row r="21" spans="1:54" s="17" customFormat="1" ht="12.6" x14ac:dyDescent="0.3">
      <c r="A21" s="11"/>
      <c r="C21" s="5"/>
      <c r="D21" s="5"/>
      <c r="F21" s="5"/>
      <c r="BB21" s="22"/>
    </row>
    <row r="22" spans="1:54" s="17" customFormat="1" ht="12.6" x14ac:dyDescent="0.3">
      <c r="A22" s="3" t="s">
        <v>10</v>
      </c>
      <c r="C22" s="5"/>
      <c r="D22" s="5"/>
      <c r="BB22" s="19"/>
    </row>
    <row r="23" spans="1:54" s="17" customFormat="1" ht="12.6" x14ac:dyDescent="0.3">
      <c r="A23" s="12" t="s">
        <v>42</v>
      </c>
      <c r="C23" s="5"/>
      <c r="D23" s="5"/>
      <c r="F23" s="5"/>
    </row>
    <row r="24" spans="1:54" s="17" customFormat="1" ht="12.6" x14ac:dyDescent="0.3">
      <c r="A24" s="13"/>
      <c r="C24" s="19"/>
      <c r="D24" s="5"/>
    </row>
    <row r="25" spans="1:54" s="17" customFormat="1" ht="12.6" x14ac:dyDescent="0.3"/>
  </sheetData>
  <mergeCells count="31">
    <mergeCell ref="AJ8:AK8"/>
    <mergeCell ref="F8:G8"/>
    <mergeCell ref="AX8:AY8"/>
    <mergeCell ref="AZ8:BA8"/>
    <mergeCell ref="H8:I8"/>
    <mergeCell ref="J8:K8"/>
    <mergeCell ref="L8:M8"/>
    <mergeCell ref="Z8:AA8"/>
    <mergeCell ref="N8:O8"/>
    <mergeCell ref="P8:Q8"/>
    <mergeCell ref="AV8:AW8"/>
    <mergeCell ref="AT8:AU8"/>
    <mergeCell ref="AR8:AS8"/>
    <mergeCell ref="AP8:AQ8"/>
    <mergeCell ref="AL8:AM8"/>
    <mergeCell ref="BB8:BC8"/>
    <mergeCell ref="A3:BC3"/>
    <mergeCell ref="A4:BC4"/>
    <mergeCell ref="A5:BC5"/>
    <mergeCell ref="A6:BC6"/>
    <mergeCell ref="AN8:AO8"/>
    <mergeCell ref="AH8:AI8"/>
    <mergeCell ref="R8:S8"/>
    <mergeCell ref="T8:U8"/>
    <mergeCell ref="AB8:AC8"/>
    <mergeCell ref="V8:W8"/>
    <mergeCell ref="X8:Y8"/>
    <mergeCell ref="AF8:AG8"/>
    <mergeCell ref="AD8:AE8"/>
    <mergeCell ref="B8:C8"/>
    <mergeCell ref="D8:E8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EEA6307D80F14BAB3957142425D0C0" ma:contentTypeVersion="14" ma:contentTypeDescription="Crear nuevo documento." ma:contentTypeScope="" ma:versionID="e77c208a8302d85cd4e249fff931b229">
  <xsd:schema xmlns:xsd="http://www.w3.org/2001/XMLSchema" xmlns:xs="http://www.w3.org/2001/XMLSchema" xmlns:p="http://schemas.microsoft.com/office/2006/metadata/properties" xmlns:ns3="ca0b8503-558e-4550-823a-26f008707f9a" xmlns:ns4="9f1d2543-a317-404b-b796-299c7d331056" targetNamespace="http://schemas.microsoft.com/office/2006/metadata/properties" ma:root="true" ma:fieldsID="efffd9af8a13b64d2babcf87a90dd478" ns3:_="" ns4:_="">
    <xsd:import namespace="ca0b8503-558e-4550-823a-26f008707f9a"/>
    <xsd:import namespace="9f1d2543-a317-404b-b796-299c7d33105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0b8503-558e-4550-823a-26f008707f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1d2543-a317-404b-b796-299c7d331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683097E-2DFB-47ED-940E-4781323B55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0b8503-558e-4550-823a-26f008707f9a"/>
    <ds:schemaRef ds:uri="9f1d2543-a317-404b-b796-299c7d331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C5ACD61-FC21-470A-BC41-93A548DCCDC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CECD617-BE4D-4F3F-8505-8F00D3082F40}">
  <ds:schemaRefs>
    <ds:schemaRef ds:uri="http://www.w3.org/XML/1998/namespace"/>
    <ds:schemaRef ds:uri="http://purl.org/dc/terms/"/>
    <ds:schemaRef ds:uri="http://purl.org/dc/elements/1.1/"/>
    <ds:schemaRef ds:uri="9f1d2543-a317-404b-b796-299c7d331056"/>
    <ds:schemaRef ds:uri="ca0b8503-558e-4550-823a-26f008707f9a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Saldo de Deuda</vt:lpstr>
      <vt:lpstr>'Saldo de Deuda'!Área_de_impresión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Beatriz Hernandez Hernandez</dc:creator>
  <cp:lastModifiedBy>Ana Gabriela Corrales Rojas</cp:lastModifiedBy>
  <cp:lastPrinted>2014-02-20T14:42:44Z</cp:lastPrinted>
  <dcterms:created xsi:type="dcterms:W3CDTF">2010-05-21T21:37:42Z</dcterms:created>
  <dcterms:modified xsi:type="dcterms:W3CDTF">2025-03-21T22:25:28Z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0x01010072EEA6307D80F14BAB3957142425D0C0</vt:lpwstr>
  </property>
</Properties>
</file>