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9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10.xml" ContentType="application/vnd.openxmlformats-officedocument.drawing+xml"/>
  <Override PartName="/xl/comments2.xml" ContentType="application/vnd.openxmlformats-officedocument.spreadsheetml.comments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13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mhaciendacr-my.sharepoint.com/personal/hernandezha_hacienda_go_cr/Documents/Escritorio/Diarios/"/>
    </mc:Choice>
  </mc:AlternateContent>
  <xr:revisionPtr revIDLastSave="0" documentId="8_{9BC9391A-A579-4DBA-8DF5-073F5605B24F}" xr6:coauthVersionLast="36" xr6:coauthVersionMax="36" xr10:uidLastSave="{00000000-0000-0000-0000-000000000000}"/>
  <bookViews>
    <workbookView xWindow="0" yWindow="0" windowWidth="23040" windowHeight="8196" activeTab="1" xr2:uid="{00000000-000D-0000-FFFF-FFFF00000000}"/>
  </bookViews>
  <sheets>
    <sheet name="CONTENTS" sheetId="17077" r:id="rId1"/>
    <sheet name="Domestic Debt Colones" sheetId="17065" r:id="rId2"/>
    <sheet name="Domestic Debt USD" sheetId="17066" r:id="rId3"/>
    <sheet name="GRAPHICS DOMESTIC DEBT" sheetId="1" r:id="rId4"/>
    <sheet name="Maturity Profile Domestic Debt" sheetId="17073" r:id="rId5"/>
    <sheet name="EXTERNAL DEBT USD" sheetId="17067" r:id="rId6"/>
    <sheet name="EXTERNAL DEBT COLONES" sheetId="17068" r:id="rId7"/>
    <sheet name="GRAPHICS EXTERNAL DEBT" sheetId="32" r:id="rId8"/>
    <sheet name="Maturity Profile External Debt" sheetId="17074" r:id="rId9"/>
    <sheet name="PUBLIC DEBT COLONES" sheetId="17069" r:id="rId10"/>
    <sheet name="PUBLIC DEBT USD" sheetId="17070" r:id="rId11"/>
    <sheet name="GRAPHICS PUBLIC DEBT" sheetId="1032" r:id="rId12"/>
    <sheet name="Maturity Profile Public Debt" sheetId="17075" r:id="rId13"/>
  </sheets>
  <externalReferences>
    <externalReference r:id="rId14"/>
    <externalReference r:id="rId15"/>
    <externalReference r:id="rId16"/>
    <externalReference r:id="rId17"/>
  </externalReferences>
  <definedNames>
    <definedName name="ANUAL_COLONES" localSheetId="1">[1]AÑO!$H$3:$K$21</definedName>
    <definedName name="ANUAL_COLONES" localSheetId="2">[1]AÑO!$H$3:$K$21</definedName>
    <definedName name="ANUAL_COLONES">[2]AÑO!$H$3:$K$21</definedName>
    <definedName name="ANUAL_DOLARES" localSheetId="1">[1]AÑO!$H$30:$K$48</definedName>
    <definedName name="ANUAL_DOLARES" localSheetId="2">[1]AÑO!$H$30:$K$48</definedName>
    <definedName name="ANUAL_DOLARES">[2]AÑO!$H$30:$K$48</definedName>
    <definedName name="_xlnm.Print_Area" localSheetId="0">CONTENTS!$B$1:$N$53</definedName>
    <definedName name="_xlnm.Print_Area" localSheetId="1">'Domestic Debt Colones'!$A$1:$AO$96</definedName>
    <definedName name="_xlnm.Print_Area" localSheetId="2">'Domestic Debt USD'!$A$1:$AS$97</definedName>
    <definedName name="_xlnm.Print_Area" localSheetId="6">'EXTERNAL DEBT COLONES'!$A$1:$AO$99</definedName>
    <definedName name="_xlnm.Print_Area" localSheetId="5">'EXTERNAL DEBT USD'!$A$1:$AO$100</definedName>
    <definedName name="_xlnm.Print_Area" localSheetId="3">'GRAPHICS DOMESTIC DEBT'!$A$1:$M$79</definedName>
    <definedName name="_xlnm.Print_Area" localSheetId="7">'GRAPHICS EXTERNAL DEBT'!$A$1:$M$72</definedName>
    <definedName name="_xlnm.Print_Area" localSheetId="11">'GRAPHICS PUBLIC DEBT'!$A$1:$O$184</definedName>
    <definedName name="_xlnm.Print_Area" localSheetId="4">'Maturity Profile Domestic Debt'!$A$1:$S$180</definedName>
    <definedName name="_xlnm.Print_Area" localSheetId="8">'Maturity Profile External Debt'!$A$1:$S$171</definedName>
    <definedName name="_xlnm.Print_Area" localSheetId="12">'Maturity Profile Public Debt'!$A$1:$S$186</definedName>
    <definedName name="_xlnm.Print_Area" localSheetId="9">'PUBLIC DEBT COLONES'!$A$1:$AO$84</definedName>
    <definedName name="_xlnm.Print_Area" localSheetId="10">'PUBLIC DEBT USD'!$A$1:$AO$84</definedName>
    <definedName name="TIPO_CAMBIO" localSheetId="0">'[3]Vigentes menos cancelaciones - '!$AY$1:$BA$3</definedName>
    <definedName name="TIPO_CAMBIO" localSheetId="4">'[3]Vigentes menos cancelaciones - '!$AY$1:$BA$3</definedName>
    <definedName name="TIPO_CAMBIO" localSheetId="8">'[3]Vigentes menos cancelaciones - '!$AY$1:$BA$3</definedName>
    <definedName name="TIPO_CAMBIO" localSheetId="12">'[3]Vigentes menos cancelaciones - '!$AY$1:$BA$3</definedName>
    <definedName name="TIPO_CAMBIO">'[4]Vigentes menos cancelaciones - '!$AY$1:$BA$3</definedName>
    <definedName name="TIPOS_CAMBIO" localSheetId="1">'[1]Saldos Vigentes febrero 05'!$AY$1:$BA$4</definedName>
    <definedName name="TIPOS_CAMBIO" localSheetId="2">'[1]Saldos Vigentes febrero 05'!$AY$1:$BA$4</definedName>
    <definedName name="TIPOS_CAMBIO">'[2]Saldos Vigentes febrero 05'!$AY$1:$BA$4</definedName>
  </definedNames>
  <calcPr calcId="191028"/>
</workbook>
</file>

<file path=xl/calcChain.xml><?xml version="1.0" encoding="utf-8"?>
<calcChain xmlns="http://schemas.openxmlformats.org/spreadsheetml/2006/main">
  <c r="L230" i="1032" l="1"/>
  <c r="L229" i="1032"/>
  <c r="D292" i="1032"/>
  <c r="C247" i="1032"/>
  <c r="D146" i="17075"/>
  <c r="E146" i="17075" s="1"/>
  <c r="F146" i="17075" s="1"/>
  <c r="G146" i="17075" s="1"/>
  <c r="H146" i="17075" s="1"/>
  <c r="I146" i="17075" s="1"/>
  <c r="J146" i="17075" s="1"/>
  <c r="K146" i="17075" s="1"/>
  <c r="L146" i="17075" s="1"/>
  <c r="M146" i="17075" s="1"/>
  <c r="N146" i="17075" s="1"/>
  <c r="O146" i="17075" s="1"/>
  <c r="P146" i="17075" s="1"/>
  <c r="Q146" i="17075" s="1"/>
  <c r="R146" i="17075" s="1"/>
  <c r="S146" i="17075" s="1"/>
  <c r="T146" i="17075" s="1"/>
  <c r="U146" i="17075" s="1"/>
  <c r="V146" i="17075" s="1"/>
  <c r="W146" i="17075" s="1"/>
  <c r="X146" i="17075" s="1"/>
  <c r="Y146" i="17075" s="1"/>
  <c r="Z146" i="17075" s="1"/>
  <c r="AA146" i="17075" s="1"/>
  <c r="AB146" i="17075" s="1"/>
  <c r="AC146" i="17075" s="1"/>
  <c r="AD146" i="17075" s="1"/>
  <c r="AE146" i="17075" s="1"/>
  <c r="AF146" i="17075" s="1"/>
  <c r="AG146" i="17075" s="1"/>
  <c r="AH146" i="17075" s="1"/>
  <c r="D122" i="17075"/>
  <c r="E122" i="17075" s="1"/>
  <c r="F122" i="17075" s="1"/>
  <c r="G122" i="17075" s="1"/>
  <c r="H122" i="17075" s="1"/>
  <c r="I122" i="17075" s="1"/>
  <c r="J122" i="17075" s="1"/>
  <c r="K122" i="17075" s="1"/>
  <c r="L122" i="17075" s="1"/>
  <c r="M122" i="17075" s="1"/>
  <c r="N122" i="17075" s="1"/>
  <c r="O122" i="17075" s="1"/>
  <c r="P122" i="17075" s="1"/>
  <c r="Q122" i="17075" s="1"/>
  <c r="R122" i="17075" s="1"/>
  <c r="S122" i="17075" s="1"/>
  <c r="T122" i="17075" s="1"/>
  <c r="U122" i="17075" s="1"/>
  <c r="V122" i="17075" s="1"/>
  <c r="W122" i="17075" s="1"/>
  <c r="X122" i="17075" s="1"/>
  <c r="Y122" i="17075" s="1"/>
  <c r="Z122" i="17075" s="1"/>
  <c r="AA122" i="17075" s="1"/>
  <c r="AB122" i="17075" s="1"/>
  <c r="AC122" i="17075" s="1"/>
  <c r="AD122" i="17075" s="1"/>
  <c r="AE122" i="17075" s="1"/>
  <c r="AF122" i="17075" s="1"/>
  <c r="AG122" i="17075" s="1"/>
  <c r="AH122" i="17075" s="1"/>
  <c r="D131" i="17074"/>
  <c r="E131" i="17074" s="1"/>
  <c r="F131" i="17074" s="1"/>
  <c r="G131" i="17074" s="1"/>
  <c r="H131" i="17074" s="1"/>
  <c r="I131" i="17074" s="1"/>
  <c r="J131" i="17074" s="1"/>
  <c r="K131" i="17074" s="1"/>
  <c r="L131" i="17074" s="1"/>
  <c r="M131" i="17074" s="1"/>
  <c r="N131" i="17074" s="1"/>
  <c r="O131" i="17074" s="1"/>
  <c r="P131" i="17074" s="1"/>
  <c r="Q131" i="17074" s="1"/>
  <c r="R131" i="17074" s="1"/>
  <c r="S131" i="17074" s="1"/>
  <c r="T131" i="17074" s="1"/>
  <c r="U131" i="17074" s="1"/>
  <c r="V131" i="17074" s="1"/>
  <c r="W131" i="17074" s="1"/>
  <c r="X131" i="17074" s="1"/>
  <c r="Y131" i="17074" s="1"/>
  <c r="Z131" i="17074" s="1"/>
  <c r="AA131" i="17074" s="1"/>
  <c r="AB131" i="17074" s="1"/>
  <c r="AC131" i="17074" s="1"/>
  <c r="AD131" i="17074" s="1"/>
  <c r="AE131" i="17074" s="1"/>
  <c r="AF131" i="17074" s="1"/>
  <c r="AG131" i="17074" s="1"/>
  <c r="AH131" i="17074" s="1"/>
  <c r="D107" i="17074"/>
  <c r="E107" i="17074" s="1"/>
  <c r="F107" i="17074" s="1"/>
  <c r="G107" i="17074" s="1"/>
  <c r="H107" i="17074" s="1"/>
  <c r="I107" i="17074" s="1"/>
  <c r="J107" i="17074" s="1"/>
  <c r="K107" i="17074" s="1"/>
  <c r="L107" i="17074" s="1"/>
  <c r="M107" i="17074" s="1"/>
  <c r="N107" i="17074" s="1"/>
  <c r="O107" i="17074" s="1"/>
  <c r="P107" i="17074" s="1"/>
  <c r="Q107" i="17074" s="1"/>
  <c r="R107" i="17074" s="1"/>
  <c r="S107" i="17074" s="1"/>
  <c r="T107" i="17074" s="1"/>
  <c r="U107" i="17074" s="1"/>
  <c r="V107" i="17074" s="1"/>
  <c r="W107" i="17074" s="1"/>
  <c r="X107" i="17074" s="1"/>
  <c r="Y107" i="17074" s="1"/>
  <c r="Z107" i="17074" s="1"/>
  <c r="AA107" i="17074" s="1"/>
  <c r="AB107" i="17074" s="1"/>
  <c r="AC107" i="17074" s="1"/>
  <c r="AD107" i="17074" s="1"/>
  <c r="AE107" i="17074" s="1"/>
  <c r="AF107" i="17074" s="1"/>
  <c r="AG107" i="17074" s="1"/>
  <c r="AH107" i="17074" s="1"/>
  <c r="B100" i="32"/>
  <c r="D141" i="17073"/>
  <c r="E141" i="17073" s="1"/>
  <c r="F141" i="17073" s="1"/>
  <c r="G141" i="17073" s="1"/>
  <c r="H141" i="17073" s="1"/>
  <c r="I141" i="17073" s="1"/>
  <c r="J141" i="17073" s="1"/>
  <c r="K141" i="17073" s="1"/>
  <c r="L141" i="17073" s="1"/>
  <c r="M141" i="17073" s="1"/>
  <c r="N141" i="17073" s="1"/>
  <c r="O141" i="17073" s="1"/>
  <c r="P141" i="17073" s="1"/>
  <c r="Q141" i="17073" s="1"/>
  <c r="R141" i="17073" s="1"/>
  <c r="S141" i="17073" s="1"/>
  <c r="T141" i="17073" s="1"/>
  <c r="U141" i="17073" s="1"/>
  <c r="V141" i="17073" s="1"/>
  <c r="W141" i="17073" s="1"/>
  <c r="X141" i="17073" s="1"/>
  <c r="Y141" i="17073" s="1"/>
  <c r="Z141" i="17073" s="1"/>
  <c r="AA141" i="17073" s="1"/>
  <c r="AB141" i="17073" s="1"/>
  <c r="AC141" i="17073" s="1"/>
  <c r="AD141" i="17073" s="1"/>
  <c r="AE141" i="17073" s="1"/>
  <c r="AF141" i="17073" s="1"/>
  <c r="AG141" i="17073" s="1"/>
  <c r="AH141" i="17073" s="1"/>
  <c r="D119" i="17073"/>
  <c r="E119" i="17073" s="1"/>
  <c r="F119" i="17073" s="1"/>
  <c r="G119" i="17073" s="1"/>
  <c r="H119" i="17073" s="1"/>
  <c r="I119" i="17073" s="1"/>
  <c r="J119" i="17073" s="1"/>
  <c r="K119" i="17073" s="1"/>
  <c r="L119" i="17073" s="1"/>
  <c r="M119" i="17073" s="1"/>
  <c r="N119" i="17073" s="1"/>
  <c r="O119" i="17073" s="1"/>
  <c r="P119" i="17073" s="1"/>
  <c r="Q119" i="17073" s="1"/>
  <c r="R119" i="17073" s="1"/>
  <c r="S119" i="17073" s="1"/>
  <c r="T119" i="17073" s="1"/>
  <c r="U119" i="17073" s="1"/>
  <c r="V119" i="17073" s="1"/>
  <c r="W119" i="17073" s="1"/>
  <c r="X119" i="17073" s="1"/>
  <c r="Y119" i="17073" s="1"/>
  <c r="Z119" i="17073" s="1"/>
  <c r="AA119" i="17073" s="1"/>
  <c r="AB119" i="17073" s="1"/>
  <c r="AC119" i="17073" s="1"/>
  <c r="AD119" i="17073" s="1"/>
  <c r="AE119" i="17073" s="1"/>
  <c r="AF119" i="17073" s="1"/>
  <c r="AG119" i="17073" s="1"/>
  <c r="AH119" i="17073" s="1"/>
  <c r="C93" i="1" l="1"/>
  <c r="AP72" i="17065"/>
  <c r="AP68" i="17069" s="1"/>
  <c r="AP90" i="17066"/>
  <c r="AP68" i="17070"/>
  <c r="AP71" i="17069"/>
  <c r="AP70" i="17069"/>
  <c r="AP69" i="17069"/>
  <c r="AP67" i="17069"/>
  <c r="AP66" i="17069"/>
  <c r="AP41" i="17069"/>
  <c r="AP22" i="17069"/>
  <c r="AP10" i="17069"/>
  <c r="AP93" i="17068"/>
  <c r="AP20" i="17068" s="1"/>
  <c r="AP79" i="17068"/>
  <c r="AP52" i="17068" s="1"/>
  <c r="AP78" i="17068"/>
  <c r="AP77" i="17068"/>
  <c r="AP51" i="17068" s="1"/>
  <c r="AP75" i="17068"/>
  <c r="AP74" i="17068"/>
  <c r="AP50" i="17068" s="1"/>
  <c r="AQ46" i="17068"/>
  <c r="AP46" i="17068"/>
  <c r="AQ45" i="17068"/>
  <c r="AP45" i="17068"/>
  <c r="AQ44" i="17068"/>
  <c r="AP44" i="17068"/>
  <c r="AQ43" i="17068"/>
  <c r="AP43" i="17068"/>
  <c r="AP16" i="17068"/>
  <c r="AQ87" i="17067"/>
  <c r="AQ87" i="17068" s="1"/>
  <c r="AP87" i="17067"/>
  <c r="AP87" i="17068" s="1"/>
  <c r="AQ86" i="17067"/>
  <c r="AQ86" i="17068" s="1"/>
  <c r="AP86" i="17067"/>
  <c r="AP86" i="17068" s="1"/>
  <c r="AQ85" i="17067"/>
  <c r="AQ85" i="17068" s="1"/>
  <c r="AP85" i="17067"/>
  <c r="AP85" i="17068" s="1"/>
  <c r="AP76" i="17067"/>
  <c r="AP67" i="17067"/>
  <c r="AP64" i="17066" s="1"/>
  <c r="AQ40" i="17067"/>
  <c r="AQ38" i="17067"/>
  <c r="AQ36" i="17067"/>
  <c r="AQ30" i="17067"/>
  <c r="AQ28" i="17067"/>
  <c r="AQ22" i="17067"/>
  <c r="AQ20" i="17067"/>
  <c r="AQ16" i="17067"/>
  <c r="AP15" i="17067"/>
  <c r="AQ12" i="17067"/>
  <c r="AQ10" i="17067"/>
  <c r="AQ84" i="17066"/>
  <c r="AP84" i="17066"/>
  <c r="AQ83" i="17066"/>
  <c r="AP83" i="17066"/>
  <c r="AQ82" i="17066"/>
  <c r="AP82" i="17066"/>
  <c r="AP72" i="17066"/>
  <c r="AP43" i="17066"/>
  <c r="AP42" i="17066"/>
  <c r="AP41" i="17066"/>
  <c r="AP40" i="17066"/>
  <c r="AP57" i="17065"/>
  <c r="AQ50" i="17065"/>
  <c r="AP48" i="17065"/>
  <c r="Y113" i="1" s="1"/>
  <c r="AP47" i="17065"/>
  <c r="Y112" i="1" s="1"/>
  <c r="AP46" i="17065"/>
  <c r="Y111" i="1" s="1"/>
  <c r="AP37" i="17065"/>
  <c r="AQ36" i="17065"/>
  <c r="AP35" i="17065"/>
  <c r="AQ34" i="17065"/>
  <c r="AP33" i="17065"/>
  <c r="AQ32" i="17065"/>
  <c r="AP27" i="17065"/>
  <c r="AQ26" i="17065"/>
  <c r="AP25" i="17065"/>
  <c r="AQ24" i="17065"/>
  <c r="AP23" i="17065"/>
  <c r="AQ22" i="17065"/>
  <c r="AQ16" i="17065"/>
  <c r="AP13" i="17065"/>
  <c r="AQ12" i="17065"/>
  <c r="AP11" i="17065"/>
  <c r="AQ10" i="17065"/>
  <c r="AP11" i="17069" l="1"/>
  <c r="AP61" i="17068"/>
  <c r="AP65" i="17068" s="1"/>
  <c r="AP59" i="17065"/>
  <c r="AP58" i="17065"/>
  <c r="AP67" i="17070"/>
  <c r="AP75" i="17067"/>
  <c r="AP23" i="17069"/>
  <c r="AP43" i="17069"/>
  <c r="Y191" i="1032" s="1"/>
  <c r="AQ15" i="17067"/>
  <c r="AP69" i="17067"/>
  <c r="AP38" i="17068"/>
  <c r="AP39" i="17068" s="1"/>
  <c r="AP76" i="17066"/>
  <c r="AP69" i="17066" s="1"/>
  <c r="AP8" i="17066"/>
  <c r="AP75" i="17066"/>
  <c r="AP23" i="17066"/>
  <c r="AP37" i="17066"/>
  <c r="AP71" i="17066"/>
  <c r="AP65" i="17066" s="1"/>
  <c r="AP35" i="17066"/>
  <c r="AP25" i="17066"/>
  <c r="AP33" i="17066"/>
  <c r="AP74" i="17066"/>
  <c r="AP45" i="17066"/>
  <c r="AP48" i="17066" s="1"/>
  <c r="AP27" i="17066"/>
  <c r="AP13" i="17066"/>
  <c r="AP11" i="17066"/>
  <c r="AP93" i="17067"/>
  <c r="AP49" i="17067" s="1"/>
  <c r="AP7" i="17068"/>
  <c r="AP81" i="17070"/>
  <c r="B247" i="1032" s="1"/>
  <c r="AP10" i="17068"/>
  <c r="AP11" i="17068" s="1"/>
  <c r="AP81" i="17069"/>
  <c r="AP22" i="17068"/>
  <c r="AP23" i="17068" s="1"/>
  <c r="AP76" i="17068"/>
  <c r="AP28" i="17068"/>
  <c r="AP44" i="17069"/>
  <c r="Y192" i="1032" s="1"/>
  <c r="AP60" i="17065"/>
  <c r="AP61" i="17065"/>
  <c r="AP53" i="17069"/>
  <c r="AQ18" i="17065"/>
  <c r="AP10" i="17070"/>
  <c r="AP41" i="17070"/>
  <c r="AP42" i="17069"/>
  <c r="Y190" i="1032" s="1"/>
  <c r="AP21" i="17068"/>
  <c r="AP17" i="17068"/>
  <c r="AP30" i="17068"/>
  <c r="AP20" i="17069" s="1"/>
  <c r="AP21" i="17069" s="1"/>
  <c r="AP62" i="17068"/>
  <c r="AP12" i="17068"/>
  <c r="AP14" i="17069" s="1"/>
  <c r="AP15" i="17069" s="1"/>
  <c r="AP18" i="17068"/>
  <c r="AP40" i="17068"/>
  <c r="AP31" i="17069" s="1"/>
  <c r="AP32" i="17069" s="1"/>
  <c r="AP63" i="17068"/>
  <c r="AP24" i="17068"/>
  <c r="AP64" i="17068"/>
  <c r="AP36" i="17068"/>
  <c r="AP27" i="17069" s="1"/>
  <c r="AP28" i="17069" s="1"/>
  <c r="AP68" i="17066"/>
  <c r="AP66" i="17066"/>
  <c r="AP67" i="17066"/>
  <c r="AM85" i="17067"/>
  <c r="AM85" i="17068" s="1"/>
  <c r="AN85" i="17067"/>
  <c r="AN85" i="17068" s="1"/>
  <c r="AO85" i="17067"/>
  <c r="AO85" i="17068" s="1"/>
  <c r="AM86" i="17067"/>
  <c r="AM86" i="17068" s="1"/>
  <c r="AN86" i="17067"/>
  <c r="AN86" i="17068" s="1"/>
  <c r="AO86" i="17067"/>
  <c r="AO86" i="17068" s="1"/>
  <c r="AM87" i="17067"/>
  <c r="AM87" i="17068" s="1"/>
  <c r="AN87" i="17067"/>
  <c r="AN87" i="17068" s="1"/>
  <c r="AO87" i="17067"/>
  <c r="AO87" i="17068" s="1"/>
  <c r="AL86" i="17067"/>
  <c r="AL86" i="17068" s="1"/>
  <c r="AL87" i="17067"/>
  <c r="AL87" i="17068" s="1"/>
  <c r="AL85" i="17067"/>
  <c r="AL85" i="17068" s="1"/>
  <c r="AL83" i="17066"/>
  <c r="AM83" i="17066"/>
  <c r="AL84" i="17066"/>
  <c r="AM84" i="17066"/>
  <c r="AM82" i="17066"/>
  <c r="D147" i="17075"/>
  <c r="E147" i="17075"/>
  <c r="F147" i="17075"/>
  <c r="G147" i="17075"/>
  <c r="H147" i="17075"/>
  <c r="I147" i="17075"/>
  <c r="J147" i="17075"/>
  <c r="K147" i="17075"/>
  <c r="L147" i="17075"/>
  <c r="M147" i="17075"/>
  <c r="N147" i="17075"/>
  <c r="O147" i="17075"/>
  <c r="P147" i="17075"/>
  <c r="Q147" i="17075"/>
  <c r="R147" i="17075"/>
  <c r="S147" i="17075"/>
  <c r="T147" i="17075"/>
  <c r="U147" i="17075"/>
  <c r="V147" i="17075"/>
  <c r="W147" i="17075"/>
  <c r="X147" i="17075"/>
  <c r="Y147" i="17075"/>
  <c r="Z147" i="17075"/>
  <c r="AA147" i="17075"/>
  <c r="AB147" i="17075"/>
  <c r="AC147" i="17075"/>
  <c r="AD147" i="17075"/>
  <c r="AE147" i="17075"/>
  <c r="AF147" i="17075"/>
  <c r="AG147" i="17075"/>
  <c r="AH147" i="17075"/>
  <c r="D148" i="17075"/>
  <c r="E148" i="17075"/>
  <c r="F148" i="17075"/>
  <c r="G148" i="17075"/>
  <c r="H148" i="17075"/>
  <c r="I148" i="17075"/>
  <c r="J148" i="17075"/>
  <c r="K148" i="17075"/>
  <c r="L148" i="17075"/>
  <c r="M148" i="17075"/>
  <c r="N148" i="17075"/>
  <c r="O148" i="17075"/>
  <c r="P148" i="17075"/>
  <c r="Q148" i="17075"/>
  <c r="R148" i="17075"/>
  <c r="S148" i="17075"/>
  <c r="T148" i="17075"/>
  <c r="U148" i="17075"/>
  <c r="V148" i="17075"/>
  <c r="W148" i="17075"/>
  <c r="X148" i="17075"/>
  <c r="Y148" i="17075"/>
  <c r="Z148" i="17075"/>
  <c r="AA148" i="17075"/>
  <c r="AB148" i="17075"/>
  <c r="AC148" i="17075"/>
  <c r="AD148" i="17075"/>
  <c r="AE148" i="17075"/>
  <c r="AF148" i="17075"/>
  <c r="AG148" i="17075"/>
  <c r="AH148" i="17075"/>
  <c r="D149" i="17075"/>
  <c r="E149" i="17075"/>
  <c r="F149" i="17075"/>
  <c r="G149" i="17075"/>
  <c r="H149" i="17075"/>
  <c r="I149" i="17075"/>
  <c r="J149" i="17075"/>
  <c r="K149" i="17075"/>
  <c r="L149" i="17075"/>
  <c r="M149" i="17075"/>
  <c r="N149" i="17075"/>
  <c r="O149" i="17075"/>
  <c r="P149" i="17075"/>
  <c r="Q149" i="17075"/>
  <c r="R149" i="17075"/>
  <c r="S149" i="17075"/>
  <c r="T149" i="17075"/>
  <c r="U149" i="17075"/>
  <c r="V149" i="17075"/>
  <c r="W149" i="17075"/>
  <c r="X149" i="17075"/>
  <c r="Y149" i="17075"/>
  <c r="Z149" i="17075"/>
  <c r="AA149" i="17075"/>
  <c r="AB149" i="17075"/>
  <c r="AC149" i="17075"/>
  <c r="AD149" i="17075"/>
  <c r="AE149" i="17075"/>
  <c r="AF149" i="17075"/>
  <c r="AG149" i="17075"/>
  <c r="AH149" i="17075"/>
  <c r="D150" i="17075"/>
  <c r="E150" i="17075"/>
  <c r="F150" i="17075"/>
  <c r="G150" i="17075"/>
  <c r="H150" i="17075"/>
  <c r="I150" i="17075"/>
  <c r="J150" i="17075"/>
  <c r="K150" i="17075"/>
  <c r="L150" i="17075"/>
  <c r="M150" i="17075"/>
  <c r="N150" i="17075"/>
  <c r="O150" i="17075"/>
  <c r="P150" i="17075"/>
  <c r="Q150" i="17075"/>
  <c r="R150" i="17075"/>
  <c r="S150" i="17075"/>
  <c r="T150" i="17075"/>
  <c r="U150" i="17075"/>
  <c r="V150" i="17075"/>
  <c r="W150" i="17075"/>
  <c r="X150" i="17075"/>
  <c r="Y150" i="17075"/>
  <c r="Z150" i="17075"/>
  <c r="AA150" i="17075"/>
  <c r="AB150" i="17075"/>
  <c r="AC150" i="17075"/>
  <c r="AD150" i="17075"/>
  <c r="AE150" i="17075"/>
  <c r="AF150" i="17075"/>
  <c r="AG150" i="17075"/>
  <c r="AH150" i="17075"/>
  <c r="D151" i="17075"/>
  <c r="E151" i="17075"/>
  <c r="F151" i="17075"/>
  <c r="G151" i="17075"/>
  <c r="H151" i="17075"/>
  <c r="I151" i="17075"/>
  <c r="J151" i="17075"/>
  <c r="K151" i="17075"/>
  <c r="L151" i="17075"/>
  <c r="M151" i="17075"/>
  <c r="N151" i="17075"/>
  <c r="O151" i="17075"/>
  <c r="P151" i="17075"/>
  <c r="Q151" i="17075"/>
  <c r="R151" i="17075"/>
  <c r="S151" i="17075"/>
  <c r="T151" i="17075"/>
  <c r="U151" i="17075"/>
  <c r="V151" i="17075"/>
  <c r="W151" i="17075"/>
  <c r="X151" i="17075"/>
  <c r="Y151" i="17075"/>
  <c r="Z151" i="17075"/>
  <c r="AA151" i="17075"/>
  <c r="AB151" i="17075"/>
  <c r="AC151" i="17075"/>
  <c r="AD151" i="17075"/>
  <c r="AE151" i="17075"/>
  <c r="AF151" i="17075"/>
  <c r="AG151" i="17075"/>
  <c r="AH151" i="17075"/>
  <c r="D152" i="17075"/>
  <c r="E152" i="17075"/>
  <c r="F152" i="17075"/>
  <c r="G152" i="17075"/>
  <c r="H152" i="17075"/>
  <c r="I152" i="17075"/>
  <c r="J152" i="17075"/>
  <c r="K152" i="17075"/>
  <c r="L152" i="17075"/>
  <c r="M152" i="17075"/>
  <c r="N152" i="17075"/>
  <c r="O152" i="17075"/>
  <c r="P152" i="17075"/>
  <c r="Q152" i="17075"/>
  <c r="R152" i="17075"/>
  <c r="S152" i="17075"/>
  <c r="T152" i="17075"/>
  <c r="U152" i="17075"/>
  <c r="V152" i="17075"/>
  <c r="W152" i="17075"/>
  <c r="X152" i="17075"/>
  <c r="Y152" i="17075"/>
  <c r="Z152" i="17075"/>
  <c r="AA152" i="17075"/>
  <c r="AB152" i="17075"/>
  <c r="AC152" i="17075"/>
  <c r="AD152" i="17075"/>
  <c r="AE152" i="17075"/>
  <c r="AF152" i="17075"/>
  <c r="AG152" i="17075"/>
  <c r="AH152" i="17075"/>
  <c r="D153" i="17075"/>
  <c r="E153" i="17075"/>
  <c r="F153" i="17075"/>
  <c r="G153" i="17075"/>
  <c r="H153" i="17075"/>
  <c r="I153" i="17075"/>
  <c r="J153" i="17075"/>
  <c r="K153" i="17075"/>
  <c r="L153" i="17075"/>
  <c r="M153" i="17075"/>
  <c r="N153" i="17075"/>
  <c r="O153" i="17075"/>
  <c r="P153" i="17075"/>
  <c r="Q153" i="17075"/>
  <c r="R153" i="17075"/>
  <c r="S153" i="17075"/>
  <c r="T153" i="17075"/>
  <c r="U153" i="17075"/>
  <c r="V153" i="17075"/>
  <c r="W153" i="17075"/>
  <c r="X153" i="17075"/>
  <c r="Y153" i="17075"/>
  <c r="Z153" i="17075"/>
  <c r="AA153" i="17075"/>
  <c r="AB153" i="17075"/>
  <c r="AC153" i="17075"/>
  <c r="AD153" i="17075"/>
  <c r="AE153" i="17075"/>
  <c r="AF153" i="17075"/>
  <c r="AG153" i="17075"/>
  <c r="AH153" i="17075"/>
  <c r="D154" i="17075"/>
  <c r="E154" i="17075"/>
  <c r="F154" i="17075"/>
  <c r="G154" i="17075"/>
  <c r="H154" i="17075"/>
  <c r="I154" i="17075"/>
  <c r="J154" i="17075"/>
  <c r="K154" i="17075"/>
  <c r="L154" i="17075"/>
  <c r="M154" i="17075"/>
  <c r="N154" i="17075"/>
  <c r="O154" i="17075"/>
  <c r="P154" i="17075"/>
  <c r="Q154" i="17075"/>
  <c r="R154" i="17075"/>
  <c r="S154" i="17075"/>
  <c r="T154" i="17075"/>
  <c r="U154" i="17075"/>
  <c r="V154" i="17075"/>
  <c r="W154" i="17075"/>
  <c r="X154" i="17075"/>
  <c r="Y154" i="17075"/>
  <c r="Z154" i="17075"/>
  <c r="AA154" i="17075"/>
  <c r="AB154" i="17075"/>
  <c r="AC154" i="17075"/>
  <c r="AD154" i="17075"/>
  <c r="AE154" i="17075"/>
  <c r="AF154" i="17075"/>
  <c r="AG154" i="17075"/>
  <c r="AH154" i="17075"/>
  <c r="D155" i="17075"/>
  <c r="E155" i="17075"/>
  <c r="F155" i="17075"/>
  <c r="G155" i="17075"/>
  <c r="H155" i="17075"/>
  <c r="I155" i="17075"/>
  <c r="J155" i="17075"/>
  <c r="K155" i="17075"/>
  <c r="L155" i="17075"/>
  <c r="M155" i="17075"/>
  <c r="N155" i="17075"/>
  <c r="O155" i="17075"/>
  <c r="P155" i="17075"/>
  <c r="Q155" i="17075"/>
  <c r="R155" i="17075"/>
  <c r="S155" i="17075"/>
  <c r="T155" i="17075"/>
  <c r="U155" i="17075"/>
  <c r="V155" i="17075"/>
  <c r="W155" i="17075"/>
  <c r="X155" i="17075"/>
  <c r="Y155" i="17075"/>
  <c r="Z155" i="17075"/>
  <c r="AA155" i="17075"/>
  <c r="AB155" i="17075"/>
  <c r="AC155" i="17075"/>
  <c r="AD155" i="17075"/>
  <c r="AE155" i="17075"/>
  <c r="AF155" i="17075"/>
  <c r="AG155" i="17075"/>
  <c r="AH155" i="17075"/>
  <c r="D156" i="17075"/>
  <c r="E156" i="17075"/>
  <c r="F156" i="17075"/>
  <c r="G156" i="17075"/>
  <c r="H156" i="17075"/>
  <c r="I156" i="17075"/>
  <c r="J156" i="17075"/>
  <c r="K156" i="17075"/>
  <c r="L156" i="17075"/>
  <c r="M156" i="17075"/>
  <c r="N156" i="17075"/>
  <c r="O156" i="17075"/>
  <c r="P156" i="17075"/>
  <c r="Q156" i="17075"/>
  <c r="R156" i="17075"/>
  <c r="S156" i="17075"/>
  <c r="T156" i="17075"/>
  <c r="U156" i="17075"/>
  <c r="V156" i="17075"/>
  <c r="W156" i="17075"/>
  <c r="X156" i="17075"/>
  <c r="Y156" i="17075"/>
  <c r="Z156" i="17075"/>
  <c r="AA156" i="17075"/>
  <c r="AB156" i="17075"/>
  <c r="AC156" i="17075"/>
  <c r="AD156" i="17075"/>
  <c r="AE156" i="17075"/>
  <c r="AF156" i="17075"/>
  <c r="AG156" i="17075"/>
  <c r="AH156" i="17075"/>
  <c r="D157" i="17075"/>
  <c r="E157" i="17075"/>
  <c r="F157" i="17075"/>
  <c r="G157" i="17075"/>
  <c r="H157" i="17075"/>
  <c r="I157" i="17075"/>
  <c r="J157" i="17075"/>
  <c r="K157" i="17075"/>
  <c r="L157" i="17075"/>
  <c r="M157" i="17075"/>
  <c r="N157" i="17075"/>
  <c r="O157" i="17075"/>
  <c r="P157" i="17075"/>
  <c r="Q157" i="17075"/>
  <c r="R157" i="17075"/>
  <c r="S157" i="17075"/>
  <c r="T157" i="17075"/>
  <c r="U157" i="17075"/>
  <c r="V157" i="17075"/>
  <c r="W157" i="17075"/>
  <c r="X157" i="17075"/>
  <c r="Y157" i="17075"/>
  <c r="Z157" i="17075"/>
  <c r="AA157" i="17075"/>
  <c r="AB157" i="17075"/>
  <c r="AC157" i="17075"/>
  <c r="AD157" i="17075"/>
  <c r="AE157" i="17075"/>
  <c r="AF157" i="17075"/>
  <c r="AG157" i="17075"/>
  <c r="AH157" i="17075"/>
  <c r="D158" i="17075"/>
  <c r="E158" i="17075"/>
  <c r="F158" i="17075"/>
  <c r="G158" i="17075"/>
  <c r="H158" i="17075"/>
  <c r="I158" i="17075"/>
  <c r="J158" i="17075"/>
  <c r="K158" i="17075"/>
  <c r="L158" i="17075"/>
  <c r="M158" i="17075"/>
  <c r="N158" i="17075"/>
  <c r="O158" i="17075"/>
  <c r="P158" i="17075"/>
  <c r="Q158" i="17075"/>
  <c r="R158" i="17075"/>
  <c r="S158" i="17075"/>
  <c r="T158" i="17075"/>
  <c r="U158" i="17075"/>
  <c r="V158" i="17075"/>
  <c r="W158" i="17075"/>
  <c r="X158" i="17075"/>
  <c r="Y158" i="17075"/>
  <c r="Z158" i="17075"/>
  <c r="AA158" i="17075"/>
  <c r="AB158" i="17075"/>
  <c r="AC158" i="17075"/>
  <c r="AD158" i="17075"/>
  <c r="AE158" i="17075"/>
  <c r="AF158" i="17075"/>
  <c r="AG158" i="17075"/>
  <c r="AH158" i="17075"/>
  <c r="C148" i="17075"/>
  <c r="C149" i="17075"/>
  <c r="C150" i="17075"/>
  <c r="C151" i="17075"/>
  <c r="C152" i="17075"/>
  <c r="C153" i="17075"/>
  <c r="C154" i="17075"/>
  <c r="C155" i="17075"/>
  <c r="C156" i="17075"/>
  <c r="C157" i="17075"/>
  <c r="C158" i="17075"/>
  <c r="C147" i="17075"/>
  <c r="M275" i="1032"/>
  <c r="C246" i="1032"/>
  <c r="D291" i="1032"/>
  <c r="D293" i="1032" s="1"/>
  <c r="AQ25" i="17066" l="1"/>
  <c r="AP67" i="17068"/>
  <c r="AP72" i="17068" s="1"/>
  <c r="D247" i="1032"/>
  <c r="AQ19" i="17066"/>
  <c r="C292" i="1032"/>
  <c r="AP34" i="17066"/>
  <c r="AP12" i="17066"/>
  <c r="AP29" i="17069"/>
  <c r="AQ22" i="17068"/>
  <c r="AQ28" i="17068"/>
  <c r="AQ27" i="17066"/>
  <c r="AP68" i="17068"/>
  <c r="AQ11" i="17066"/>
  <c r="AQ20" i="17068"/>
  <c r="AP26" i="17066"/>
  <c r="AP47" i="17066"/>
  <c r="AQ16" i="17068"/>
  <c r="AP20" i="17070"/>
  <c r="AQ38" i="17068"/>
  <c r="AP36" i="17066"/>
  <c r="AP66" i="17070"/>
  <c r="AP11" i="17070" s="1"/>
  <c r="AP74" i="17067"/>
  <c r="AP50" i="17067" s="1"/>
  <c r="Y80" i="32" s="1"/>
  <c r="AP18" i="17066"/>
  <c r="AP20" i="17066"/>
  <c r="AP46" i="17066"/>
  <c r="AP38" i="17066"/>
  <c r="AQ10" i="17068"/>
  <c r="AP12" i="17069"/>
  <c r="AQ13" i="17066"/>
  <c r="AP14" i="17066"/>
  <c r="AP27" i="17070"/>
  <c r="AP28" i="17066"/>
  <c r="AP24" i="17066"/>
  <c r="AQ23" i="17066"/>
  <c r="AP78" i="17067"/>
  <c r="AP71" i="17067" s="1"/>
  <c r="AP70" i="17070"/>
  <c r="AP69" i="17070"/>
  <c r="AP43" i="17070" s="1"/>
  <c r="AP77" i="17067"/>
  <c r="AP70" i="17067" s="1"/>
  <c r="AP58" i="17066"/>
  <c r="AQ37" i="17066" s="1"/>
  <c r="AQ17" i="17066"/>
  <c r="AP29" i="17068"/>
  <c r="AP18" i="17069"/>
  <c r="AP79" i="17067"/>
  <c r="AP71" i="17070"/>
  <c r="AP44" i="17070" s="1"/>
  <c r="AP57" i="17069"/>
  <c r="AP55" i="17069"/>
  <c r="AP54" i="17069"/>
  <c r="Y200" i="1032" s="1"/>
  <c r="AP56" i="17069"/>
  <c r="AP53" i="17070"/>
  <c r="AP41" i="17068"/>
  <c r="AQ40" i="17068"/>
  <c r="AQ18" i="17068"/>
  <c r="AP19" i="17068"/>
  <c r="AQ36" i="17068"/>
  <c r="AP37" i="17068"/>
  <c r="AP13" i="17068"/>
  <c r="AQ12" i="17068"/>
  <c r="AP25" i="17068"/>
  <c r="AQ24" i="17068"/>
  <c r="AP31" i="17068"/>
  <c r="AQ30" i="17068"/>
  <c r="AP15" i="17068"/>
  <c r="AH120" i="17074"/>
  <c r="AH144" i="17074"/>
  <c r="AP59" i="17069" l="1"/>
  <c r="AP70" i="17068"/>
  <c r="AP63" i="17065"/>
  <c r="AP69" i="17068"/>
  <c r="AP54" i="17068"/>
  <c r="AP71" i="17068"/>
  <c r="AP54" i="17070"/>
  <c r="AP42" i="17070"/>
  <c r="AP21" i="17070"/>
  <c r="AP28" i="17070"/>
  <c r="AP57" i="17070"/>
  <c r="AQ15" i="17068"/>
  <c r="AP30" i="17069"/>
  <c r="AP29" i="17070"/>
  <c r="AP30" i="17070" s="1"/>
  <c r="AP56" i="17070"/>
  <c r="AP72" i="17067"/>
  <c r="AP52" i="17067"/>
  <c r="Y82" i="32" s="1"/>
  <c r="AP31" i="17067"/>
  <c r="AP23" i="17067"/>
  <c r="AP39" i="17067"/>
  <c r="AP21" i="17067"/>
  <c r="AP37" i="17067"/>
  <c r="AP68" i="17067"/>
  <c r="AP11" i="17067"/>
  <c r="AP29" i="17067"/>
  <c r="AP13" i="17067"/>
  <c r="AP41" i="17067"/>
  <c r="AP17" i="17067"/>
  <c r="AQ33" i="17066"/>
  <c r="AP19" i="17069"/>
  <c r="AP18" i="17070"/>
  <c r="AP19" i="17070" s="1"/>
  <c r="AP60" i="17069"/>
  <c r="Y201" i="1032" s="1"/>
  <c r="AP62" i="17069"/>
  <c r="AP61" i="17069"/>
  <c r="AP63" i="17069"/>
  <c r="AP64" i="17069"/>
  <c r="AP59" i="17070"/>
  <c r="AP67" i="17065"/>
  <c r="AP50" i="17065"/>
  <c r="AP66" i="17065"/>
  <c r="AP68" i="17065"/>
  <c r="AP65" i="17065"/>
  <c r="AP64" i="17065"/>
  <c r="AP13" i="17069"/>
  <c r="AP12" i="17070"/>
  <c r="AP13" i="17070" s="1"/>
  <c r="AP46" i="17069"/>
  <c r="AQ53" i="17069" s="1"/>
  <c r="AP61" i="17067"/>
  <c r="AP60" i="17066"/>
  <c r="AQ35" i="17066"/>
  <c r="AP61" i="17066"/>
  <c r="AP62" i="17066"/>
  <c r="AP59" i="17066"/>
  <c r="AP51" i="17066"/>
  <c r="AP51" i="17067"/>
  <c r="Y81" i="32" s="1"/>
  <c r="AP55" i="17070"/>
  <c r="AL81" i="17070"/>
  <c r="AL68" i="17070"/>
  <c r="AL81" i="17069"/>
  <c r="AL71" i="17069"/>
  <c r="AL70" i="17069"/>
  <c r="AL69" i="17069"/>
  <c r="AL67" i="17069"/>
  <c r="AL66" i="17069"/>
  <c r="AL41" i="17069"/>
  <c r="AL22" i="17069"/>
  <c r="AL10" i="17069"/>
  <c r="AL93" i="17068"/>
  <c r="AL38" i="17068" s="1"/>
  <c r="AL29" i="17069" s="1"/>
  <c r="AL79" i="17068"/>
  <c r="AL52" i="17068" s="1"/>
  <c r="AL78" i="17068"/>
  <c r="AL77" i="17068"/>
  <c r="AL51" i="17068" s="1"/>
  <c r="AL75" i="17068"/>
  <c r="AL74" i="17068"/>
  <c r="AL50" i="17068" s="1"/>
  <c r="AM46" i="17068"/>
  <c r="AL46" i="17068"/>
  <c r="AM45" i="17068"/>
  <c r="AL45" i="17068"/>
  <c r="AM44" i="17068"/>
  <c r="AL44" i="17068"/>
  <c r="AM43" i="17068"/>
  <c r="AL43" i="17068"/>
  <c r="AL40" i="17068"/>
  <c r="AL28" i="17068"/>
  <c r="AL24" i="17068"/>
  <c r="AL22" i="17068"/>
  <c r="AL16" i="17068"/>
  <c r="AL12" i="17068"/>
  <c r="AL7" i="17068"/>
  <c r="AL67" i="17068" s="1"/>
  <c r="AL93" i="17067"/>
  <c r="AL49" i="17067" s="1"/>
  <c r="AL76" i="17067"/>
  <c r="AL67" i="17067"/>
  <c r="AL64" i="17066" s="1"/>
  <c r="AM40" i="17067"/>
  <c r="AM38" i="17067"/>
  <c r="AM36" i="17067"/>
  <c r="AM30" i="17067"/>
  <c r="AM28" i="17067"/>
  <c r="AM22" i="17067"/>
  <c r="AM20" i="17067"/>
  <c r="AM16" i="17067"/>
  <c r="AM15" i="17067" s="1"/>
  <c r="AL15" i="17067"/>
  <c r="AM12" i="17067"/>
  <c r="AM10" i="17067"/>
  <c r="AL90" i="17066"/>
  <c r="AL75" i="17066" s="1"/>
  <c r="AL82" i="17066"/>
  <c r="AL72" i="17066"/>
  <c r="AL43" i="17066"/>
  <c r="AL42" i="17066"/>
  <c r="AL41" i="17066"/>
  <c r="AL40" i="17066"/>
  <c r="AL72" i="17065"/>
  <c r="AL76" i="17068" s="1"/>
  <c r="AL57" i="17065"/>
  <c r="AM50" i="17065"/>
  <c r="AL48" i="17065"/>
  <c r="AL47" i="17065"/>
  <c r="AL46" i="17065"/>
  <c r="AL37" i="17065"/>
  <c r="AM36" i="17065"/>
  <c r="AL35" i="17065"/>
  <c r="AL33" i="17065"/>
  <c r="AM32" i="17065"/>
  <c r="AL27" i="17065"/>
  <c r="AM26" i="17065"/>
  <c r="AL25" i="17065"/>
  <c r="AM24" i="17065"/>
  <c r="AL23" i="17065"/>
  <c r="AM22" i="17065"/>
  <c r="AM16" i="17065"/>
  <c r="AL13" i="17065"/>
  <c r="AM12" i="17065"/>
  <c r="AL11" i="17065"/>
  <c r="AM10" i="17065"/>
  <c r="AQ61" i="17068" l="1"/>
  <c r="AQ54" i="17068"/>
  <c r="AP58" i="17068"/>
  <c r="AP57" i="17068"/>
  <c r="AP59" i="17068"/>
  <c r="AP56" i="17068"/>
  <c r="AP55" i="17068"/>
  <c r="AQ67" i="17068"/>
  <c r="AL71" i="17066"/>
  <c r="AL20" i="17066" s="1"/>
  <c r="AL76" i="17066"/>
  <c r="AL25" i="17066"/>
  <c r="AL59" i="17069"/>
  <c r="AL63" i="17065"/>
  <c r="AP7" i="17069"/>
  <c r="AQ27" i="17069" s="1"/>
  <c r="AQ59" i="17069"/>
  <c r="AP50" i="17069"/>
  <c r="AP48" i="17069"/>
  <c r="AQ58" i="17066"/>
  <c r="AQ64" i="17066"/>
  <c r="AP56" i="17066"/>
  <c r="AP54" i="17066"/>
  <c r="AP55" i="17066"/>
  <c r="AP52" i="17066"/>
  <c r="AP53" i="17066"/>
  <c r="AP64" i="17070"/>
  <c r="AP46" i="17070"/>
  <c r="AP62" i="17070"/>
  <c r="AP61" i="17070"/>
  <c r="AP63" i="17070"/>
  <c r="AP60" i="17070"/>
  <c r="AQ63" i="17065"/>
  <c r="AP54" i="17065"/>
  <c r="AP52" i="17065"/>
  <c r="AP55" i="17065"/>
  <c r="AP51" i="17065"/>
  <c r="AQ57" i="17065"/>
  <c r="AP53" i="17065"/>
  <c r="AP51" i="17069"/>
  <c r="AP47" i="17069"/>
  <c r="Y199" i="1032" s="1"/>
  <c r="AP49" i="17069"/>
  <c r="AP64" i="17067"/>
  <c r="AP54" i="17067"/>
  <c r="AP62" i="17067"/>
  <c r="AP63" i="17067"/>
  <c r="AP65" i="17067"/>
  <c r="AQ20" i="17069"/>
  <c r="AL36" i="17068"/>
  <c r="AL37" i="17068" s="1"/>
  <c r="AL23" i="17066"/>
  <c r="AL26" i="17066"/>
  <c r="AL33" i="17066"/>
  <c r="AL34" i="17066" s="1"/>
  <c r="AL18" i="17066"/>
  <c r="AL63" i="17069"/>
  <c r="AL27" i="17066"/>
  <c r="AL45" i="17066"/>
  <c r="AL10" i="17068"/>
  <c r="AM10" i="17068" s="1"/>
  <c r="AL30" i="17068"/>
  <c r="AM30" i="17068" s="1"/>
  <c r="AL30" i="17069"/>
  <c r="AL11" i="17066"/>
  <c r="AL37" i="17066"/>
  <c r="AL38" i="17066" s="1"/>
  <c r="AL74" i="17066"/>
  <c r="AL77" i="17067" s="1"/>
  <c r="AL18" i="17068"/>
  <c r="AM18" i="17068" s="1"/>
  <c r="AL8" i="17066"/>
  <c r="AL35" i="17066"/>
  <c r="AL36" i="17066" s="1"/>
  <c r="AL13" i="17066"/>
  <c r="AL20" i="17068"/>
  <c r="AL23" i="17069"/>
  <c r="AL61" i="17065"/>
  <c r="AL53" i="17069"/>
  <c r="AL46" i="17069" s="1"/>
  <c r="AM53" i="17069" s="1"/>
  <c r="AL61" i="17068"/>
  <c r="AL58" i="17066"/>
  <c r="AL62" i="17066" s="1"/>
  <c r="AL12" i="17066"/>
  <c r="AL66" i="17070"/>
  <c r="AL74" i="17067"/>
  <c r="AL29" i="17067" s="1"/>
  <c r="AL67" i="17070"/>
  <c r="AL75" i="17067"/>
  <c r="AL70" i="17070"/>
  <c r="AL78" i="17067"/>
  <c r="AL71" i="17067" s="1"/>
  <c r="AL71" i="17070"/>
  <c r="AL79" i="17067"/>
  <c r="AL69" i="17067"/>
  <c r="AL13" i="17068"/>
  <c r="AL14" i="17069"/>
  <c r="AL15" i="17069" s="1"/>
  <c r="AM16" i="17068"/>
  <c r="AL17" i="17068"/>
  <c r="AL23" i="17068"/>
  <c r="AM22" i="17068"/>
  <c r="AM24" i="17068"/>
  <c r="AL25" i="17068"/>
  <c r="AM28" i="17068"/>
  <c r="AL18" i="17069"/>
  <c r="AM40" i="17068"/>
  <c r="AL31" i="17069"/>
  <c r="AL32" i="17069" s="1"/>
  <c r="AL41" i="17068"/>
  <c r="AL42" i="17069"/>
  <c r="AL59" i="17070"/>
  <c r="AL61" i="17070" s="1"/>
  <c r="AL11" i="17069"/>
  <c r="AL44" i="17069"/>
  <c r="AL10" i="17070"/>
  <c r="AL41" i="17070"/>
  <c r="AL53" i="17070"/>
  <c r="AL68" i="17069"/>
  <c r="AL61" i="17069" s="1"/>
  <c r="AL29" i="17070"/>
  <c r="AL43" i="17069"/>
  <c r="AL60" i="17069"/>
  <c r="AL64" i="17069"/>
  <c r="AL62" i="17069"/>
  <c r="AL39" i="17068"/>
  <c r="AM38" i="17068"/>
  <c r="AL71" i="17068"/>
  <c r="AL70" i="17068"/>
  <c r="AL69" i="17068"/>
  <c r="AL54" i="17068"/>
  <c r="AM67" i="17068" s="1"/>
  <c r="AL72" i="17068"/>
  <c r="AL68" i="17068"/>
  <c r="AM12" i="17068"/>
  <c r="AL31" i="17068"/>
  <c r="AL29" i="17068"/>
  <c r="AM33" i="17066"/>
  <c r="AL24" i="17066"/>
  <c r="AL60" i="17065"/>
  <c r="AM34" i="17065"/>
  <c r="AL58" i="17065"/>
  <c r="AL59" i="17065"/>
  <c r="AM18" i="17065"/>
  <c r="A96" i="17067"/>
  <c r="A95" i="17068" s="1"/>
  <c r="B28" i="17075"/>
  <c r="H28" i="17075" s="1"/>
  <c r="N28" i="17075" s="1"/>
  <c r="B7" i="17075"/>
  <c r="H7" i="17075" s="1"/>
  <c r="AO50" i="17065"/>
  <c r="AN93" i="17068"/>
  <c r="AN7" i="17068" s="1"/>
  <c r="AH134" i="17075"/>
  <c r="AH133" i="17075"/>
  <c r="AH132" i="17075"/>
  <c r="AH131" i="17075"/>
  <c r="AH130" i="17075"/>
  <c r="AH129" i="17075"/>
  <c r="AH128" i="17075"/>
  <c r="AH127" i="17075"/>
  <c r="AH126" i="17075"/>
  <c r="AH125" i="17075"/>
  <c r="AH124" i="17075"/>
  <c r="AH123" i="17075"/>
  <c r="AG134" i="17075"/>
  <c r="AG133" i="17075"/>
  <c r="AG132" i="17075"/>
  <c r="AG131" i="17075"/>
  <c r="AG130" i="17075"/>
  <c r="AG129" i="17075"/>
  <c r="AG128" i="17075"/>
  <c r="AG127" i="17075"/>
  <c r="AG126" i="17075"/>
  <c r="AG125" i="17075"/>
  <c r="AG124" i="17075"/>
  <c r="AG123" i="17075"/>
  <c r="AF134" i="17075"/>
  <c r="AF133" i="17075"/>
  <c r="AF132" i="17075"/>
  <c r="AF131" i="17075"/>
  <c r="AF130" i="17075"/>
  <c r="AF129" i="17075"/>
  <c r="AF128" i="17075"/>
  <c r="AF127" i="17075"/>
  <c r="AF126" i="17075"/>
  <c r="AF125" i="17075"/>
  <c r="AF124" i="17075"/>
  <c r="AF123" i="17075"/>
  <c r="AE134" i="17075"/>
  <c r="AE133" i="17075"/>
  <c r="AE132" i="17075"/>
  <c r="AE131" i="17075"/>
  <c r="AE130" i="17075"/>
  <c r="AE129" i="17075"/>
  <c r="AE128" i="17075"/>
  <c r="AE127" i="17075"/>
  <c r="AE126" i="17075"/>
  <c r="AE125" i="17075"/>
  <c r="AE124" i="17075"/>
  <c r="AE123" i="17075"/>
  <c r="AD134" i="17075"/>
  <c r="AD133" i="17075"/>
  <c r="AD132" i="17075"/>
  <c r="AD131" i="17075"/>
  <c r="AD130" i="17075"/>
  <c r="AD129" i="17075"/>
  <c r="AD128" i="17075"/>
  <c r="AD127" i="17075"/>
  <c r="AD126" i="17075"/>
  <c r="AD125" i="17075"/>
  <c r="AD124" i="17075"/>
  <c r="AD123" i="17075"/>
  <c r="AC134" i="17075"/>
  <c r="AC133" i="17075"/>
  <c r="AC132" i="17075"/>
  <c r="AC131" i="17075"/>
  <c r="AC130" i="17075"/>
  <c r="AC129" i="17075"/>
  <c r="AC128" i="17075"/>
  <c r="AC127" i="17075"/>
  <c r="AC126" i="17075"/>
  <c r="AC125" i="17075"/>
  <c r="AC124" i="17075"/>
  <c r="AC123" i="17075"/>
  <c r="AB134" i="17075"/>
  <c r="AB133" i="17075"/>
  <c r="AB132" i="17075"/>
  <c r="AB131" i="17075"/>
  <c r="AB130" i="17075"/>
  <c r="AB129" i="17075"/>
  <c r="AB128" i="17075"/>
  <c r="AB127" i="17075"/>
  <c r="AB126" i="17075"/>
  <c r="AB125" i="17075"/>
  <c r="AB124" i="17075"/>
  <c r="AB123" i="17075"/>
  <c r="AA134" i="17075"/>
  <c r="AA133" i="17075"/>
  <c r="AA132" i="17075"/>
  <c r="AA131" i="17075"/>
  <c r="AA130" i="17075"/>
  <c r="AA129" i="17075"/>
  <c r="AA128" i="17075"/>
  <c r="AA127" i="17075"/>
  <c r="AA126" i="17075"/>
  <c r="AA125" i="17075"/>
  <c r="AA124" i="17075"/>
  <c r="AA123" i="17075"/>
  <c r="Z134" i="17075"/>
  <c r="Z133" i="17075"/>
  <c r="Z132" i="17075"/>
  <c r="Z131" i="17075"/>
  <c r="Z130" i="17075"/>
  <c r="Z129" i="17075"/>
  <c r="Z128" i="17075"/>
  <c r="Z127" i="17075"/>
  <c r="Z126" i="17075"/>
  <c r="Z125" i="17075"/>
  <c r="Z124" i="17075"/>
  <c r="Z123" i="17075"/>
  <c r="Y134" i="17075"/>
  <c r="Y133" i="17075"/>
  <c r="Y132" i="17075"/>
  <c r="Y131" i="17075"/>
  <c r="Y130" i="17075"/>
  <c r="Y129" i="17075"/>
  <c r="Y128" i="17075"/>
  <c r="Y127" i="17075"/>
  <c r="Y126" i="17075"/>
  <c r="Y125" i="17075"/>
  <c r="Y124" i="17075"/>
  <c r="Y123" i="17075"/>
  <c r="X134" i="17075"/>
  <c r="X133" i="17075"/>
  <c r="X132" i="17075"/>
  <c r="X131" i="17075"/>
  <c r="X130" i="17075"/>
  <c r="X129" i="17075"/>
  <c r="X128" i="17075"/>
  <c r="X127" i="17075"/>
  <c r="X126" i="17075"/>
  <c r="X125" i="17075"/>
  <c r="X124" i="17075"/>
  <c r="X123" i="17075"/>
  <c r="W134" i="17075"/>
  <c r="W133" i="17075"/>
  <c r="W132" i="17075"/>
  <c r="W131" i="17075"/>
  <c r="W130" i="17075"/>
  <c r="W129" i="17075"/>
  <c r="W128" i="17075"/>
  <c r="W127" i="17075"/>
  <c r="W126" i="17075"/>
  <c r="W125" i="17075"/>
  <c r="W124" i="17075"/>
  <c r="W123" i="17075"/>
  <c r="V134" i="17075"/>
  <c r="V133" i="17075"/>
  <c r="V132" i="17075"/>
  <c r="V131" i="17075"/>
  <c r="V130" i="17075"/>
  <c r="V129" i="17075"/>
  <c r="V128" i="17075"/>
  <c r="V127" i="17075"/>
  <c r="V126" i="17075"/>
  <c r="V125" i="17075"/>
  <c r="V124" i="17075"/>
  <c r="V123" i="17075"/>
  <c r="U134" i="17075"/>
  <c r="U133" i="17075"/>
  <c r="U132" i="17075"/>
  <c r="U131" i="17075"/>
  <c r="U130" i="17075"/>
  <c r="U129" i="17075"/>
  <c r="U128" i="17075"/>
  <c r="U127" i="17075"/>
  <c r="U126" i="17075"/>
  <c r="U125" i="17075"/>
  <c r="U124" i="17075"/>
  <c r="U123" i="17075"/>
  <c r="T134" i="17075"/>
  <c r="T133" i="17075"/>
  <c r="T132" i="17075"/>
  <c r="T131" i="17075"/>
  <c r="T130" i="17075"/>
  <c r="T129" i="17075"/>
  <c r="T128" i="17075"/>
  <c r="T127" i="17075"/>
  <c r="T126" i="17075"/>
  <c r="T125" i="17075"/>
  <c r="T124" i="17075"/>
  <c r="T123" i="17075"/>
  <c r="S134" i="17075"/>
  <c r="S133" i="17075"/>
  <c r="S132" i="17075"/>
  <c r="S131" i="17075"/>
  <c r="S130" i="17075"/>
  <c r="S129" i="17075"/>
  <c r="S128" i="17075"/>
  <c r="S127" i="17075"/>
  <c r="S126" i="17075"/>
  <c r="S125" i="17075"/>
  <c r="S124" i="17075"/>
  <c r="S123" i="17075"/>
  <c r="R134" i="17075"/>
  <c r="R133" i="17075"/>
  <c r="R132" i="17075"/>
  <c r="R131" i="17075"/>
  <c r="R130" i="17075"/>
  <c r="R129" i="17075"/>
  <c r="R128" i="17075"/>
  <c r="R127" i="17075"/>
  <c r="R126" i="17075"/>
  <c r="R125" i="17075"/>
  <c r="R124" i="17075"/>
  <c r="R123" i="17075"/>
  <c r="Q134" i="17075"/>
  <c r="Q133" i="17075"/>
  <c r="Q132" i="17075"/>
  <c r="Q131" i="17075"/>
  <c r="Q130" i="17075"/>
  <c r="Q129" i="17075"/>
  <c r="Q128" i="17075"/>
  <c r="Q127" i="17075"/>
  <c r="Q126" i="17075"/>
  <c r="Q125" i="17075"/>
  <c r="Q124" i="17075"/>
  <c r="Q123" i="17075"/>
  <c r="P134" i="17075"/>
  <c r="P133" i="17075"/>
  <c r="P132" i="17075"/>
  <c r="P131" i="17075"/>
  <c r="P130" i="17075"/>
  <c r="P129" i="17075"/>
  <c r="P128" i="17075"/>
  <c r="P127" i="17075"/>
  <c r="P126" i="17075"/>
  <c r="P125" i="17075"/>
  <c r="P124" i="17075"/>
  <c r="P123" i="17075"/>
  <c r="O134" i="17075"/>
  <c r="O133" i="17075"/>
  <c r="O132" i="17075"/>
  <c r="O131" i="17075"/>
  <c r="O130" i="17075"/>
  <c r="O129" i="17075"/>
  <c r="O128" i="17075"/>
  <c r="O127" i="17075"/>
  <c r="O126" i="17075"/>
  <c r="O125" i="17075"/>
  <c r="O124" i="17075"/>
  <c r="O123" i="17075"/>
  <c r="N134" i="17075"/>
  <c r="N133" i="17075"/>
  <c r="N132" i="17075"/>
  <c r="N131" i="17075"/>
  <c r="N130" i="17075"/>
  <c r="N129" i="17075"/>
  <c r="N128" i="17075"/>
  <c r="N127" i="17075"/>
  <c r="N126" i="17075"/>
  <c r="N125" i="17075"/>
  <c r="N124" i="17075"/>
  <c r="N123" i="17075"/>
  <c r="M134" i="17075"/>
  <c r="M133" i="17075"/>
  <c r="M132" i="17075"/>
  <c r="M131" i="17075"/>
  <c r="M130" i="17075"/>
  <c r="M129" i="17075"/>
  <c r="M128" i="17075"/>
  <c r="M127" i="17075"/>
  <c r="M126" i="17075"/>
  <c r="M125" i="17075"/>
  <c r="M124" i="17075"/>
  <c r="M123" i="17075"/>
  <c r="L134" i="17075"/>
  <c r="L133" i="17075"/>
  <c r="L132" i="17075"/>
  <c r="L131" i="17075"/>
  <c r="L130" i="17075"/>
  <c r="L129" i="17075"/>
  <c r="L128" i="17075"/>
  <c r="L127" i="17075"/>
  <c r="L126" i="17075"/>
  <c r="L125" i="17075"/>
  <c r="L124" i="17075"/>
  <c r="L123" i="17075"/>
  <c r="K134" i="17075"/>
  <c r="K133" i="17075"/>
  <c r="K132" i="17075"/>
  <c r="K131" i="17075"/>
  <c r="K130" i="17075"/>
  <c r="K129" i="17075"/>
  <c r="K128" i="17075"/>
  <c r="K127" i="17075"/>
  <c r="K126" i="17075"/>
  <c r="K125" i="17075"/>
  <c r="K124" i="17075"/>
  <c r="K123" i="17075"/>
  <c r="J134" i="17075"/>
  <c r="J133" i="17075"/>
  <c r="J132" i="17075"/>
  <c r="J131" i="17075"/>
  <c r="J130" i="17075"/>
  <c r="J129" i="17075"/>
  <c r="J128" i="17075"/>
  <c r="J127" i="17075"/>
  <c r="J126" i="17075"/>
  <c r="J125" i="17075"/>
  <c r="J124" i="17075"/>
  <c r="J123" i="17075"/>
  <c r="I134" i="17075"/>
  <c r="I133" i="17075"/>
  <c r="I132" i="17075"/>
  <c r="I131" i="17075"/>
  <c r="I130" i="17075"/>
  <c r="I129" i="17075"/>
  <c r="I128" i="17075"/>
  <c r="I127" i="17075"/>
  <c r="I126" i="17075"/>
  <c r="I125" i="17075"/>
  <c r="I124" i="17075"/>
  <c r="I123" i="17075"/>
  <c r="H134" i="17075"/>
  <c r="H133" i="17075"/>
  <c r="H132" i="17075"/>
  <c r="H131" i="17075"/>
  <c r="H130" i="17075"/>
  <c r="H129" i="17075"/>
  <c r="H128" i="17075"/>
  <c r="H127" i="17075"/>
  <c r="H126" i="17075"/>
  <c r="H125" i="17075"/>
  <c r="H124" i="17075"/>
  <c r="H123" i="17075"/>
  <c r="G134" i="17075"/>
  <c r="G133" i="17075"/>
  <c r="G132" i="17075"/>
  <c r="G131" i="17075"/>
  <c r="G130" i="17075"/>
  <c r="G129" i="17075"/>
  <c r="G128" i="17075"/>
  <c r="G127" i="17075"/>
  <c r="G126" i="17075"/>
  <c r="G125" i="17075"/>
  <c r="G124" i="17075"/>
  <c r="G123" i="17075"/>
  <c r="F134" i="17075"/>
  <c r="F133" i="17075"/>
  <c r="F132" i="17075"/>
  <c r="F131" i="17075"/>
  <c r="F130" i="17075"/>
  <c r="F129" i="17075"/>
  <c r="F128" i="17075"/>
  <c r="F127" i="17075"/>
  <c r="F126" i="17075"/>
  <c r="F125" i="17075"/>
  <c r="F124" i="17075"/>
  <c r="F123" i="17075"/>
  <c r="E134" i="17075"/>
  <c r="E133" i="17075"/>
  <c r="E132" i="17075"/>
  <c r="E131" i="17075"/>
  <c r="E130" i="17075"/>
  <c r="E129" i="17075"/>
  <c r="E128" i="17075"/>
  <c r="E127" i="17075"/>
  <c r="E126" i="17075"/>
  <c r="E125" i="17075"/>
  <c r="E124" i="17075"/>
  <c r="E123" i="17075"/>
  <c r="D134" i="17075"/>
  <c r="D133" i="17075"/>
  <c r="D132" i="17075"/>
  <c r="D131" i="17075"/>
  <c r="D130" i="17075"/>
  <c r="D129" i="17075"/>
  <c r="D128" i="17075"/>
  <c r="D127" i="17075"/>
  <c r="D126" i="17075"/>
  <c r="D125" i="17075"/>
  <c r="D124" i="17075"/>
  <c r="D123" i="17075"/>
  <c r="C134" i="17075"/>
  <c r="C133" i="17075"/>
  <c r="C132" i="17075"/>
  <c r="C131" i="17075"/>
  <c r="C130" i="17075"/>
  <c r="C129" i="17075"/>
  <c r="C128" i="17075"/>
  <c r="C127" i="17075"/>
  <c r="C126" i="17075"/>
  <c r="C125" i="17075"/>
  <c r="C124" i="17075"/>
  <c r="C123" i="17075"/>
  <c r="M274" i="1032"/>
  <c r="M273" i="1032"/>
  <c r="M272" i="1032"/>
  <c r="M271" i="1032"/>
  <c r="M270" i="1032"/>
  <c r="M269" i="1032"/>
  <c r="M268" i="1032"/>
  <c r="M267" i="1032"/>
  <c r="M266" i="1032"/>
  <c r="M265" i="1032"/>
  <c r="M264" i="1032"/>
  <c r="M263" i="1032"/>
  <c r="M262" i="1032"/>
  <c r="M261" i="1032"/>
  <c r="M260" i="1032"/>
  <c r="M259" i="1032"/>
  <c r="M258" i="1032"/>
  <c r="K253" i="1032"/>
  <c r="L228" i="1032"/>
  <c r="L227" i="1032"/>
  <c r="L226" i="1032"/>
  <c r="L225" i="1032"/>
  <c r="L224" i="1032"/>
  <c r="L223" i="1032"/>
  <c r="L222" i="1032"/>
  <c r="L221" i="1032"/>
  <c r="L220" i="1032"/>
  <c r="L219" i="1032"/>
  <c r="L218" i="1032"/>
  <c r="L217" i="1032"/>
  <c r="L216" i="1032"/>
  <c r="L215" i="1032"/>
  <c r="L214" i="1032"/>
  <c r="L213" i="1032"/>
  <c r="L246" i="1032" s="1"/>
  <c r="L247" i="1032" s="1"/>
  <c r="K209" i="1032"/>
  <c r="AN57" i="17065"/>
  <c r="AN53" i="17069" s="1"/>
  <c r="AN81" i="17070"/>
  <c r="C280" i="1032" s="1"/>
  <c r="E280" i="1032" s="1"/>
  <c r="AJ81" i="17070"/>
  <c r="AJ7" i="17070" s="1"/>
  <c r="AJ93" i="17068"/>
  <c r="AJ28" i="17068" s="1"/>
  <c r="AJ90" i="17066"/>
  <c r="AJ71" i="17066" s="1"/>
  <c r="AJ68" i="17070"/>
  <c r="AJ72" i="17066"/>
  <c r="AJ67" i="17067"/>
  <c r="AJ67" i="17068"/>
  <c r="AJ71" i="17068" s="1"/>
  <c r="AJ57" i="17065"/>
  <c r="AJ53" i="17069"/>
  <c r="AJ53" i="17070" s="1"/>
  <c r="AJ41" i="17069"/>
  <c r="AJ38" i="17068"/>
  <c r="AJ29" i="17069" s="1"/>
  <c r="AJ30" i="17068"/>
  <c r="AJ20" i="17069" s="1"/>
  <c r="AJ10" i="17069"/>
  <c r="AK10" i="17069" s="1"/>
  <c r="AJ81" i="17069"/>
  <c r="AJ71" i="17069"/>
  <c r="AJ70" i="17069"/>
  <c r="AJ69" i="17069"/>
  <c r="AJ72" i="17065"/>
  <c r="AJ68" i="17069" s="1"/>
  <c r="AJ67" i="17069"/>
  <c r="AJ66" i="17069"/>
  <c r="AJ40" i="17068"/>
  <c r="AJ22" i="17069"/>
  <c r="AK22" i="17069" s="1"/>
  <c r="AJ12" i="17068"/>
  <c r="AJ14" i="17069" s="1"/>
  <c r="AK14" i="17069" s="1"/>
  <c r="AJ10" i="17068"/>
  <c r="AJ12" i="17069" s="1"/>
  <c r="AK12" i="17069" s="1"/>
  <c r="D120" i="17074"/>
  <c r="B99" i="32"/>
  <c r="D89" i="32" s="1"/>
  <c r="H89" i="32" s="1"/>
  <c r="E95" i="32"/>
  <c r="F95" i="32" s="1"/>
  <c r="AN67" i="17067"/>
  <c r="AN90" i="17066"/>
  <c r="AN93" i="17067"/>
  <c r="AN49" i="17067" s="1"/>
  <c r="AO12" i="17067"/>
  <c r="AN15" i="17067"/>
  <c r="AO10" i="17067"/>
  <c r="AN76" i="17067"/>
  <c r="AN69" i="17067" s="1"/>
  <c r="AN72" i="17066"/>
  <c r="AN61" i="17068"/>
  <c r="AN79" i="17068"/>
  <c r="AN52" i="17068" s="1"/>
  <c r="AN78" i="17068"/>
  <c r="AN77" i="17068"/>
  <c r="AN74" i="17068"/>
  <c r="AN50" i="17068" s="1"/>
  <c r="AN72" i="17065"/>
  <c r="AN76" i="17068" s="1"/>
  <c r="AN75" i="17068"/>
  <c r="AO46" i="17068"/>
  <c r="AN46" i="17068"/>
  <c r="AO45" i="17068"/>
  <c r="AN45" i="17068"/>
  <c r="AO44" i="17068"/>
  <c r="AN44" i="17068"/>
  <c r="AO43" i="17068"/>
  <c r="AN43" i="17068"/>
  <c r="AN36" i="17068"/>
  <c r="AO36" i="17068" s="1"/>
  <c r="AN30" i="17068"/>
  <c r="AN22" i="17068"/>
  <c r="AO22" i="17068" s="1"/>
  <c r="AN12" i="17068"/>
  <c r="AN10" i="17068"/>
  <c r="AO10" i="17068" s="1"/>
  <c r="AJ79" i="17068"/>
  <c r="AJ78" i="17068"/>
  <c r="AJ77" i="17068"/>
  <c r="AJ76" i="17068"/>
  <c r="AJ75" i="17068"/>
  <c r="AJ74" i="17068"/>
  <c r="AJ50" i="17068" s="1"/>
  <c r="AJ8" i="17066"/>
  <c r="AK46" i="17068"/>
  <c r="AJ46" i="17068"/>
  <c r="AK45" i="17068"/>
  <c r="AJ45" i="17068"/>
  <c r="AK44" i="17068"/>
  <c r="AJ44" i="17068"/>
  <c r="AK43" i="17068"/>
  <c r="AJ43" i="17068"/>
  <c r="AJ7" i="17068"/>
  <c r="AJ24" i="17068"/>
  <c r="AJ22" i="17068"/>
  <c r="AJ20" i="17068"/>
  <c r="AJ18" i="17068"/>
  <c r="AJ16" i="17068"/>
  <c r="AO40" i="17067"/>
  <c r="AO38" i="17067"/>
  <c r="AO36" i="17067"/>
  <c r="AO30" i="17067"/>
  <c r="AO28" i="17067"/>
  <c r="AO22" i="17067"/>
  <c r="AO20" i="17067"/>
  <c r="AO16" i="17067"/>
  <c r="AJ93" i="17067"/>
  <c r="AJ49" i="17067" s="1"/>
  <c r="AJ76" i="17067"/>
  <c r="AK40" i="17067"/>
  <c r="AK38" i="17067"/>
  <c r="AK36" i="17067"/>
  <c r="AK30" i="17067"/>
  <c r="AK28" i="17067"/>
  <c r="AK22" i="17067"/>
  <c r="AK20" i="17067"/>
  <c r="AK16" i="17067"/>
  <c r="AK15" i="17067"/>
  <c r="AJ15" i="17067"/>
  <c r="AK12" i="17067"/>
  <c r="AK10" i="17067"/>
  <c r="C154" i="17073"/>
  <c r="D154" i="17073"/>
  <c r="E154" i="17073"/>
  <c r="F154" i="17073"/>
  <c r="G154" i="17073"/>
  <c r="H154" i="17073"/>
  <c r="I154" i="17073"/>
  <c r="J154" i="17073"/>
  <c r="K154" i="17073"/>
  <c r="L154" i="17073"/>
  <c r="M154" i="17073"/>
  <c r="N154" i="17073"/>
  <c r="O154" i="17073"/>
  <c r="P154" i="17073"/>
  <c r="Q154" i="17073"/>
  <c r="R154" i="17073"/>
  <c r="S154" i="17073"/>
  <c r="T154" i="17073"/>
  <c r="U154" i="17073"/>
  <c r="V154" i="17073"/>
  <c r="W154" i="17073"/>
  <c r="X154" i="17073"/>
  <c r="Y154" i="17073"/>
  <c r="Z154" i="17073"/>
  <c r="AA154" i="17073"/>
  <c r="AB154" i="17073"/>
  <c r="AC154" i="17073"/>
  <c r="AD154" i="17073"/>
  <c r="AE154" i="17073"/>
  <c r="AF154" i="17073"/>
  <c r="AG154" i="17073"/>
  <c r="AH154" i="17073"/>
  <c r="C132" i="17073"/>
  <c r="D132" i="17073"/>
  <c r="E132" i="17073"/>
  <c r="F132" i="17073"/>
  <c r="G132" i="17073"/>
  <c r="H132" i="17073"/>
  <c r="I132" i="17073"/>
  <c r="J132" i="17073"/>
  <c r="K132" i="17073"/>
  <c r="L132" i="17073"/>
  <c r="M132" i="17073"/>
  <c r="N132" i="17073"/>
  <c r="O132" i="17073"/>
  <c r="P132" i="17073"/>
  <c r="Q132" i="17073"/>
  <c r="R132" i="17073"/>
  <c r="S132" i="17073"/>
  <c r="T132" i="17073"/>
  <c r="U132" i="17073"/>
  <c r="V132" i="17073"/>
  <c r="W132" i="17073"/>
  <c r="X132" i="17073"/>
  <c r="Y132" i="17073"/>
  <c r="Z132" i="17073"/>
  <c r="AA132" i="17073"/>
  <c r="AB132" i="17073"/>
  <c r="AC132" i="17073"/>
  <c r="AD132" i="17073"/>
  <c r="AE132" i="17073"/>
  <c r="AF132" i="17073"/>
  <c r="AG132" i="17073"/>
  <c r="AH132" i="17073"/>
  <c r="B26" i="17073"/>
  <c r="N26" i="17073" s="1"/>
  <c r="F85" i="1"/>
  <c r="F88" i="1"/>
  <c r="AO36" i="17065"/>
  <c r="AO34" i="17065"/>
  <c r="AO32" i="17065"/>
  <c r="AN58" i="17065"/>
  <c r="AN37" i="17065"/>
  <c r="AN35" i="17065"/>
  <c r="AN33" i="17065"/>
  <c r="AN27" i="17065"/>
  <c r="AN25" i="17065"/>
  <c r="AN23" i="17065"/>
  <c r="AO12" i="17065"/>
  <c r="AO10" i="17065"/>
  <c r="AN13" i="17065"/>
  <c r="AN11" i="17065"/>
  <c r="AJ64" i="17066"/>
  <c r="AJ45" i="17066"/>
  <c r="AJ43" i="17066"/>
  <c r="AJ42" i="17066"/>
  <c r="AJ41" i="17066"/>
  <c r="AJ40" i="17066"/>
  <c r="AJ33" i="17066"/>
  <c r="AJ27" i="17066"/>
  <c r="AJ23" i="17066"/>
  <c r="AJ11" i="17066"/>
  <c r="AK11" i="17066" s="1"/>
  <c r="AO26" i="17065"/>
  <c r="AO24" i="17065"/>
  <c r="AO22" i="17065"/>
  <c r="AN48" i="17065"/>
  <c r="AN47" i="17065"/>
  <c r="AN46" i="17065"/>
  <c r="AN59" i="17065"/>
  <c r="AO16" i="17065"/>
  <c r="AJ58" i="17065"/>
  <c r="AJ61" i="17065"/>
  <c r="AK50" i="17065"/>
  <c r="AJ48" i="17065"/>
  <c r="AJ47" i="17065"/>
  <c r="AJ46" i="17065"/>
  <c r="AJ37" i="17065"/>
  <c r="AK36" i="17065"/>
  <c r="AJ35" i="17065"/>
  <c r="AK34" i="17065"/>
  <c r="AJ33" i="17065"/>
  <c r="AK32" i="17065"/>
  <c r="AJ27" i="17065"/>
  <c r="AK26" i="17065"/>
  <c r="AJ25" i="17065"/>
  <c r="AK24" i="17065"/>
  <c r="AJ23" i="17065"/>
  <c r="AK22" i="17065"/>
  <c r="AK18" i="17065"/>
  <c r="AK16" i="17065"/>
  <c r="AJ13" i="17065"/>
  <c r="AK12" i="17065"/>
  <c r="AJ11" i="17065"/>
  <c r="AK10" i="17065"/>
  <c r="C260" i="1032"/>
  <c r="L260" i="1032" s="1"/>
  <c r="C264" i="1032"/>
  <c r="C276" i="1032"/>
  <c r="E276" i="1032" s="1"/>
  <c r="C259" i="1032"/>
  <c r="L259" i="1032" s="1"/>
  <c r="C263" i="1032"/>
  <c r="C275" i="1032"/>
  <c r="E275" i="1032" s="1"/>
  <c r="C289" i="1032"/>
  <c r="E289" i="1032" s="1"/>
  <c r="C270" i="1032"/>
  <c r="C282" i="1032"/>
  <c r="E282" i="1032" s="1"/>
  <c r="C265" i="1032"/>
  <c r="L265" i="1032" s="1"/>
  <c r="C269" i="1032"/>
  <c r="L269" i="1032" s="1"/>
  <c r="C283" i="1032"/>
  <c r="E283" i="1032" s="1"/>
  <c r="AJ69" i="17067"/>
  <c r="AJ13" i="17066"/>
  <c r="AJ25" i="17066"/>
  <c r="AJ35" i="17066"/>
  <c r="AJ37" i="17066"/>
  <c r="AN60" i="17065"/>
  <c r="AN61" i="17065"/>
  <c r="AO18" i="17065"/>
  <c r="AJ59" i="17065"/>
  <c r="AJ60" i="17065"/>
  <c r="X15" i="17067"/>
  <c r="E260" i="1032"/>
  <c r="C120" i="17074"/>
  <c r="E120" i="17074"/>
  <c r="F120" i="17074"/>
  <c r="G120" i="17074"/>
  <c r="H120" i="17074"/>
  <c r="I120" i="17074"/>
  <c r="J120" i="17074"/>
  <c r="K120" i="17074"/>
  <c r="L120" i="17074"/>
  <c r="M120" i="17074"/>
  <c r="N120" i="17074"/>
  <c r="O120" i="17074"/>
  <c r="P120" i="17074"/>
  <c r="Q120" i="17074"/>
  <c r="R120" i="17074"/>
  <c r="S120" i="17074"/>
  <c r="T120" i="17074"/>
  <c r="U120" i="17074"/>
  <c r="V120" i="17074"/>
  <c r="W120" i="17074"/>
  <c r="X120" i="17074"/>
  <c r="Y120" i="17074"/>
  <c r="Z120" i="17074"/>
  <c r="AA120" i="17074"/>
  <c r="AB120" i="17074"/>
  <c r="AC120" i="17074"/>
  <c r="AD120" i="17074"/>
  <c r="AE120" i="17074"/>
  <c r="AF120" i="17074"/>
  <c r="AG120" i="17074"/>
  <c r="C144" i="17074"/>
  <c r="D144" i="17074"/>
  <c r="E144" i="17074"/>
  <c r="F144" i="17074"/>
  <c r="G144" i="17074"/>
  <c r="H144" i="17074"/>
  <c r="I144" i="17074"/>
  <c r="J144" i="17074"/>
  <c r="K144" i="17074"/>
  <c r="L144" i="17074"/>
  <c r="M144" i="17074"/>
  <c r="N144" i="17074"/>
  <c r="O144" i="17074"/>
  <c r="P144" i="17074"/>
  <c r="Q144" i="17074"/>
  <c r="R144" i="17074"/>
  <c r="S144" i="17074"/>
  <c r="T144" i="17074"/>
  <c r="U144" i="17074"/>
  <c r="V144" i="17074"/>
  <c r="W144" i="17074"/>
  <c r="X144" i="17074"/>
  <c r="Y144" i="17074"/>
  <c r="Z144" i="17074"/>
  <c r="AA144" i="17074"/>
  <c r="AB144" i="17074"/>
  <c r="AC144" i="17074"/>
  <c r="AD144" i="17074"/>
  <c r="AE144" i="17074"/>
  <c r="AF144" i="17074"/>
  <c r="AG144" i="17074"/>
  <c r="B10" i="17068"/>
  <c r="B12" i="17069" s="1"/>
  <c r="B12" i="17067"/>
  <c r="B12" i="17068"/>
  <c r="B14" i="17069" s="1"/>
  <c r="D12" i="17067"/>
  <c r="D12" i="17068"/>
  <c r="D14" i="17069" s="1"/>
  <c r="D66" i="17069"/>
  <c r="D10" i="17068"/>
  <c r="D12" i="17069"/>
  <c r="F12" i="17067"/>
  <c r="F12" i="17068"/>
  <c r="F14" i="17069" s="1"/>
  <c r="F10" i="17065"/>
  <c r="F12" i="17065"/>
  <c r="F10" i="17068"/>
  <c r="F12" i="17069" s="1"/>
  <c r="H10" i="17065"/>
  <c r="H12" i="17065"/>
  <c r="H10" i="17067"/>
  <c r="H10" i="17068"/>
  <c r="H12" i="17069" s="1"/>
  <c r="H12" i="17067"/>
  <c r="H12" i="17068"/>
  <c r="H14" i="17069" s="1"/>
  <c r="J10" i="17067"/>
  <c r="J12" i="17067"/>
  <c r="J12" i="17068"/>
  <c r="J14" i="17069" s="1"/>
  <c r="J10" i="17065"/>
  <c r="J12" i="17065"/>
  <c r="J10" i="17068"/>
  <c r="J12" i="17069" s="1"/>
  <c r="L10" i="17065"/>
  <c r="L12" i="17065"/>
  <c r="L10" i="17067"/>
  <c r="L10" i="17068"/>
  <c r="L12" i="17069" s="1"/>
  <c r="L12" i="17067"/>
  <c r="L12" i="17068"/>
  <c r="L14" i="17069"/>
  <c r="N10" i="17067"/>
  <c r="N12" i="17067"/>
  <c r="N12" i="17068"/>
  <c r="N10" i="17065"/>
  <c r="N12" i="17065"/>
  <c r="N10" i="17068"/>
  <c r="N12" i="17069" s="1"/>
  <c r="P10" i="17067"/>
  <c r="P12" i="17067"/>
  <c r="P12" i="17068"/>
  <c r="P66" i="17069"/>
  <c r="P10" i="17065"/>
  <c r="P12" i="17065"/>
  <c r="P10" i="17068"/>
  <c r="P12" i="17069" s="1"/>
  <c r="R10" i="17067"/>
  <c r="R10" i="17068"/>
  <c r="R12" i="17069"/>
  <c r="R12" i="17067"/>
  <c r="R12" i="17068"/>
  <c r="R14" i="17069" s="1"/>
  <c r="T12" i="17068"/>
  <c r="T14" i="17069" s="1"/>
  <c r="T10" i="17068"/>
  <c r="T12" i="17069" s="1"/>
  <c r="V93" i="17068"/>
  <c r="V10" i="17068" s="1"/>
  <c r="X12" i="17067"/>
  <c r="X93" i="17068"/>
  <c r="X12" i="17068" s="1"/>
  <c r="X12" i="17065"/>
  <c r="Z93" i="17068"/>
  <c r="Z40" i="17068" s="1"/>
  <c r="Z31" i="17069" s="1"/>
  <c r="AB93" i="17068"/>
  <c r="AB10" i="17068" s="1"/>
  <c r="AB12" i="17069" s="1"/>
  <c r="AD93" i="17068"/>
  <c r="AD12" i="17068" s="1"/>
  <c r="AF93" i="17068"/>
  <c r="AF7" i="17068" s="1"/>
  <c r="AH93" i="17068"/>
  <c r="AH30" i="17068" s="1"/>
  <c r="T28" i="17068"/>
  <c r="T18" i="17069" s="1"/>
  <c r="U18" i="17069" s="1"/>
  <c r="T30" i="17068"/>
  <c r="R28" i="17067"/>
  <c r="R30" i="17067"/>
  <c r="R30" i="17068"/>
  <c r="R20" i="17069" s="1"/>
  <c r="R28" i="17068"/>
  <c r="P28" i="17067"/>
  <c r="P28" i="17068"/>
  <c r="P30" i="17067"/>
  <c r="P30" i="17068"/>
  <c r="N28" i="17067"/>
  <c r="N30" i="17067"/>
  <c r="N30" i="17068"/>
  <c r="N20" i="17069" s="1"/>
  <c r="O20" i="17069" s="1"/>
  <c r="N28" i="17068"/>
  <c r="L28" i="17067"/>
  <c r="L28" i="17068"/>
  <c r="L30" i="17067"/>
  <c r="L30" i="17068"/>
  <c r="J28" i="17067"/>
  <c r="J30" i="17067"/>
  <c r="J30" i="17068"/>
  <c r="J20" i="17069" s="1"/>
  <c r="J28" i="17068"/>
  <c r="H28" i="17067"/>
  <c r="H28" i="17068"/>
  <c r="H29" i="17068" s="1"/>
  <c r="H30" i="17067"/>
  <c r="H30" i="17068"/>
  <c r="F30" i="17067"/>
  <c r="F30" i="17068"/>
  <c r="F28" i="17068"/>
  <c r="F18" i="17069" s="1"/>
  <c r="D30" i="17068"/>
  <c r="D28" i="17068"/>
  <c r="B30" i="17067"/>
  <c r="B30" i="17068"/>
  <c r="B28" i="17068"/>
  <c r="AI46" i="17068"/>
  <c r="AG46" i="17068"/>
  <c r="AH46" i="17068"/>
  <c r="AF46" i="17068"/>
  <c r="Z64" i="17066"/>
  <c r="B95" i="17075"/>
  <c r="B74" i="17075"/>
  <c r="B50" i="17075"/>
  <c r="B83" i="17074"/>
  <c r="B65" i="17074"/>
  <c r="B43" i="17074"/>
  <c r="H43" i="17074" s="1"/>
  <c r="N43" i="17074" s="1"/>
  <c r="B25" i="17074"/>
  <c r="B7" i="17074"/>
  <c r="N7" i="17074" s="1"/>
  <c r="B152" i="17074" s="1"/>
  <c r="G92" i="32"/>
  <c r="G91" i="32"/>
  <c r="G90" i="32"/>
  <c r="G89" i="32"/>
  <c r="B94" i="17073"/>
  <c r="N94" i="17073" s="1"/>
  <c r="B48" i="17073"/>
  <c r="N48" i="17073" s="1"/>
  <c r="B73" i="17073"/>
  <c r="N73" i="17073" s="1"/>
  <c r="B8" i="17073"/>
  <c r="D41" i="17069"/>
  <c r="F41" i="17069"/>
  <c r="H41" i="17069"/>
  <c r="H42" i="17069" s="1"/>
  <c r="J41" i="17069"/>
  <c r="L41" i="17069"/>
  <c r="N41" i="17069"/>
  <c r="P41" i="17069"/>
  <c r="R41" i="17069"/>
  <c r="R41" i="17070" s="1"/>
  <c r="T41" i="17069"/>
  <c r="V41" i="17069"/>
  <c r="X41" i="17069"/>
  <c r="Z41" i="17069"/>
  <c r="AB41" i="17069"/>
  <c r="AD41" i="17069"/>
  <c r="AD81" i="17070"/>
  <c r="AF41" i="17069"/>
  <c r="AH41" i="17069"/>
  <c r="AH81" i="17070"/>
  <c r="AH7" i="17070" s="1"/>
  <c r="AN41" i="17069"/>
  <c r="AN43" i="17069" s="1"/>
  <c r="B41" i="17069"/>
  <c r="T20" i="17069"/>
  <c r="U20" i="17069" s="1"/>
  <c r="D22" i="17069"/>
  <c r="E22" i="17069" s="1"/>
  <c r="F22" i="17069"/>
  <c r="H22" i="17069"/>
  <c r="I22" i="17069" s="1"/>
  <c r="J22" i="17069"/>
  <c r="K22" i="17069" s="1"/>
  <c r="L22" i="17069"/>
  <c r="N22" i="17069"/>
  <c r="O22" i="17069" s="1"/>
  <c r="P22" i="17069"/>
  <c r="Q22" i="17069" s="1"/>
  <c r="R22" i="17069"/>
  <c r="S22" i="17069" s="1"/>
  <c r="T22" i="17069"/>
  <c r="U22" i="17069" s="1"/>
  <c r="V22" i="17069"/>
  <c r="W22" i="17069" s="1"/>
  <c r="X22" i="17069"/>
  <c r="Y22" i="17069" s="1"/>
  <c r="Z22" i="17069"/>
  <c r="AA22" i="17069" s="1"/>
  <c r="AB22" i="17069"/>
  <c r="AD22" i="17069"/>
  <c r="AE22" i="17069" s="1"/>
  <c r="AF22" i="17069"/>
  <c r="AH22" i="17069"/>
  <c r="AN22" i="17069"/>
  <c r="B22" i="17069"/>
  <c r="D49" i="17067"/>
  <c r="F49" i="17067"/>
  <c r="H49" i="17067"/>
  <c r="J49" i="17067"/>
  <c r="L49" i="17067"/>
  <c r="N49" i="17067"/>
  <c r="P49" i="17067"/>
  <c r="R49" i="17067"/>
  <c r="T49" i="17067"/>
  <c r="B49" i="17067"/>
  <c r="AI40" i="17067"/>
  <c r="AG40" i="17067"/>
  <c r="AE40" i="17067"/>
  <c r="AC40" i="17067"/>
  <c r="AA40" i="17067"/>
  <c r="Y40" i="17067"/>
  <c r="P40" i="17067"/>
  <c r="Q40" i="17067"/>
  <c r="N40" i="17067"/>
  <c r="O40" i="17067"/>
  <c r="L40" i="17067"/>
  <c r="J40" i="17067"/>
  <c r="K40" i="17067"/>
  <c r="H40" i="17067"/>
  <c r="F40" i="17067"/>
  <c r="G40" i="17067"/>
  <c r="E40" i="17067"/>
  <c r="B40" i="17067"/>
  <c r="C40" i="17067"/>
  <c r="AI38" i="17067"/>
  <c r="AG38" i="17067"/>
  <c r="AE38" i="17067"/>
  <c r="AC38" i="17067"/>
  <c r="AA38" i="17067"/>
  <c r="Y38" i="17067"/>
  <c r="R38" i="17067"/>
  <c r="S38" i="17067"/>
  <c r="Q38" i="17067"/>
  <c r="O38" i="17067"/>
  <c r="M38" i="17067"/>
  <c r="K38" i="17067"/>
  <c r="I38" i="17067"/>
  <c r="G38" i="17067"/>
  <c r="E38" i="17067"/>
  <c r="C38" i="17067"/>
  <c r="AI36" i="17067"/>
  <c r="AG36" i="17067"/>
  <c r="AE36" i="17067"/>
  <c r="AC36" i="17067"/>
  <c r="AA36" i="17067"/>
  <c r="Y36" i="17067"/>
  <c r="R36" i="17067"/>
  <c r="S36" i="17067"/>
  <c r="Q36" i="17067"/>
  <c r="O36" i="17067"/>
  <c r="M36" i="17067"/>
  <c r="K36" i="17067"/>
  <c r="I36" i="17067"/>
  <c r="G36" i="17067"/>
  <c r="E36" i="17067"/>
  <c r="C36" i="17067"/>
  <c r="AI30" i="17067"/>
  <c r="AG30" i="17067"/>
  <c r="AE30" i="17067"/>
  <c r="AC30" i="17067"/>
  <c r="AA30" i="17067"/>
  <c r="Y30" i="17067"/>
  <c r="E30" i="17067"/>
  <c r="C30" i="17067"/>
  <c r="AI28" i="17067"/>
  <c r="AG28" i="17067"/>
  <c r="AE28" i="17067"/>
  <c r="AC28" i="17067"/>
  <c r="AA28" i="17067"/>
  <c r="Y28" i="17067"/>
  <c r="M28" i="17067"/>
  <c r="I28" i="17067"/>
  <c r="G28" i="17067"/>
  <c r="E28" i="17067"/>
  <c r="C28" i="17067"/>
  <c r="Q24" i="17067"/>
  <c r="O24" i="17067"/>
  <c r="M24" i="17067"/>
  <c r="K24" i="17067"/>
  <c r="I24" i="17067"/>
  <c r="G24" i="17067"/>
  <c r="E24" i="17067"/>
  <c r="C24" i="17067"/>
  <c r="AI22" i="17067"/>
  <c r="AG22" i="17067"/>
  <c r="AE22" i="17067"/>
  <c r="AC22" i="17067"/>
  <c r="AA22" i="17067"/>
  <c r="Y22" i="17067"/>
  <c r="R22" i="17067"/>
  <c r="Q22" i="17067"/>
  <c r="O22" i="17067"/>
  <c r="M22" i="17067"/>
  <c r="K22" i="17067"/>
  <c r="I22" i="17067"/>
  <c r="G22" i="17067"/>
  <c r="E22" i="17067"/>
  <c r="C22" i="17067"/>
  <c r="AI20" i="17067"/>
  <c r="AG20" i="17067"/>
  <c r="AE20" i="17067"/>
  <c r="AC20" i="17067"/>
  <c r="AA20" i="17067"/>
  <c r="Y20" i="17067"/>
  <c r="S20" i="17067"/>
  <c r="Q20" i="17067"/>
  <c r="O20" i="17067"/>
  <c r="M20" i="17067"/>
  <c r="K20" i="17067"/>
  <c r="I20" i="17067"/>
  <c r="G20" i="17067"/>
  <c r="E20" i="17067"/>
  <c r="C20" i="17067"/>
  <c r="Q18" i="17067"/>
  <c r="O18" i="17067"/>
  <c r="M18" i="17067"/>
  <c r="K18" i="17067"/>
  <c r="K16" i="17067"/>
  <c r="K15" i="17067"/>
  <c r="I18" i="17067"/>
  <c r="G18" i="17067"/>
  <c r="E18" i="17067"/>
  <c r="E16" i="17067"/>
  <c r="E15" i="17067"/>
  <c r="C18" i="17067"/>
  <c r="C16" i="17067"/>
  <c r="C15" i="17067"/>
  <c r="AI16" i="17067"/>
  <c r="AG16" i="17067"/>
  <c r="AG15" i="17067"/>
  <c r="AE16" i="17067"/>
  <c r="AC16" i="17067"/>
  <c r="AC15" i="17067"/>
  <c r="AA16" i="17067"/>
  <c r="Y16" i="17067"/>
  <c r="Y15" i="17067"/>
  <c r="R16" i="17067"/>
  <c r="S16" i="17067"/>
  <c r="Q16" i="17067"/>
  <c r="O16" i="17067"/>
  <c r="O15" i="17067"/>
  <c r="L16" i="17067"/>
  <c r="M16" i="17067"/>
  <c r="M15" i="17067"/>
  <c r="I16" i="17067"/>
  <c r="I15" i="17067"/>
  <c r="G16" i="17067"/>
  <c r="G15" i="17067"/>
  <c r="AI15" i="17067"/>
  <c r="AH15" i="17067"/>
  <c r="AF15" i="17067"/>
  <c r="AE15" i="17067"/>
  <c r="AD15" i="17067"/>
  <c r="AB15" i="17067"/>
  <c r="AA15" i="17067"/>
  <c r="Z15" i="17067"/>
  <c r="Q15" i="17067"/>
  <c r="P15" i="17067"/>
  <c r="N15" i="17067"/>
  <c r="L15" i="17067"/>
  <c r="J15" i="17067"/>
  <c r="H15" i="17067"/>
  <c r="F15" i="17067"/>
  <c r="D15" i="17067"/>
  <c r="B15" i="17067"/>
  <c r="AI12" i="17067"/>
  <c r="AG12" i="17067"/>
  <c r="AE12" i="17067"/>
  <c r="AC12" i="17067"/>
  <c r="AA12" i="17067"/>
  <c r="Y12" i="17067"/>
  <c r="G12" i="17067"/>
  <c r="E12" i="17067"/>
  <c r="AI10" i="17067"/>
  <c r="AG10" i="17067"/>
  <c r="AE10" i="17067"/>
  <c r="AC10" i="17067"/>
  <c r="AA10" i="17067"/>
  <c r="Y10" i="17067"/>
  <c r="S10" i="17067"/>
  <c r="G10" i="17067"/>
  <c r="E10" i="17067"/>
  <c r="C10" i="17067"/>
  <c r="R40" i="17067"/>
  <c r="S40" i="17067"/>
  <c r="I40" i="17067"/>
  <c r="M40" i="17067"/>
  <c r="M30" i="17067"/>
  <c r="S30" i="17067"/>
  <c r="O30" i="17067"/>
  <c r="K28" i="17067"/>
  <c r="O28" i="17067"/>
  <c r="S28" i="17067"/>
  <c r="G30" i="17067"/>
  <c r="Q28" i="17067"/>
  <c r="I12" i="17067"/>
  <c r="Q12" i="17067"/>
  <c r="M12" i="17067"/>
  <c r="O12" i="17067"/>
  <c r="K10" i="17067"/>
  <c r="O10" i="17067"/>
  <c r="C12" i="17067"/>
  <c r="I10" i="17067"/>
  <c r="M10" i="17067"/>
  <c r="Q10" i="17067"/>
  <c r="R15" i="17067"/>
  <c r="S22" i="17067"/>
  <c r="S15" i="17067"/>
  <c r="Q30" i="17067"/>
  <c r="K30" i="17067"/>
  <c r="I30" i="17067"/>
  <c r="K12" i="17067"/>
  <c r="S12" i="17067"/>
  <c r="D36" i="17068"/>
  <c r="D27" i="17069" s="1"/>
  <c r="F36" i="17068"/>
  <c r="F27" i="17069" s="1"/>
  <c r="H36" i="17068"/>
  <c r="H27" i="17069" s="1"/>
  <c r="J36" i="17068"/>
  <c r="J27" i="17069" s="1"/>
  <c r="L36" i="17068"/>
  <c r="L27" i="17069" s="1"/>
  <c r="N36" i="17068"/>
  <c r="N27" i="17069" s="1"/>
  <c r="P36" i="17068"/>
  <c r="P27" i="17069" s="1"/>
  <c r="R36" i="17068"/>
  <c r="R27" i="17069" s="1"/>
  <c r="T36" i="17068"/>
  <c r="D38" i="17068"/>
  <c r="D29" i="17069" s="1"/>
  <c r="F38" i="17068"/>
  <c r="F29" i="17069"/>
  <c r="G29" i="17069" s="1"/>
  <c r="H38" i="17068"/>
  <c r="H29" i="17069" s="1"/>
  <c r="J38" i="17068"/>
  <c r="J29" i="17069" s="1"/>
  <c r="L38" i="17068"/>
  <c r="L29" i="17069" s="1"/>
  <c r="N38" i="17068"/>
  <c r="N29" i="17069" s="1"/>
  <c r="P38" i="17068"/>
  <c r="P29" i="17069" s="1"/>
  <c r="R38" i="17068"/>
  <c r="R29" i="17069"/>
  <c r="T38" i="17068"/>
  <c r="T29" i="17069" s="1"/>
  <c r="D40" i="17068"/>
  <c r="F40" i="17068"/>
  <c r="F31" i="17069" s="1"/>
  <c r="H40" i="17068"/>
  <c r="J40" i="17068"/>
  <c r="L40" i="17068"/>
  <c r="N40" i="17068"/>
  <c r="P40" i="17068"/>
  <c r="Q40" i="17068" s="1"/>
  <c r="R40" i="17068"/>
  <c r="T40" i="17068"/>
  <c r="D43" i="17068"/>
  <c r="E43" i="17068"/>
  <c r="F43" i="17068"/>
  <c r="G43" i="17068"/>
  <c r="H43" i="17068"/>
  <c r="I43" i="17068"/>
  <c r="J43" i="17068"/>
  <c r="K43" i="17068"/>
  <c r="L43" i="17068"/>
  <c r="M43" i="17068"/>
  <c r="N43" i="17068"/>
  <c r="O43" i="17068"/>
  <c r="P43" i="17068"/>
  <c r="Q43" i="17068"/>
  <c r="R43" i="17068"/>
  <c r="S43" i="17068"/>
  <c r="T43" i="17068"/>
  <c r="U43" i="17068"/>
  <c r="V43" i="17068"/>
  <c r="W43" i="17068"/>
  <c r="X43" i="17068"/>
  <c r="Y43" i="17068"/>
  <c r="Z43" i="17068"/>
  <c r="AA43" i="17068"/>
  <c r="AB43" i="17068"/>
  <c r="AC43" i="17068"/>
  <c r="AD43" i="17068"/>
  <c r="AE43" i="17068"/>
  <c r="AF43" i="17068"/>
  <c r="AG43" i="17068"/>
  <c r="AH43" i="17068"/>
  <c r="AI43" i="17068"/>
  <c r="D44" i="17068"/>
  <c r="E44" i="17068"/>
  <c r="F44" i="17068"/>
  <c r="G44" i="17068"/>
  <c r="H44" i="17068"/>
  <c r="I44" i="17068"/>
  <c r="J44" i="17068"/>
  <c r="K44" i="17068"/>
  <c r="L44" i="17068"/>
  <c r="M44" i="17068"/>
  <c r="N44" i="17068"/>
  <c r="O44" i="17068"/>
  <c r="P44" i="17068"/>
  <c r="Q44" i="17068"/>
  <c r="R44" i="17068"/>
  <c r="S44" i="17068"/>
  <c r="T44" i="17068"/>
  <c r="U44" i="17068"/>
  <c r="V44" i="17068"/>
  <c r="W44" i="17068"/>
  <c r="X44" i="17068"/>
  <c r="Y44" i="17068"/>
  <c r="Z44" i="17068"/>
  <c r="AA44" i="17068"/>
  <c r="AB44" i="17068"/>
  <c r="AC44" i="17068"/>
  <c r="AD44" i="17068"/>
  <c r="AE44" i="17068"/>
  <c r="AF44" i="17068"/>
  <c r="AG44" i="17068"/>
  <c r="AH44" i="17068"/>
  <c r="AI44" i="17068"/>
  <c r="D45" i="17068"/>
  <c r="E45" i="17068"/>
  <c r="F45" i="17068"/>
  <c r="G45" i="17068"/>
  <c r="H45" i="17068"/>
  <c r="I45" i="17068"/>
  <c r="J45" i="17068"/>
  <c r="K45" i="17068"/>
  <c r="L45" i="17068"/>
  <c r="M45" i="17068"/>
  <c r="N45" i="17068"/>
  <c r="O45" i="17068"/>
  <c r="P45" i="17068"/>
  <c r="Q45" i="17068"/>
  <c r="R45" i="17068"/>
  <c r="S45" i="17068"/>
  <c r="T45" i="17068"/>
  <c r="U45" i="17068"/>
  <c r="V45" i="17068"/>
  <c r="W45" i="17068"/>
  <c r="X45" i="17068"/>
  <c r="Y45" i="17068"/>
  <c r="Z45" i="17068"/>
  <c r="AA45" i="17068"/>
  <c r="AB45" i="17068"/>
  <c r="AC45" i="17068"/>
  <c r="AD45" i="17068"/>
  <c r="AE45" i="17068"/>
  <c r="AF45" i="17068"/>
  <c r="AG45" i="17068"/>
  <c r="AH45" i="17068"/>
  <c r="AI45" i="17068"/>
  <c r="T67" i="17068"/>
  <c r="U40" i="17068"/>
  <c r="T31" i="17069"/>
  <c r="U31" i="17069" s="1"/>
  <c r="U38" i="17068"/>
  <c r="U36" i="17068"/>
  <c r="T27" i="17069"/>
  <c r="U27" i="17069" s="1"/>
  <c r="B44" i="17068"/>
  <c r="C44" i="17068"/>
  <c r="B45" i="17068"/>
  <c r="C45" i="17068"/>
  <c r="C43" i="17068"/>
  <c r="B43" i="17068"/>
  <c r="B40" i="17068"/>
  <c r="B38" i="17068"/>
  <c r="B29" i="17069" s="1"/>
  <c r="B36" i="17068"/>
  <c r="B27" i="17069" s="1"/>
  <c r="B74" i="17068"/>
  <c r="B50" i="17068" s="1"/>
  <c r="D74" i="17068"/>
  <c r="F74" i="17068"/>
  <c r="F50" i="17068" s="1"/>
  <c r="H74" i="17068"/>
  <c r="H39" i="17068" s="1"/>
  <c r="J74" i="17068"/>
  <c r="J50" i="17068" s="1"/>
  <c r="L74" i="17068"/>
  <c r="L13" i="17068" s="1"/>
  <c r="N74" i="17068"/>
  <c r="N39" i="17068" s="1"/>
  <c r="P74" i="17068"/>
  <c r="R74" i="17068"/>
  <c r="R41" i="17068" s="1"/>
  <c r="T74" i="17068"/>
  <c r="T39" i="17068" s="1"/>
  <c r="V74" i="17068"/>
  <c r="X74" i="17068"/>
  <c r="X50" i="17068" s="1"/>
  <c r="Z74" i="17068"/>
  <c r="Z50" i="17068" s="1"/>
  <c r="AB74" i="17068"/>
  <c r="AB50" i="17068" s="1"/>
  <c r="AD74" i="17068"/>
  <c r="AF74" i="17068"/>
  <c r="AF50" i="17068" s="1"/>
  <c r="AH74" i="17068"/>
  <c r="B75" i="17068"/>
  <c r="D75" i="17068"/>
  <c r="F75" i="17068"/>
  <c r="H75" i="17068"/>
  <c r="J75" i="17068"/>
  <c r="L75" i="17068"/>
  <c r="N75" i="17068"/>
  <c r="P75" i="17068"/>
  <c r="R75" i="17068"/>
  <c r="T75" i="17068"/>
  <c r="V75" i="17068"/>
  <c r="X75" i="17068"/>
  <c r="Z75" i="17068"/>
  <c r="AF75" i="17068"/>
  <c r="AH75" i="17068"/>
  <c r="B77" i="17068"/>
  <c r="B51" i="17068" s="1"/>
  <c r="D77" i="17068"/>
  <c r="F77" i="17068"/>
  <c r="H77" i="17068"/>
  <c r="J77" i="17068"/>
  <c r="J51" i="17068" s="1"/>
  <c r="L77" i="17068"/>
  <c r="L51" i="17068" s="1"/>
  <c r="N77" i="17068"/>
  <c r="P77" i="17068"/>
  <c r="R77" i="17068"/>
  <c r="R67" i="17067"/>
  <c r="R67" i="17068"/>
  <c r="T77" i="17068"/>
  <c r="V77" i="17068"/>
  <c r="V51" i="17068" s="1"/>
  <c r="X77" i="17068"/>
  <c r="X51" i="17068" s="1"/>
  <c r="Z77" i="17068"/>
  <c r="Z51" i="17068" s="1"/>
  <c r="AB77" i="17068"/>
  <c r="AD77" i="17068"/>
  <c r="AD51" i="17068" s="1"/>
  <c r="AF77" i="17068"/>
  <c r="AF51" i="17068" s="1"/>
  <c r="AH77" i="17068"/>
  <c r="AH51" i="17068" s="1"/>
  <c r="AH90" i="17066"/>
  <c r="AH8" i="17066"/>
  <c r="B78" i="17068"/>
  <c r="D78" i="17068"/>
  <c r="F78" i="17068"/>
  <c r="H78" i="17068"/>
  <c r="J78" i="17068"/>
  <c r="L78" i="17068"/>
  <c r="N78" i="17068"/>
  <c r="P78" i="17068"/>
  <c r="P67" i="17067"/>
  <c r="P67" i="17068"/>
  <c r="P59" i="17069" s="1"/>
  <c r="R78" i="17068"/>
  <c r="T78" i="17068"/>
  <c r="V78" i="17068"/>
  <c r="X78" i="17068"/>
  <c r="X67" i="17067"/>
  <c r="X67" i="17068"/>
  <c r="Z78" i="17068"/>
  <c r="AB78" i="17068"/>
  <c r="AD78" i="17068"/>
  <c r="AF78" i="17068"/>
  <c r="AF67" i="17067"/>
  <c r="AH78" i="17068"/>
  <c r="B79" i="17068"/>
  <c r="B52" i="17068" s="1"/>
  <c r="D79" i="17068"/>
  <c r="D52" i="17068" s="1"/>
  <c r="F79" i="17068"/>
  <c r="F52" i="17068" s="1"/>
  <c r="H79" i="17068"/>
  <c r="J79" i="17068"/>
  <c r="J52" i="17068" s="1"/>
  <c r="L79" i="17068"/>
  <c r="L52" i="17068" s="1"/>
  <c r="L8" i="17066"/>
  <c r="L58" i="17066" s="1"/>
  <c r="N79" i="17068"/>
  <c r="P79" i="17068"/>
  <c r="R79" i="17068"/>
  <c r="T79" i="17068"/>
  <c r="T52" i="17068" s="1"/>
  <c r="V79" i="17068"/>
  <c r="X79" i="17068"/>
  <c r="Z79" i="17068"/>
  <c r="AB79" i="17068"/>
  <c r="AB52" i="17068" s="1"/>
  <c r="AD79" i="17068"/>
  <c r="AF79" i="17068"/>
  <c r="AF52" i="17068" s="1"/>
  <c r="AH79" i="17068"/>
  <c r="D16" i="17068"/>
  <c r="F16" i="17068"/>
  <c r="G16" i="17068" s="1"/>
  <c r="H16" i="17068"/>
  <c r="H17" i="17068" s="1"/>
  <c r="J16" i="17068"/>
  <c r="L16" i="17068"/>
  <c r="N16" i="17068"/>
  <c r="P16" i="17068"/>
  <c r="R16" i="17068"/>
  <c r="T16" i="17068"/>
  <c r="U16" i="17068" s="1"/>
  <c r="D18" i="17068"/>
  <c r="F18" i="17068"/>
  <c r="H18" i="17068"/>
  <c r="J18" i="17068"/>
  <c r="L18" i="17068"/>
  <c r="N18" i="17068"/>
  <c r="P18" i="17068"/>
  <c r="P19" i="17068" s="1"/>
  <c r="R18" i="17068"/>
  <c r="T18" i="17068"/>
  <c r="U18" i="17068" s="1"/>
  <c r="D20" i="17068"/>
  <c r="F20" i="17068"/>
  <c r="H20" i="17068"/>
  <c r="J20" i="17068"/>
  <c r="L20" i="17068"/>
  <c r="N20" i="17068"/>
  <c r="P20" i="17068"/>
  <c r="R20" i="17068"/>
  <c r="T20" i="17068"/>
  <c r="U20" i="17068" s="1"/>
  <c r="D22" i="17068"/>
  <c r="F22" i="17068"/>
  <c r="G22" i="17068" s="1"/>
  <c r="H22" i="17068"/>
  <c r="H23" i="17068" s="1"/>
  <c r="J22" i="17068"/>
  <c r="L22" i="17068"/>
  <c r="N22" i="17068"/>
  <c r="N23" i="17068" s="1"/>
  <c r="P22" i="17068"/>
  <c r="P23" i="17068" s="1"/>
  <c r="R22" i="17068"/>
  <c r="T22" i="17068"/>
  <c r="U22" i="17068" s="1"/>
  <c r="D24" i="17068"/>
  <c r="F24" i="17068"/>
  <c r="H24" i="17068"/>
  <c r="H25" i="17068" s="1"/>
  <c r="J24" i="17068"/>
  <c r="L24" i="17068"/>
  <c r="N24" i="17068"/>
  <c r="N25" i="17068" s="1"/>
  <c r="P24" i="17068"/>
  <c r="R24" i="17068"/>
  <c r="T24" i="17068"/>
  <c r="U24" i="17068" s="1"/>
  <c r="B24" i="17068"/>
  <c r="C24" i="17068" s="1"/>
  <c r="B22" i="17068"/>
  <c r="B20" i="17068"/>
  <c r="B18" i="17068"/>
  <c r="B16" i="17068"/>
  <c r="B7" i="17068"/>
  <c r="C28" i="17068" s="1"/>
  <c r="H19" i="17068"/>
  <c r="H41" i="17068"/>
  <c r="H37" i="17068"/>
  <c r="H52" i="17068"/>
  <c r="H51" i="17068"/>
  <c r="F51" i="17068"/>
  <c r="H50" i="17068"/>
  <c r="C18" i="17068"/>
  <c r="AH72" i="17065"/>
  <c r="AN83" i="17066"/>
  <c r="AO83" i="17066"/>
  <c r="AN84" i="17066"/>
  <c r="AO84" i="17066"/>
  <c r="AO82" i="17066"/>
  <c r="AN82" i="17066"/>
  <c r="AH57" i="17065"/>
  <c r="AH61" i="17065"/>
  <c r="AI50" i="17065"/>
  <c r="AH48" i="17065"/>
  <c r="AH47" i="17065"/>
  <c r="AH46" i="17065"/>
  <c r="AH37" i="17065"/>
  <c r="AI36" i="17065"/>
  <c r="AH35" i="17065"/>
  <c r="AI34" i="17065"/>
  <c r="AH33" i="17065"/>
  <c r="AI32" i="17065"/>
  <c r="AH27" i="17065"/>
  <c r="AI26" i="17065"/>
  <c r="AH25" i="17065"/>
  <c r="AI24" i="17065"/>
  <c r="AH23" i="17065"/>
  <c r="AI22" i="17065"/>
  <c r="AH13" i="17065"/>
  <c r="AI12" i="17065"/>
  <c r="AH11" i="17065"/>
  <c r="AI10" i="17065"/>
  <c r="AH72" i="17066"/>
  <c r="AH75" i="17067" s="1"/>
  <c r="AH67" i="17067"/>
  <c r="AH64" i="17066"/>
  <c r="AH66" i="17066" s="1"/>
  <c r="AH43" i="17066"/>
  <c r="AH42" i="17066"/>
  <c r="AH41" i="17066"/>
  <c r="AH40" i="17066"/>
  <c r="AH76" i="17067"/>
  <c r="AH69" i="17067" s="1"/>
  <c r="AH71" i="17069"/>
  <c r="AH53" i="17069"/>
  <c r="AH70" i="17069"/>
  <c r="AH69" i="17069"/>
  <c r="AH67" i="17068"/>
  <c r="AH67" i="17069"/>
  <c r="AH66" i="17069"/>
  <c r="AH42" i="17069" s="1"/>
  <c r="AH10" i="17069"/>
  <c r="AI10" i="17069" s="1"/>
  <c r="AN10" i="17069"/>
  <c r="AN66" i="17069"/>
  <c r="AN67" i="17069"/>
  <c r="AN69" i="17069"/>
  <c r="AN70" i="17069"/>
  <c r="AN71" i="17069"/>
  <c r="AH68" i="17070"/>
  <c r="X81" i="17070"/>
  <c r="Z81" i="17070"/>
  <c r="AB81" i="17070"/>
  <c r="AF81" i="17070"/>
  <c r="V81" i="17070"/>
  <c r="X81" i="17069"/>
  <c r="Z81" i="17069"/>
  <c r="AB81" i="17069"/>
  <c r="AD81" i="17069"/>
  <c r="AF81" i="17069"/>
  <c r="AH81" i="17069"/>
  <c r="V81" i="17069"/>
  <c r="X93" i="17067"/>
  <c r="X49" i="17067" s="1"/>
  <c r="Z93" i="17067"/>
  <c r="Z49" i="17067" s="1"/>
  <c r="Z90" i="17066"/>
  <c r="Z76" i="17066"/>
  <c r="AB93" i="17067"/>
  <c r="AB49" i="17067" s="1"/>
  <c r="AD93" i="17067"/>
  <c r="AD49" i="17067" s="1"/>
  <c r="AD90" i="17066"/>
  <c r="AD45" i="17066" s="1"/>
  <c r="AD71" i="17066"/>
  <c r="AF93" i="17067"/>
  <c r="AF49" i="17067" s="1"/>
  <c r="AH93" i="17067"/>
  <c r="AH49" i="17067" s="1"/>
  <c r="V93" i="17067"/>
  <c r="V49" i="17067" s="1"/>
  <c r="X90" i="17066"/>
  <c r="AB90" i="17066"/>
  <c r="AF90" i="17066"/>
  <c r="AH75" i="17066"/>
  <c r="V90" i="17066"/>
  <c r="AI16" i="17065"/>
  <c r="AH58" i="17065"/>
  <c r="AH38" i="17068"/>
  <c r="AH36" i="17068"/>
  <c r="AH27" i="17069" s="1"/>
  <c r="AI27" i="17069" s="1"/>
  <c r="AH40" i="17068"/>
  <c r="X36" i="17068"/>
  <c r="X40" i="17068"/>
  <c r="X31" i="17069" s="1"/>
  <c r="Y31" i="17069" s="1"/>
  <c r="AD38" i="17068"/>
  <c r="AD29" i="17069" s="1"/>
  <c r="AD40" i="17068"/>
  <c r="AD31" i="17069" s="1"/>
  <c r="AB36" i="17068"/>
  <c r="AB27" i="17069" s="1"/>
  <c r="AB38" i="17068"/>
  <c r="AB29" i="17069" s="1"/>
  <c r="AB40" i="17068"/>
  <c r="AB31" i="17069" s="1"/>
  <c r="AF38" i="17068"/>
  <c r="AH20" i="17068"/>
  <c r="AH16" i="17068"/>
  <c r="AH24" i="17068"/>
  <c r="AH18" i="17068"/>
  <c r="AH22" i="17068"/>
  <c r="AF20" i="17068"/>
  <c r="X24" i="17068"/>
  <c r="X22" i="17068"/>
  <c r="AD20" i="17068"/>
  <c r="AD16" i="17068"/>
  <c r="AB24" i="17068"/>
  <c r="AB16" i="17068"/>
  <c r="AB18" i="17068"/>
  <c r="AB22" i="17068"/>
  <c r="AB20" i="17068"/>
  <c r="Z22" i="17068"/>
  <c r="Z16" i="17068"/>
  <c r="AH25" i="17066"/>
  <c r="AH33" i="17066"/>
  <c r="AH45" i="17066"/>
  <c r="AH71" i="17066"/>
  <c r="AH18" i="17066" s="1"/>
  <c r="AH76" i="17066"/>
  <c r="AH35" i="17066"/>
  <c r="AH7" i="17068"/>
  <c r="AI16" i="17068" s="1"/>
  <c r="AH11" i="17066"/>
  <c r="AH23" i="17066"/>
  <c r="AH27" i="17066"/>
  <c r="AI27" i="17066" s="1"/>
  <c r="AH37" i="17066"/>
  <c r="AH74" i="17066"/>
  <c r="AH13" i="17066"/>
  <c r="AH59" i="17065"/>
  <c r="AH60" i="17065"/>
  <c r="AI18" i="17065"/>
  <c r="AH63" i="17065"/>
  <c r="AH67" i="17065" s="1"/>
  <c r="AH48" i="17066"/>
  <c r="AH50" i="17068"/>
  <c r="N8" i="17075"/>
  <c r="N51" i="17075" s="1"/>
  <c r="N75" i="17075" s="1"/>
  <c r="N96" i="17075" s="1"/>
  <c r="H8" i="17075"/>
  <c r="H29" i="17075" s="1"/>
  <c r="N7" i="17075"/>
  <c r="D103" i="1032"/>
  <c r="D132" i="1032" s="1"/>
  <c r="C25" i="1032"/>
  <c r="I7" i="1032"/>
  <c r="N8" i="17074"/>
  <c r="N26" i="17074" s="1"/>
  <c r="H8" i="17074"/>
  <c r="H7" i="17074"/>
  <c r="H6" i="32"/>
  <c r="O9" i="17073"/>
  <c r="H9" i="17073"/>
  <c r="O8" i="17073"/>
  <c r="H8" i="17073"/>
  <c r="H9" i="1"/>
  <c r="H7" i="1"/>
  <c r="A89" i="17066"/>
  <c r="C159" i="17075"/>
  <c r="AH159" i="17075"/>
  <c r="AG159" i="17075"/>
  <c r="AF159" i="17075"/>
  <c r="AE159" i="17075"/>
  <c r="AD159" i="17075"/>
  <c r="AC159" i="17075"/>
  <c r="AB159" i="17075"/>
  <c r="AA159" i="17075"/>
  <c r="Z159" i="17075"/>
  <c r="Y159" i="17075"/>
  <c r="X159" i="17075"/>
  <c r="W159" i="17075"/>
  <c r="V159" i="17075"/>
  <c r="U159" i="17075"/>
  <c r="T159" i="17075"/>
  <c r="S159" i="17075"/>
  <c r="R159" i="17075"/>
  <c r="Q159" i="17075"/>
  <c r="P159" i="17075"/>
  <c r="O159" i="17075"/>
  <c r="N159" i="17075"/>
  <c r="M159" i="17075"/>
  <c r="L159" i="17075"/>
  <c r="K159" i="17075"/>
  <c r="J159" i="17075"/>
  <c r="I159" i="17075"/>
  <c r="H159" i="17075"/>
  <c r="G159" i="17075"/>
  <c r="F159" i="17075"/>
  <c r="E159" i="17075"/>
  <c r="D159" i="17075"/>
  <c r="B144" i="17075"/>
  <c r="B120" i="17075"/>
  <c r="B118" i="17075"/>
  <c r="B117" i="17075"/>
  <c r="H97" i="17075"/>
  <c r="B97" i="17075"/>
  <c r="H95" i="17075"/>
  <c r="B94" i="17075"/>
  <c r="B93" i="17075"/>
  <c r="B76" i="17075"/>
  <c r="H74" i="17075"/>
  <c r="B73" i="17075"/>
  <c r="B72" i="17075"/>
  <c r="A69" i="17075"/>
  <c r="H52" i="17075"/>
  <c r="B52" i="17075"/>
  <c r="H50" i="17075"/>
  <c r="B49" i="17075"/>
  <c r="B48" i="17075"/>
  <c r="H30" i="17075"/>
  <c r="B30" i="17075"/>
  <c r="B29" i="17075"/>
  <c r="B51" i="17075" s="1"/>
  <c r="N27" i="17075"/>
  <c r="N49" i="17075"/>
  <c r="B27" i="17075"/>
  <c r="B26" i="17075"/>
  <c r="N29" i="17075"/>
  <c r="B142" i="17075"/>
  <c r="H72" i="17075"/>
  <c r="N73" i="17075"/>
  <c r="N94" i="17075"/>
  <c r="B166" i="17075"/>
  <c r="H27" i="17075"/>
  <c r="N52" i="17075"/>
  <c r="N76" i="17075"/>
  <c r="N97" i="17075"/>
  <c r="B141" i="17075"/>
  <c r="H26" i="17075"/>
  <c r="H73" i="17075"/>
  <c r="B165" i="17075"/>
  <c r="N26" i="17075"/>
  <c r="N48" i="17075"/>
  <c r="N72" i="17075"/>
  <c r="N93" i="17075"/>
  <c r="H93" i="17075"/>
  <c r="H48" i="17075"/>
  <c r="H94" i="17075"/>
  <c r="H49" i="17075"/>
  <c r="B151" i="17074"/>
  <c r="B129" i="17074"/>
  <c r="B127" i="17074"/>
  <c r="B105" i="17074"/>
  <c r="B104" i="17074"/>
  <c r="B153" i="17074" s="1"/>
  <c r="B103" i="17074"/>
  <c r="B102" i="17074"/>
  <c r="H85" i="17074"/>
  <c r="B85" i="17074"/>
  <c r="H83" i="17074"/>
  <c r="N83" i="17074" s="1"/>
  <c r="B82" i="17074"/>
  <c r="B81" i="17074"/>
  <c r="H67" i="17074"/>
  <c r="B67" i="17074"/>
  <c r="H65" i="17074"/>
  <c r="N65" i="17074" s="1"/>
  <c r="N64" i="17074"/>
  <c r="N82" i="17074"/>
  <c r="H64" i="17074"/>
  <c r="B64" i="17074"/>
  <c r="B63" i="17074"/>
  <c r="B61" i="17074"/>
  <c r="H45" i="17074"/>
  <c r="B45" i="17074"/>
  <c r="B42" i="17074"/>
  <c r="B41" i="17074"/>
  <c r="H27" i="17074"/>
  <c r="B27" i="17074"/>
  <c r="B26" i="17074"/>
  <c r="H26" i="17074" s="1"/>
  <c r="H25" i="17074"/>
  <c r="N25" i="17074" s="1"/>
  <c r="N24" i="17074"/>
  <c r="N42" i="17074"/>
  <c r="B24" i="17074"/>
  <c r="B23" i="17074"/>
  <c r="H24" i="17074"/>
  <c r="B150" i="17074"/>
  <c r="B126" i="17074"/>
  <c r="H42" i="17074"/>
  <c r="H63" i="17074"/>
  <c r="H23" i="17074"/>
  <c r="N23" i="17074"/>
  <c r="N41" i="17074"/>
  <c r="H41" i="17074"/>
  <c r="N63" i="17074"/>
  <c r="N81" i="17074"/>
  <c r="H82" i="17074"/>
  <c r="H81" i="17074"/>
  <c r="B161" i="17073"/>
  <c r="B140" i="17073"/>
  <c r="B137" i="17073"/>
  <c r="B116" i="17073"/>
  <c r="B139" i="17073" s="1"/>
  <c r="B115" i="17073"/>
  <c r="B114" i="17073"/>
  <c r="H96" i="17073"/>
  <c r="B96" i="17073"/>
  <c r="N93" i="17073"/>
  <c r="B93" i="17073"/>
  <c r="N92" i="17073"/>
  <c r="B92" i="17073"/>
  <c r="H75" i="17073"/>
  <c r="B75" i="17073"/>
  <c r="N72" i="17073"/>
  <c r="B72" i="17073"/>
  <c r="B71" i="17073"/>
  <c r="B68" i="17073"/>
  <c r="H50" i="17073"/>
  <c r="B50" i="17073"/>
  <c r="N47" i="17073"/>
  <c r="B47" i="17073"/>
  <c r="B46" i="17073"/>
  <c r="H28" i="17073"/>
  <c r="B28" i="17073"/>
  <c r="B27" i="17073"/>
  <c r="B49" i="17073" s="1"/>
  <c r="N25" i="17073"/>
  <c r="B25" i="17073"/>
  <c r="B24" i="17073"/>
  <c r="H138" i="17073"/>
  <c r="B160" i="17073"/>
  <c r="H71" i="17073"/>
  <c r="H72" i="17073"/>
  <c r="H24" i="17073"/>
  <c r="N24" i="17073"/>
  <c r="H27" i="17073"/>
  <c r="H92" i="17073"/>
  <c r="H47" i="17073"/>
  <c r="H25" i="17073"/>
  <c r="H46" i="17073"/>
  <c r="B138" i="17073"/>
  <c r="N46" i="17073"/>
  <c r="N71" i="17073"/>
  <c r="H93" i="17073"/>
  <c r="Z76" i="17068"/>
  <c r="X72" i="17065"/>
  <c r="V72" i="17065"/>
  <c r="V76" i="17068" s="1"/>
  <c r="T72" i="17065"/>
  <c r="T76" i="17068" s="1"/>
  <c r="R72" i="17065"/>
  <c r="R76" i="17068" s="1"/>
  <c r="P72" i="17065"/>
  <c r="P76" i="17068" s="1"/>
  <c r="N72" i="17065"/>
  <c r="N76" i="17068" s="1"/>
  <c r="L72" i="17065"/>
  <c r="L65" i="17065" s="1"/>
  <c r="H72" i="17065"/>
  <c r="AF72" i="17066"/>
  <c r="AB71" i="17065"/>
  <c r="AB67" i="17069" s="1"/>
  <c r="H76" i="17066"/>
  <c r="AF72" i="17065"/>
  <c r="AF76" i="17068" s="1"/>
  <c r="AD72" i="17065"/>
  <c r="AD76" i="17068" s="1"/>
  <c r="AB72" i="17065"/>
  <c r="AB65" i="17065" s="1"/>
  <c r="J72" i="17065"/>
  <c r="J76" i="17068" s="1"/>
  <c r="F72" i="17065"/>
  <c r="F68" i="17069" s="1"/>
  <c r="D72" i="17065"/>
  <c r="B72" i="17065"/>
  <c r="B76" i="17068" s="1"/>
  <c r="B76" i="17067"/>
  <c r="AF66" i="17069"/>
  <c r="AF57" i="17065"/>
  <c r="AF53" i="17069"/>
  <c r="AF53" i="17070" s="1"/>
  <c r="AD66" i="17069"/>
  <c r="AD57" i="17065"/>
  <c r="AB7" i="17068"/>
  <c r="AC40" i="17068" s="1"/>
  <c r="AB66" i="17069"/>
  <c r="AB23" i="17069" s="1"/>
  <c r="AB53" i="17069"/>
  <c r="Z66" i="17069"/>
  <c r="Z42" i="17069" s="1"/>
  <c r="Z53" i="17069"/>
  <c r="X66" i="17069"/>
  <c r="X57" i="17065"/>
  <c r="X53" i="17069"/>
  <c r="V66" i="17069"/>
  <c r="V53" i="17069"/>
  <c r="T66" i="17069"/>
  <c r="T47" i="17069" s="1"/>
  <c r="T53" i="17069"/>
  <c r="R7" i="17068"/>
  <c r="R66" i="17069"/>
  <c r="R7" i="17065"/>
  <c r="R57" i="17065"/>
  <c r="P7" i="17068"/>
  <c r="P57" i="17065"/>
  <c r="P53" i="17069"/>
  <c r="P53" i="17070" s="1"/>
  <c r="N7" i="17068"/>
  <c r="O36" i="17068" s="1"/>
  <c r="N66" i="17069"/>
  <c r="N57" i="17065"/>
  <c r="N53" i="17069"/>
  <c r="L7" i="17068"/>
  <c r="L66" i="17069"/>
  <c r="L36" i="17065"/>
  <c r="L57" i="17065"/>
  <c r="L53" i="17069"/>
  <c r="J7" i="17068"/>
  <c r="J66" i="17069"/>
  <c r="J23" i="17069" s="1"/>
  <c r="J57" i="17065"/>
  <c r="J53" i="17069"/>
  <c r="H7" i="17068"/>
  <c r="I30" i="17068" s="1"/>
  <c r="H66" i="17069"/>
  <c r="H57" i="17065"/>
  <c r="H53" i="17069"/>
  <c r="F7" i="17068"/>
  <c r="F66" i="17069"/>
  <c r="F57" i="17065"/>
  <c r="F53" i="17069"/>
  <c r="D7" i="17068"/>
  <c r="E40" i="17068" s="1"/>
  <c r="D57" i="17065"/>
  <c r="D53" i="17069"/>
  <c r="B66" i="17069"/>
  <c r="B57" i="17065"/>
  <c r="B53" i="17069"/>
  <c r="B53" i="17070" s="1"/>
  <c r="AF71" i="17069"/>
  <c r="AD71" i="17069"/>
  <c r="AB71" i="17069"/>
  <c r="Z71" i="17069"/>
  <c r="Z44" i="17069" s="1"/>
  <c r="X71" i="17069"/>
  <c r="V71" i="17069"/>
  <c r="T71" i="17069"/>
  <c r="T57" i="17069" s="1"/>
  <c r="R71" i="17069"/>
  <c r="P71" i="17069"/>
  <c r="P57" i="17069" s="1"/>
  <c r="N71" i="17069"/>
  <c r="L71" i="17069"/>
  <c r="L44" i="17069" s="1"/>
  <c r="J71" i="17069"/>
  <c r="H71" i="17069"/>
  <c r="F71" i="17069"/>
  <c r="D71" i="17069"/>
  <c r="D44" i="17069" s="1"/>
  <c r="B71" i="17069"/>
  <c r="AF69" i="17069"/>
  <c r="AD69" i="17069"/>
  <c r="AB69" i="17069"/>
  <c r="Z69" i="17069"/>
  <c r="X69" i="17069"/>
  <c r="V69" i="17069"/>
  <c r="T69" i="17069"/>
  <c r="T55" i="17069" s="1"/>
  <c r="R69" i="17069"/>
  <c r="P69" i="17069"/>
  <c r="N69" i="17069"/>
  <c r="L69" i="17069"/>
  <c r="J69" i="17069"/>
  <c r="H69" i="17069"/>
  <c r="F69" i="17069"/>
  <c r="D69" i="17069"/>
  <c r="D43" i="17069" s="1"/>
  <c r="B69" i="17069"/>
  <c r="AF13" i="17065"/>
  <c r="AD13" i="17065"/>
  <c r="AB13" i="17065"/>
  <c r="Z13" i="17065"/>
  <c r="AN81" i="17069"/>
  <c r="AF68" i="17070"/>
  <c r="AF70" i="17069"/>
  <c r="AF67" i="17069"/>
  <c r="AF10" i="17069"/>
  <c r="AF10" i="17070" s="1"/>
  <c r="AF76" i="17067"/>
  <c r="AF69" i="17067" s="1"/>
  <c r="AF76" i="17066"/>
  <c r="AF71" i="17070" s="1"/>
  <c r="AF75" i="17066"/>
  <c r="AF43" i="17066"/>
  <c r="AF42" i="17066"/>
  <c r="AF41" i="17066"/>
  <c r="AF40" i="17066"/>
  <c r="AF13" i="17066"/>
  <c r="AF11" i="17066"/>
  <c r="AF8" i="17066"/>
  <c r="AF61" i="17065"/>
  <c r="AG50" i="17065"/>
  <c r="AF48" i="17065"/>
  <c r="AF47" i="17065"/>
  <c r="AF46" i="17065"/>
  <c r="AF37" i="17065"/>
  <c r="AF35" i="17065"/>
  <c r="AF33" i="17065"/>
  <c r="AG32" i="17065"/>
  <c r="AF27" i="17065"/>
  <c r="AG26" i="17065"/>
  <c r="AF25" i="17065"/>
  <c r="AG24" i="17065"/>
  <c r="AF23" i="17065"/>
  <c r="AG22" i="17065"/>
  <c r="AG12" i="17065"/>
  <c r="AF11" i="17065"/>
  <c r="AG10" i="17065"/>
  <c r="AG16" i="17065"/>
  <c r="AG36" i="17065"/>
  <c r="AF59" i="17065"/>
  <c r="AF41" i="17070"/>
  <c r="AF60" i="17065"/>
  <c r="AG18" i="17065"/>
  <c r="AG34" i="17065"/>
  <c r="AF58" i="17065"/>
  <c r="F71" i="17066"/>
  <c r="AN37" i="17066"/>
  <c r="AN35" i="17066"/>
  <c r="AN33" i="17066"/>
  <c r="AN43" i="17066"/>
  <c r="AD68" i="17070"/>
  <c r="AD70" i="17069"/>
  <c r="AD10" i="17069"/>
  <c r="AD76" i="17067"/>
  <c r="AD67" i="17067"/>
  <c r="AD58" i="17066"/>
  <c r="AD61" i="17067"/>
  <c r="AD76" i="17066"/>
  <c r="AD75" i="17066"/>
  <c r="AD42" i="17066"/>
  <c r="AD41" i="17066"/>
  <c r="AD40" i="17066"/>
  <c r="AE27" i="17066"/>
  <c r="AE25" i="17066"/>
  <c r="AE23" i="17066"/>
  <c r="AE19" i="17066"/>
  <c r="AE17" i="17066"/>
  <c r="AE13" i="17066"/>
  <c r="AE11" i="17066"/>
  <c r="AD61" i="17065"/>
  <c r="AD60" i="17065"/>
  <c r="AD59" i="17065"/>
  <c r="AD58" i="17065"/>
  <c r="AE50" i="17065"/>
  <c r="AD48" i="17065"/>
  <c r="AD47" i="17065"/>
  <c r="AD46" i="17065"/>
  <c r="AD37" i="17065"/>
  <c r="AE36" i="17065"/>
  <c r="AD35" i="17065"/>
  <c r="AE34" i="17065"/>
  <c r="AD33" i="17065"/>
  <c r="AE32" i="17065"/>
  <c r="AD27" i="17065"/>
  <c r="AE26" i="17065"/>
  <c r="AD25" i="17065"/>
  <c r="AE24" i="17065"/>
  <c r="AD23" i="17065"/>
  <c r="AE22" i="17065"/>
  <c r="AE18" i="17065"/>
  <c r="AE16" i="17065"/>
  <c r="AE12" i="17065"/>
  <c r="AD11" i="17065"/>
  <c r="AE10" i="17065"/>
  <c r="AD26" i="17066"/>
  <c r="AE37" i="17066"/>
  <c r="AB58" i="17066"/>
  <c r="AB68" i="17070"/>
  <c r="AB10" i="17069"/>
  <c r="AB70" i="17069"/>
  <c r="AB76" i="17067"/>
  <c r="AB67" i="17067"/>
  <c r="AB61" i="17067"/>
  <c r="AC33" i="17066"/>
  <c r="AB42" i="17066"/>
  <c r="AB41" i="17066"/>
  <c r="AB40" i="17066"/>
  <c r="AC35" i="17066"/>
  <c r="AC27" i="17066"/>
  <c r="AC25" i="17066"/>
  <c r="AC23" i="17066"/>
  <c r="AC17" i="17066"/>
  <c r="AC13" i="17066"/>
  <c r="AC11" i="17066"/>
  <c r="AB68" i="17065"/>
  <c r="AB67" i="17065"/>
  <c r="AB66" i="17065"/>
  <c r="AB64" i="17065"/>
  <c r="AC63" i="17065"/>
  <c r="AB61" i="17065"/>
  <c r="AB60" i="17065"/>
  <c r="AB59" i="17065"/>
  <c r="AB58" i="17065"/>
  <c r="AC57" i="17065"/>
  <c r="AB55" i="17065"/>
  <c r="AB54" i="17065"/>
  <c r="AB53" i="17065"/>
  <c r="AB51" i="17065"/>
  <c r="AC50" i="17065"/>
  <c r="AB48" i="17065"/>
  <c r="AB47" i="17065"/>
  <c r="AB46" i="17065"/>
  <c r="AB37" i="17065"/>
  <c r="AC36" i="17065"/>
  <c r="AB35" i="17065"/>
  <c r="AC34" i="17065"/>
  <c r="AB33" i="17065"/>
  <c r="AC32" i="17065"/>
  <c r="AB27" i="17065"/>
  <c r="AC26" i="17065"/>
  <c r="AB25" i="17065"/>
  <c r="AC24" i="17065"/>
  <c r="AB23" i="17065"/>
  <c r="AC22" i="17065"/>
  <c r="AC18" i="17065"/>
  <c r="AC16" i="17065"/>
  <c r="AC12" i="17065"/>
  <c r="AB11" i="17065"/>
  <c r="AC10" i="17065"/>
  <c r="AC19" i="17066"/>
  <c r="AC37" i="17066"/>
  <c r="B8" i="17066"/>
  <c r="B71" i="17066"/>
  <c r="B20" i="17066" s="1"/>
  <c r="D22" i="17065"/>
  <c r="B22" i="17065"/>
  <c r="D70" i="17069"/>
  <c r="B70" i="17069"/>
  <c r="D67" i="17069"/>
  <c r="B67" i="17069"/>
  <c r="D10" i="17069"/>
  <c r="D10" i="17070" s="1"/>
  <c r="B10" i="17069"/>
  <c r="B10" i="17070" s="1"/>
  <c r="F10" i="17069"/>
  <c r="F10" i="17070" s="1"/>
  <c r="F66" i="17070"/>
  <c r="H10" i="17069"/>
  <c r="H10" i="17070" s="1"/>
  <c r="F67" i="17069"/>
  <c r="H67" i="17069"/>
  <c r="F70" i="17069"/>
  <c r="F67" i="17067"/>
  <c r="F67" i="17068"/>
  <c r="F59" i="17069" s="1"/>
  <c r="H70" i="17069"/>
  <c r="D67" i="17067"/>
  <c r="D67" i="17068"/>
  <c r="D71" i="17068" s="1"/>
  <c r="B67" i="17067"/>
  <c r="B67" i="17068"/>
  <c r="B68" i="17068" s="1"/>
  <c r="D76" i="17066"/>
  <c r="D79" i="17067" s="1"/>
  <c r="B76" i="17066"/>
  <c r="D75" i="17066"/>
  <c r="D78" i="17067" s="1"/>
  <c r="B75" i="17066"/>
  <c r="B70" i="17070" s="1"/>
  <c r="D74" i="17066"/>
  <c r="B74" i="17066"/>
  <c r="D68" i="17070"/>
  <c r="D72" i="17066"/>
  <c r="D67" i="17070" s="1"/>
  <c r="B72" i="17066"/>
  <c r="B75" i="17067" s="1"/>
  <c r="D71" i="17066"/>
  <c r="D66" i="17070" s="1"/>
  <c r="D45" i="17066"/>
  <c r="B45" i="17066"/>
  <c r="D42" i="17066"/>
  <c r="B42" i="17066"/>
  <c r="D41" i="17066"/>
  <c r="B41" i="17066"/>
  <c r="D40" i="17066"/>
  <c r="B40" i="17066"/>
  <c r="D35" i="17066"/>
  <c r="B35" i="17066"/>
  <c r="D33" i="17066"/>
  <c r="B33" i="17066"/>
  <c r="B30" i="17066"/>
  <c r="D27" i="17066"/>
  <c r="B27" i="17066"/>
  <c r="B23" i="17066"/>
  <c r="D11" i="17066"/>
  <c r="B11" i="17066"/>
  <c r="D8" i="17066"/>
  <c r="D60" i="17065"/>
  <c r="D61" i="17065"/>
  <c r="B61" i="17065"/>
  <c r="D48" i="17065"/>
  <c r="B48" i="17065"/>
  <c r="D47" i="17065"/>
  <c r="B47" i="17065"/>
  <c r="D46" i="17065"/>
  <c r="B46" i="17065"/>
  <c r="D36" i="17065"/>
  <c r="D31" i="17069"/>
  <c r="E31" i="17069" s="1"/>
  <c r="D35" i="17065"/>
  <c r="B35" i="17065"/>
  <c r="E34" i="17065"/>
  <c r="C34" i="17065"/>
  <c r="D33" i="17065"/>
  <c r="B33" i="17065"/>
  <c r="E32" i="17065"/>
  <c r="C32" i="17065"/>
  <c r="D27" i="17065"/>
  <c r="B27" i="17065"/>
  <c r="E26" i="17065"/>
  <c r="C26" i="17065"/>
  <c r="E22" i="17065"/>
  <c r="C22" i="17065"/>
  <c r="D18" i="17065"/>
  <c r="D19" i="17065"/>
  <c r="B18" i="17065"/>
  <c r="C18" i="17065"/>
  <c r="D17" i="17065"/>
  <c r="B17" i="17065"/>
  <c r="E16" i="17065"/>
  <c r="C16" i="17065"/>
  <c r="D11" i="17065"/>
  <c r="E10" i="17065"/>
  <c r="C10" i="17065"/>
  <c r="B11" i="17065"/>
  <c r="S10" i="17065"/>
  <c r="X18" i="17065"/>
  <c r="X19" i="17065"/>
  <c r="K10" i="17065"/>
  <c r="L11" i="17065"/>
  <c r="O10" i="17065"/>
  <c r="Q10" i="17065"/>
  <c r="Y10" i="17065"/>
  <c r="R11" i="17065"/>
  <c r="X11" i="17065"/>
  <c r="R13" i="17065"/>
  <c r="K16" i="17065"/>
  <c r="J17" i="17065"/>
  <c r="L17" i="17065"/>
  <c r="N17" i="17065"/>
  <c r="R17" i="17065"/>
  <c r="X17" i="17065"/>
  <c r="J18" i="17065"/>
  <c r="J19" i="17065"/>
  <c r="L18" i="17065"/>
  <c r="M32" i="17065"/>
  <c r="N18" i="17065"/>
  <c r="O18" i="17065"/>
  <c r="N59" i="17065"/>
  <c r="J22" i="17065"/>
  <c r="L22" i="17065"/>
  <c r="N22" i="17065"/>
  <c r="Q22" i="17065"/>
  <c r="X23" i="17065"/>
  <c r="Y22" i="17065"/>
  <c r="P23" i="17065"/>
  <c r="R23" i="17065"/>
  <c r="P24" i="17065"/>
  <c r="R25" i="17065"/>
  <c r="K26" i="17065"/>
  <c r="M26" i="17065"/>
  <c r="O26" i="17065"/>
  <c r="Q26" i="17065"/>
  <c r="Y26" i="17065"/>
  <c r="J27" i="17065"/>
  <c r="L27" i="17065"/>
  <c r="N27" i="17065"/>
  <c r="P27" i="17065"/>
  <c r="R27" i="17065"/>
  <c r="X27" i="17065"/>
  <c r="X33" i="17065"/>
  <c r="J33" i="17065"/>
  <c r="L33" i="17065"/>
  <c r="N33" i="17065"/>
  <c r="P33" i="17065"/>
  <c r="R33" i="17065"/>
  <c r="X35" i="17065"/>
  <c r="J35" i="17065"/>
  <c r="L35" i="17065"/>
  <c r="N35" i="17065"/>
  <c r="P35" i="17065"/>
  <c r="R35" i="17065"/>
  <c r="J36" i="17065"/>
  <c r="J37" i="17065"/>
  <c r="N36" i="17065"/>
  <c r="P36" i="17065"/>
  <c r="P58" i="17065"/>
  <c r="Y34" i="17065"/>
  <c r="N37" i="17065"/>
  <c r="P37" i="17065"/>
  <c r="X37" i="17065"/>
  <c r="X46" i="17065"/>
  <c r="J46" i="17065"/>
  <c r="L46" i="17065"/>
  <c r="N46" i="17065"/>
  <c r="P46" i="17065"/>
  <c r="R46" i="17065"/>
  <c r="J47" i="17065"/>
  <c r="L47" i="17065"/>
  <c r="N47" i="17065"/>
  <c r="P47" i="17065"/>
  <c r="R47" i="17065"/>
  <c r="X47" i="17065"/>
  <c r="J48" i="17065"/>
  <c r="L48" i="17065"/>
  <c r="N48" i="17065"/>
  <c r="P48" i="17065"/>
  <c r="R48" i="17065"/>
  <c r="O16" i="17065"/>
  <c r="Q32" i="17065"/>
  <c r="J58" i="17065"/>
  <c r="N58" i="17065"/>
  <c r="J59" i="17065"/>
  <c r="P59" i="17065"/>
  <c r="J60" i="17065"/>
  <c r="N60" i="17065"/>
  <c r="P60" i="17065"/>
  <c r="L61" i="17065"/>
  <c r="P61" i="17065"/>
  <c r="J50" i="17065"/>
  <c r="K57" i="17065"/>
  <c r="N50" i="17065"/>
  <c r="N53" i="17065"/>
  <c r="J64" i="17065"/>
  <c r="L64" i="17065"/>
  <c r="N64" i="17065"/>
  <c r="R64" i="17065"/>
  <c r="X64" i="17065"/>
  <c r="J66" i="17065"/>
  <c r="L66" i="17065"/>
  <c r="N66" i="17065"/>
  <c r="R66" i="17065"/>
  <c r="X66" i="17065"/>
  <c r="J67" i="17065"/>
  <c r="L67" i="17065"/>
  <c r="N67" i="17065"/>
  <c r="R67" i="17065"/>
  <c r="X67" i="17065"/>
  <c r="J68" i="17065"/>
  <c r="L68" i="17065"/>
  <c r="N68" i="17065"/>
  <c r="R68" i="17065"/>
  <c r="X68" i="17065"/>
  <c r="N65" i="17065"/>
  <c r="X13" i="17065"/>
  <c r="L50" i="17065"/>
  <c r="M63" i="17065"/>
  <c r="X48" i="17065"/>
  <c r="Y24" i="17065"/>
  <c r="D71" i="17070"/>
  <c r="B63" i="17065"/>
  <c r="B64" i="17066" s="1"/>
  <c r="B69" i="17066" s="1"/>
  <c r="D76" i="17067"/>
  <c r="D69" i="17067" s="1"/>
  <c r="B68" i="17070"/>
  <c r="D37" i="17065"/>
  <c r="E36" i="17065"/>
  <c r="D58" i="17065"/>
  <c r="D59" i="17065"/>
  <c r="D13" i="17066"/>
  <c r="D37" i="17066"/>
  <c r="B25" i="17066"/>
  <c r="E12" i="17065"/>
  <c r="D13" i="17065"/>
  <c r="C24" i="17065"/>
  <c r="B25" i="17065"/>
  <c r="K63" i="17065"/>
  <c r="J51" i="17065"/>
  <c r="J54" i="17065"/>
  <c r="M57" i="17065"/>
  <c r="L53" i="17065"/>
  <c r="L51" i="17065"/>
  <c r="N54" i="17065"/>
  <c r="P50" i="17065"/>
  <c r="Q57" i="17065"/>
  <c r="R36" i="17065"/>
  <c r="R31" i="17069"/>
  <c r="M34" i="17065"/>
  <c r="Y32" i="17065"/>
  <c r="O32" i="17065"/>
  <c r="X25" i="17065"/>
  <c r="S24" i="17065"/>
  <c r="L19" i="17065"/>
  <c r="M16" i="17065"/>
  <c r="Q12" i="17065"/>
  <c r="M12" i="17065"/>
  <c r="J11" i="17065"/>
  <c r="M10" i="17065"/>
  <c r="B23" i="17065"/>
  <c r="B58" i="17065"/>
  <c r="B60" i="17065"/>
  <c r="X50" i="17065"/>
  <c r="X55" i="17065"/>
  <c r="Q34" i="17065"/>
  <c r="K32" i="17065"/>
  <c r="S12" i="17065"/>
  <c r="N13" i="17065"/>
  <c r="K12" i="17065"/>
  <c r="N11" i="17065"/>
  <c r="B59" i="17065"/>
  <c r="O63" i="17065"/>
  <c r="O57" i="17065"/>
  <c r="N55" i="17065"/>
  <c r="O36" i="17065"/>
  <c r="O34" i="17065"/>
  <c r="S26" i="17065"/>
  <c r="B13" i="17066"/>
  <c r="C12" i="17065"/>
  <c r="B13" i="17065"/>
  <c r="AN64" i="17066"/>
  <c r="AN66" i="17066" s="1"/>
  <c r="Z70" i="17069"/>
  <c r="Z56" i="17069" s="1"/>
  <c r="Z67" i="17069"/>
  <c r="Z10" i="17069"/>
  <c r="Z10" i="17070" s="1"/>
  <c r="Z75" i="17066"/>
  <c r="Z70" i="17070" s="1"/>
  <c r="Z74" i="17066"/>
  <c r="Z77" i="17067" s="1"/>
  <c r="Z72" i="17066"/>
  <c r="Z71" i="17066"/>
  <c r="Z45" i="17066"/>
  <c r="Z42" i="17066"/>
  <c r="Z41" i="17066"/>
  <c r="Z40" i="17066"/>
  <c r="Z37" i="17066"/>
  <c r="Z35" i="17066"/>
  <c r="Z33" i="17066"/>
  <c r="Z27" i="17066"/>
  <c r="Z25" i="17066"/>
  <c r="Z23" i="17066"/>
  <c r="Z13" i="17066"/>
  <c r="Z11" i="17066"/>
  <c r="Z8" i="17066"/>
  <c r="Z58" i="17066" s="1"/>
  <c r="Z68" i="17065"/>
  <c r="Z67" i="17065"/>
  <c r="Z66" i="17065"/>
  <c r="Z64" i="17065"/>
  <c r="Z61" i="17065"/>
  <c r="Z60" i="17065"/>
  <c r="Z59" i="17065"/>
  <c r="Z58" i="17065"/>
  <c r="AA50" i="17065"/>
  <c r="Z50" i="17065"/>
  <c r="Z55" i="17065"/>
  <c r="Z48" i="17065"/>
  <c r="Z47" i="17065"/>
  <c r="Z46" i="17065"/>
  <c r="Z37" i="17065"/>
  <c r="AA36" i="17065"/>
  <c r="Z35" i="17065"/>
  <c r="AA34" i="17065"/>
  <c r="Z33" i="17065"/>
  <c r="AA32" i="17065"/>
  <c r="Z27" i="17065"/>
  <c r="AA26" i="17065"/>
  <c r="Z25" i="17065"/>
  <c r="AA24" i="17065"/>
  <c r="Z23" i="17065"/>
  <c r="AA22" i="17065"/>
  <c r="AA18" i="17065"/>
  <c r="AA16" i="17065"/>
  <c r="AA12" i="17065"/>
  <c r="Z11" i="17065"/>
  <c r="AA10" i="17065"/>
  <c r="J67" i="17069"/>
  <c r="L67" i="17069"/>
  <c r="N67" i="17069"/>
  <c r="P67" i="17069"/>
  <c r="R67" i="17069"/>
  <c r="T67" i="17069"/>
  <c r="V67" i="17069"/>
  <c r="X67" i="17069"/>
  <c r="T68" i="17069"/>
  <c r="V68" i="17069"/>
  <c r="J70" i="17069"/>
  <c r="J56" i="17069" s="1"/>
  <c r="L70" i="17069"/>
  <c r="L56" i="17069" s="1"/>
  <c r="N70" i="17069"/>
  <c r="N67" i="17067"/>
  <c r="N67" i="17068"/>
  <c r="N59" i="17069" s="1"/>
  <c r="P70" i="17069"/>
  <c r="P56" i="17069" s="1"/>
  <c r="R70" i="17069"/>
  <c r="T70" i="17069"/>
  <c r="T50" i="17069" s="1"/>
  <c r="V70" i="17069"/>
  <c r="V56" i="17069" s="1"/>
  <c r="X70" i="17069"/>
  <c r="X56" i="17069" s="1"/>
  <c r="U53" i="17069"/>
  <c r="V53" i="17070"/>
  <c r="L41" i="17070"/>
  <c r="L76" i="17066"/>
  <c r="L53" i="17070"/>
  <c r="L56" i="17070" s="1"/>
  <c r="T41" i="17070"/>
  <c r="R10" i="17069"/>
  <c r="T10" i="17069"/>
  <c r="V10" i="17069"/>
  <c r="V11" i="17069" s="1"/>
  <c r="T61" i="17067"/>
  <c r="V61" i="17067"/>
  <c r="W61" i="17067" s="1"/>
  <c r="H40" i="17066"/>
  <c r="J40" i="17066"/>
  <c r="L40" i="17066"/>
  <c r="N40" i="17066"/>
  <c r="P40" i="17066"/>
  <c r="R40" i="17066"/>
  <c r="T40" i="17066"/>
  <c r="V40" i="17066"/>
  <c r="X40" i="17066"/>
  <c r="AN40" i="17066"/>
  <c r="H41" i="17066"/>
  <c r="J41" i="17066"/>
  <c r="L41" i="17066"/>
  <c r="N41" i="17066"/>
  <c r="P41" i="17066"/>
  <c r="R41" i="17066"/>
  <c r="T41" i="17066"/>
  <c r="V41" i="17066"/>
  <c r="X41" i="17066"/>
  <c r="AN41" i="17066"/>
  <c r="H42" i="17066"/>
  <c r="J42" i="17066"/>
  <c r="L42" i="17066"/>
  <c r="N42" i="17066"/>
  <c r="P42" i="17066"/>
  <c r="R42" i="17066"/>
  <c r="T42" i="17066"/>
  <c r="V42" i="17066"/>
  <c r="X42" i="17066"/>
  <c r="AN42" i="17066"/>
  <c r="F41" i="17066"/>
  <c r="F42" i="17066"/>
  <c r="F40" i="17066"/>
  <c r="H8" i="17066"/>
  <c r="J8" i="17066"/>
  <c r="N8" i="17066"/>
  <c r="P8" i="17066"/>
  <c r="T8" i="17066"/>
  <c r="V8" i="17066"/>
  <c r="V27" i="17066"/>
  <c r="F8" i="17066"/>
  <c r="H71" i="17066"/>
  <c r="H66" i="17070" s="1"/>
  <c r="J71" i="17066"/>
  <c r="L71" i="17066"/>
  <c r="N71" i="17066"/>
  <c r="N74" i="17067" s="1"/>
  <c r="P71" i="17066"/>
  <c r="P20" i="17066" s="1"/>
  <c r="R71" i="17066"/>
  <c r="T71" i="17066"/>
  <c r="V71" i="17066"/>
  <c r="V66" i="17070" s="1"/>
  <c r="X71" i="17066"/>
  <c r="X66" i="17070" s="1"/>
  <c r="H72" i="17066"/>
  <c r="J72" i="17066"/>
  <c r="L72" i="17066"/>
  <c r="N72" i="17066"/>
  <c r="N67" i="17070" s="1"/>
  <c r="P72" i="17066"/>
  <c r="P67" i="17070" s="1"/>
  <c r="R72" i="17066"/>
  <c r="T72" i="17066"/>
  <c r="V72" i="17066"/>
  <c r="V67" i="17070" s="1"/>
  <c r="X72" i="17066"/>
  <c r="X67" i="17070" s="1"/>
  <c r="T68" i="17070"/>
  <c r="V68" i="17070"/>
  <c r="AN68" i="17070"/>
  <c r="H74" i="17066"/>
  <c r="J74" i="17066"/>
  <c r="J69" i="17070" s="1"/>
  <c r="L74" i="17066"/>
  <c r="L77" i="17067" s="1"/>
  <c r="N74" i="17066"/>
  <c r="N69" i="17070" s="1"/>
  <c r="P74" i="17066"/>
  <c r="R74" i="17066"/>
  <c r="R69" i="17070" s="1"/>
  <c r="T74" i="17066"/>
  <c r="T69" i="17070" s="1"/>
  <c r="V74" i="17066"/>
  <c r="X74" i="17066"/>
  <c r="X69" i="17070" s="1"/>
  <c r="H75" i="17066"/>
  <c r="H53" i="17070"/>
  <c r="J75" i="17066"/>
  <c r="J78" i="17067" s="1"/>
  <c r="J67" i="17067"/>
  <c r="L75" i="17066"/>
  <c r="N75" i="17066"/>
  <c r="N70" i="17070" s="1"/>
  <c r="P75" i="17066"/>
  <c r="P78" i="17067" s="1"/>
  <c r="P71" i="17067" s="1"/>
  <c r="R75" i="17066"/>
  <c r="T75" i="17066"/>
  <c r="T78" i="17067" s="1"/>
  <c r="V75" i="17066"/>
  <c r="V78" i="17067" s="1"/>
  <c r="X75" i="17066"/>
  <c r="X70" i="17070" s="1"/>
  <c r="H71" i="17070"/>
  <c r="J76" i="17066"/>
  <c r="J71" i="17070" s="1"/>
  <c r="N76" i="17066"/>
  <c r="N71" i="17070" s="1"/>
  <c r="P76" i="17066"/>
  <c r="R76" i="17066"/>
  <c r="T76" i="17066"/>
  <c r="T71" i="17070" s="1"/>
  <c r="V76" i="17066"/>
  <c r="V71" i="17070" s="1"/>
  <c r="X76" i="17066"/>
  <c r="X71" i="17070" s="1"/>
  <c r="F76" i="17066"/>
  <c r="F71" i="17070" s="1"/>
  <c r="F75" i="17066"/>
  <c r="F78" i="17067" s="1"/>
  <c r="F71" i="17067" s="1"/>
  <c r="F64" i="17066"/>
  <c r="F66" i="17066" s="1"/>
  <c r="F74" i="17066"/>
  <c r="F72" i="17066"/>
  <c r="F74" i="17067"/>
  <c r="F23" i="17067" s="1"/>
  <c r="T64" i="17066"/>
  <c r="U64" i="17066" s="1"/>
  <c r="V64" i="17066"/>
  <c r="W64" i="17066" s="1"/>
  <c r="H45" i="17066"/>
  <c r="J45" i="17066"/>
  <c r="L45" i="17066"/>
  <c r="L47" i="17066" s="1"/>
  <c r="N45" i="17066"/>
  <c r="P45" i="17066"/>
  <c r="R45" i="17066"/>
  <c r="T45" i="17066"/>
  <c r="V45" i="17066"/>
  <c r="F45" i="17066"/>
  <c r="F46" i="17066" s="1"/>
  <c r="T37" i="17066"/>
  <c r="U37" i="17066" s="1"/>
  <c r="V37" i="17066"/>
  <c r="W37" i="17066" s="1"/>
  <c r="H35" i="17066"/>
  <c r="J35" i="17066"/>
  <c r="L35" i="17066"/>
  <c r="N35" i="17066"/>
  <c r="P35" i="17066"/>
  <c r="R35" i="17066"/>
  <c r="T35" i="17066"/>
  <c r="U35" i="17066" s="1"/>
  <c r="V35" i="17066"/>
  <c r="W35" i="17066" s="1"/>
  <c r="H33" i="17066"/>
  <c r="J33" i="17066"/>
  <c r="L33" i="17066"/>
  <c r="N33" i="17066"/>
  <c r="P33" i="17066"/>
  <c r="R33" i="17066"/>
  <c r="T33" i="17066"/>
  <c r="U33" i="17066" s="1"/>
  <c r="V33" i="17066"/>
  <c r="W33" i="17066" s="1"/>
  <c r="F35" i="17066"/>
  <c r="F36" i="17066" s="1"/>
  <c r="F33" i="17066"/>
  <c r="F34" i="17066" s="1"/>
  <c r="H27" i="17066"/>
  <c r="J27" i="17066"/>
  <c r="L27" i="17066"/>
  <c r="N27" i="17066"/>
  <c r="N28" i="17066" s="1"/>
  <c r="P27" i="17066"/>
  <c r="R27" i="17066"/>
  <c r="T27" i="17066"/>
  <c r="R25" i="17066"/>
  <c r="T25" i="17066"/>
  <c r="U25" i="17066" s="1"/>
  <c r="V25" i="17066"/>
  <c r="P23" i="17066"/>
  <c r="R23" i="17066"/>
  <c r="T23" i="17066"/>
  <c r="U23" i="17066" s="1"/>
  <c r="V23" i="17066"/>
  <c r="F27" i="17066"/>
  <c r="R13" i="17066"/>
  <c r="T13" i="17066"/>
  <c r="U13" i="17066" s="1"/>
  <c r="V13" i="17066"/>
  <c r="R11" i="17066"/>
  <c r="T11" i="17066"/>
  <c r="U11" i="17066" s="1"/>
  <c r="V11" i="17066"/>
  <c r="F22" i="17065"/>
  <c r="L67" i="17067"/>
  <c r="J67" i="17068"/>
  <c r="J72" i="17068" s="1"/>
  <c r="H67" i="17067"/>
  <c r="K28" i="17068"/>
  <c r="F68" i="17065"/>
  <c r="I16" i="17065"/>
  <c r="F58" i="17065"/>
  <c r="H48" i="17065"/>
  <c r="F48" i="17065"/>
  <c r="H47" i="17065"/>
  <c r="F47" i="17065"/>
  <c r="H46" i="17065"/>
  <c r="F46" i="17065"/>
  <c r="X37" i="17066"/>
  <c r="P37" i="17066"/>
  <c r="N37" i="17066"/>
  <c r="J37" i="17066"/>
  <c r="H36" i="17065"/>
  <c r="F36" i="17065"/>
  <c r="H35" i="17065"/>
  <c r="F35" i="17065"/>
  <c r="X35" i="17066"/>
  <c r="I34" i="17065"/>
  <c r="G34" i="17065"/>
  <c r="H33" i="17065"/>
  <c r="F33" i="17065"/>
  <c r="G32" i="17065"/>
  <c r="H27" i="17065"/>
  <c r="F27" i="17065"/>
  <c r="I26" i="17065"/>
  <c r="G26" i="17065"/>
  <c r="H22" i="17065"/>
  <c r="H18" i="17065"/>
  <c r="F18" i="17065"/>
  <c r="H17" i="17065"/>
  <c r="F17" i="17065"/>
  <c r="L11" i="17066"/>
  <c r="J10" i="17069"/>
  <c r="G10" i="17065"/>
  <c r="X8" i="17066"/>
  <c r="Y19" i="17066" s="1"/>
  <c r="X10" i="17069"/>
  <c r="H68" i="17070"/>
  <c r="R8" i="17066"/>
  <c r="R58" i="17066" s="1"/>
  <c r="P10" i="17069"/>
  <c r="Q10" i="17069" s="1"/>
  <c r="X27" i="17066"/>
  <c r="F23" i="17066"/>
  <c r="F61" i="17065"/>
  <c r="N68" i="17069"/>
  <c r="N68" i="17070"/>
  <c r="G19" i="17066"/>
  <c r="H11" i="17066"/>
  <c r="H37" i="17066"/>
  <c r="H24" i="17065"/>
  <c r="H25" i="17066"/>
  <c r="L23" i="17066"/>
  <c r="M23" i="17066" s="1"/>
  <c r="H60" i="17065"/>
  <c r="H59" i="17065"/>
  <c r="R76" i="17067"/>
  <c r="R68" i="17069"/>
  <c r="L37" i="17066"/>
  <c r="P76" i="17067"/>
  <c r="P69" i="17067" s="1"/>
  <c r="P68" i="17069"/>
  <c r="J11" i="17066"/>
  <c r="N64" i="17066"/>
  <c r="J64" i="17066"/>
  <c r="R64" i="17066"/>
  <c r="R66" i="17066" s="1"/>
  <c r="P64" i="17066"/>
  <c r="P66" i="17066" s="1"/>
  <c r="N41" i="17070"/>
  <c r="N43" i="17070" s="1"/>
  <c r="F24" i="17065"/>
  <c r="H67" i="17065"/>
  <c r="F66" i="17065"/>
  <c r="L13" i="17066"/>
  <c r="B26" i="32"/>
  <c r="H26" i="32" s="1"/>
  <c r="H8" i="32"/>
  <c r="B31" i="1"/>
  <c r="H31" i="1" s="1"/>
  <c r="C27" i="1032"/>
  <c r="I27" i="1032" s="1"/>
  <c r="I9" i="1032"/>
  <c r="C99" i="1"/>
  <c r="C98" i="1"/>
  <c r="C97" i="1"/>
  <c r="C95" i="1"/>
  <c r="C96" i="1"/>
  <c r="C91" i="1"/>
  <c r="D99" i="32"/>
  <c r="F29" i="17068"/>
  <c r="Z68" i="17070"/>
  <c r="F67" i="17065"/>
  <c r="F64" i="17065"/>
  <c r="N23" i="17066"/>
  <c r="N24" i="17066" s="1"/>
  <c r="X33" i="17066"/>
  <c r="F37" i="17066"/>
  <c r="N11" i="17066"/>
  <c r="N12" i="17066" s="1"/>
  <c r="T44" i="17069"/>
  <c r="X68" i="17070"/>
  <c r="H79" i="17067"/>
  <c r="N65" i="17066"/>
  <c r="Z76" i="17067"/>
  <c r="Z69" i="17067" s="1"/>
  <c r="P68" i="17070"/>
  <c r="L78" i="17067"/>
  <c r="L71" i="17067" s="1"/>
  <c r="R37" i="17066"/>
  <c r="S37" i="17066" s="1"/>
  <c r="X13" i="17066"/>
  <c r="H68" i="17065"/>
  <c r="H66" i="17065"/>
  <c r="H64" i="17065"/>
  <c r="H58" i="17065"/>
  <c r="H25" i="17065"/>
  <c r="F11" i="17065"/>
  <c r="X11" i="17066"/>
  <c r="Y11" i="17066" s="1"/>
  <c r="F76" i="17067"/>
  <c r="F69" i="17067" s="1"/>
  <c r="X25" i="17066"/>
  <c r="G16" i="17065"/>
  <c r="G18" i="17065"/>
  <c r="I32" i="17065"/>
  <c r="F60" i="17065"/>
  <c r="N75" i="17067"/>
  <c r="V76" i="17067"/>
  <c r="L10" i="17069"/>
  <c r="F59" i="17065"/>
  <c r="H61" i="17065"/>
  <c r="H50" i="17065"/>
  <c r="I63" i="17065"/>
  <c r="X76" i="17067"/>
  <c r="X69" i="17067" s="1"/>
  <c r="I24" i="17065"/>
  <c r="F11" i="17066"/>
  <c r="G11" i="17066" s="1"/>
  <c r="X41" i="17070"/>
  <c r="X44" i="17070" s="1"/>
  <c r="I36" i="17065"/>
  <c r="H23" i="17066"/>
  <c r="G36" i="17065"/>
  <c r="I18" i="17065"/>
  <c r="F20" i="17066"/>
  <c r="F79" i="17067"/>
  <c r="T76" i="17067"/>
  <c r="N76" i="17067"/>
  <c r="N69" i="17067" s="1"/>
  <c r="J70" i="17070"/>
  <c r="X78" i="17067"/>
  <c r="X71" i="17067" s="1"/>
  <c r="X58" i="17066"/>
  <c r="X61" i="17067"/>
  <c r="N77" i="17067"/>
  <c r="N51" i="17067" s="1"/>
  <c r="X75" i="17067"/>
  <c r="P13" i="17066"/>
  <c r="N13" i="17066"/>
  <c r="N10" i="17069"/>
  <c r="N10" i="17070" s="1"/>
  <c r="I10" i="17065"/>
  <c r="H11" i="17065"/>
  <c r="H19" i="17065"/>
  <c r="F19" i="17065"/>
  <c r="P25" i="17066"/>
  <c r="V70" i="17070"/>
  <c r="J13" i="17066"/>
  <c r="R68" i="17070"/>
  <c r="X45" i="17066"/>
  <c r="P11" i="17066"/>
  <c r="Q11" i="17066" s="1"/>
  <c r="J23" i="17066"/>
  <c r="F23" i="17065"/>
  <c r="X23" i="17066"/>
  <c r="X24" i="17066" s="1"/>
  <c r="F50" i="17065"/>
  <c r="G57" i="17065"/>
  <c r="Z48" i="17066"/>
  <c r="L76" i="17067"/>
  <c r="L69" i="17067" s="1"/>
  <c r="F18" i="17066"/>
  <c r="Z54" i="17065"/>
  <c r="Z53" i="17065"/>
  <c r="AA63" i="17065"/>
  <c r="AA57" i="17065"/>
  <c r="Z51" i="17065"/>
  <c r="L42" i="17069"/>
  <c r="L68" i="17070"/>
  <c r="H55" i="17065"/>
  <c r="H54" i="17065"/>
  <c r="I57" i="17065"/>
  <c r="H51" i="17065"/>
  <c r="H53" i="17065"/>
  <c r="G12" i="17065"/>
  <c r="F13" i="17066"/>
  <c r="F14" i="17066" s="1"/>
  <c r="F13" i="17065"/>
  <c r="F55" i="17065"/>
  <c r="F51" i="17065"/>
  <c r="F53" i="17065"/>
  <c r="F54" i="17065"/>
  <c r="G63" i="17065"/>
  <c r="H13" i="17065"/>
  <c r="H13" i="17066"/>
  <c r="I13" i="17066" s="1"/>
  <c r="I12" i="17065"/>
  <c r="X54" i="17065"/>
  <c r="M36" i="17065"/>
  <c r="K34" i="17065"/>
  <c r="D68" i="17069"/>
  <c r="B36" i="17065"/>
  <c r="B31" i="17069"/>
  <c r="B32" i="17069" s="1"/>
  <c r="Y63" i="17065"/>
  <c r="H23" i="17065"/>
  <c r="O12" i="17065"/>
  <c r="N52" i="17065"/>
  <c r="L54" i="17065"/>
  <c r="J52" i="17065"/>
  <c r="J53" i="17065"/>
  <c r="N61" i="17065"/>
  <c r="R18" i="17065"/>
  <c r="M18" i="17065"/>
  <c r="K18" i="17065"/>
  <c r="J13" i="17065"/>
  <c r="L24" i="17065"/>
  <c r="N29" i="17068"/>
  <c r="F68" i="17070"/>
  <c r="D36" i="17066"/>
  <c r="P13" i="17065"/>
  <c r="Y57" i="17065"/>
  <c r="R60" i="17065"/>
  <c r="R50" i="17065"/>
  <c r="Y16" i="17065"/>
  <c r="Y18" i="17065"/>
  <c r="L60" i="17065"/>
  <c r="L59" i="17065"/>
  <c r="L58" i="17065"/>
  <c r="K36" i="17065"/>
  <c r="N23" i="17065"/>
  <c r="O22" i="17065"/>
  <c r="X59" i="17065"/>
  <c r="X58" i="17065"/>
  <c r="D24" i="17065"/>
  <c r="F28" i="17066"/>
  <c r="B78" i="17067"/>
  <c r="B71" i="17067" s="1"/>
  <c r="D75" i="17067"/>
  <c r="N47" i="17066"/>
  <c r="R55" i="17065"/>
  <c r="X51" i="17065"/>
  <c r="X53" i="17065"/>
  <c r="R58" i="17065"/>
  <c r="Y12" i="17065"/>
  <c r="S36" i="17065"/>
  <c r="L55" i="17065"/>
  <c r="N51" i="17065"/>
  <c r="X60" i="17065"/>
  <c r="Y36" i="17065"/>
  <c r="K22" i="17065"/>
  <c r="P11" i="17065"/>
  <c r="E18" i="17065"/>
  <c r="S57" i="17065"/>
  <c r="Q36" i="17065"/>
  <c r="H76" i="17067"/>
  <c r="G24" i="17065"/>
  <c r="J68" i="17070"/>
  <c r="J76" i="17067"/>
  <c r="J69" i="17067" s="1"/>
  <c r="R52" i="17065"/>
  <c r="R61" i="17065"/>
  <c r="J55" i="17065"/>
  <c r="X61" i="17065"/>
  <c r="J61" i="17065"/>
  <c r="L37" i="17065"/>
  <c r="J24" i="17065"/>
  <c r="L23" i="17065"/>
  <c r="S22" i="17065"/>
  <c r="N19" i="17065"/>
  <c r="B19" i="17065"/>
  <c r="D12" i="17066"/>
  <c r="D23" i="17066"/>
  <c r="D24" i="17066" s="1"/>
  <c r="P25" i="17065"/>
  <c r="M24" i="17065"/>
  <c r="R69" i="17067"/>
  <c r="AB67" i="17068"/>
  <c r="AB59" i="17069" s="1"/>
  <c r="AB62" i="17069" s="1"/>
  <c r="B37" i="17065"/>
  <c r="C36" i="17065"/>
  <c r="B37" i="17066"/>
  <c r="L25" i="17065"/>
  <c r="L25" i="17066"/>
  <c r="R19" i="17065"/>
  <c r="S18" i="17065"/>
  <c r="D25" i="17065"/>
  <c r="D25" i="17066"/>
  <c r="E24" i="17065"/>
  <c r="R54" i="17065"/>
  <c r="R51" i="17065"/>
  <c r="R53" i="17065"/>
  <c r="S63" i="17065"/>
  <c r="K24" i="17065"/>
  <c r="J25" i="17065"/>
  <c r="J25" i="17066"/>
  <c r="R12" i="17070"/>
  <c r="AA17" i="17066"/>
  <c r="AA19" i="17066"/>
  <c r="J59" i="17069"/>
  <c r="J46" i="17069" s="1"/>
  <c r="J68" i="17068"/>
  <c r="R59" i="17069"/>
  <c r="R71" i="17068"/>
  <c r="AB64" i="17066"/>
  <c r="AB66" i="17066" s="1"/>
  <c r="L64" i="17066"/>
  <c r="L66" i="17066" s="1"/>
  <c r="L67" i="17068"/>
  <c r="L59" i="17069" s="1"/>
  <c r="B59" i="17069"/>
  <c r="AD64" i="17066"/>
  <c r="AD51" i="17066" s="1"/>
  <c r="X59" i="17069"/>
  <c r="X59" i="17070" s="1"/>
  <c r="H20" i="17069"/>
  <c r="I20" i="17069" s="1"/>
  <c r="F70" i="17068"/>
  <c r="B18" i="17069"/>
  <c r="B18" i="17070" s="1"/>
  <c r="AF64" i="17066"/>
  <c r="H64" i="17066"/>
  <c r="H65" i="17066" s="1"/>
  <c r="H67" i="17068"/>
  <c r="H71" i="17068" s="1"/>
  <c r="H37" i="17065"/>
  <c r="H31" i="17069"/>
  <c r="I31" i="17069" s="1"/>
  <c r="R37" i="17065"/>
  <c r="V23" i="17069"/>
  <c r="F25" i="17066"/>
  <c r="F20" i="17069"/>
  <c r="F21" i="17069" s="1"/>
  <c r="I22" i="17065"/>
  <c r="G22" i="17065"/>
  <c r="L13" i="17065"/>
  <c r="N24" i="17065"/>
  <c r="D23" i="17065"/>
  <c r="AB72" i="17066"/>
  <c r="AB75" i="17068"/>
  <c r="F37" i="17065"/>
  <c r="M22" i="17065"/>
  <c r="AD53" i="17069"/>
  <c r="Q24" i="17065"/>
  <c r="P20" i="17069"/>
  <c r="Q20" i="17069" s="1"/>
  <c r="J23" i="17065"/>
  <c r="D93" i="32"/>
  <c r="D92" i="32"/>
  <c r="S36" i="17068"/>
  <c r="G36" i="17068"/>
  <c r="K38" i="17068"/>
  <c r="K40" i="17068"/>
  <c r="AN27" i="17069"/>
  <c r="AN27" i="17070" s="1"/>
  <c r="T51" i="17068"/>
  <c r="Z52" i="17068"/>
  <c r="AB51" i="17068"/>
  <c r="N50" i="17068"/>
  <c r="N51" i="17068"/>
  <c r="V52" i="17068"/>
  <c r="V50" i="17068"/>
  <c r="P51" i="17068"/>
  <c r="P52" i="17068"/>
  <c r="X52" i="17068"/>
  <c r="AD52" i="17068"/>
  <c r="AD50" i="17068"/>
  <c r="H31" i="17068"/>
  <c r="G30" i="17068"/>
  <c r="AC18" i="17068"/>
  <c r="S18" i="17068"/>
  <c r="S10" i="17068"/>
  <c r="F31" i="17068"/>
  <c r="E10" i="17068"/>
  <c r="G24" i="17068"/>
  <c r="G18" i="17068"/>
  <c r="G20" i="17068"/>
  <c r="K24" i="17068"/>
  <c r="K10" i="17068"/>
  <c r="K20" i="17068"/>
  <c r="O18" i="17068"/>
  <c r="O16" i="17068"/>
  <c r="O20" i="17068"/>
  <c r="F43" i="17069"/>
  <c r="F55" i="17069"/>
  <c r="D57" i="17069"/>
  <c r="D53" i="17070"/>
  <c r="D57" i="17070" s="1"/>
  <c r="F57" i="17069"/>
  <c r="X10" i="17070"/>
  <c r="B20" i="17069"/>
  <c r="C20" i="17069" s="1"/>
  <c r="Q13" i="17066"/>
  <c r="J68" i="17066"/>
  <c r="S17" i="17066"/>
  <c r="S25" i="17066"/>
  <c r="S19" i="17066"/>
  <c r="V74" i="17067"/>
  <c r="E19" i="17066"/>
  <c r="E11" i="17066"/>
  <c r="D20" i="17066"/>
  <c r="D18" i="17066"/>
  <c r="D74" i="17067"/>
  <c r="D37" i="17067" s="1"/>
  <c r="D46" i="17066"/>
  <c r="D28" i="17066"/>
  <c r="B77" i="17067"/>
  <c r="B47" i="17066"/>
  <c r="B69" i="17070"/>
  <c r="B71" i="17070"/>
  <c r="B79" i="17067"/>
  <c r="B72" i="17067" s="1"/>
  <c r="H24" i="17066"/>
  <c r="I23" i="17066"/>
  <c r="Z69" i="17066"/>
  <c r="Z66" i="17066"/>
  <c r="N46" i="17066"/>
  <c r="F69" i="17070"/>
  <c r="F77" i="17067"/>
  <c r="T70" i="17070"/>
  <c r="L70" i="17070"/>
  <c r="P69" i="17070"/>
  <c r="P77" i="17067"/>
  <c r="P67" i="17066"/>
  <c r="H69" i="17070"/>
  <c r="P75" i="17067"/>
  <c r="J67" i="17070"/>
  <c r="J75" i="17067"/>
  <c r="B48" i="17066"/>
  <c r="AA25" i="17066"/>
  <c r="B18" i="17066"/>
  <c r="AF68" i="17069"/>
  <c r="R65" i="17065"/>
  <c r="Z52" i="17065"/>
  <c r="Z68" i="17069"/>
  <c r="Z65" i="17065"/>
  <c r="H74" i="17067"/>
  <c r="Q25" i="17066"/>
  <c r="Q17" i="17066"/>
  <c r="Q19" i="17066"/>
  <c r="P58" i="17066"/>
  <c r="P62" i="17066" s="1"/>
  <c r="Q27" i="17066"/>
  <c r="H58" i="17066"/>
  <c r="I19" i="17066"/>
  <c r="I25" i="17066"/>
  <c r="I27" i="17066"/>
  <c r="I17" i="17066"/>
  <c r="I11" i="17066"/>
  <c r="D38" i="17066"/>
  <c r="X48" i="17066"/>
  <c r="Z67" i="17066"/>
  <c r="X26" i="17066"/>
  <c r="X74" i="17067"/>
  <c r="X37" i="17067" s="1"/>
  <c r="AD61" i="17066"/>
  <c r="Z47" i="17066"/>
  <c r="Z69" i="17070"/>
  <c r="X28" i="17066"/>
  <c r="X38" i="17066"/>
  <c r="X34" i="17066"/>
  <c r="X20" i="17066"/>
  <c r="D14" i="17066"/>
  <c r="D77" i="17067"/>
  <c r="D51" i="17067" s="1"/>
  <c r="F25" i="17065"/>
  <c r="M25" i="17066"/>
  <c r="Y23" i="17066"/>
  <c r="Z61" i="17067"/>
  <c r="Z54" i="17067" s="1"/>
  <c r="AA37" i="17066"/>
  <c r="Z60" i="17066"/>
  <c r="Z61" i="17066"/>
  <c r="L20" i="17069"/>
  <c r="L21" i="17069" s="1"/>
  <c r="H68" i="17066"/>
  <c r="X64" i="17066"/>
  <c r="X68" i="17066" s="1"/>
  <c r="AD54" i="17067"/>
  <c r="H62" i="17066"/>
  <c r="F26" i="17066"/>
  <c r="G25" i="17066"/>
  <c r="S16" i="17065"/>
  <c r="R59" i="17065"/>
  <c r="R53" i="17069"/>
  <c r="S34" i="17065"/>
  <c r="S32" i="17065"/>
  <c r="H66" i="17066"/>
  <c r="AB51" i="17066"/>
  <c r="AB53" i="17066" s="1"/>
  <c r="D39" i="17067"/>
  <c r="D19" i="17067"/>
  <c r="D13" i="17067"/>
  <c r="O24" i="17065"/>
  <c r="N25" i="17065"/>
  <c r="N25" i="17066"/>
  <c r="G20" i="17069"/>
  <c r="AF7" i="17070"/>
  <c r="B31" i="17068"/>
  <c r="C30" i="17068"/>
  <c r="N31" i="17068"/>
  <c r="R62" i="17066"/>
  <c r="R60" i="17066"/>
  <c r="R61" i="17067"/>
  <c r="H41" i="17070"/>
  <c r="H44" i="17070" s="1"/>
  <c r="B42" i="17069"/>
  <c r="B44" i="17069"/>
  <c r="D41" i="17070"/>
  <c r="D42" i="17070" s="1"/>
  <c r="B41" i="17070"/>
  <c r="M30" i="17068"/>
  <c r="R56" i="17069"/>
  <c r="AC10" i="17069"/>
  <c r="H20" i="17070"/>
  <c r="J7" i="17070"/>
  <c r="K10" i="17069"/>
  <c r="O10" i="17069"/>
  <c r="N7" i="17070"/>
  <c r="W10" i="17069"/>
  <c r="P7" i="17070"/>
  <c r="L7" i="17070"/>
  <c r="Z7" i="17070"/>
  <c r="AA10" i="17070" s="1"/>
  <c r="AA10" i="17069"/>
  <c r="D7" i="17070"/>
  <c r="AG10" i="17069"/>
  <c r="X7" i="17070"/>
  <c r="Y10" i="17069"/>
  <c r="H7" i="17070"/>
  <c r="I10" i="17069"/>
  <c r="C10" i="17069"/>
  <c r="C22" i="17069"/>
  <c r="B7" i="17070"/>
  <c r="G10" i="17069"/>
  <c r="F7" i="17070"/>
  <c r="AE10" i="17069"/>
  <c r="R7" i="17070"/>
  <c r="AN10" i="17070"/>
  <c r="N260" i="1032"/>
  <c r="B162" i="17073"/>
  <c r="D85" i="1"/>
  <c r="D89" i="1"/>
  <c r="D86" i="1"/>
  <c r="D87" i="1"/>
  <c r="D88" i="1"/>
  <c r="X62" i="17069"/>
  <c r="N44" i="17069"/>
  <c r="AB44" i="17069"/>
  <c r="AB57" i="17069"/>
  <c r="AH43" i="17069"/>
  <c r="AH44" i="17069"/>
  <c r="Z43" i="17069"/>
  <c r="Z41" i="17070"/>
  <c r="Z43" i="17070" s="1"/>
  <c r="J41" i="17070"/>
  <c r="J44" i="17070" s="1"/>
  <c r="J42" i="17069"/>
  <c r="J43" i="17069"/>
  <c r="J44" i="17069"/>
  <c r="AD66" i="17070"/>
  <c r="T48" i="17069"/>
  <c r="F53" i="17070"/>
  <c r="H54" i="17069"/>
  <c r="H55" i="17069"/>
  <c r="H57" i="17069"/>
  <c r="H56" i="17069"/>
  <c r="J53" i="17070"/>
  <c r="J57" i="17069"/>
  <c r="J55" i="17069"/>
  <c r="L54" i="17069"/>
  <c r="L57" i="17069"/>
  <c r="L55" i="17069"/>
  <c r="P55" i="17069"/>
  <c r="X55" i="17069"/>
  <c r="X57" i="17069"/>
  <c r="X53" i="17070"/>
  <c r="Z53" i="17070"/>
  <c r="Z55" i="17070" s="1"/>
  <c r="Z55" i="17069"/>
  <c r="AB11" i="17069"/>
  <c r="AB54" i="17069"/>
  <c r="AB42" i="17069"/>
  <c r="H23" i="17069"/>
  <c r="B54" i="17069"/>
  <c r="AC22" i="17069"/>
  <c r="M14" i="17069"/>
  <c r="L15" i="17069"/>
  <c r="D12" i="17070"/>
  <c r="E12" i="17069"/>
  <c r="R69" i="17068"/>
  <c r="E23" i="17066"/>
  <c r="J77" i="17067"/>
  <c r="M17" i="17066"/>
  <c r="D48" i="17066"/>
  <c r="M27" i="17066"/>
  <c r="M11" i="17066"/>
  <c r="M19" i="17066"/>
  <c r="P47" i="17066"/>
  <c r="L51" i="17067"/>
  <c r="J79" i="17067"/>
  <c r="R77" i="17067"/>
  <c r="F47" i="17066"/>
  <c r="L18" i="17066"/>
  <c r="B67" i="17070"/>
  <c r="AH68" i="17065"/>
  <c r="AH66" i="17065"/>
  <c r="AH64" i="17065"/>
  <c r="AH50" i="17065"/>
  <c r="AH55" i="17065" s="1"/>
  <c r="H61" i="17066"/>
  <c r="Y17" i="17066"/>
  <c r="H51" i="17066"/>
  <c r="H56" i="17066" s="1"/>
  <c r="N34" i="17066"/>
  <c r="AD68" i="17069"/>
  <c r="AH69" i="17070"/>
  <c r="Y27" i="17066"/>
  <c r="I35" i="17066"/>
  <c r="R47" i="17066"/>
  <c r="X36" i="17066"/>
  <c r="AE33" i="17066"/>
  <c r="AE35" i="17066"/>
  <c r="AH71" i="17070"/>
  <c r="F57" i="17070"/>
  <c r="R48" i="17066"/>
  <c r="H61" i="17067"/>
  <c r="H60" i="17066"/>
  <c r="AD61" i="17068"/>
  <c r="AD65" i="17068" s="1"/>
  <c r="Z62" i="17066"/>
  <c r="Z51" i="17066"/>
  <c r="Z55" i="17066" s="1"/>
  <c r="N14" i="17066"/>
  <c r="F48" i="17066"/>
  <c r="F69" i="17066"/>
  <c r="F24" i="17066"/>
  <c r="X18" i="17066"/>
  <c r="D70" i="17070"/>
  <c r="AH79" i="17067"/>
  <c r="AH72" i="17067" s="1"/>
  <c r="D72" i="17067"/>
  <c r="D52" i="17067"/>
  <c r="AH67" i="17070"/>
  <c r="E85" i="1"/>
  <c r="E86" i="1" s="1"/>
  <c r="E87" i="1" s="1"/>
  <c r="E88" i="1" s="1"/>
  <c r="E89" i="1" s="1"/>
  <c r="D91" i="1"/>
  <c r="H55" i="17066"/>
  <c r="Y33" i="17066"/>
  <c r="Y37" i="17066"/>
  <c r="X59" i="17066"/>
  <c r="AD64" i="17068"/>
  <c r="H61" i="17068"/>
  <c r="H64" i="17068" s="1"/>
  <c r="H54" i="17067"/>
  <c r="I61" i="17067" s="1"/>
  <c r="X61" i="17068"/>
  <c r="X64" i="17068" s="1"/>
  <c r="X54" i="17067"/>
  <c r="B43" i="17069"/>
  <c r="N43" i="17069"/>
  <c r="T77" i="17067"/>
  <c r="N68" i="17066"/>
  <c r="AB72" i="17068"/>
  <c r="R51" i="17068"/>
  <c r="Z68" i="17066"/>
  <c r="V79" i="17067"/>
  <c r="T51" i="17069"/>
  <c r="Z57" i="17069"/>
  <c r="Z78" i="17067"/>
  <c r="P20" i="17070"/>
  <c r="Q20" i="17070" s="1"/>
  <c r="H21" i="17069"/>
  <c r="H11" i="17069"/>
  <c r="H32" i="17069"/>
  <c r="AB55" i="17069"/>
  <c r="AB56" i="17069"/>
  <c r="B23" i="17069"/>
  <c r="G22" i="17069"/>
  <c r="AH55" i="17069"/>
  <c r="M22" i="17069"/>
  <c r="L23" i="17069"/>
  <c r="AG22" i="17069"/>
  <c r="AF23" i="17069"/>
  <c r="Y10" i="17070"/>
  <c r="F54" i="17069"/>
  <c r="F56" i="17069"/>
  <c r="V43" i="17069"/>
  <c r="V42" i="17069"/>
  <c r="V44" i="17069"/>
  <c r="N42" i="17069"/>
  <c r="AJ54" i="17069"/>
  <c r="AH56" i="17069"/>
  <c r="AJ44" i="17069"/>
  <c r="B56" i="17069"/>
  <c r="N11" i="17069"/>
  <c r="Z11" i="17069"/>
  <c r="V7" i="17070"/>
  <c r="V10" i="17070"/>
  <c r="V41" i="17070"/>
  <c r="AB53" i="17070"/>
  <c r="AB59" i="17070"/>
  <c r="AB7" i="17070"/>
  <c r="X55" i="17070"/>
  <c r="X57" i="17070"/>
  <c r="AJ41" i="17070"/>
  <c r="AB10" i="17070"/>
  <c r="I37" i="17066"/>
  <c r="D26" i="17066"/>
  <c r="F12" i="17066"/>
  <c r="Z71" i="17070"/>
  <c r="Z79" i="17067"/>
  <c r="AN67" i="17068"/>
  <c r="AN63" i="17065" s="1"/>
  <c r="AN67" i="17065" s="1"/>
  <c r="AO12" i="17068"/>
  <c r="AJ15" i="17069"/>
  <c r="AJ29" i="17070"/>
  <c r="AJ30" i="17069"/>
  <c r="AK29" i="17069"/>
  <c r="AB12" i="17068"/>
  <c r="Z10" i="17068"/>
  <c r="Z71" i="17067"/>
  <c r="AN68" i="17068"/>
  <c r="AN70" i="17068"/>
  <c r="E269" i="1032" l="1"/>
  <c r="N269" i="1032" s="1"/>
  <c r="V11" i="17070"/>
  <c r="AC10" i="17070"/>
  <c r="J52" i="17067"/>
  <c r="C31" i="17069"/>
  <c r="O29" i="17069"/>
  <c r="N29" i="17070"/>
  <c r="O29" i="17070" s="1"/>
  <c r="N30" i="17069"/>
  <c r="G18" i="17069"/>
  <c r="F18" i="17070"/>
  <c r="S20" i="17069"/>
  <c r="R20" i="17070"/>
  <c r="S20" i="17070" s="1"/>
  <c r="AA64" i="17066"/>
  <c r="AH54" i="17065"/>
  <c r="O30" i="17068"/>
  <c r="K36" i="17068"/>
  <c r="N71" i="17068"/>
  <c r="D59" i="17069"/>
  <c r="D59" i="17070" s="1"/>
  <c r="D61" i="17070" s="1"/>
  <c r="Q22" i="17068"/>
  <c r="L67" i="17066"/>
  <c r="L68" i="17066"/>
  <c r="N68" i="17068"/>
  <c r="AN12" i="17069"/>
  <c r="AN12" i="17070" s="1"/>
  <c r="K30" i="17068"/>
  <c r="G40" i="17068"/>
  <c r="N70" i="17068"/>
  <c r="F13" i="17068"/>
  <c r="P11" i="17068"/>
  <c r="AQ12" i="17069"/>
  <c r="G12" i="17068"/>
  <c r="F71" i="17068"/>
  <c r="L69" i="17066"/>
  <c r="AC10" i="17068"/>
  <c r="F68" i="17068"/>
  <c r="S20" i="17068"/>
  <c r="R72" i="17068"/>
  <c r="AK12" i="17068"/>
  <c r="N69" i="17068"/>
  <c r="AD65" i="17066"/>
  <c r="AK18" i="17068"/>
  <c r="AJ69" i="17068"/>
  <c r="AN68" i="17069"/>
  <c r="AB61" i="17070"/>
  <c r="AN71" i="17068"/>
  <c r="H63" i="17068"/>
  <c r="AN11" i="17069"/>
  <c r="V28" i="17068"/>
  <c r="V18" i="17069" s="1"/>
  <c r="W18" i="17069" s="1"/>
  <c r="H54" i="17068"/>
  <c r="I67" i="17068" s="1"/>
  <c r="AB30" i="17068"/>
  <c r="AB20" i="17069" s="1"/>
  <c r="AB21" i="17069" s="1"/>
  <c r="AM36" i="17068"/>
  <c r="AL27" i="17069"/>
  <c r="AN54" i="17068"/>
  <c r="AO67" i="17068" s="1"/>
  <c r="AI63" i="17065"/>
  <c r="X79" i="17067"/>
  <c r="AN59" i="17069"/>
  <c r="Z52" i="17067"/>
  <c r="W27" i="17066"/>
  <c r="R59" i="17066"/>
  <c r="H42" i="17070"/>
  <c r="Z26" i="17066"/>
  <c r="AD59" i="17066"/>
  <c r="AH23" i="17068"/>
  <c r="D25" i="17068"/>
  <c r="P23" i="17069"/>
  <c r="N31" i="17067"/>
  <c r="N68" i="17067"/>
  <c r="N39" i="17067"/>
  <c r="N13" i="17067"/>
  <c r="N36" i="17066"/>
  <c r="N21" i="17068"/>
  <c r="L17" i="17068"/>
  <c r="J36" i="17066"/>
  <c r="H21" i="17070"/>
  <c r="H18" i="17066"/>
  <c r="H38" i="17066"/>
  <c r="H12" i="17066"/>
  <c r="H59" i="17066"/>
  <c r="H14" i="17066"/>
  <c r="H34" i="17066"/>
  <c r="H28" i="17066"/>
  <c r="H20" i="17066"/>
  <c r="H36" i="17066"/>
  <c r="H26" i="17066"/>
  <c r="F68" i="17067"/>
  <c r="F31" i="17067"/>
  <c r="F25" i="17067"/>
  <c r="F21" i="17067"/>
  <c r="F29" i="17067"/>
  <c r="F11" i="17067"/>
  <c r="F37" i="17067"/>
  <c r="D34" i="17066"/>
  <c r="B74" i="17067"/>
  <c r="B34" i="17066"/>
  <c r="B66" i="17070"/>
  <c r="B26" i="17066"/>
  <c r="B38" i="17066"/>
  <c r="B14" i="17066"/>
  <c r="B36" i="17066"/>
  <c r="B28" i="17066"/>
  <c r="B24" i="17066"/>
  <c r="B12" i="17066"/>
  <c r="B46" i="17066"/>
  <c r="P38" i="17066"/>
  <c r="P28" i="17066"/>
  <c r="P54" i="17069"/>
  <c r="AN62" i="17068"/>
  <c r="P36" i="17066"/>
  <c r="Z20" i="17066"/>
  <c r="Z23" i="17069"/>
  <c r="AH24" i="17066"/>
  <c r="Z36" i="17066"/>
  <c r="Z54" i="17069"/>
  <c r="AH14" i="17066"/>
  <c r="X17" i="17067"/>
  <c r="X68" i="17067"/>
  <c r="X29" i="17067"/>
  <c r="Z65" i="17066"/>
  <c r="P65" i="17066"/>
  <c r="P74" i="17067"/>
  <c r="P50" i="17067" s="1"/>
  <c r="P14" i="17066"/>
  <c r="P18" i="17066"/>
  <c r="AD38" i="17066"/>
  <c r="X68" i="17068"/>
  <c r="AD46" i="17066"/>
  <c r="X23" i="17068"/>
  <c r="P34" i="17066"/>
  <c r="P66" i="17070"/>
  <c r="P54" i="17070" s="1"/>
  <c r="P50" i="17068"/>
  <c r="AN31" i="17068"/>
  <c r="P46" i="17066"/>
  <c r="P31" i="17068"/>
  <c r="P26" i="17066"/>
  <c r="P17" i="17068"/>
  <c r="T54" i="17069"/>
  <c r="T23" i="17069"/>
  <c r="T19" i="17069"/>
  <c r="AF21" i="17068"/>
  <c r="T42" i="17069"/>
  <c r="AB31" i="17068"/>
  <c r="AB41" i="17068"/>
  <c r="T11" i="17069"/>
  <c r="P37" i="17068"/>
  <c r="P13" i="17068"/>
  <c r="P21" i="17069"/>
  <c r="P25" i="17068"/>
  <c r="P21" i="17068"/>
  <c r="R24" i="17066"/>
  <c r="R32" i="17069"/>
  <c r="R39" i="17068"/>
  <c r="R11" i="17068"/>
  <c r="H62" i="17067"/>
  <c r="O10" i="17070"/>
  <c r="J56" i="17070"/>
  <c r="S33" i="17066"/>
  <c r="P69" i="17066"/>
  <c r="L70" i="17067"/>
  <c r="J43" i="17070"/>
  <c r="AA11" i="17066"/>
  <c r="AA13" i="17066"/>
  <c r="AA23" i="17066"/>
  <c r="AG10" i="17070"/>
  <c r="R55" i="17069"/>
  <c r="F11" i="17069"/>
  <c r="N57" i="17069"/>
  <c r="X54" i="17069"/>
  <c r="AD11" i="17069"/>
  <c r="B69" i="17067"/>
  <c r="AH34" i="17066"/>
  <c r="AI22" i="17068"/>
  <c r="AI24" i="17068"/>
  <c r="AH52" i="17067"/>
  <c r="X50" i="17067"/>
  <c r="S24" i="17068"/>
  <c r="K18" i="17068"/>
  <c r="I18" i="17068"/>
  <c r="K16" i="17068"/>
  <c r="AH72" i="17068"/>
  <c r="AI25" i="17066"/>
  <c r="AH19" i="17068"/>
  <c r="AB21" i="17068"/>
  <c r="B41" i="17068"/>
  <c r="T70" i="17068"/>
  <c r="P31" i="17069"/>
  <c r="N41" i="17068"/>
  <c r="L31" i="17069"/>
  <c r="J31" i="17069"/>
  <c r="K31" i="17069" s="1"/>
  <c r="G38" i="17068"/>
  <c r="F50" i="17067"/>
  <c r="AN23" i="17069"/>
  <c r="AD53" i="17070"/>
  <c r="AD54" i="17070" s="1"/>
  <c r="AD44" i="17069"/>
  <c r="E28" i="17068"/>
  <c r="G28" i="17068"/>
  <c r="I28" i="17068"/>
  <c r="J18" i="17069"/>
  <c r="J19" i="17069" s="1"/>
  <c r="L18" i="17069"/>
  <c r="N18" i="17069"/>
  <c r="P29" i="17068"/>
  <c r="D54" i="17069"/>
  <c r="M291" i="1032"/>
  <c r="M292" i="1032" s="1"/>
  <c r="AL63" i="17070"/>
  <c r="B119" i="17075"/>
  <c r="B143" i="17075" s="1"/>
  <c r="B167" i="17075" s="1"/>
  <c r="B75" i="17075"/>
  <c r="H51" i="17075"/>
  <c r="B44" i="17074"/>
  <c r="H44" i="17074" s="1"/>
  <c r="N44" i="17074" s="1"/>
  <c r="B128" i="17074"/>
  <c r="D96" i="32"/>
  <c r="D90" i="32"/>
  <c r="D88" i="32"/>
  <c r="D97" i="32"/>
  <c r="D91" i="32"/>
  <c r="D95" i="32"/>
  <c r="D98" i="32"/>
  <c r="H92" i="32" s="1"/>
  <c r="B101" i="32"/>
  <c r="H73" i="17073"/>
  <c r="H48" i="17073"/>
  <c r="H94" i="17073"/>
  <c r="H26" i="17073"/>
  <c r="C101" i="1"/>
  <c r="AQ31" i="17069"/>
  <c r="AQ22" i="17069"/>
  <c r="AQ10" i="17069"/>
  <c r="AQ14" i="17069"/>
  <c r="AQ29" i="17069"/>
  <c r="AQ18" i="17069"/>
  <c r="AP7" i="17070"/>
  <c r="AP14" i="17070" s="1"/>
  <c r="AQ61" i="17067"/>
  <c r="AP55" i="17067"/>
  <c r="AP58" i="17067"/>
  <c r="AP59" i="17067"/>
  <c r="AP57" i="17067"/>
  <c r="AP56" i="17067"/>
  <c r="AQ67" i="17067"/>
  <c r="AQ59" i="17070"/>
  <c r="AP50" i="17070"/>
  <c r="AP49" i="17070"/>
  <c r="AP48" i="17070"/>
  <c r="AP51" i="17070"/>
  <c r="AQ53" i="17070"/>
  <c r="AP47" i="17070"/>
  <c r="B57" i="17070"/>
  <c r="X46" i="17070"/>
  <c r="X51" i="17070" s="1"/>
  <c r="C18" i="17070"/>
  <c r="AD10" i="17070"/>
  <c r="J55" i="17070"/>
  <c r="Z44" i="17070"/>
  <c r="B44" i="17070"/>
  <c r="R43" i="17070"/>
  <c r="AH11" i="17069"/>
  <c r="D55" i="17069"/>
  <c r="F23" i="17069"/>
  <c r="B55" i="17069"/>
  <c r="U10" i="17069"/>
  <c r="S31" i="17069"/>
  <c r="AD23" i="17069"/>
  <c r="X42" i="17069"/>
  <c r="F32" i="17069"/>
  <c r="B62" i="17069"/>
  <c r="AD42" i="17069"/>
  <c r="D11" i="17069"/>
  <c r="F20" i="17070"/>
  <c r="G20" i="17070" s="1"/>
  <c r="E12" i="17070"/>
  <c r="B57" i="17069"/>
  <c r="N56" i="17069"/>
  <c r="P11" i="17069"/>
  <c r="AF57" i="17069"/>
  <c r="AF56" i="17069"/>
  <c r="H43" i="17069"/>
  <c r="X43" i="17069"/>
  <c r="R30" i="17069"/>
  <c r="AN64" i="17069"/>
  <c r="R29" i="17070"/>
  <c r="S29" i="17070" s="1"/>
  <c r="N54" i="17069"/>
  <c r="X11" i="17069"/>
  <c r="F54" i="17070"/>
  <c r="AJ23" i="17069"/>
  <c r="AD54" i="17069"/>
  <c r="D56" i="17070"/>
  <c r="AJ11" i="17069"/>
  <c r="J60" i="17069"/>
  <c r="N53" i="17070"/>
  <c r="J54" i="17069"/>
  <c r="AC20" i="17069"/>
  <c r="B19" i="17069"/>
  <c r="H43" i="17070"/>
  <c r="F55" i="17070"/>
  <c r="R23" i="17069"/>
  <c r="AD43" i="17069"/>
  <c r="R13" i="17069"/>
  <c r="D54" i="17070"/>
  <c r="AD57" i="17069"/>
  <c r="X23" i="17069"/>
  <c r="J63" i="17069"/>
  <c r="F42" i="17069"/>
  <c r="J62" i="17069"/>
  <c r="AD55" i="17069"/>
  <c r="R57" i="17069"/>
  <c r="X60" i="17069"/>
  <c r="R46" i="17069"/>
  <c r="R49" i="17069" s="1"/>
  <c r="V56" i="17070"/>
  <c r="B11" i="17069"/>
  <c r="AF43" i="17069"/>
  <c r="V12" i="17069"/>
  <c r="W12" i="17069" s="1"/>
  <c r="V11" i="17068"/>
  <c r="W10" i="17068"/>
  <c r="Z32" i="17069"/>
  <c r="AA31" i="17069"/>
  <c r="O12" i="17069"/>
  <c r="N12" i="17070"/>
  <c r="N13" i="17069"/>
  <c r="B29" i="17070"/>
  <c r="C29" i="17070" s="1"/>
  <c r="B30" i="17069"/>
  <c r="C29" i="17069"/>
  <c r="L19" i="17069"/>
  <c r="M18" i="17069"/>
  <c r="Q36" i="17068"/>
  <c r="X70" i="17068"/>
  <c r="AN72" i="17068"/>
  <c r="D44" i="17070"/>
  <c r="AH28" i="17069"/>
  <c r="S29" i="17069"/>
  <c r="B21" i="17069"/>
  <c r="Q30" i="17068"/>
  <c r="Q20" i="17068"/>
  <c r="O24" i="17068"/>
  <c r="G10" i="17068"/>
  <c r="O38" i="17068"/>
  <c r="I40" i="17068"/>
  <c r="H18" i="17069"/>
  <c r="H19" i="17069" s="1"/>
  <c r="AD67" i="17068"/>
  <c r="AD59" i="17069" s="1"/>
  <c r="N31" i="17069"/>
  <c r="AF44" i="17069"/>
  <c r="AD39" i="17068"/>
  <c r="Z20" i="17068"/>
  <c r="Z21" i="17068" s="1"/>
  <c r="V20" i="17068"/>
  <c r="W20" i="17068" s="1"/>
  <c r="AD22" i="17068"/>
  <c r="AD23" i="17068" s="1"/>
  <c r="AF18" i="17068"/>
  <c r="AG18" i="17068" s="1"/>
  <c r="AD36" i="17068"/>
  <c r="AD27" i="17069" s="1"/>
  <c r="E30" i="17068"/>
  <c r="R29" i="17068"/>
  <c r="X30" i="17068"/>
  <c r="X20" i="17069" s="1"/>
  <c r="X21" i="17069" s="1"/>
  <c r="M16" i="17068"/>
  <c r="AF22" i="17068"/>
  <c r="Z11" i="17068"/>
  <c r="C18" i="17069"/>
  <c r="L70" i="17068"/>
  <c r="Q24" i="17068"/>
  <c r="O10" i="17068"/>
  <c r="R52" i="17068"/>
  <c r="O40" i="17068"/>
  <c r="G31" i="17069"/>
  <c r="P18" i="17069"/>
  <c r="AH52" i="17068"/>
  <c r="Z23" i="17068"/>
  <c r="V22" i="17068"/>
  <c r="J17" i="17068"/>
  <c r="L25" i="17068"/>
  <c r="O12" i="17068"/>
  <c r="L31" i="17068"/>
  <c r="E12" i="17068"/>
  <c r="I38" i="17068"/>
  <c r="C40" i="17068"/>
  <c r="V30" i="17068"/>
  <c r="V20" i="17069" s="1"/>
  <c r="AH27" i="17070"/>
  <c r="AI27" i="17070" s="1"/>
  <c r="AB13" i="17068"/>
  <c r="AN13" i="17069"/>
  <c r="AF10" i="17068"/>
  <c r="R64" i="17069"/>
  <c r="AN20" i="17069"/>
  <c r="AN20" i="17070" s="1"/>
  <c r="J59" i="17070"/>
  <c r="J63" i="17070" s="1"/>
  <c r="B46" i="17069"/>
  <c r="B47" i="17069" s="1"/>
  <c r="B29" i="17068"/>
  <c r="Q10" i="17068"/>
  <c r="O22" i="17068"/>
  <c r="L50" i="17068"/>
  <c r="R50" i="17068"/>
  <c r="D18" i="17069"/>
  <c r="B70" i="17068"/>
  <c r="B67" i="17065"/>
  <c r="X7" i="17068"/>
  <c r="V18" i="17068"/>
  <c r="X18" i="17068"/>
  <c r="X19" i="17068" s="1"/>
  <c r="V67" i="17068"/>
  <c r="X38" i="17068"/>
  <c r="L19" i="17068"/>
  <c r="B39" i="17068"/>
  <c r="L23" i="17068"/>
  <c r="E16" i="17068"/>
  <c r="J71" i="17068"/>
  <c r="AD28" i="17068"/>
  <c r="Q12" i="17068"/>
  <c r="AL64" i="17070"/>
  <c r="S12" i="17070"/>
  <c r="O15" i="17068"/>
  <c r="V24" i="17068"/>
  <c r="AD10" i="17068"/>
  <c r="AD12" i="17069" s="1"/>
  <c r="AD12" i="17070" s="1"/>
  <c r="T28" i="17069"/>
  <c r="R42" i="17069"/>
  <c r="J31" i="17068"/>
  <c r="Q16" i="17068"/>
  <c r="Q28" i="17068"/>
  <c r="M38" i="17068"/>
  <c r="F72" i="17068"/>
  <c r="B71" i="17068"/>
  <c r="B64" i="17065"/>
  <c r="AD7" i="17068"/>
  <c r="AE40" i="17068" s="1"/>
  <c r="AB39" i="17068"/>
  <c r="AB23" i="17068"/>
  <c r="V16" i="17068"/>
  <c r="V17" i="17068" s="1"/>
  <c r="Y24" i="17068"/>
  <c r="V40" i="17068"/>
  <c r="V41" i="17068" s="1"/>
  <c r="Y36" i="17068"/>
  <c r="J41" i="17068"/>
  <c r="L11" i="17068"/>
  <c r="J23" i="17068"/>
  <c r="L21" i="17068"/>
  <c r="R15" i="17068"/>
  <c r="AD30" i="17068"/>
  <c r="AD20" i="17069" s="1"/>
  <c r="AD20" i="17070" s="1"/>
  <c r="AO30" i="17068"/>
  <c r="R62" i="17069"/>
  <c r="H70" i="17068"/>
  <c r="G15" i="17068"/>
  <c r="Z12" i="17069"/>
  <c r="Z12" i="17070" s="1"/>
  <c r="X43" i="17070"/>
  <c r="N21" i="17069"/>
  <c r="T21" i="17069"/>
  <c r="F30" i="17069"/>
  <c r="V12" i="17068"/>
  <c r="R44" i="17069"/>
  <c r="R63" i="17069"/>
  <c r="H59" i="17069"/>
  <c r="R31" i="17068"/>
  <c r="Q18" i="17068"/>
  <c r="M12" i="17068"/>
  <c r="I10" i="17068"/>
  <c r="AC30" i="17068"/>
  <c r="E36" i="17068"/>
  <c r="D72" i="17068"/>
  <c r="B72" i="17068"/>
  <c r="H44" i="17069"/>
  <c r="X44" i="17069"/>
  <c r="AB17" i="17068"/>
  <c r="X41" i="17068"/>
  <c r="AB19" i="17068"/>
  <c r="AD18" i="17068"/>
  <c r="AD15" i="17068" s="1"/>
  <c r="X16" i="17068"/>
  <c r="X17" i="17068" s="1"/>
  <c r="V36" i="17068"/>
  <c r="B11" i="17068"/>
  <c r="F11" i="17068"/>
  <c r="U10" i="17068"/>
  <c r="AH28" i="17068"/>
  <c r="AH18" i="17069" s="1"/>
  <c r="AN11" i="17068"/>
  <c r="E22" i="17068"/>
  <c r="V61" i="17068"/>
  <c r="V62" i="17068" s="1"/>
  <c r="F29" i="17070"/>
  <c r="G29" i="17070" s="1"/>
  <c r="F19" i="17069"/>
  <c r="R43" i="17069"/>
  <c r="B59" i="17070"/>
  <c r="B46" i="17070" s="1"/>
  <c r="C53" i="17070" s="1"/>
  <c r="AB68" i="17068"/>
  <c r="L29" i="17068"/>
  <c r="P51" i="17067"/>
  <c r="M20" i="17068"/>
  <c r="I22" i="17068"/>
  <c r="E24" i="17068"/>
  <c r="E38" i="17068"/>
  <c r="X72" i="17068"/>
  <c r="AF44" i="17070"/>
  <c r="L43" i="17069"/>
  <c r="AB43" i="17069"/>
  <c r="AH25" i="17068"/>
  <c r="AD24" i="17068"/>
  <c r="AD25" i="17068" s="1"/>
  <c r="X20" i="17068"/>
  <c r="X21" i="17068" s="1"/>
  <c r="V38" i="17068"/>
  <c r="AB41" i="17070"/>
  <c r="B17" i="17068"/>
  <c r="N11" i="17068"/>
  <c r="R37" i="17068"/>
  <c r="I20" i="17068"/>
  <c r="M18" i="17068"/>
  <c r="N15" i="17068"/>
  <c r="H11" i="17068"/>
  <c r="AN13" i="17068"/>
  <c r="L32" i="17069"/>
  <c r="M31" i="17069"/>
  <c r="AB12" i="17070"/>
  <c r="AC12" i="17070" s="1"/>
  <c r="AC12" i="17069"/>
  <c r="J32" i="17069"/>
  <c r="L46" i="17069"/>
  <c r="M59" i="17069" s="1"/>
  <c r="L63" i="17069"/>
  <c r="L60" i="17069"/>
  <c r="L59" i="17070"/>
  <c r="L62" i="17070" s="1"/>
  <c r="L64" i="17069"/>
  <c r="L62" i="17069"/>
  <c r="O18" i="17069"/>
  <c r="N18" i="17070"/>
  <c r="O18" i="17070" s="1"/>
  <c r="N19" i="17069"/>
  <c r="B27" i="17070"/>
  <c r="C27" i="17070" s="1"/>
  <c r="C27" i="17069"/>
  <c r="B28" i="17069"/>
  <c r="P64" i="17069"/>
  <c r="P60" i="17069"/>
  <c r="P59" i="17070"/>
  <c r="P61" i="17070" s="1"/>
  <c r="P63" i="17069"/>
  <c r="P61" i="17069"/>
  <c r="M20" i="17069"/>
  <c r="Z56" i="17066"/>
  <c r="X64" i="17070"/>
  <c r="B20" i="17070"/>
  <c r="B22" i="17070" s="1"/>
  <c r="H62" i="17069"/>
  <c r="D11" i="17067"/>
  <c r="L72" i="17068"/>
  <c r="H72" i="17068"/>
  <c r="L20" i="17070"/>
  <c r="M20" i="17070" s="1"/>
  <c r="F51" i="17067"/>
  <c r="M24" i="17068"/>
  <c r="AC22" i="17068"/>
  <c r="S38" i="17068"/>
  <c r="N70" i="17067"/>
  <c r="J15" i="17068"/>
  <c r="P39" i="17068"/>
  <c r="L41" i="17068"/>
  <c r="T71" i="17068"/>
  <c r="AB20" i="17070"/>
  <c r="AC20" i="17070" s="1"/>
  <c r="H55" i="17067"/>
  <c r="AI57" i="17065"/>
  <c r="AN59" i="17070"/>
  <c r="AN61" i="17070" s="1"/>
  <c r="L18" i="17070"/>
  <c r="M18" i="17070" s="1"/>
  <c r="I67" i="17067"/>
  <c r="AA58" i="17066"/>
  <c r="AH51" i="17065"/>
  <c r="AD69" i="17068"/>
  <c r="H46" i="17069"/>
  <c r="I53" i="17069" s="1"/>
  <c r="B60" i="17069"/>
  <c r="H63" i="17069"/>
  <c r="D70" i="17067"/>
  <c r="R51" i="17066"/>
  <c r="S64" i="17066" s="1"/>
  <c r="P31" i="17067"/>
  <c r="D31" i="17067"/>
  <c r="L71" i="17068"/>
  <c r="H68" i="17068"/>
  <c r="M28" i="17068"/>
  <c r="M22" i="17068"/>
  <c r="M15" i="17068" s="1"/>
  <c r="I12" i="17068"/>
  <c r="AC20" i="17068"/>
  <c r="Y40" i="17068"/>
  <c r="M40" i="17068"/>
  <c r="I36" i="17068"/>
  <c r="S40" i="17068"/>
  <c r="F17" i="17067"/>
  <c r="N19" i="17067"/>
  <c r="D20" i="17069"/>
  <c r="E20" i="17069" s="1"/>
  <c r="J29" i="17068"/>
  <c r="S28" i="17068"/>
  <c r="AH69" i="17066"/>
  <c r="AI18" i="17068"/>
  <c r="C12" i="17068"/>
  <c r="L39" i="17068"/>
  <c r="H21" i="17068"/>
  <c r="P41" i="17068"/>
  <c r="T59" i="17069"/>
  <c r="T63" i="17069" s="1"/>
  <c r="P14" i="17069"/>
  <c r="Q14" i="17069" s="1"/>
  <c r="N14" i="17069"/>
  <c r="AF19" i="17068"/>
  <c r="AB11" i="17068"/>
  <c r="D62" i="17069"/>
  <c r="V19" i="17069"/>
  <c r="B64" i="17069"/>
  <c r="R59" i="17070"/>
  <c r="P25" i="17067"/>
  <c r="D25" i="17067"/>
  <c r="L68" i="17068"/>
  <c r="AB70" i="17068"/>
  <c r="F67" i="17066"/>
  <c r="B52" i="17067"/>
  <c r="Y18" i="17068"/>
  <c r="M10" i="17068"/>
  <c r="I24" i="17068"/>
  <c r="E18" i="17068"/>
  <c r="S16" i="17068"/>
  <c r="Q38" i="17068"/>
  <c r="M36" i="17068"/>
  <c r="F13" i="17067"/>
  <c r="F39" i="17067"/>
  <c r="S30" i="17068"/>
  <c r="D63" i="17065"/>
  <c r="D65" i="17065" s="1"/>
  <c r="AI36" i="17068"/>
  <c r="AB37" i="17068"/>
  <c r="U12" i="17068"/>
  <c r="T72" i="17068"/>
  <c r="L37" i="17068"/>
  <c r="A83" i="17069"/>
  <c r="A83" i="17070" s="1"/>
  <c r="P21" i="17070"/>
  <c r="I20" i="17070"/>
  <c r="V18" i="17070"/>
  <c r="V19" i="17070" s="1"/>
  <c r="Z64" i="17067"/>
  <c r="AF11" i="17068"/>
  <c r="R67" i="17066"/>
  <c r="P69" i="17068"/>
  <c r="X46" i="17069"/>
  <c r="R60" i="17069"/>
  <c r="B63" i="17069"/>
  <c r="D46" i="17069"/>
  <c r="E59" i="17069" s="1"/>
  <c r="D21" i="17067"/>
  <c r="AB71" i="17068"/>
  <c r="K12" i="17068"/>
  <c r="I16" i="17068"/>
  <c r="E20" i="17068"/>
  <c r="S12" i="17068"/>
  <c r="AC38" i="17068"/>
  <c r="X32" i="17069"/>
  <c r="F41" i="17067"/>
  <c r="P70" i="17068"/>
  <c r="R18" i="17069"/>
  <c r="X61" i="17070"/>
  <c r="D64" i="17070"/>
  <c r="X25" i="17068"/>
  <c r="AH37" i="17068"/>
  <c r="P15" i="17068"/>
  <c r="J70" i="17068"/>
  <c r="AL11" i="17068"/>
  <c r="T32" i="17069"/>
  <c r="AN14" i="17069"/>
  <c r="AN15" i="17069" s="1"/>
  <c r="D68" i="17067"/>
  <c r="D17" i="17067"/>
  <c r="R65" i="17066"/>
  <c r="S22" i="17068"/>
  <c r="AE22" i="17068"/>
  <c r="AC36" i="17068"/>
  <c r="P72" i="17068"/>
  <c r="V21" i="17068"/>
  <c r="AG20" i="17068"/>
  <c r="AK24" i="17068"/>
  <c r="AJ72" i="17068"/>
  <c r="AL12" i="17069"/>
  <c r="H57" i="17068"/>
  <c r="Y59" i="17070"/>
  <c r="V12" i="17070"/>
  <c r="V13" i="17069"/>
  <c r="H59" i="17070"/>
  <c r="H61" i="17070" s="1"/>
  <c r="X64" i="17069"/>
  <c r="S12" i="17069"/>
  <c r="AC64" i="17066"/>
  <c r="D50" i="17067"/>
  <c r="D29" i="17067"/>
  <c r="H69" i="17066"/>
  <c r="O28" i="17068"/>
  <c r="K22" i="17068"/>
  <c r="K15" i="17068" s="1"/>
  <c r="AC16" i="17068"/>
  <c r="AC15" i="17068" s="1"/>
  <c r="F19" i="17067"/>
  <c r="P68" i="17068"/>
  <c r="B13" i="17068"/>
  <c r="F37" i="17068"/>
  <c r="H13" i="17068"/>
  <c r="F41" i="17068"/>
  <c r="AJ63" i="17065"/>
  <c r="AL19" i="17068"/>
  <c r="AL60" i="17070"/>
  <c r="AE58" i="17066"/>
  <c r="AD52" i="17066"/>
  <c r="AD53" i="17066"/>
  <c r="AD55" i="17066"/>
  <c r="B67" i="17066"/>
  <c r="B66" i="17066"/>
  <c r="R67" i="17070"/>
  <c r="R75" i="17067"/>
  <c r="T66" i="17070"/>
  <c r="T74" i="17067"/>
  <c r="AD70" i="17070"/>
  <c r="AD56" i="17070" s="1"/>
  <c r="AD78" i="17067"/>
  <c r="AH67" i="17066"/>
  <c r="AH77" i="17067"/>
  <c r="AH70" i="17070"/>
  <c r="AH78" i="17067"/>
  <c r="AH71" i="17067" s="1"/>
  <c r="AH68" i="17066"/>
  <c r="AD74" i="17067"/>
  <c r="AD55" i="17067" s="1"/>
  <c r="AD12" i="17066"/>
  <c r="AD24" i="17066"/>
  <c r="AD14" i="17066"/>
  <c r="AD36" i="17066"/>
  <c r="AD20" i="17066"/>
  <c r="AD18" i="17066"/>
  <c r="AD34" i="17066"/>
  <c r="AN75" i="17067"/>
  <c r="AN67" i="17070"/>
  <c r="AL28" i="17066"/>
  <c r="AM27" i="17066"/>
  <c r="J51" i="17067"/>
  <c r="J70" i="17067"/>
  <c r="L48" i="17066"/>
  <c r="AE64" i="17066"/>
  <c r="AF69" i="17066"/>
  <c r="B43" i="17070"/>
  <c r="B55" i="17070"/>
  <c r="I61" i="17068"/>
  <c r="N78" i="17067"/>
  <c r="N71" i="17067" s="1"/>
  <c r="B68" i="17066"/>
  <c r="R70" i="17067"/>
  <c r="AC58" i="17066"/>
  <c r="P70" i="17067"/>
  <c r="X69" i="17066"/>
  <c r="X65" i="17066"/>
  <c r="X67" i="17066"/>
  <c r="X66" i="17066"/>
  <c r="AF66" i="17066"/>
  <c r="F70" i="17070"/>
  <c r="F56" i="17070" s="1"/>
  <c r="R70" i="17070"/>
  <c r="R68" i="17066"/>
  <c r="X62" i="17070"/>
  <c r="X49" i="17070"/>
  <c r="H77" i="17067"/>
  <c r="H70" i="17067" s="1"/>
  <c r="H67" i="17066"/>
  <c r="R18" i="17066"/>
  <c r="R20" i="17066"/>
  <c r="R74" i="17067"/>
  <c r="R13" i="17067" s="1"/>
  <c r="U61" i="17067"/>
  <c r="T61" i="17068"/>
  <c r="F76" i="17068"/>
  <c r="F69" i="17068" s="1"/>
  <c r="F52" i="17065"/>
  <c r="AF67" i="17070"/>
  <c r="AF75" i="17067"/>
  <c r="X76" i="17068"/>
  <c r="X69" i="17068" s="1"/>
  <c r="X65" i="17065"/>
  <c r="X52" i="17065"/>
  <c r="AH47" i="17066"/>
  <c r="AH46" i="17066"/>
  <c r="AF74" i="17066"/>
  <c r="AF35" i="17066"/>
  <c r="AF71" i="17066"/>
  <c r="AF65" i="17066" s="1"/>
  <c r="AF33" i="17066"/>
  <c r="AF45" i="17066"/>
  <c r="AF27" i="17066"/>
  <c r="AF25" i="17066"/>
  <c r="AG25" i="17066" s="1"/>
  <c r="AF23" i="17066"/>
  <c r="AG23" i="17066" s="1"/>
  <c r="AM35" i="17066"/>
  <c r="AL61" i="17067"/>
  <c r="AL64" i="17067" s="1"/>
  <c r="AL61" i="17066"/>
  <c r="AL59" i="17066"/>
  <c r="AM17" i="17066"/>
  <c r="AM11" i="17066"/>
  <c r="AM19" i="17066"/>
  <c r="AM23" i="17066"/>
  <c r="AM25" i="17066"/>
  <c r="AL48" i="17066"/>
  <c r="AL46" i="17066"/>
  <c r="F72" i="17067"/>
  <c r="F52" i="17067"/>
  <c r="X68" i="17069"/>
  <c r="J66" i="17066"/>
  <c r="J69" i="17066"/>
  <c r="J67" i="17066"/>
  <c r="R61" i="17066"/>
  <c r="R12" i="17066"/>
  <c r="S11" i="17066"/>
  <c r="P24" i="17066"/>
  <c r="Q23" i="17066"/>
  <c r="R36" i="17066"/>
  <c r="S35" i="17066"/>
  <c r="H48" i="17066"/>
  <c r="H47" i="17066"/>
  <c r="H46" i="17066"/>
  <c r="AF37" i="17066"/>
  <c r="Y61" i="17067"/>
  <c r="X55" i="17067"/>
  <c r="X58" i="17067"/>
  <c r="X56" i="17067"/>
  <c r="AD66" i="17066"/>
  <c r="AD68" i="17066"/>
  <c r="H69" i="17067"/>
  <c r="H56" i="17067"/>
  <c r="H72" i="17067"/>
  <c r="H52" i="17067"/>
  <c r="V69" i="17070"/>
  <c r="V55" i="17070" s="1"/>
  <c r="V77" i="17067"/>
  <c r="H76" i="17068"/>
  <c r="H69" i="17068" s="1"/>
  <c r="H52" i="17065"/>
  <c r="H68" i="17069"/>
  <c r="H65" i="17065"/>
  <c r="AB45" i="17066"/>
  <c r="AB71" i="17066"/>
  <c r="F70" i="17067"/>
  <c r="X54" i="17068"/>
  <c r="X63" i="17068"/>
  <c r="AI13" i="17066"/>
  <c r="S23" i="17066"/>
  <c r="AI23" i="17066"/>
  <c r="AE61" i="17067"/>
  <c r="AD28" i="17066"/>
  <c r="N48" i="17066"/>
  <c r="AB68" i="17069"/>
  <c r="AB54" i="17067"/>
  <c r="X62" i="17067"/>
  <c r="X65" i="17067"/>
  <c r="N67" i="17066"/>
  <c r="N69" i="17066"/>
  <c r="J68" i="17069"/>
  <c r="J61" i="17069" s="1"/>
  <c r="W13" i="17066"/>
  <c r="W25" i="17066"/>
  <c r="D58" i="17066"/>
  <c r="D59" i="17066" s="1"/>
  <c r="E17" i="17066"/>
  <c r="D69" i="17070"/>
  <c r="D62" i="17070" s="1"/>
  <c r="D47" i="17066"/>
  <c r="B51" i="17067"/>
  <c r="B70" i="17067"/>
  <c r="P71" i="17070"/>
  <c r="P57" i="17070" s="1"/>
  <c r="P79" i="17067"/>
  <c r="AH76" i="17068"/>
  <c r="AH69" i="17068" s="1"/>
  <c r="AH68" i="17069"/>
  <c r="P61" i="17067"/>
  <c r="P63" i="17067" s="1"/>
  <c r="P59" i="17066"/>
  <c r="P51" i="17066"/>
  <c r="Q58" i="17066" s="1"/>
  <c r="P61" i="17066"/>
  <c r="H65" i="17067"/>
  <c r="H54" i="17066"/>
  <c r="AF79" i="17067"/>
  <c r="Z65" i="17067"/>
  <c r="X65" i="17068"/>
  <c r="H62" i="17068"/>
  <c r="H65" i="17068"/>
  <c r="X60" i="17066"/>
  <c r="I58" i="17066"/>
  <c r="R51" i="17067"/>
  <c r="AH66" i="17070"/>
  <c r="N66" i="17066"/>
  <c r="AH65" i="17065"/>
  <c r="AE67" i="17067"/>
  <c r="Q35" i="17066"/>
  <c r="E13" i="17066"/>
  <c r="X77" i="17067"/>
  <c r="X63" i="17067" s="1"/>
  <c r="X47" i="17066"/>
  <c r="X61" i="17066"/>
  <c r="Y35" i="17066"/>
  <c r="X62" i="17066"/>
  <c r="J65" i="17065"/>
  <c r="AN76" i="17066"/>
  <c r="AN71" i="17066"/>
  <c r="AN34" i="17066" s="1"/>
  <c r="AN27" i="17066"/>
  <c r="AN25" i="17066"/>
  <c r="AN23" i="17066"/>
  <c r="AN13" i="17066"/>
  <c r="AN75" i="17066"/>
  <c r="AN45" i="17066"/>
  <c r="AN11" i="17066"/>
  <c r="J48" i="17066"/>
  <c r="J47" i="17066"/>
  <c r="R54" i="17067"/>
  <c r="R57" i="17067" s="1"/>
  <c r="Z72" i="17067"/>
  <c r="N44" i="17070"/>
  <c r="P48" i="17066"/>
  <c r="X59" i="17067"/>
  <c r="X51" i="17066"/>
  <c r="Y64" i="17066" s="1"/>
  <c r="AI17" i="17066"/>
  <c r="AD62" i="17068"/>
  <c r="AD63" i="17068"/>
  <c r="AB61" i="17068"/>
  <c r="AB64" i="17068" s="1"/>
  <c r="AD56" i="17067"/>
  <c r="R53" i="17066"/>
  <c r="F65" i="17065"/>
  <c r="F65" i="17066"/>
  <c r="R78" i="17067"/>
  <c r="R71" i="17067" s="1"/>
  <c r="N50" i="17067"/>
  <c r="N41" i="17067"/>
  <c r="N37" i="17067"/>
  <c r="N23" i="17067"/>
  <c r="N29" i="17067"/>
  <c r="R14" i="17066"/>
  <c r="S13" i="17066"/>
  <c r="R26" i="17066"/>
  <c r="T67" i="17070"/>
  <c r="T75" i="17067"/>
  <c r="V54" i="17070"/>
  <c r="F58" i="17066"/>
  <c r="G17" i="17066"/>
  <c r="G27" i="17066"/>
  <c r="AD74" i="17066"/>
  <c r="AH26" i="17066"/>
  <c r="AA27" i="17066"/>
  <c r="AI11" i="17066"/>
  <c r="AD11" i="17070"/>
  <c r="J57" i="17070"/>
  <c r="G23" i="17066"/>
  <c r="D11" i="17070"/>
  <c r="C11" i="17066"/>
  <c r="W11" i="17066"/>
  <c r="W23" i="17066"/>
  <c r="R28" i="17066"/>
  <c r="H55" i="17070"/>
  <c r="L69" i="17070"/>
  <c r="L55" i="17070" s="1"/>
  <c r="E27" i="17066"/>
  <c r="V42" i="17070"/>
  <c r="F30" i="17070"/>
  <c r="E25" i="17066"/>
  <c r="AL69" i="17070"/>
  <c r="AL43" i="17070" s="1"/>
  <c r="AM13" i="17066"/>
  <c r="AE12" i="17069"/>
  <c r="Z56" i="17067"/>
  <c r="AA67" i="17067"/>
  <c r="Z58" i="17067"/>
  <c r="Z59" i="17067"/>
  <c r="Z67" i="17070"/>
  <c r="Z75" i="17067"/>
  <c r="J66" i="17070"/>
  <c r="J46" i="17066"/>
  <c r="J12" i="17066"/>
  <c r="J18" i="17066"/>
  <c r="J65" i="17066"/>
  <c r="J74" i="17067"/>
  <c r="J26" i="17066"/>
  <c r="J28" i="17066"/>
  <c r="L263" i="1032"/>
  <c r="E263" i="1032"/>
  <c r="N263" i="1032" s="1"/>
  <c r="AN64" i="17065"/>
  <c r="AE10" i="17068"/>
  <c r="AN63" i="17069"/>
  <c r="AD11" i="17068"/>
  <c r="H55" i="17068"/>
  <c r="Y67" i="17067"/>
  <c r="X57" i="17067"/>
  <c r="C25" i="17066"/>
  <c r="I64" i="17066"/>
  <c r="H53" i="17066"/>
  <c r="H52" i="17066"/>
  <c r="AA61" i="17067"/>
  <c r="N58" i="17066"/>
  <c r="N61" i="17067" s="1"/>
  <c r="O17" i="17066"/>
  <c r="O19" i="17066"/>
  <c r="O27" i="17066"/>
  <c r="F67" i="17070"/>
  <c r="F75" i="17067"/>
  <c r="J58" i="17066"/>
  <c r="K35" i="17066" s="1"/>
  <c r="K17" i="17066"/>
  <c r="K19" i="17066"/>
  <c r="K27" i="17066"/>
  <c r="I54" i="17068"/>
  <c r="AN62" i="17069"/>
  <c r="P12" i="17066"/>
  <c r="C17" i="17066"/>
  <c r="Z59" i="17066"/>
  <c r="Z12" i="17066"/>
  <c r="Z14" i="17066"/>
  <c r="Z46" i="17066"/>
  <c r="Z74" i="17067"/>
  <c r="Z62" i="17067" s="1"/>
  <c r="Z66" i="17070"/>
  <c r="Z54" i="17070" s="1"/>
  <c r="Z18" i="17066"/>
  <c r="Z24" i="17066"/>
  <c r="Z38" i="17066"/>
  <c r="Z28" i="17066"/>
  <c r="Q31" i="17069"/>
  <c r="P32" i="17069"/>
  <c r="AL21" i="17068"/>
  <c r="AL15" i="17068"/>
  <c r="AM20" i="17068"/>
  <c r="AM15" i="17068" s="1"/>
  <c r="T56" i="17069"/>
  <c r="Z53" i="17066"/>
  <c r="Z54" i="17066"/>
  <c r="Z52" i="17066"/>
  <c r="E10" i="17070"/>
  <c r="P55" i="17070"/>
  <c r="J21" i="17069"/>
  <c r="J20" i="17070"/>
  <c r="J21" i="17070" s="1"/>
  <c r="K20" i="17069"/>
  <c r="M10" i="17069"/>
  <c r="L11" i="17069"/>
  <c r="L10" i="17070"/>
  <c r="Y13" i="17066"/>
  <c r="X14" i="17066"/>
  <c r="L14" i="17066"/>
  <c r="M13" i="17066"/>
  <c r="J20" i="17066"/>
  <c r="R71" i="17070"/>
  <c r="R79" i="17067"/>
  <c r="R65" i="17067" s="1"/>
  <c r="R69" i="17066"/>
  <c r="D76" i="17068"/>
  <c r="D69" i="17068" s="1"/>
  <c r="V69" i="17068"/>
  <c r="AC24" i="17068"/>
  <c r="AB25" i="17068"/>
  <c r="AD17" i="17068"/>
  <c r="AE16" i="17068"/>
  <c r="AF29" i="17069"/>
  <c r="AF39" i="17068"/>
  <c r="AG38" i="17068"/>
  <c r="L74" i="17067"/>
  <c r="L66" i="17070"/>
  <c r="L24" i="17066"/>
  <c r="L20" i="17066"/>
  <c r="L65" i="17066"/>
  <c r="L36" i="17066"/>
  <c r="L12" i="17066"/>
  <c r="L34" i="17066"/>
  <c r="S10" i="17069"/>
  <c r="R11" i="17069"/>
  <c r="Z34" i="17066"/>
  <c r="AA33" i="17066"/>
  <c r="B58" i="17066"/>
  <c r="C13" i="17066"/>
  <c r="C23" i="17066"/>
  <c r="C19" i="17066"/>
  <c r="AJ58" i="17066"/>
  <c r="AK13" i="17066"/>
  <c r="AK19" i="17066"/>
  <c r="AK17" i="17066"/>
  <c r="AK27" i="17066"/>
  <c r="AK23" i="17066"/>
  <c r="AK25" i="17066"/>
  <c r="Z13" i="17069"/>
  <c r="D14" i="17070"/>
  <c r="D15" i="17070" s="1"/>
  <c r="L38" i="17066"/>
  <c r="H67" i="17070"/>
  <c r="H75" i="17067"/>
  <c r="V13" i="17068"/>
  <c r="L46" i="17066"/>
  <c r="O23" i="17066"/>
  <c r="I33" i="17066"/>
  <c r="E10" i="17069"/>
  <c r="H25" i="17067"/>
  <c r="H39" i="17067"/>
  <c r="H21" i="17067"/>
  <c r="H68" i="17067"/>
  <c r="H50" i="17067"/>
  <c r="X70" i="17067"/>
  <c r="X51" i="17067"/>
  <c r="K13" i="17066"/>
  <c r="V75" i="17067"/>
  <c r="F38" i="17066"/>
  <c r="AG17" i="17066"/>
  <c r="AG13" i="17066"/>
  <c r="AG11" i="17066"/>
  <c r="AG19" i="17066"/>
  <c r="AF58" i="17066"/>
  <c r="AF78" i="17067"/>
  <c r="AF71" i="17067" s="1"/>
  <c r="AF70" i="17070"/>
  <c r="AF68" i="17066"/>
  <c r="AE24" i="17068"/>
  <c r="AE28" i="17068"/>
  <c r="AE38" i="17068"/>
  <c r="Z17" i="17068"/>
  <c r="W24" i="17068"/>
  <c r="V25" i="17068"/>
  <c r="AD21" i="17068"/>
  <c r="AE20" i="17068"/>
  <c r="AF23" i="17068"/>
  <c r="AG22" i="17068"/>
  <c r="AH29" i="17069"/>
  <c r="AH30" i="17069" s="1"/>
  <c r="AI38" i="17068"/>
  <c r="AH39" i="17068"/>
  <c r="AH57" i="17069"/>
  <c r="AH53" i="17070"/>
  <c r="AH55" i="17070" s="1"/>
  <c r="AN50" i="17065"/>
  <c r="AN54" i="17065" s="1"/>
  <c r="V43" i="17070"/>
  <c r="H58" i="17068"/>
  <c r="O11" i="17066"/>
  <c r="AA35" i="17066"/>
  <c r="T79" i="17067"/>
  <c r="N52" i="17068"/>
  <c r="N72" i="17068"/>
  <c r="AD7" i="17070"/>
  <c r="P44" i="17069"/>
  <c r="P42" i="17069"/>
  <c r="P41" i="17070"/>
  <c r="P43" i="17069"/>
  <c r="Z57" i="17070"/>
  <c r="AC12" i="17068"/>
  <c r="AB14" i="17069"/>
  <c r="AB15" i="17069" s="1"/>
  <c r="C27" i="17066"/>
  <c r="D13" i="17070"/>
  <c r="Z61" i="17068"/>
  <c r="Z63" i="17068" s="1"/>
  <c r="AB67" i="17070"/>
  <c r="AD71" i="17065"/>
  <c r="AB75" i="17067"/>
  <c r="AD71" i="17070"/>
  <c r="AD57" i="17070" s="1"/>
  <c r="AD56" i="17066"/>
  <c r="AD69" i="17066"/>
  <c r="AD62" i="17066"/>
  <c r="AD79" i="17067"/>
  <c r="AD59" i="17067" s="1"/>
  <c r="V71" i="17068"/>
  <c r="D51" i="17068"/>
  <c r="D70" i="17068"/>
  <c r="T37" i="17068"/>
  <c r="T13" i="17068"/>
  <c r="T11" i="17068"/>
  <c r="T41" i="17068"/>
  <c r="T68" i="17068"/>
  <c r="T23" i="17068"/>
  <c r="T21" i="17068"/>
  <c r="T25" i="17068"/>
  <c r="T19" i="17068"/>
  <c r="T50" i="17068"/>
  <c r="T17" i="17068"/>
  <c r="T62" i="17068"/>
  <c r="D37" i="17068"/>
  <c r="D11" i="17068"/>
  <c r="D23" i="17068"/>
  <c r="D29" i="17068"/>
  <c r="D31" i="17068"/>
  <c r="D41" i="17068"/>
  <c r="D21" i="17068"/>
  <c r="D19" i="17068"/>
  <c r="D17" i="17068"/>
  <c r="D13" i="17068"/>
  <c r="D50" i="17068"/>
  <c r="D68" i="17068"/>
  <c r="D39" i="17068"/>
  <c r="E29" i="17069"/>
  <c r="D30" i="17069"/>
  <c r="D29" i="17070"/>
  <c r="E29" i="17070" s="1"/>
  <c r="D23" i="17069"/>
  <c r="D42" i="17069"/>
  <c r="D32" i="17069"/>
  <c r="D13" i="17069"/>
  <c r="AH53" i="17065"/>
  <c r="T49" i="17069"/>
  <c r="T43" i="17069"/>
  <c r="AH17" i="17068"/>
  <c r="AH15" i="17068"/>
  <c r="V27" i="17069"/>
  <c r="V27" i="17070" s="1"/>
  <c r="V28" i="17070" s="1"/>
  <c r="V37" i="17068"/>
  <c r="AH59" i="17069"/>
  <c r="AH61" i="17069" s="1"/>
  <c r="AH71" i="17068"/>
  <c r="AH68" i="17068"/>
  <c r="AH58" i="17066"/>
  <c r="AH51" i="17066" s="1"/>
  <c r="AI58" i="17066" s="1"/>
  <c r="AI19" i="17066"/>
  <c r="J21" i="17068"/>
  <c r="J39" i="17068"/>
  <c r="J25" i="17068"/>
  <c r="J37" i="17068"/>
  <c r="L270" i="1032"/>
  <c r="E270" i="1032"/>
  <c r="N270" i="1032" s="1"/>
  <c r="AL19" i="17069"/>
  <c r="AL18" i="17070"/>
  <c r="AL19" i="17070" s="1"/>
  <c r="AH52" i="17065"/>
  <c r="R63" i="17067"/>
  <c r="R52" i="17066"/>
  <c r="R21" i="17069"/>
  <c r="N11" i="17067"/>
  <c r="N21" i="17067"/>
  <c r="L67" i="17070"/>
  <c r="L75" i="17067"/>
  <c r="N66" i="17070"/>
  <c r="N11" i="17070" s="1"/>
  <c r="N18" i="17066"/>
  <c r="N20" i="17066"/>
  <c r="AB15" i="17068"/>
  <c r="AH70" i="17068"/>
  <c r="AI20" i="17068"/>
  <c r="AH21" i="17068"/>
  <c r="AH31" i="17069"/>
  <c r="AI40" i="17068"/>
  <c r="AH41" i="17068"/>
  <c r="AB76" i="17066"/>
  <c r="AB48" i="17066" s="1"/>
  <c r="AB75" i="17066"/>
  <c r="AB74" i="17066"/>
  <c r="AF12" i="17068"/>
  <c r="AF36" i="17068"/>
  <c r="AF16" i="17068"/>
  <c r="AF30" i="17068"/>
  <c r="AF40" i="17068"/>
  <c r="AF24" i="17068"/>
  <c r="AF28" i="17068"/>
  <c r="AF67" i="17068"/>
  <c r="AF69" i="17068" s="1"/>
  <c r="AN63" i="17068"/>
  <c r="AN51" i="17068"/>
  <c r="J72" i="17067"/>
  <c r="L26" i="17066"/>
  <c r="H78" i="17067"/>
  <c r="H70" i="17070"/>
  <c r="J13" i="17068"/>
  <c r="Z12" i="17068"/>
  <c r="Z13" i="17068" s="1"/>
  <c r="Z30" i="17068"/>
  <c r="Z36" i="17068"/>
  <c r="Z28" i="17068"/>
  <c r="Z67" i="17068"/>
  <c r="Z38" i="17068"/>
  <c r="Z18" i="17068"/>
  <c r="Z24" i="17068"/>
  <c r="Z7" i="17068"/>
  <c r="R64" i="17067"/>
  <c r="B42" i="17070"/>
  <c r="P23" i="17067"/>
  <c r="J38" i="17066"/>
  <c r="N79" i="17067"/>
  <c r="L79" i="17067"/>
  <c r="L71" i="17070"/>
  <c r="L57" i="17070" s="1"/>
  <c r="N55" i="17069"/>
  <c r="AB76" i="17068"/>
  <c r="AB69" i="17068" s="1"/>
  <c r="AB52" i="17065"/>
  <c r="L76" i="17068"/>
  <c r="L69" i="17068" s="1"/>
  <c r="L52" i="17065"/>
  <c r="L68" i="17069"/>
  <c r="Z41" i="17068"/>
  <c r="W36" i="17068"/>
  <c r="AH36" i="17066"/>
  <c r="J11" i="17068"/>
  <c r="R61" i="17068"/>
  <c r="R56" i="17066"/>
  <c r="O25" i="17066"/>
  <c r="J14" i="17066"/>
  <c r="O13" i="17066"/>
  <c r="P70" i="17070"/>
  <c r="P56" i="17070" s="1"/>
  <c r="P68" i="17066"/>
  <c r="B66" i="17065"/>
  <c r="B65" i="17065"/>
  <c r="B50" i="17065"/>
  <c r="B68" i="17065"/>
  <c r="V59" i="17069"/>
  <c r="V63" i="17069" s="1"/>
  <c r="V70" i="17068"/>
  <c r="L264" i="1032"/>
  <c r="E264" i="1032"/>
  <c r="N264" i="1032" s="1"/>
  <c r="AJ51" i="17068"/>
  <c r="AJ70" i="17068"/>
  <c r="AJ31" i="17069"/>
  <c r="AJ41" i="17068"/>
  <c r="AJ67" i="17070"/>
  <c r="AJ75" i="17067"/>
  <c r="AL39" i="17067"/>
  <c r="AL23" i="17067"/>
  <c r="AL68" i="17067"/>
  <c r="N25" i="17067"/>
  <c r="N17" i="17067"/>
  <c r="J10" i="17070"/>
  <c r="J11" i="17070" s="1"/>
  <c r="J11" i="17069"/>
  <c r="R66" i="17070"/>
  <c r="R13" i="17070" s="1"/>
  <c r="R46" i="17066"/>
  <c r="AH20" i="17066"/>
  <c r="AH65" i="17066"/>
  <c r="AH74" i="17067"/>
  <c r="AH41" i="17067" s="1"/>
  <c r="V31" i="17069"/>
  <c r="W31" i="17069" s="1"/>
  <c r="W40" i="17068"/>
  <c r="X27" i="17069"/>
  <c r="X37" i="17068"/>
  <c r="F41" i="17070"/>
  <c r="F44" i="17069"/>
  <c r="AL72" i="17067"/>
  <c r="AL52" i="17067"/>
  <c r="AL70" i="17067"/>
  <c r="AL51" i="17067"/>
  <c r="R68" i="17068"/>
  <c r="D66" i="17065"/>
  <c r="D61" i="17069"/>
  <c r="N38" i="17066"/>
  <c r="L28" i="17066"/>
  <c r="R34" i="17066"/>
  <c r="R17" i="17068"/>
  <c r="F39" i="17068"/>
  <c r="N37" i="17068"/>
  <c r="R13" i="17068"/>
  <c r="R21" i="17068"/>
  <c r="N17" i="17068"/>
  <c r="AB28" i="17068"/>
  <c r="C279" i="1032"/>
  <c r="E279" i="1032" s="1"/>
  <c r="C278" i="1032"/>
  <c r="E278" i="1032" s="1"/>
  <c r="C271" i="1032"/>
  <c r="C272" i="1032"/>
  <c r="AK40" i="17068"/>
  <c r="AN24" i="17068"/>
  <c r="AL55" i="17069"/>
  <c r="AL20" i="17069"/>
  <c r="AL14" i="17066"/>
  <c r="N19" i="17068"/>
  <c r="J19" i="17068"/>
  <c r="R70" i="17068"/>
  <c r="C273" i="1032"/>
  <c r="L273" i="1032" s="1"/>
  <c r="C274" i="1032"/>
  <c r="C267" i="1032"/>
  <c r="C268" i="1032"/>
  <c r="AN28" i="17068"/>
  <c r="AN74" i="17066"/>
  <c r="AL56" i="17069"/>
  <c r="K25" i="17066"/>
  <c r="J24" i="17066"/>
  <c r="Y25" i="17066"/>
  <c r="S27" i="17066"/>
  <c r="U27" i="17066"/>
  <c r="J34" i="17066"/>
  <c r="B68" i="17069"/>
  <c r="B61" i="17069" s="1"/>
  <c r="N23" i="17069"/>
  <c r="AH18" i="17070"/>
  <c r="B21" i="17068"/>
  <c r="F23" i="17068"/>
  <c r="F21" i="17068"/>
  <c r="N13" i="17068"/>
  <c r="B37" i="17068"/>
  <c r="F25" i="17068"/>
  <c r="R19" i="17068"/>
  <c r="F17" i="17068"/>
  <c r="X28" i="17068"/>
  <c r="X10" i="17068"/>
  <c r="C261" i="1032"/>
  <c r="C285" i="1032"/>
  <c r="E285" i="1032" s="1"/>
  <c r="C288" i="1032"/>
  <c r="E288" i="1032" s="1"/>
  <c r="AK20" i="17068"/>
  <c r="AN16" i="17068"/>
  <c r="AN38" i="17068"/>
  <c r="AL60" i="17066"/>
  <c r="AL42" i="17070"/>
  <c r="AM37" i="17066"/>
  <c r="AD48" i="17066"/>
  <c r="B25" i="17068"/>
  <c r="R25" i="17068"/>
  <c r="C281" i="1032"/>
  <c r="E281" i="1032" s="1"/>
  <c r="C284" i="1032"/>
  <c r="E284" i="1032" s="1"/>
  <c r="C258" i="1032"/>
  <c r="E258" i="1032" s="1"/>
  <c r="N258" i="1032" s="1"/>
  <c r="AN18" i="17068"/>
  <c r="AN40" i="17068"/>
  <c r="AL54" i="17069"/>
  <c r="AL57" i="17069"/>
  <c r="AL47" i="17066"/>
  <c r="X46" i="17066"/>
  <c r="X12" i="17066"/>
  <c r="R38" i="17066"/>
  <c r="K11" i="17066"/>
  <c r="AD41" i="17068"/>
  <c r="R23" i="17068"/>
  <c r="F19" i="17068"/>
  <c r="AN41" i="17070"/>
  <c r="C286" i="1032"/>
  <c r="E286" i="1032" s="1"/>
  <c r="C277" i="1032"/>
  <c r="E277" i="1032" s="1"/>
  <c r="AN20" i="17068"/>
  <c r="AL57" i="17070"/>
  <c r="AF42" i="17069"/>
  <c r="AF54" i="17069"/>
  <c r="AH12" i="17066"/>
  <c r="AN37" i="17068"/>
  <c r="AL41" i="17067"/>
  <c r="AL50" i="17067"/>
  <c r="AL37" i="17067"/>
  <c r="AL31" i="17067"/>
  <c r="AJ31" i="17068"/>
  <c r="AJ11" i="17068"/>
  <c r="AL21" i="17067"/>
  <c r="AL13" i="17067"/>
  <c r="AN60" i="17069"/>
  <c r="AN28" i="17069"/>
  <c r="AF11" i="17069"/>
  <c r="AH38" i="17066"/>
  <c r="AJ21" i="17068"/>
  <c r="AJ39" i="17068"/>
  <c r="AL17" i="17067"/>
  <c r="AL11" i="17067"/>
  <c r="AH28" i="17066"/>
  <c r="AJ13" i="17068"/>
  <c r="R61" i="17069"/>
  <c r="F68" i="17066"/>
  <c r="J71" i="17067"/>
  <c r="AB69" i="17067"/>
  <c r="AD69" i="17067"/>
  <c r="D15" i="17068"/>
  <c r="AH145" i="17074"/>
  <c r="AH146" i="17074" s="1"/>
  <c r="AH121" i="17074"/>
  <c r="AH122" i="17074" s="1"/>
  <c r="AH133" i="17073"/>
  <c r="AH134" i="17073" s="1"/>
  <c r="AL69" i="17066"/>
  <c r="AL51" i="17066"/>
  <c r="AM58" i="17066" s="1"/>
  <c r="AL66" i="17066"/>
  <c r="AL67" i="17066"/>
  <c r="AL68" i="17066"/>
  <c r="AL65" i="17066"/>
  <c r="D245" i="1032"/>
  <c r="E245" i="1032" s="1"/>
  <c r="C290" i="1032"/>
  <c r="E290" i="1032" s="1"/>
  <c r="C266" i="1032"/>
  <c r="E266" i="1032" s="1"/>
  <c r="D241" i="1032"/>
  <c r="E241" i="1032" s="1"/>
  <c r="D237" i="1032"/>
  <c r="E237" i="1032" s="1"/>
  <c r="D233" i="1032"/>
  <c r="E233" i="1032" s="1"/>
  <c r="D231" i="1032"/>
  <c r="E231" i="1032" s="1"/>
  <c r="D230" i="1032"/>
  <c r="E230" i="1032" s="1"/>
  <c r="D229" i="1032"/>
  <c r="E229" i="1032" s="1"/>
  <c r="D228" i="1032"/>
  <c r="M228" i="1032" s="1"/>
  <c r="D227" i="1032"/>
  <c r="D226" i="1032"/>
  <c r="D225" i="1032"/>
  <c r="M225" i="1032" s="1"/>
  <c r="D224" i="1032"/>
  <c r="D223" i="1032"/>
  <c r="E223" i="1032" s="1"/>
  <c r="N223" i="1032" s="1"/>
  <c r="D222" i="1032"/>
  <c r="E222" i="1032" s="1"/>
  <c r="N222" i="1032" s="1"/>
  <c r="D221" i="1032"/>
  <c r="E221" i="1032" s="1"/>
  <c r="N221" i="1032" s="1"/>
  <c r="D220" i="1032"/>
  <c r="D219" i="1032"/>
  <c r="D218" i="1032"/>
  <c r="M218" i="1032" s="1"/>
  <c r="D217" i="1032"/>
  <c r="D216" i="1032"/>
  <c r="D215" i="1032"/>
  <c r="E215" i="1032" s="1"/>
  <c r="N215" i="1032" s="1"/>
  <c r="D214" i="1032"/>
  <c r="D213" i="1032"/>
  <c r="M213" i="1032" s="1"/>
  <c r="AL65" i="17067"/>
  <c r="AL54" i="17067"/>
  <c r="AL64" i="17068"/>
  <c r="AL65" i="17068"/>
  <c r="AL63" i="17068"/>
  <c r="AL62" i="17068"/>
  <c r="AH160" i="17075"/>
  <c r="L43" i="17070"/>
  <c r="B11" i="17070"/>
  <c r="H54" i="17070"/>
  <c r="AD41" i="17070"/>
  <c r="F11" i="17070"/>
  <c r="G10" i="17070"/>
  <c r="W27" i="17070"/>
  <c r="AL50" i="17069"/>
  <c r="AL56" i="17070"/>
  <c r="C10" i="17070"/>
  <c r="AD56" i="17069"/>
  <c r="X50" i="17069"/>
  <c r="D56" i="17069"/>
  <c r="J48" i="17069"/>
  <c r="J47" i="17069"/>
  <c r="J49" i="17069"/>
  <c r="J50" i="17069"/>
  <c r="J51" i="17069"/>
  <c r="K53" i="17069"/>
  <c r="W10" i="17070"/>
  <c r="B30" i="17070"/>
  <c r="D63" i="17070"/>
  <c r="R50" i="17069"/>
  <c r="P10" i="17070"/>
  <c r="D60" i="17070"/>
  <c r="D64" i="17069"/>
  <c r="J64" i="17069"/>
  <c r="R10" i="17070"/>
  <c r="AM59" i="17069"/>
  <c r="AL46" i="17070"/>
  <c r="AM59" i="17070" s="1"/>
  <c r="V57" i="17069"/>
  <c r="AL47" i="17069"/>
  <c r="AL54" i="17070"/>
  <c r="C53" i="17069"/>
  <c r="K59" i="17069"/>
  <c r="H57" i="17070"/>
  <c r="R51" i="17069"/>
  <c r="P46" i="17069"/>
  <c r="Q59" i="17069" s="1"/>
  <c r="P62" i="17069"/>
  <c r="X63" i="17069"/>
  <c r="P18" i="17070"/>
  <c r="AH23" i="17069"/>
  <c r="AB46" i="17070"/>
  <c r="AD13" i="17069"/>
  <c r="AB13" i="17069"/>
  <c r="B19" i="17070"/>
  <c r="B48" i="17069"/>
  <c r="N20" i="17070"/>
  <c r="D63" i="17069"/>
  <c r="H11" i="17070"/>
  <c r="I10" i="17070"/>
  <c r="V55" i="17069"/>
  <c r="AH54" i="17069"/>
  <c r="AI22" i="17069"/>
  <c r="AJ55" i="17069"/>
  <c r="AJ43" i="17069"/>
  <c r="AL44" i="17070"/>
  <c r="V54" i="17069"/>
  <c r="AJ56" i="17069"/>
  <c r="AL51" i="17069"/>
  <c r="AL49" i="17069"/>
  <c r="AL7" i="17069"/>
  <c r="AF55" i="17069"/>
  <c r="AJ57" i="17069"/>
  <c r="AL11" i="17070"/>
  <c r="H135" i="17075"/>
  <c r="X135" i="17075"/>
  <c r="G160" i="17074"/>
  <c r="D167" i="17074"/>
  <c r="AD167" i="17074"/>
  <c r="E166" i="17074"/>
  <c r="C156" i="17074"/>
  <c r="AF157" i="17074"/>
  <c r="E162" i="17074"/>
  <c r="AD159" i="17074"/>
  <c r="AN42" i="17069"/>
  <c r="AN44" i="17069"/>
  <c r="C135" i="17075"/>
  <c r="F135" i="17075"/>
  <c r="G135" i="17075"/>
  <c r="I135" i="17075"/>
  <c r="J135" i="17075"/>
  <c r="K135" i="17075"/>
  <c r="M135" i="17075"/>
  <c r="N135" i="17075"/>
  <c r="O135" i="17075"/>
  <c r="P135" i="17075"/>
  <c r="Q135" i="17075"/>
  <c r="S135" i="17075"/>
  <c r="T135" i="17075"/>
  <c r="V135" i="17075"/>
  <c r="W135" i="17075"/>
  <c r="Z135" i="17075"/>
  <c r="AA135" i="17075"/>
  <c r="AD135" i="17075"/>
  <c r="AE135" i="17075"/>
  <c r="AH135" i="17075"/>
  <c r="C165" i="17073"/>
  <c r="B66" i="17074"/>
  <c r="H91" i="32"/>
  <c r="D94" i="32"/>
  <c r="E99" i="32" s="1"/>
  <c r="AO15" i="17067"/>
  <c r="AH155" i="17073"/>
  <c r="AH156" i="17073" s="1"/>
  <c r="R135" i="17075"/>
  <c r="AG135" i="17075"/>
  <c r="D135" i="17075"/>
  <c r="E135" i="17075"/>
  <c r="U135" i="17075"/>
  <c r="Y135" i="17075"/>
  <c r="AF135" i="17075"/>
  <c r="AC135" i="17075"/>
  <c r="AB135" i="17075"/>
  <c r="L135" i="17075"/>
  <c r="C166" i="17073"/>
  <c r="C171" i="17073"/>
  <c r="H49" i="17073"/>
  <c r="B74" i="17073"/>
  <c r="N49" i="17073"/>
  <c r="N27" i="17073"/>
  <c r="E95" i="1"/>
  <c r="E97" i="1"/>
  <c r="E96" i="1"/>
  <c r="E98" i="1"/>
  <c r="E99" i="1"/>
  <c r="J69" i="17068"/>
  <c r="AL48" i="17069"/>
  <c r="F87" i="1"/>
  <c r="AN69" i="17068"/>
  <c r="F86" i="1"/>
  <c r="AN8" i="17066"/>
  <c r="E292" i="1032" s="1"/>
  <c r="F89" i="1"/>
  <c r="AO61" i="17068"/>
  <c r="AN55" i="17069"/>
  <c r="AN57" i="17069"/>
  <c r="AN53" i="17070"/>
  <c r="AN54" i="17069"/>
  <c r="AN56" i="17069"/>
  <c r="AN46" i="17069"/>
  <c r="AO53" i="17069" s="1"/>
  <c r="AN59" i="17068"/>
  <c r="AN55" i="17068"/>
  <c r="AN58" i="17068"/>
  <c r="AN57" i="17068"/>
  <c r="AN64" i="17068"/>
  <c r="AJ10" i="17070"/>
  <c r="AK10" i="17070" s="1"/>
  <c r="AK29" i="17070"/>
  <c r="AH41" i="17070"/>
  <c r="AL30" i="17070"/>
  <c r="AH10" i="17070"/>
  <c r="AJ42" i="17069"/>
  <c r="AF56" i="17070"/>
  <c r="Z56" i="17070"/>
  <c r="AF57" i="17070"/>
  <c r="K29" i="17069"/>
  <c r="J30" i="17069"/>
  <c r="J29" i="17070"/>
  <c r="R15" i="17069"/>
  <c r="S14" i="17069"/>
  <c r="J13" i="17069"/>
  <c r="J12" i="17070"/>
  <c r="K12" i="17069"/>
  <c r="E14" i="17069"/>
  <c r="D15" i="17069"/>
  <c r="AJ21" i="17069"/>
  <c r="AJ20" i="17070"/>
  <c r="AK20" i="17070" s="1"/>
  <c r="AK20" i="17069"/>
  <c r="AE12" i="17068"/>
  <c r="AD14" i="17069"/>
  <c r="AD13" i="17068"/>
  <c r="X14" i="17069"/>
  <c r="X13" i="17068"/>
  <c r="Y12" i="17068"/>
  <c r="U12" i="17069"/>
  <c r="T13" i="17069"/>
  <c r="I14" i="17069"/>
  <c r="H15" i="17069"/>
  <c r="AJ18" i="17069"/>
  <c r="AJ29" i="17068"/>
  <c r="AK28" i="17068"/>
  <c r="K14" i="17069"/>
  <c r="J15" i="17069"/>
  <c r="G14" i="17069"/>
  <c r="F15" i="17069"/>
  <c r="B15" i="17068"/>
  <c r="AH12" i="17068"/>
  <c r="AK10" i="17068"/>
  <c r="AJ15" i="17068"/>
  <c r="AK22" i="17068"/>
  <c r="AN23" i="17068"/>
  <c r="AN65" i="17068"/>
  <c r="AJ36" i="17068"/>
  <c r="AH10" i="17068"/>
  <c r="AJ52" i="17068"/>
  <c r="AL59" i="17068"/>
  <c r="AL55" i="17068"/>
  <c r="AL58" i="17068"/>
  <c r="AM61" i="17068"/>
  <c r="AL57" i="17068"/>
  <c r="AL56" i="17068"/>
  <c r="AM54" i="17068"/>
  <c r="B65" i="17066"/>
  <c r="U15" i="17068"/>
  <c r="C20" i="17068"/>
  <c r="C22" i="17068"/>
  <c r="X71" i="17068"/>
  <c r="AN65" i="17065"/>
  <c r="AN51" i="17069"/>
  <c r="AO63" i="17065"/>
  <c r="AA12" i="17069"/>
  <c r="AN68" i="17065"/>
  <c r="AN66" i="17065"/>
  <c r="AO59" i="17069"/>
  <c r="N46" i="17069"/>
  <c r="O59" i="17069" s="1"/>
  <c r="N61" i="17069"/>
  <c r="N64" i="17069"/>
  <c r="N63" i="17069"/>
  <c r="N59" i="17070"/>
  <c r="N60" i="17069"/>
  <c r="N62" i="17069"/>
  <c r="AC27" i="17069"/>
  <c r="AB28" i="17069"/>
  <c r="AB27" i="17070"/>
  <c r="AC27" i="17070" s="1"/>
  <c r="Q27" i="17069"/>
  <c r="P27" i="17070"/>
  <c r="P28" i="17069"/>
  <c r="I27" i="17069"/>
  <c r="H28" i="17069"/>
  <c r="H27" i="17070"/>
  <c r="I12" i="17069"/>
  <c r="H13" i="17069"/>
  <c r="H12" i="17070"/>
  <c r="F12" i="17070"/>
  <c r="G12" i="17069"/>
  <c r="F13" i="17069"/>
  <c r="C14" i="17069"/>
  <c r="B15" i="17069"/>
  <c r="AD32" i="17069"/>
  <c r="AE31" i="17069"/>
  <c r="I29" i="17069"/>
  <c r="H30" i="17069"/>
  <c r="H29" i="17070"/>
  <c r="N27" i="17070"/>
  <c r="N28" i="17069"/>
  <c r="O27" i="17069"/>
  <c r="F28" i="17069"/>
  <c r="F27" i="17070"/>
  <c r="G27" i="17069"/>
  <c r="L12" i="17070"/>
  <c r="L13" i="17069"/>
  <c r="M12" i="17069"/>
  <c r="AB32" i="17069"/>
  <c r="AC31" i="17069"/>
  <c r="V32" i="17069"/>
  <c r="AE29" i="17069"/>
  <c r="AD29" i="17070"/>
  <c r="AD30" i="17069"/>
  <c r="P29" i="17070"/>
  <c r="Q29" i="17069"/>
  <c r="P30" i="17069"/>
  <c r="M29" i="17069"/>
  <c r="L30" i="17069"/>
  <c r="L29" i="17070"/>
  <c r="M27" i="17069"/>
  <c r="L28" i="17069"/>
  <c r="L27" i="17070"/>
  <c r="D28" i="17069"/>
  <c r="D27" i="17070"/>
  <c r="E27" i="17069"/>
  <c r="Q12" i="17069"/>
  <c r="P13" i="17069"/>
  <c r="P12" i="17070"/>
  <c r="C12" i="17069"/>
  <c r="B12" i="17070"/>
  <c r="B13" i="17069"/>
  <c r="F62" i="17069"/>
  <c r="F59" i="17070"/>
  <c r="F46" i="17069"/>
  <c r="G59" i="17069" s="1"/>
  <c r="F64" i="17069"/>
  <c r="F63" i="17069"/>
  <c r="F60" i="17069"/>
  <c r="F61" i="17069"/>
  <c r="AF30" i="17069"/>
  <c r="AG29" i="17069"/>
  <c r="AF29" i="17070"/>
  <c r="AC29" i="17069"/>
  <c r="AB29" i="17070"/>
  <c r="AB30" i="17069"/>
  <c r="W27" i="17069"/>
  <c r="U29" i="17069"/>
  <c r="T30" i="17069"/>
  <c r="S27" i="17069"/>
  <c r="R28" i="17069"/>
  <c r="R27" i="17070"/>
  <c r="J28" i="17069"/>
  <c r="J27" i="17070"/>
  <c r="K27" i="17069"/>
  <c r="U14" i="17069"/>
  <c r="T15" i="17069"/>
  <c r="AJ13" i="17069"/>
  <c r="AJ12" i="17070"/>
  <c r="B23" i="17068"/>
  <c r="B19" i="17068"/>
  <c r="C16" i="17068"/>
  <c r="L15" i="17068"/>
  <c r="T15" i="17068"/>
  <c r="C36" i="17068"/>
  <c r="C38" i="17068"/>
  <c r="C10" i="17068"/>
  <c r="F15" i="17068"/>
  <c r="H15" i="17068"/>
  <c r="P71" i="17068"/>
  <c r="AJ59" i="17069"/>
  <c r="AJ61" i="17069" s="1"/>
  <c r="X42" i="17070"/>
  <c r="X60" i="17070"/>
  <c r="X11" i="17070"/>
  <c r="X47" i="17070"/>
  <c r="X54" i="17070"/>
  <c r="O37" i="17066"/>
  <c r="N62" i="17066"/>
  <c r="D71" i="17067"/>
  <c r="M35" i="17066"/>
  <c r="L60" i="17066"/>
  <c r="L61" i="17066"/>
  <c r="M33" i="17066"/>
  <c r="M37" i="17066"/>
  <c r="L51" i="17066"/>
  <c r="L61" i="17067"/>
  <c r="L62" i="17066"/>
  <c r="L59" i="17066"/>
  <c r="AH62" i="17066"/>
  <c r="AH60" i="17066"/>
  <c r="AH59" i="17066"/>
  <c r="V44" i="17070"/>
  <c r="V57" i="17070"/>
  <c r="Z51" i="17067"/>
  <c r="Z57" i="17067"/>
  <c r="Z70" i="17067"/>
  <c r="Z19" i="17067" s="1"/>
  <c r="Z63" i="17067"/>
  <c r="D55" i="17070"/>
  <c r="B69" i="17068"/>
  <c r="X56" i="17070"/>
  <c r="X50" i="17070"/>
  <c r="X63" i="17070"/>
  <c r="B56" i="17070"/>
  <c r="T69" i="17068"/>
  <c r="AJ66" i="17066"/>
  <c r="AJ76" i="17066"/>
  <c r="K23" i="17066"/>
  <c r="X64" i="17067"/>
  <c r="AJ74" i="17066"/>
  <c r="AA12" i="17070"/>
  <c r="Z14" i="17070"/>
  <c r="X59" i="17068"/>
  <c r="Y67" i="17068"/>
  <c r="X57" i="17068"/>
  <c r="Y54" i="17068"/>
  <c r="X55" i="17068"/>
  <c r="X58" i="17068"/>
  <c r="X56" i="17068"/>
  <c r="AN49" i="17069"/>
  <c r="AN52" i="17065"/>
  <c r="AN61" i="17069"/>
  <c r="AO54" i="17068"/>
  <c r="AN56" i="17068"/>
  <c r="H59" i="17068"/>
  <c r="X62" i="17068"/>
  <c r="H59" i="17067"/>
  <c r="P64" i="17067"/>
  <c r="AB61" i="17069"/>
  <c r="AB64" i="17069"/>
  <c r="AB60" i="17069"/>
  <c r="AB63" i="17069"/>
  <c r="AB46" i="17069"/>
  <c r="Y61" i="17068"/>
  <c r="AH20" i="17069"/>
  <c r="AH31" i="17068"/>
  <c r="AI30" i="17068"/>
  <c r="AJ66" i="17070"/>
  <c r="AJ74" i="17067"/>
  <c r="AJ36" i="17066"/>
  <c r="AJ65" i="17066"/>
  <c r="AJ18" i="17066"/>
  <c r="AJ28" i="17066"/>
  <c r="AJ12" i="17066"/>
  <c r="AJ26" i="17066"/>
  <c r="AJ20" i="17066"/>
  <c r="AJ46" i="17066"/>
  <c r="AJ38" i="17066"/>
  <c r="AJ24" i="17066"/>
  <c r="AJ14" i="17066"/>
  <c r="R55" i="17066"/>
  <c r="R54" i="17069"/>
  <c r="Q33" i="17066"/>
  <c r="P60" i="17066"/>
  <c r="Q37" i="17066"/>
  <c r="H41" i="17067"/>
  <c r="H23" i="17067"/>
  <c r="H11" i="17067"/>
  <c r="P19" i="17067"/>
  <c r="P37" i="17067"/>
  <c r="D23" i="17067"/>
  <c r="D41" i="17067"/>
  <c r="B13" i="17067"/>
  <c r="B39" i="17067"/>
  <c r="B21" i="17067"/>
  <c r="B29" i="17067"/>
  <c r="X21" i="17067"/>
  <c r="X23" i="17067"/>
  <c r="X39" i="17067"/>
  <c r="G13" i="17066"/>
  <c r="D64" i="17065"/>
  <c r="AI29" i="17069"/>
  <c r="AJ34" i="17066"/>
  <c r="N26" i="17066"/>
  <c r="H13" i="17067"/>
  <c r="H37" i="17067"/>
  <c r="H19" i="17067"/>
  <c r="P17" i="17067"/>
  <c r="P39" i="17067"/>
  <c r="B41" i="17067"/>
  <c r="B11" i="17067"/>
  <c r="B23" i="17067"/>
  <c r="X11" i="17067"/>
  <c r="X31" i="17067"/>
  <c r="X41" i="17067"/>
  <c r="R53" i="17070"/>
  <c r="H31" i="17067"/>
  <c r="H29" i="17067"/>
  <c r="H17" i="17067"/>
  <c r="P29" i="17067"/>
  <c r="P21" i="17067"/>
  <c r="B50" i="17067"/>
  <c r="B19" i="17067"/>
  <c r="X13" i="17067"/>
  <c r="AK16" i="17068"/>
  <c r="AJ19" i="17068"/>
  <c r="AJ23" i="17068"/>
  <c r="AJ25" i="17068"/>
  <c r="AK30" i="17068"/>
  <c r="AK38" i="17068"/>
  <c r="AJ68" i="17068"/>
  <c r="AL65" i="17065"/>
  <c r="AL64" i="17065"/>
  <c r="AL67" i="17065"/>
  <c r="AL66" i="17065"/>
  <c r="AL68" i="17065"/>
  <c r="AJ75" i="17066"/>
  <c r="AJ17" i="17068"/>
  <c r="AL50" i="17065"/>
  <c r="AM63" i="17065" s="1"/>
  <c r="C248" i="1032"/>
  <c r="E265" i="1032"/>
  <c r="N265" i="1032" s="1"/>
  <c r="E259" i="1032"/>
  <c r="D232" i="1032"/>
  <c r="E232" i="1032" s="1"/>
  <c r="D235" i="1032"/>
  <c r="E235" i="1032" s="1"/>
  <c r="D239" i="1032"/>
  <c r="E239" i="1032" s="1"/>
  <c r="D243" i="1032"/>
  <c r="E243" i="1032" s="1"/>
  <c r="M223" i="1032"/>
  <c r="E225" i="1032"/>
  <c r="C262" i="1032"/>
  <c r="D234" i="1032"/>
  <c r="D236" i="1032"/>
  <c r="E236" i="1032" s="1"/>
  <c r="D238" i="1032"/>
  <c r="E238" i="1032" s="1"/>
  <c r="D240" i="1032"/>
  <c r="E240" i="1032" s="1"/>
  <c r="D242" i="1032"/>
  <c r="E242" i="1032" s="1"/>
  <c r="D244" i="1032"/>
  <c r="E244" i="1032" s="1"/>
  <c r="C287" i="1032"/>
  <c r="M215" i="1032" l="1"/>
  <c r="AH56" i="17070"/>
  <c r="B47" i="17070"/>
  <c r="B50" i="17070"/>
  <c r="B49" i="17070"/>
  <c r="C59" i="17070"/>
  <c r="D46" i="17070"/>
  <c r="B48" i="17070"/>
  <c r="Y53" i="17070"/>
  <c r="B63" i="17070"/>
  <c r="X48" i="17070"/>
  <c r="D60" i="17069"/>
  <c r="AD54" i="17068"/>
  <c r="AD31" i="17068"/>
  <c r="J18" i="17070"/>
  <c r="K18" i="17069"/>
  <c r="AB62" i="17068"/>
  <c r="F19" i="17070"/>
  <c r="G18" i="17070"/>
  <c r="AE30" i="17068"/>
  <c r="AB65" i="17068"/>
  <c r="B62" i="17070"/>
  <c r="AE67" i="17068"/>
  <c r="B64" i="17070"/>
  <c r="B51" i="17070"/>
  <c r="AE20" i="17069"/>
  <c r="AD63" i="17065"/>
  <c r="B61" i="17070"/>
  <c r="AD68" i="17068"/>
  <c r="AD21" i="17069"/>
  <c r="V15" i="17068"/>
  <c r="AB54" i="17068"/>
  <c r="R31" i="17067"/>
  <c r="AA54" i="17067"/>
  <c r="AL28" i="17069"/>
  <c r="AL27" i="17070"/>
  <c r="AL28" i="17070" s="1"/>
  <c r="D60" i="17066"/>
  <c r="H56" i="17068"/>
  <c r="H47" i="17069"/>
  <c r="AP22" i="17070"/>
  <c r="D61" i="17066"/>
  <c r="AN46" i="17070"/>
  <c r="AN48" i="17070" s="1"/>
  <c r="AH161" i="17075"/>
  <c r="E33" i="17066"/>
  <c r="AQ20" i="17070"/>
  <c r="W18" i="17070"/>
  <c r="X52" i="17067"/>
  <c r="X72" i="17067"/>
  <c r="E228" i="1032"/>
  <c r="N228" i="1032" s="1"/>
  <c r="AI15" i="17068"/>
  <c r="H51" i="17067"/>
  <c r="AN24" i="17066"/>
  <c r="AQ29" i="17070"/>
  <c r="B60" i="17070"/>
  <c r="B54" i="17070"/>
  <c r="B37" i="17067"/>
  <c r="B17" i="17067"/>
  <c r="B25" i="17067"/>
  <c r="B31" i="17067"/>
  <c r="B68" i="17067"/>
  <c r="AN28" i="17066"/>
  <c r="AD50" i="17067"/>
  <c r="P13" i="17067"/>
  <c r="P68" i="17067"/>
  <c r="R37" i="17067"/>
  <c r="AN12" i="17066"/>
  <c r="P41" i="17067"/>
  <c r="P11" i="17067"/>
  <c r="AN36" i="17066"/>
  <c r="R23" i="17067"/>
  <c r="R21" i="17067"/>
  <c r="R11" i="17067"/>
  <c r="R29" i="17067"/>
  <c r="Z13" i="17070"/>
  <c r="AF24" i="17066"/>
  <c r="AN14" i="17066"/>
  <c r="AN15" i="17068"/>
  <c r="AL62" i="17070"/>
  <c r="AL55" i="17070"/>
  <c r="AE54" i="17067"/>
  <c r="AB46" i="17066"/>
  <c r="AF12" i="17069"/>
  <c r="AG10" i="17068"/>
  <c r="N55" i="17070"/>
  <c r="N56" i="17070"/>
  <c r="E273" i="1032"/>
  <c r="N273" i="1032" s="1"/>
  <c r="M222" i="1032"/>
  <c r="B96" i="17075"/>
  <c r="H96" i="17075" s="1"/>
  <c r="H75" i="17075"/>
  <c r="AQ27" i="17070"/>
  <c r="AP31" i="17070"/>
  <c r="AP32" i="17070" s="1"/>
  <c r="AQ12" i="17070"/>
  <c r="AQ10" i="17070"/>
  <c r="AQ18" i="17070"/>
  <c r="AQ54" i="17067"/>
  <c r="AQ22" i="17070"/>
  <c r="AP23" i="17070"/>
  <c r="AQ14" i="17070"/>
  <c r="AP15" i="17070"/>
  <c r="L275" i="1032"/>
  <c r="E218" i="1032"/>
  <c r="N218" i="1032" s="1"/>
  <c r="AE20" i="17070"/>
  <c r="L22" i="17070"/>
  <c r="AB14" i="17070"/>
  <c r="F21" i="17070"/>
  <c r="AN21" i="17069"/>
  <c r="H62" i="17070"/>
  <c r="K20" i="17070"/>
  <c r="S53" i="17069"/>
  <c r="P15" i="17069"/>
  <c r="J22" i="17070"/>
  <c r="J46" i="17070"/>
  <c r="R48" i="17069"/>
  <c r="F22" i="17070"/>
  <c r="F23" i="17070" s="1"/>
  <c r="S59" i="17069"/>
  <c r="N57" i="17070"/>
  <c r="R47" i="17069"/>
  <c r="AD13" i="17070"/>
  <c r="AD14" i="17070"/>
  <c r="V20" i="17070"/>
  <c r="V21" i="17069"/>
  <c r="W20" i="17069"/>
  <c r="O12" i="17070"/>
  <c r="N14" i="17070"/>
  <c r="O14" i="17070" s="1"/>
  <c r="D20" i="17070"/>
  <c r="D21" i="17070" s="1"/>
  <c r="J62" i="17070"/>
  <c r="H46" i="17070"/>
  <c r="P46" i="17070"/>
  <c r="P50" i="17070" s="1"/>
  <c r="E59" i="17070"/>
  <c r="H60" i="17069"/>
  <c r="H64" i="17069"/>
  <c r="Q15" i="17068"/>
  <c r="D19" i="17069"/>
  <c r="E18" i="17069"/>
  <c r="D18" i="17070"/>
  <c r="W22" i="17068"/>
  <c r="V23" i="17068"/>
  <c r="H64" i="17070"/>
  <c r="V64" i="17069"/>
  <c r="C20" i="17070"/>
  <c r="D50" i="17070"/>
  <c r="AE36" i="17068"/>
  <c r="R63" i="17070"/>
  <c r="J64" i="17070"/>
  <c r="AD19" i="17068"/>
  <c r="AE18" i="17068"/>
  <c r="AE15" i="17068" s="1"/>
  <c r="V68" i="17068"/>
  <c r="V72" i="17068"/>
  <c r="AD70" i="17068"/>
  <c r="AD72" i="17068"/>
  <c r="AD71" i="17068"/>
  <c r="D21" i="17069"/>
  <c r="X29" i="17069"/>
  <c r="Y38" i="17068"/>
  <c r="X39" i="17068"/>
  <c r="H60" i="17070"/>
  <c r="AH28" i="17070"/>
  <c r="V65" i="17068"/>
  <c r="B51" i="17069"/>
  <c r="B49" i="17069"/>
  <c r="I15" i="17068"/>
  <c r="E15" i="17068"/>
  <c r="W16" i="17068"/>
  <c r="W12" i="17068"/>
  <c r="V14" i="17069"/>
  <c r="AD18" i="17069"/>
  <c r="AD29" i="17068"/>
  <c r="Q18" i="17069"/>
  <c r="P19" i="17069"/>
  <c r="I18" i="17069"/>
  <c r="H18" i="17070"/>
  <c r="P60" i="17070"/>
  <c r="N32" i="17069"/>
  <c r="O31" i="17069"/>
  <c r="V63" i="17068"/>
  <c r="AI18" i="17069"/>
  <c r="AH19" i="17069"/>
  <c r="W18" i="17068"/>
  <c r="V19" i="17068"/>
  <c r="C59" i="17069"/>
  <c r="AC14" i="17069"/>
  <c r="AD37" i="17068"/>
  <c r="V64" i="17068"/>
  <c r="P62" i="17070"/>
  <c r="AB63" i="17068"/>
  <c r="AD55" i="17068"/>
  <c r="V54" i="17068"/>
  <c r="V56" i="17068" s="1"/>
  <c r="B50" i="17069"/>
  <c r="Y16" i="17068"/>
  <c r="Y20" i="17068"/>
  <c r="Y22" i="17068"/>
  <c r="X15" i="17068"/>
  <c r="P63" i="17070"/>
  <c r="J61" i="17070"/>
  <c r="V29" i="17069"/>
  <c r="W38" i="17068"/>
  <c r="V39" i="17068"/>
  <c r="AH29" i="17068"/>
  <c r="X31" i="17068"/>
  <c r="Y30" i="17068"/>
  <c r="AI28" i="17068"/>
  <c r="B23" i="17070"/>
  <c r="C22" i="17070"/>
  <c r="AA12" i="17068"/>
  <c r="W12" i="17070"/>
  <c r="V13" i="17070"/>
  <c r="D49" i="17069"/>
  <c r="D50" i="17069"/>
  <c r="D51" i="17069"/>
  <c r="AD68" i="17065"/>
  <c r="AD66" i="17065"/>
  <c r="AD67" i="17065"/>
  <c r="AD64" i="17065"/>
  <c r="AD65" i="17065"/>
  <c r="AD50" i="17065"/>
  <c r="Y20" i="17069"/>
  <c r="X20" i="17070"/>
  <c r="AH29" i="17070"/>
  <c r="AI29" i="17070" s="1"/>
  <c r="Z65" i="17068"/>
  <c r="C15" i="17068"/>
  <c r="AL63" i="17067"/>
  <c r="L19" i="17070"/>
  <c r="R39" i="17067"/>
  <c r="R68" i="17067"/>
  <c r="R62" i="17067"/>
  <c r="AD59" i="17068"/>
  <c r="B21" i="17070"/>
  <c r="S15" i="17068"/>
  <c r="E53" i="17070"/>
  <c r="D48" i="17070"/>
  <c r="AL48" i="17070"/>
  <c r="R19" i="17069"/>
  <c r="R18" i="17070"/>
  <c r="R19" i="17070" s="1"/>
  <c r="S18" i="17069"/>
  <c r="D68" i="17065"/>
  <c r="D67" i="17065"/>
  <c r="D50" i="17065"/>
  <c r="D64" i="17066"/>
  <c r="H49" i="17069"/>
  <c r="H50" i="17069"/>
  <c r="H51" i="17069"/>
  <c r="AD60" i="17069"/>
  <c r="AD63" i="17069"/>
  <c r="AD62" i="17069"/>
  <c r="AD46" i="17069"/>
  <c r="Z14" i="17069"/>
  <c r="E53" i="17069"/>
  <c r="V28" i="17069"/>
  <c r="AN53" i="17065"/>
  <c r="AO57" i="17065"/>
  <c r="AL49" i="17070"/>
  <c r="D48" i="17069"/>
  <c r="E14" i="17070"/>
  <c r="H63" i="17070"/>
  <c r="R54" i="17066"/>
  <c r="S58" i="17066"/>
  <c r="AJ66" i="17065"/>
  <c r="AJ67" i="17065"/>
  <c r="AJ65" i="17065"/>
  <c r="AJ64" i="17065"/>
  <c r="AJ68" i="17065"/>
  <c r="AJ50" i="17065"/>
  <c r="AL13" i="17069"/>
  <c r="AL12" i="17070"/>
  <c r="AL13" i="17070" s="1"/>
  <c r="Y59" i="17069"/>
  <c r="X49" i="17069"/>
  <c r="X51" i="17069"/>
  <c r="Y53" i="17069"/>
  <c r="X47" i="17069"/>
  <c r="N15" i="17069"/>
  <c r="O14" i="17069"/>
  <c r="AD59" i="17070"/>
  <c r="AN51" i="17065"/>
  <c r="AL51" i="17070"/>
  <c r="D47" i="17069"/>
  <c r="AL62" i="17067"/>
  <c r="AD57" i="17068"/>
  <c r="AE54" i="17068"/>
  <c r="R61" i="17070"/>
  <c r="R62" i="17070"/>
  <c r="I59" i="17069"/>
  <c r="M53" i="17069"/>
  <c r="L47" i="17069"/>
  <c r="L49" i="17069"/>
  <c r="L50" i="17069"/>
  <c r="L51" i="17069"/>
  <c r="AN55" i="17065"/>
  <c r="B28" i="17070"/>
  <c r="AD64" i="17069"/>
  <c r="V14" i="17070"/>
  <c r="W14" i="17070" s="1"/>
  <c r="T62" i="17069"/>
  <c r="T64" i="17069"/>
  <c r="U59" i="17069"/>
  <c r="T61" i="17069"/>
  <c r="T60" i="17069"/>
  <c r="L63" i="17070"/>
  <c r="L46" i="17070"/>
  <c r="L47" i="17070" s="1"/>
  <c r="AK15" i="17068"/>
  <c r="AJ13" i="17070"/>
  <c r="P61" i="17068"/>
  <c r="AL54" i="17066"/>
  <c r="AD61" i="17069"/>
  <c r="B31" i="17070"/>
  <c r="L61" i="17070"/>
  <c r="Z55" i="17067"/>
  <c r="Z62" i="17068"/>
  <c r="AI35" i="17066"/>
  <c r="N60" i="17066"/>
  <c r="AH42" i="17070"/>
  <c r="AN46" i="17066"/>
  <c r="AN48" i="17066"/>
  <c r="H61" i="17069"/>
  <c r="H48" i="17069"/>
  <c r="AF36" i="17066"/>
  <c r="F59" i="17066"/>
  <c r="G35" i="17066"/>
  <c r="F62" i="17066"/>
  <c r="G33" i="17066"/>
  <c r="F61" i="17067"/>
  <c r="F51" i="17066"/>
  <c r="F61" i="17066"/>
  <c r="F60" i="17066"/>
  <c r="AN79" i="17067"/>
  <c r="AN69" i="17066"/>
  <c r="AN71" i="17070"/>
  <c r="AF20" i="17066"/>
  <c r="AF66" i="17070"/>
  <c r="AF30" i="17070" s="1"/>
  <c r="AN70" i="17070"/>
  <c r="AN63" i="17070" s="1"/>
  <c r="AN68" i="17066"/>
  <c r="AN78" i="17067"/>
  <c r="AN71" i="17067" s="1"/>
  <c r="P54" i="17066"/>
  <c r="Q64" i="17066"/>
  <c r="P52" i="17066"/>
  <c r="P56" i="17066"/>
  <c r="P55" i="17066"/>
  <c r="P53" i="17066"/>
  <c r="AF69" i="17070"/>
  <c r="AF77" i="17067"/>
  <c r="AF12" i="17066"/>
  <c r="P54" i="17067"/>
  <c r="P58" i="17067" s="1"/>
  <c r="AH61" i="17066"/>
  <c r="AH61" i="17067"/>
  <c r="N59" i="17066"/>
  <c r="P64" i="17070"/>
  <c r="N13" i="17070"/>
  <c r="H63" i="17067"/>
  <c r="AF67" i="17066"/>
  <c r="Y58" i="17066"/>
  <c r="X52" i="17066"/>
  <c r="X55" i="17066"/>
  <c r="X53" i="17066"/>
  <c r="X56" i="17066"/>
  <c r="X54" i="17066"/>
  <c r="S61" i="17067"/>
  <c r="AH51" i="17067"/>
  <c r="AH70" i="17067"/>
  <c r="R55" i="17067"/>
  <c r="S67" i="17067"/>
  <c r="R56" i="17067"/>
  <c r="R58" i="17067"/>
  <c r="AF14" i="17066"/>
  <c r="AF26" i="17066"/>
  <c r="T54" i="17068"/>
  <c r="U61" i="17068" s="1"/>
  <c r="T65" i="17068"/>
  <c r="T63" i="17068"/>
  <c r="T64" i="17068"/>
  <c r="D49" i="17070"/>
  <c r="AI37" i="17066"/>
  <c r="AD60" i="17066"/>
  <c r="AD69" i="17070"/>
  <c r="AD55" i="17070" s="1"/>
  <c r="AD47" i="17066"/>
  <c r="AD77" i="17067"/>
  <c r="AN26" i="17066"/>
  <c r="X61" i="17069"/>
  <c r="X48" i="17069"/>
  <c r="AF28" i="17066"/>
  <c r="AG27" i="17066"/>
  <c r="AD64" i="17067"/>
  <c r="AD71" i="17067"/>
  <c r="AD58" i="17067"/>
  <c r="D43" i="17070"/>
  <c r="Z64" i="17068"/>
  <c r="AI33" i="17066"/>
  <c r="AF18" i="17066"/>
  <c r="G37" i="17066"/>
  <c r="AF72" i="17067"/>
  <c r="AF52" i="17067"/>
  <c r="E35" i="17066"/>
  <c r="E37" i="17066"/>
  <c r="D61" i="17067"/>
  <c r="D62" i="17066"/>
  <c r="D51" i="17066"/>
  <c r="AB56" i="17067"/>
  <c r="AC67" i="17067"/>
  <c r="AB18" i="17066"/>
  <c r="AB26" i="17066"/>
  <c r="AB20" i="17066"/>
  <c r="AB38" i="17066"/>
  <c r="AB24" i="17066"/>
  <c r="AB66" i="17070"/>
  <c r="AB28" i="17070" s="1"/>
  <c r="AB74" i="17067"/>
  <c r="AB55" i="17067" s="1"/>
  <c r="AB34" i="17066"/>
  <c r="AB36" i="17066"/>
  <c r="AB28" i="17066"/>
  <c r="AB14" i="17066"/>
  <c r="AB52" i="17066"/>
  <c r="AB65" i="17066"/>
  <c r="AB59" i="17066"/>
  <c r="AB12" i="17066"/>
  <c r="AD67" i="17066"/>
  <c r="AF38" i="17066"/>
  <c r="AF48" i="17066"/>
  <c r="AF46" i="17066"/>
  <c r="AF47" i="17066"/>
  <c r="R41" i="17067"/>
  <c r="R17" i="17067"/>
  <c r="R50" i="17067"/>
  <c r="AD54" i="17066"/>
  <c r="P62" i="17067"/>
  <c r="P65" i="17067"/>
  <c r="H57" i="17067"/>
  <c r="N51" i="17066"/>
  <c r="O64" i="17066" s="1"/>
  <c r="AF74" i="17067"/>
  <c r="AF37" i="17067" s="1"/>
  <c r="AN74" i="17067"/>
  <c r="AN65" i="17066"/>
  <c r="AN20" i="17066"/>
  <c r="AN66" i="17070"/>
  <c r="AN18" i="17066"/>
  <c r="P52" i="17067"/>
  <c r="P72" i="17067"/>
  <c r="AC61" i="17067"/>
  <c r="AN38" i="17066"/>
  <c r="AF34" i="17066"/>
  <c r="AD17" i="17067"/>
  <c r="AD68" i="17067"/>
  <c r="AD11" i="17067"/>
  <c r="AD41" i="17067"/>
  <c r="AD37" i="17067"/>
  <c r="AD62" i="17067"/>
  <c r="AD29" i="17067"/>
  <c r="AD31" i="17067"/>
  <c r="AD23" i="17067"/>
  <c r="AD13" i="17067"/>
  <c r="AD39" i="17067"/>
  <c r="AD21" i="17067"/>
  <c r="V55" i="17068"/>
  <c r="AN29" i="17068"/>
  <c r="AN18" i="17069"/>
  <c r="AH68" i="17067"/>
  <c r="AH17" i="17067"/>
  <c r="AH50" i="17067"/>
  <c r="AH23" i="17067"/>
  <c r="AH29" i="17067"/>
  <c r="AH11" i="17067"/>
  <c r="AH13" i="17067"/>
  <c r="Z59" i="17069"/>
  <c r="Z68" i="17068"/>
  <c r="Z71" i="17068"/>
  <c r="Z72" i="17068"/>
  <c r="Z70" i="17068"/>
  <c r="Z69" i="17068"/>
  <c r="AF27" i="17069"/>
  <c r="AG36" i="17068"/>
  <c r="AF37" i="17068"/>
  <c r="AD72" i="17067"/>
  <c r="AD65" i="17067"/>
  <c r="AD52" i="17067"/>
  <c r="AK35" i="17066"/>
  <c r="AK33" i="17066"/>
  <c r="AJ59" i="17066"/>
  <c r="AJ51" i="17066"/>
  <c r="AJ54" i="17066" s="1"/>
  <c r="AJ61" i="17067"/>
  <c r="L68" i="17067"/>
  <c r="L37" i="17067"/>
  <c r="L29" i="17067"/>
  <c r="L41" i="17067"/>
  <c r="L39" i="17067"/>
  <c r="L17" i="17067"/>
  <c r="L19" i="17067"/>
  <c r="L31" i="17067"/>
  <c r="L21" i="17067"/>
  <c r="L13" i="17067"/>
  <c r="L23" i="17067"/>
  <c r="L25" i="17067"/>
  <c r="L50" i="17067"/>
  <c r="L11" i="17067"/>
  <c r="J25" i="17067"/>
  <c r="J68" i="17067"/>
  <c r="J41" i="17067"/>
  <c r="J29" i="17067"/>
  <c r="J23" i="17067"/>
  <c r="J21" i="17067"/>
  <c r="J19" i="17067"/>
  <c r="J17" i="17067"/>
  <c r="J39" i="17067"/>
  <c r="J31" i="17067"/>
  <c r="J37" i="17067"/>
  <c r="J13" i="17067"/>
  <c r="J11" i="17067"/>
  <c r="J50" i="17067"/>
  <c r="AB48" i="17070"/>
  <c r="AL52" i="17066"/>
  <c r="N61" i="17066"/>
  <c r="V62" i="17069"/>
  <c r="M221" i="1032"/>
  <c r="L268" i="1032"/>
  <c r="E268" i="1032"/>
  <c r="N268" i="1032" s="1"/>
  <c r="AL21" i="17069"/>
  <c r="AL20" i="17070"/>
  <c r="AL21" i="17070" s="1"/>
  <c r="AB29" i="17068"/>
  <c r="AC28" i="17068"/>
  <c r="AB18" i="17069"/>
  <c r="Z29" i="17068"/>
  <c r="AA28" i="17068"/>
  <c r="Z18" i="17069"/>
  <c r="AG12" i="17068"/>
  <c r="AF14" i="17069"/>
  <c r="AF13" i="17068"/>
  <c r="N30" i="17070"/>
  <c r="AG37" i="17066"/>
  <c r="AF61" i="17066"/>
  <c r="AG35" i="17066"/>
  <c r="AF59" i="17066"/>
  <c r="AG33" i="17066"/>
  <c r="AF62" i="17066"/>
  <c r="AF61" i="17067"/>
  <c r="AF51" i="17066"/>
  <c r="AG58" i="17066" s="1"/>
  <c r="AF60" i="17066"/>
  <c r="AB59" i="17068"/>
  <c r="AB57" i="17068"/>
  <c r="AB58" i="17068"/>
  <c r="AC67" i="17068"/>
  <c r="AC61" i="17068"/>
  <c r="L266" i="1032"/>
  <c r="H56" i="17070"/>
  <c r="AL55" i="17066"/>
  <c r="O35" i="17066"/>
  <c r="V46" i="17069"/>
  <c r="V49" i="17069" s="1"/>
  <c r="K10" i="17070"/>
  <c r="L258" i="1032"/>
  <c r="AH21" i="17067"/>
  <c r="AN21" i="17068"/>
  <c r="AO20" i="17068"/>
  <c r="AN19" i="17068"/>
  <c r="AO18" i="17068"/>
  <c r="X12" i="17069"/>
  <c r="Y10" i="17068"/>
  <c r="X11" i="17068"/>
  <c r="E274" i="1032"/>
  <c r="N274" i="1032" s="1"/>
  <c r="L274" i="1032"/>
  <c r="AN25" i="17068"/>
  <c r="AO24" i="17068"/>
  <c r="F42" i="17070"/>
  <c r="F43" i="17070"/>
  <c r="F44" i="17070"/>
  <c r="L52" i="17067"/>
  <c r="L72" i="17067"/>
  <c r="Z20" i="17069"/>
  <c r="AA30" i="17068"/>
  <c r="Z31" i="17068"/>
  <c r="H71" i="17067"/>
  <c r="H58" i="17067"/>
  <c r="H64" i="17067"/>
  <c r="AG28" i="17068"/>
  <c r="AF29" i="17068"/>
  <c r="AF18" i="17069"/>
  <c r="AB70" i="17070"/>
  <c r="AB61" i="17066"/>
  <c r="AB78" i="17067"/>
  <c r="AB55" i="17066"/>
  <c r="AB68" i="17066"/>
  <c r="P43" i="17070"/>
  <c r="P42" i="17070"/>
  <c r="P44" i="17070"/>
  <c r="N54" i="17070"/>
  <c r="Z11" i="17070"/>
  <c r="Z42" i="17070"/>
  <c r="AN41" i="17068"/>
  <c r="AO40" i="17068"/>
  <c r="L267" i="1032"/>
  <c r="E267" i="1032"/>
  <c r="N267" i="1032" s="1"/>
  <c r="AH37" i="17067"/>
  <c r="X29" i="17068"/>
  <c r="X18" i="17069"/>
  <c r="Y28" i="17068"/>
  <c r="AK31" i="17069"/>
  <c r="AJ32" i="17069"/>
  <c r="L48" i="17069"/>
  <c r="L61" i="17069"/>
  <c r="N72" i="17067"/>
  <c r="N52" i="17067"/>
  <c r="AA22" i="17068"/>
  <c r="AA40" i="17068"/>
  <c r="AA20" i="17068"/>
  <c r="AA10" i="17068"/>
  <c r="AG24" i="17068"/>
  <c r="AF25" i="17068"/>
  <c r="AB71" i="17070"/>
  <c r="AB62" i="17066"/>
  <c r="AB56" i="17066"/>
  <c r="AB69" i="17066"/>
  <c r="AB79" i="17067"/>
  <c r="AH62" i="17069"/>
  <c r="AH59" i="17070"/>
  <c r="AH64" i="17069"/>
  <c r="AH46" i="17069"/>
  <c r="AH63" i="17069"/>
  <c r="AH60" i="17069"/>
  <c r="C33" i="17066"/>
  <c r="C35" i="17066"/>
  <c r="B60" i="17066"/>
  <c r="C37" i="17066"/>
  <c r="B51" i="17066"/>
  <c r="C58" i="17066" s="1"/>
  <c r="B59" i="17066"/>
  <c r="B61" i="17066"/>
  <c r="B61" i="17067"/>
  <c r="B62" i="17066"/>
  <c r="D30" i="17070"/>
  <c r="Z21" i="17067"/>
  <c r="Z11" i="17067"/>
  <c r="Z68" i="17067"/>
  <c r="Z41" i="17067"/>
  <c r="Z23" i="17067"/>
  <c r="Z29" i="17067"/>
  <c r="Z17" i="17067"/>
  <c r="Z37" i="17067"/>
  <c r="Z31" i="17067"/>
  <c r="Z39" i="17067"/>
  <c r="Z50" i="17067"/>
  <c r="Z13" i="17067"/>
  <c r="L44" i="17070"/>
  <c r="L64" i="17070"/>
  <c r="AB60" i="17066"/>
  <c r="AB47" i="17066"/>
  <c r="AB54" i="17066"/>
  <c r="AB67" i="17066"/>
  <c r="AB69" i="17070"/>
  <c r="AB77" i="17067"/>
  <c r="AH57" i="17070"/>
  <c r="AH54" i="17070"/>
  <c r="V59" i="17070"/>
  <c r="V64" i="17070" s="1"/>
  <c r="N229" i="1032"/>
  <c r="AL53" i="17066"/>
  <c r="O33" i="17066"/>
  <c r="V60" i="17069"/>
  <c r="AD21" i="17070"/>
  <c r="AD44" i="17070"/>
  <c r="AN39" i="17068"/>
  <c r="AN29" i="17069"/>
  <c r="AO38" i="17068"/>
  <c r="AI18" i="17070"/>
  <c r="AH19" i="17070"/>
  <c r="E272" i="1032"/>
  <c r="N272" i="1032" s="1"/>
  <c r="L272" i="1032"/>
  <c r="X28" i="17069"/>
  <c r="Y27" i="17069"/>
  <c r="X27" i="17070"/>
  <c r="C63" i="17065"/>
  <c r="B52" i="17065"/>
  <c r="B53" i="17065"/>
  <c r="B54" i="17065"/>
  <c r="B51" i="17065"/>
  <c r="C57" i="17065"/>
  <c r="B55" i="17065"/>
  <c r="Z25" i="17068"/>
  <c r="AA24" i="17068"/>
  <c r="AF31" i="17069"/>
  <c r="AF41" i="17068"/>
  <c r="AG40" i="17068"/>
  <c r="N19" i="17070"/>
  <c r="M10" i="17070"/>
  <c r="L11" i="17070"/>
  <c r="J54" i="17070"/>
  <c r="J42" i="17070"/>
  <c r="J60" i="17070"/>
  <c r="AE12" i="17070"/>
  <c r="Z27" i="17069"/>
  <c r="Z37" i="17068"/>
  <c r="AA36" i="17068"/>
  <c r="AL56" i="17066"/>
  <c r="AB56" i="17068"/>
  <c r="Z54" i="17068"/>
  <c r="Z55" i="17068" s="1"/>
  <c r="V61" i="17069"/>
  <c r="AD42" i="17070"/>
  <c r="AO28" i="17068"/>
  <c r="AH31" i="17067"/>
  <c r="AH39" i="17067"/>
  <c r="AN17" i="17068"/>
  <c r="AO16" i="17068"/>
  <c r="L271" i="1032"/>
  <c r="E271" i="1032"/>
  <c r="N271" i="1032" s="1"/>
  <c r="R21" i="17070"/>
  <c r="R42" i="17070"/>
  <c r="R30" i="17070"/>
  <c r="R60" i="17070"/>
  <c r="R65" i="17068"/>
  <c r="R54" i="17068"/>
  <c r="S61" i="17068" s="1"/>
  <c r="R63" i="17068"/>
  <c r="R64" i="17068"/>
  <c r="R62" i="17068"/>
  <c r="Z19" i="17068"/>
  <c r="AA18" i="17068"/>
  <c r="AF20" i="17069"/>
  <c r="AG30" i="17068"/>
  <c r="AF31" i="17068"/>
  <c r="AD75" i="17068"/>
  <c r="AD72" i="17066"/>
  <c r="AD67" i="17069"/>
  <c r="AE10" i="17070"/>
  <c r="Z15" i="17068"/>
  <c r="R72" i="17067"/>
  <c r="R52" i="17067"/>
  <c r="R59" i="17067"/>
  <c r="J61" i="17066"/>
  <c r="J61" i="17067"/>
  <c r="J51" i="17066"/>
  <c r="J59" i="17066"/>
  <c r="J62" i="17066"/>
  <c r="K37" i="17066"/>
  <c r="J60" i="17066"/>
  <c r="K33" i="17066"/>
  <c r="L261" i="1032"/>
  <c r="E261" i="1032"/>
  <c r="N261" i="1032" s="1"/>
  <c r="AF71" i="17068"/>
  <c r="AF68" i="17068"/>
  <c r="AF63" i="17065"/>
  <c r="AF72" i="17068"/>
  <c r="AF59" i="17069"/>
  <c r="AF70" i="17068"/>
  <c r="AN31" i="17069"/>
  <c r="AN32" i="17069" s="1"/>
  <c r="AM64" i="17066"/>
  <c r="AN77" i="17067"/>
  <c r="AN69" i="17070"/>
  <c r="AN55" i="17070" s="1"/>
  <c r="AN47" i="17066"/>
  <c r="AN67" i="17066"/>
  <c r="Z29" i="17069"/>
  <c r="Z39" i="17068"/>
  <c r="AA38" i="17068"/>
  <c r="AD27" i="17070"/>
  <c r="AD31" i="17070" s="1"/>
  <c r="AE27" i="17069"/>
  <c r="AD28" i="17069"/>
  <c r="AF15" i="17068"/>
  <c r="AG16" i="17068"/>
  <c r="AF17" i="17068"/>
  <c r="AH32" i="17069"/>
  <c r="AI31" i="17069"/>
  <c r="N42" i="17070"/>
  <c r="N15" i="17070"/>
  <c r="AA16" i="17068"/>
  <c r="L54" i="17070"/>
  <c r="L21" i="17070"/>
  <c r="L42" i="17070"/>
  <c r="L60" i="17070"/>
  <c r="R44" i="17070"/>
  <c r="R64" i="17070"/>
  <c r="AK37" i="17066"/>
  <c r="M230" i="1032"/>
  <c r="C291" i="1032"/>
  <c r="C293" i="1032" s="1"/>
  <c r="N259" i="1032"/>
  <c r="AJ48" i="17066"/>
  <c r="AJ69" i="17066"/>
  <c r="F91" i="1"/>
  <c r="G88" i="1" s="1"/>
  <c r="AL59" i="17067"/>
  <c r="AM67" i="17067"/>
  <c r="AL57" i="17067"/>
  <c r="AL58" i="17067"/>
  <c r="AL56" i="17067"/>
  <c r="AM61" i="17067"/>
  <c r="AL55" i="17067"/>
  <c r="E213" i="1032"/>
  <c r="D246" i="1032"/>
  <c r="D248" i="1032" s="1"/>
  <c r="M214" i="1032"/>
  <c r="E214" i="1032"/>
  <c r="N214" i="1032" s="1"/>
  <c r="M216" i="1032"/>
  <c r="E216" i="1032"/>
  <c r="N216" i="1032" s="1"/>
  <c r="M217" i="1032"/>
  <c r="E217" i="1032"/>
  <c r="N217" i="1032" s="1"/>
  <c r="E219" i="1032"/>
  <c r="N219" i="1032" s="1"/>
  <c r="M219" i="1032"/>
  <c r="M220" i="1032"/>
  <c r="E220" i="1032"/>
  <c r="N220" i="1032" s="1"/>
  <c r="M224" i="1032"/>
  <c r="E224" i="1032"/>
  <c r="N224" i="1032" s="1"/>
  <c r="E226" i="1032"/>
  <c r="N226" i="1032" s="1"/>
  <c r="M226" i="1032"/>
  <c r="E227" i="1032"/>
  <c r="N227" i="1032" s="1"/>
  <c r="M227" i="1032"/>
  <c r="AH157" i="17074"/>
  <c r="AH160" i="17074"/>
  <c r="AH156" i="17074"/>
  <c r="AH167" i="17074"/>
  <c r="AH159" i="17074"/>
  <c r="AH163" i="17074"/>
  <c r="AH166" i="17074"/>
  <c r="AH162" i="17074"/>
  <c r="AH158" i="17074"/>
  <c r="AH164" i="17074"/>
  <c r="AH165" i="17074"/>
  <c r="AH161" i="17074"/>
  <c r="AG160" i="17074"/>
  <c r="AE166" i="17074"/>
  <c r="C160" i="17074"/>
  <c r="G156" i="17074"/>
  <c r="H163" i="17074"/>
  <c r="I162" i="17074"/>
  <c r="J157" i="17074"/>
  <c r="J165" i="17074"/>
  <c r="L159" i="17074"/>
  <c r="L163" i="17074"/>
  <c r="L167" i="17074"/>
  <c r="N157" i="17074"/>
  <c r="N165" i="17074"/>
  <c r="O160" i="17074"/>
  <c r="P163" i="17074"/>
  <c r="Q162" i="17074"/>
  <c r="Q166" i="17074"/>
  <c r="R165" i="17074"/>
  <c r="S156" i="17074"/>
  <c r="S160" i="17074"/>
  <c r="T163" i="17074"/>
  <c r="T167" i="17074"/>
  <c r="U162" i="17074"/>
  <c r="V157" i="17074"/>
  <c r="V165" i="17074"/>
  <c r="W156" i="17074"/>
  <c r="X159" i="17074"/>
  <c r="X163" i="17074"/>
  <c r="X167" i="17074"/>
  <c r="Y166" i="17074"/>
  <c r="Z157" i="17074"/>
  <c r="Z165" i="17074"/>
  <c r="AA160" i="17074"/>
  <c r="AB159" i="17074"/>
  <c r="AB163" i="17074"/>
  <c r="C161" i="17074"/>
  <c r="C165" i="17074"/>
  <c r="D156" i="17074"/>
  <c r="E159" i="17074"/>
  <c r="E163" i="17074"/>
  <c r="F158" i="17074"/>
  <c r="F166" i="17074"/>
  <c r="G161" i="17074"/>
  <c r="G165" i="17074"/>
  <c r="H164" i="17074"/>
  <c r="I159" i="17074"/>
  <c r="I163" i="17074"/>
  <c r="J162" i="17074"/>
  <c r="J166" i="17074"/>
  <c r="K161" i="17074"/>
  <c r="L156" i="17074"/>
  <c r="L164" i="17074"/>
  <c r="M159" i="17074"/>
  <c r="N158" i="17074"/>
  <c r="N162" i="17074"/>
  <c r="N166" i="17074"/>
  <c r="O165" i="17074"/>
  <c r="P156" i="17074"/>
  <c r="P164" i="17074"/>
  <c r="Q163" i="17074"/>
  <c r="R158" i="17074"/>
  <c r="R162" i="17074"/>
  <c r="S161" i="17074"/>
  <c r="S165" i="17074"/>
  <c r="T156" i="17074"/>
  <c r="U159" i="17074"/>
  <c r="U163" i="17074"/>
  <c r="V158" i="17074"/>
  <c r="V166" i="17074"/>
  <c r="W157" i="17074"/>
  <c r="W161" i="17074"/>
  <c r="X156" i="17074"/>
  <c r="X160" i="17074"/>
  <c r="X164" i="17074"/>
  <c r="Y163" i="17074"/>
  <c r="Y167" i="17074"/>
  <c r="Z158" i="17074"/>
  <c r="Z166" i="17074"/>
  <c r="AA157" i="17074"/>
  <c r="AA161" i="17074"/>
  <c r="AB156" i="17074"/>
  <c r="AB160" i="17074"/>
  <c r="AB164" i="17074"/>
  <c r="C162" i="17074"/>
  <c r="C166" i="17074"/>
  <c r="D157" i="17074"/>
  <c r="D165" i="17074"/>
  <c r="E156" i="17074"/>
  <c r="E160" i="17074"/>
  <c r="F159" i="17074"/>
  <c r="F163" i="17074"/>
  <c r="F167" i="17074"/>
  <c r="G162" i="17074"/>
  <c r="G166" i="17074"/>
  <c r="H157" i="17074"/>
  <c r="H165" i="17074"/>
  <c r="I156" i="17074"/>
  <c r="I160" i="17074"/>
  <c r="J159" i="17074"/>
  <c r="J163" i="17074"/>
  <c r="J167" i="17074"/>
  <c r="K162" i="17074"/>
  <c r="K166" i="17074"/>
  <c r="L157" i="17074"/>
  <c r="L165" i="17074"/>
  <c r="M156" i="17074"/>
  <c r="M160" i="17074"/>
  <c r="N159" i="17074"/>
  <c r="N163" i="17074"/>
  <c r="N167" i="17074"/>
  <c r="O162" i="17074"/>
  <c r="O166" i="17074"/>
  <c r="P157" i="17074"/>
  <c r="P165" i="17074"/>
  <c r="Q156" i="17074"/>
  <c r="Q160" i="17074"/>
  <c r="R159" i="17074"/>
  <c r="R163" i="17074"/>
  <c r="R167" i="17074"/>
  <c r="S162" i="17074"/>
  <c r="S166" i="17074"/>
  <c r="T157" i="17074"/>
  <c r="T165" i="17074"/>
  <c r="U156" i="17074"/>
  <c r="U160" i="17074"/>
  <c r="V159" i="17074"/>
  <c r="V163" i="17074"/>
  <c r="V167" i="17074"/>
  <c r="W162" i="17074"/>
  <c r="W166" i="17074"/>
  <c r="X157" i="17074"/>
  <c r="X165" i="17074"/>
  <c r="Y156" i="17074"/>
  <c r="Y160" i="17074"/>
  <c r="Z159" i="17074"/>
  <c r="Z163" i="17074"/>
  <c r="Z167" i="17074"/>
  <c r="AA162" i="17074"/>
  <c r="AA166" i="17074"/>
  <c r="AB157" i="17074"/>
  <c r="AB165" i="17074"/>
  <c r="C159" i="17074"/>
  <c r="C163" i="17074"/>
  <c r="D158" i="17074"/>
  <c r="D162" i="17074"/>
  <c r="D166" i="17074"/>
  <c r="E161" i="17074"/>
  <c r="E165" i="17074"/>
  <c r="F156" i="17074"/>
  <c r="F164" i="17074"/>
  <c r="G159" i="17074"/>
  <c r="G163" i="17074"/>
  <c r="H158" i="17074"/>
  <c r="H162" i="17074"/>
  <c r="H166" i="17074"/>
  <c r="I161" i="17074"/>
  <c r="I165" i="17074"/>
  <c r="J156" i="17074"/>
  <c r="J164" i="17074"/>
  <c r="K159" i="17074"/>
  <c r="K163" i="17074"/>
  <c r="L158" i="17074"/>
  <c r="L162" i="17074"/>
  <c r="L166" i="17074"/>
  <c r="M161" i="17074"/>
  <c r="M165" i="17074"/>
  <c r="N156" i="17074"/>
  <c r="N164" i="17074"/>
  <c r="O159" i="17074"/>
  <c r="O163" i="17074"/>
  <c r="P158" i="17074"/>
  <c r="P162" i="17074"/>
  <c r="P166" i="17074"/>
  <c r="Q157" i="17074"/>
  <c r="Q161" i="17074"/>
  <c r="Q165" i="17074"/>
  <c r="R156" i="17074"/>
  <c r="R160" i="17074"/>
  <c r="R164" i="17074"/>
  <c r="S159" i="17074"/>
  <c r="S163" i="17074"/>
  <c r="S167" i="17074"/>
  <c r="T158" i="17074"/>
  <c r="T162" i="17074"/>
  <c r="T166" i="17074"/>
  <c r="U157" i="17074"/>
  <c r="U161" i="17074"/>
  <c r="U165" i="17074"/>
  <c r="V156" i="17074"/>
  <c r="V160" i="17074"/>
  <c r="V164" i="17074"/>
  <c r="W159" i="17074"/>
  <c r="W163" i="17074"/>
  <c r="W167" i="17074"/>
  <c r="X158" i="17074"/>
  <c r="X162" i="17074"/>
  <c r="X166" i="17074"/>
  <c r="Y157" i="17074"/>
  <c r="Y161" i="17074"/>
  <c r="Y165" i="17074"/>
  <c r="Z156" i="17074"/>
  <c r="Z160" i="17074"/>
  <c r="Z164" i="17074"/>
  <c r="AA159" i="17074"/>
  <c r="AA163" i="17074"/>
  <c r="AA167" i="17074"/>
  <c r="AB158" i="17074"/>
  <c r="AB162" i="17074"/>
  <c r="AB166" i="17074"/>
  <c r="AC162" i="17074"/>
  <c r="AC158" i="17074"/>
  <c r="AD164" i="17074"/>
  <c r="AD160" i="17074"/>
  <c r="AD156" i="17074"/>
  <c r="AC165" i="17074"/>
  <c r="AC161" i="17074"/>
  <c r="AC157" i="17074"/>
  <c r="O167" i="17074"/>
  <c r="N160" i="17074"/>
  <c r="M157" i="17074"/>
  <c r="K167" i="17074"/>
  <c r="J160" i="17074"/>
  <c r="I157" i="17074"/>
  <c r="G167" i="17074"/>
  <c r="F160" i="17074"/>
  <c r="E157" i="17074"/>
  <c r="E158" i="17074"/>
  <c r="E164" i="17074"/>
  <c r="E167" i="17074"/>
  <c r="C167" i="17074"/>
  <c r="AB161" i="17074"/>
  <c r="AA158" i="17074"/>
  <c r="Y164" i="17074"/>
  <c r="X161" i="17074"/>
  <c r="W158" i="17074"/>
  <c r="U164" i="17074"/>
  <c r="T161" i="17074"/>
  <c r="S158" i="17074"/>
  <c r="Q164" i="17074"/>
  <c r="P161" i="17074"/>
  <c r="O158" i="17074"/>
  <c r="M164" i="17074"/>
  <c r="L161" i="17074"/>
  <c r="K158" i="17074"/>
  <c r="I164" i="17074"/>
  <c r="H161" i="17074"/>
  <c r="G158" i="17074"/>
  <c r="D161" i="17074"/>
  <c r="C158" i="17074"/>
  <c r="AA165" i="17074"/>
  <c r="Z162" i="17074"/>
  <c r="Y159" i="17074"/>
  <c r="W165" i="17074"/>
  <c r="V162" i="17074"/>
  <c r="T164" i="17074"/>
  <c r="R166" i="17074"/>
  <c r="R157" i="17074"/>
  <c r="R161" i="17074"/>
  <c r="Q159" i="17074"/>
  <c r="O161" i="17074"/>
  <c r="M163" i="17074"/>
  <c r="K165" i="17074"/>
  <c r="J158" i="17074"/>
  <c r="H156" i="17074"/>
  <c r="F162" i="17074"/>
  <c r="D164" i="17074"/>
  <c r="AB167" i="17074"/>
  <c r="AA156" i="17074"/>
  <c r="Y162" i="17074"/>
  <c r="W160" i="17074"/>
  <c r="U166" i="17074"/>
  <c r="T159" i="17074"/>
  <c r="P159" i="17074"/>
  <c r="M166" i="17074"/>
  <c r="K156" i="17074"/>
  <c r="K157" i="17074"/>
  <c r="K160" i="17074"/>
  <c r="K164" i="17074"/>
  <c r="H167" i="17074"/>
  <c r="F165" i="17074"/>
  <c r="D159" i="17074"/>
  <c r="AD163" i="17074"/>
  <c r="AF165" i="17074"/>
  <c r="U167" i="17074"/>
  <c r="T160" i="17074"/>
  <c r="S157" i="17074"/>
  <c r="Q167" i="17074"/>
  <c r="P160" i="17074"/>
  <c r="O157" i="17074"/>
  <c r="M167" i="17074"/>
  <c r="L160" i="17074"/>
  <c r="I167" i="17074"/>
  <c r="H160" i="17074"/>
  <c r="G157" i="17074"/>
  <c r="D160" i="17074"/>
  <c r="C157" i="17074"/>
  <c r="AA164" i="17074"/>
  <c r="Z161" i="17074"/>
  <c r="Y158" i="17074"/>
  <c r="W164" i="17074"/>
  <c r="V161" i="17074"/>
  <c r="U158" i="17074"/>
  <c r="S164" i="17074"/>
  <c r="P167" i="17074"/>
  <c r="O156" i="17074"/>
  <c r="M162" i="17074"/>
  <c r="I166" i="17074"/>
  <c r="H159" i="17074"/>
  <c r="F157" i="17074"/>
  <c r="D163" i="17074"/>
  <c r="AC160" i="17074"/>
  <c r="AE162" i="17074"/>
  <c r="AG156" i="17074"/>
  <c r="Q158" i="17074"/>
  <c r="O164" i="17074"/>
  <c r="N161" i="17074"/>
  <c r="M158" i="17074"/>
  <c r="J161" i="17074"/>
  <c r="I158" i="17074"/>
  <c r="G164" i="17074"/>
  <c r="F161" i="17074"/>
  <c r="C164" i="17074"/>
  <c r="AC164" i="17074"/>
  <c r="AE158" i="17074"/>
  <c r="AF161" i="17074"/>
  <c r="AG164" i="17074"/>
  <c r="AC156" i="17074"/>
  <c r="AC163" i="17074"/>
  <c r="AD158" i="17074"/>
  <c r="AD166" i="17074"/>
  <c r="AE160" i="17074"/>
  <c r="AE165" i="17074"/>
  <c r="AF159" i="17074"/>
  <c r="AF164" i="17074"/>
  <c r="AG158" i="17074"/>
  <c r="AG163" i="17074"/>
  <c r="AC166" i="17074"/>
  <c r="AD161" i="17074"/>
  <c r="AE156" i="17074"/>
  <c r="AE161" i="17074"/>
  <c r="AE167" i="17074"/>
  <c r="AF160" i="17074"/>
  <c r="AF166" i="17074"/>
  <c r="AG159" i="17074"/>
  <c r="AG165" i="17074"/>
  <c r="AC167" i="17074"/>
  <c r="AD162" i="17074"/>
  <c r="AE157" i="17074"/>
  <c r="AE163" i="17074"/>
  <c r="AF156" i="17074"/>
  <c r="AF162" i="17074"/>
  <c r="AF167" i="17074"/>
  <c r="AG161" i="17074"/>
  <c r="AG166" i="17074"/>
  <c r="AC159" i="17074"/>
  <c r="AD157" i="17074"/>
  <c r="AD165" i="17074"/>
  <c r="AE159" i="17074"/>
  <c r="AE164" i="17074"/>
  <c r="AF158" i="17074"/>
  <c r="AF163" i="17074"/>
  <c r="AG157" i="17074"/>
  <c r="AG162" i="17074"/>
  <c r="AG167" i="17074"/>
  <c r="AL50" i="17070"/>
  <c r="AL47" i="17070"/>
  <c r="I59" i="17070"/>
  <c r="H47" i="17070"/>
  <c r="I53" i="17070"/>
  <c r="H48" i="17070"/>
  <c r="H50" i="17070"/>
  <c r="P47" i="17069"/>
  <c r="P50" i="17069"/>
  <c r="P51" i="17069"/>
  <c r="P48" i="17069"/>
  <c r="P49" i="17069"/>
  <c r="Q53" i="17069"/>
  <c r="R11" i="17070"/>
  <c r="R14" i="17070"/>
  <c r="S10" i="17070"/>
  <c r="M22" i="17070"/>
  <c r="L23" i="17070"/>
  <c r="P22" i="17070"/>
  <c r="P19" i="17070"/>
  <c r="Q18" i="17070"/>
  <c r="K59" i="17070"/>
  <c r="J47" i="17070"/>
  <c r="J48" i="17070"/>
  <c r="J49" i="17070"/>
  <c r="J51" i="17070"/>
  <c r="K53" i="17070"/>
  <c r="J50" i="17070"/>
  <c r="N22" i="17070"/>
  <c r="N21" i="17070"/>
  <c r="O20" i="17070"/>
  <c r="P51" i="17070"/>
  <c r="P49" i="17070"/>
  <c r="P48" i="17070"/>
  <c r="Q53" i="17070"/>
  <c r="Q59" i="17070"/>
  <c r="P47" i="17070"/>
  <c r="P11" i="17070"/>
  <c r="Q10" i="17070"/>
  <c r="AM53" i="17070"/>
  <c r="AC53" i="17070"/>
  <c r="AB50" i="17070"/>
  <c r="AB47" i="17070"/>
  <c r="AC59" i="17070"/>
  <c r="AH43" i="17070"/>
  <c r="AL7" i="17070"/>
  <c r="AM29" i="17069"/>
  <c r="AM20" i="17069"/>
  <c r="AM31" i="17069"/>
  <c r="AM14" i="17069"/>
  <c r="AM22" i="17069"/>
  <c r="AM18" i="17069"/>
  <c r="AM27" i="17069"/>
  <c r="AM10" i="17069"/>
  <c r="AM12" i="17069"/>
  <c r="E168" i="17074"/>
  <c r="AH136" i="17075"/>
  <c r="C170" i="17073"/>
  <c r="C175" i="17073"/>
  <c r="D167" i="17073"/>
  <c r="D171" i="17073"/>
  <c r="D175" i="17073"/>
  <c r="E167" i="17073"/>
  <c r="E171" i="17073"/>
  <c r="E175" i="17073"/>
  <c r="F167" i="17073"/>
  <c r="F171" i="17073"/>
  <c r="F175" i="17073"/>
  <c r="G167" i="17073"/>
  <c r="G171" i="17073"/>
  <c r="G175" i="17073"/>
  <c r="H167" i="17073"/>
  <c r="H171" i="17073"/>
  <c r="H175" i="17073"/>
  <c r="I167" i="17073"/>
  <c r="I171" i="17073"/>
  <c r="I175" i="17073"/>
  <c r="J167" i="17073"/>
  <c r="J171" i="17073"/>
  <c r="J175" i="17073"/>
  <c r="K167" i="17073"/>
  <c r="K171" i="17073"/>
  <c r="K175" i="17073"/>
  <c r="L167" i="17073"/>
  <c r="L171" i="17073"/>
  <c r="L175" i="17073"/>
  <c r="M167" i="17073"/>
  <c r="M171" i="17073"/>
  <c r="M175" i="17073"/>
  <c r="N167" i="17073"/>
  <c r="N171" i="17073"/>
  <c r="N175" i="17073"/>
  <c r="O167" i="17073"/>
  <c r="O171" i="17073"/>
  <c r="O175" i="17073"/>
  <c r="P167" i="17073"/>
  <c r="P171" i="17073"/>
  <c r="P175" i="17073"/>
  <c r="Q167" i="17073"/>
  <c r="Q171" i="17073"/>
  <c r="Q175" i="17073"/>
  <c r="R167" i="17073"/>
  <c r="R171" i="17073"/>
  <c r="R175" i="17073"/>
  <c r="S167" i="17073"/>
  <c r="S171" i="17073"/>
  <c r="S175" i="17073"/>
  <c r="T167" i="17073"/>
  <c r="T171" i="17073"/>
  <c r="T175" i="17073"/>
  <c r="U167" i="17073"/>
  <c r="U171" i="17073"/>
  <c r="U175" i="17073"/>
  <c r="V167" i="17073"/>
  <c r="C167" i="17073"/>
  <c r="C172" i="17073"/>
  <c r="C176" i="17073"/>
  <c r="D168" i="17073"/>
  <c r="D172" i="17073"/>
  <c r="D176" i="17073"/>
  <c r="E168" i="17073"/>
  <c r="E172" i="17073"/>
  <c r="E176" i="17073"/>
  <c r="F168" i="17073"/>
  <c r="F172" i="17073"/>
  <c r="F176" i="17073"/>
  <c r="G168" i="17073"/>
  <c r="G172" i="17073"/>
  <c r="G176" i="17073"/>
  <c r="H168" i="17073"/>
  <c r="H172" i="17073"/>
  <c r="H176" i="17073"/>
  <c r="I168" i="17073"/>
  <c r="I172" i="17073"/>
  <c r="I176" i="17073"/>
  <c r="J168" i="17073"/>
  <c r="J172" i="17073"/>
  <c r="J176" i="17073"/>
  <c r="K168" i="17073"/>
  <c r="K172" i="17073"/>
  <c r="K176" i="17073"/>
  <c r="L168" i="17073"/>
  <c r="L172" i="17073"/>
  <c r="L176" i="17073"/>
  <c r="M168" i="17073"/>
  <c r="M172" i="17073"/>
  <c r="M176" i="17073"/>
  <c r="N168" i="17073"/>
  <c r="N172" i="17073"/>
  <c r="N176" i="17073"/>
  <c r="O168" i="17073"/>
  <c r="O172" i="17073"/>
  <c r="O176" i="17073"/>
  <c r="P168" i="17073"/>
  <c r="P172" i="17073"/>
  <c r="P176" i="17073"/>
  <c r="Q168" i="17073"/>
  <c r="Q172" i="17073"/>
  <c r="Q176" i="17073"/>
  <c r="R168" i="17073"/>
  <c r="R172" i="17073"/>
  <c r="R176" i="17073"/>
  <c r="S168" i="17073"/>
  <c r="S172" i="17073"/>
  <c r="S176" i="17073"/>
  <c r="T168" i="17073"/>
  <c r="T172" i="17073"/>
  <c r="T176" i="17073"/>
  <c r="U168" i="17073"/>
  <c r="U172" i="17073"/>
  <c r="U176" i="17073"/>
  <c r="C168" i="17073"/>
  <c r="C173" i="17073"/>
  <c r="D165" i="17073"/>
  <c r="D169" i="17073"/>
  <c r="D173" i="17073"/>
  <c r="E165" i="17073"/>
  <c r="E169" i="17073"/>
  <c r="E173" i="17073"/>
  <c r="F165" i="17073"/>
  <c r="F169" i="17073"/>
  <c r="F173" i="17073"/>
  <c r="G165" i="17073"/>
  <c r="G169" i="17073"/>
  <c r="G173" i="17073"/>
  <c r="H165" i="17073"/>
  <c r="H169" i="17073"/>
  <c r="H173" i="17073"/>
  <c r="I165" i="17073"/>
  <c r="I169" i="17073"/>
  <c r="I173" i="17073"/>
  <c r="J165" i="17073"/>
  <c r="J169" i="17073"/>
  <c r="J173" i="17073"/>
  <c r="K165" i="17073"/>
  <c r="K169" i="17073"/>
  <c r="K173" i="17073"/>
  <c r="L165" i="17073"/>
  <c r="L169" i="17073"/>
  <c r="L173" i="17073"/>
  <c r="M165" i="17073"/>
  <c r="M169" i="17073"/>
  <c r="M173" i="17073"/>
  <c r="N165" i="17073"/>
  <c r="N169" i="17073"/>
  <c r="N173" i="17073"/>
  <c r="O165" i="17073"/>
  <c r="O169" i="17073"/>
  <c r="O173" i="17073"/>
  <c r="P165" i="17073"/>
  <c r="P169" i="17073"/>
  <c r="P173" i="17073"/>
  <c r="Q165" i="17073"/>
  <c r="Q169" i="17073"/>
  <c r="Q173" i="17073"/>
  <c r="R165" i="17073"/>
  <c r="R169" i="17073"/>
  <c r="R173" i="17073"/>
  <c r="S165" i="17073"/>
  <c r="S169" i="17073"/>
  <c r="S173" i="17073"/>
  <c r="T165" i="17073"/>
  <c r="T169" i="17073"/>
  <c r="T173" i="17073"/>
  <c r="U165" i="17073"/>
  <c r="U169" i="17073"/>
  <c r="U173" i="17073"/>
  <c r="V165" i="17073"/>
  <c r="V169" i="17073"/>
  <c r="V173" i="17073"/>
  <c r="W165" i="17073"/>
  <c r="W169" i="17073"/>
  <c r="W173" i="17073"/>
  <c r="X168" i="17073"/>
  <c r="C169" i="17073"/>
  <c r="C174" i="17073"/>
  <c r="D166" i="17073"/>
  <c r="D170" i="17073"/>
  <c r="D174" i="17073"/>
  <c r="E166" i="17073"/>
  <c r="E170" i="17073"/>
  <c r="E174" i="17073"/>
  <c r="F166" i="17073"/>
  <c r="F170" i="17073"/>
  <c r="F174" i="17073"/>
  <c r="G166" i="17073"/>
  <c r="G170" i="17073"/>
  <c r="G174" i="17073"/>
  <c r="H166" i="17073"/>
  <c r="H170" i="17073"/>
  <c r="H174" i="17073"/>
  <c r="I166" i="17073"/>
  <c r="I170" i="17073"/>
  <c r="I174" i="17073"/>
  <c r="J166" i="17073"/>
  <c r="J170" i="17073"/>
  <c r="J174" i="17073"/>
  <c r="K166" i="17073"/>
  <c r="K170" i="17073"/>
  <c r="K174" i="17073"/>
  <c r="L166" i="17073"/>
  <c r="L170" i="17073"/>
  <c r="L174" i="17073"/>
  <c r="M166" i="17073"/>
  <c r="M170" i="17073"/>
  <c r="M174" i="17073"/>
  <c r="N166" i="17073"/>
  <c r="N170" i="17073"/>
  <c r="N174" i="17073"/>
  <c r="O166" i="17073"/>
  <c r="O170" i="17073"/>
  <c r="O174" i="17073"/>
  <c r="P166" i="17073"/>
  <c r="P170" i="17073"/>
  <c r="P174" i="17073"/>
  <c r="Q166" i="17073"/>
  <c r="Q170" i="17073"/>
  <c r="Q174" i="17073"/>
  <c r="R166" i="17073"/>
  <c r="R170" i="17073"/>
  <c r="R174" i="17073"/>
  <c r="S166" i="17073"/>
  <c r="S170" i="17073"/>
  <c r="S174" i="17073"/>
  <c r="T166" i="17073"/>
  <c r="T170" i="17073"/>
  <c r="T174" i="17073"/>
  <c r="U166" i="17073"/>
  <c r="U170" i="17073"/>
  <c r="U174" i="17073"/>
  <c r="V166" i="17073"/>
  <c r="V170" i="17073"/>
  <c r="V174" i="17073"/>
  <c r="W166" i="17073"/>
  <c r="W170" i="17073"/>
  <c r="W174" i="17073"/>
  <c r="X165" i="17073"/>
  <c r="X169" i="17073"/>
  <c r="X173" i="17073"/>
  <c r="V175" i="17073"/>
  <c r="W171" i="17073"/>
  <c r="X166" i="17073"/>
  <c r="X172" i="17073"/>
  <c r="Y165" i="17073"/>
  <c r="Y169" i="17073"/>
  <c r="Y173" i="17073"/>
  <c r="Z165" i="17073"/>
  <c r="Z169" i="17073"/>
  <c r="Z173" i="17073"/>
  <c r="AA165" i="17073"/>
  <c r="AA169" i="17073"/>
  <c r="AA173" i="17073"/>
  <c r="AB165" i="17073"/>
  <c r="AB169" i="17073"/>
  <c r="AB173" i="17073"/>
  <c r="AC165" i="17073"/>
  <c r="AC169" i="17073"/>
  <c r="AC173" i="17073"/>
  <c r="AD165" i="17073"/>
  <c r="AD169" i="17073"/>
  <c r="AD173" i="17073"/>
  <c r="AE165" i="17073"/>
  <c r="AE169" i="17073"/>
  <c r="AE173" i="17073"/>
  <c r="AF165" i="17073"/>
  <c r="AF169" i="17073"/>
  <c r="AF173" i="17073"/>
  <c r="AG165" i="17073"/>
  <c r="AG169" i="17073"/>
  <c r="AG173" i="17073"/>
  <c r="AH165" i="17073"/>
  <c r="AH169" i="17073"/>
  <c r="AH173" i="17073"/>
  <c r="V168" i="17073"/>
  <c r="V176" i="17073"/>
  <c r="W172" i="17073"/>
  <c r="X167" i="17073"/>
  <c r="X174" i="17073"/>
  <c r="Y166" i="17073"/>
  <c r="Y170" i="17073"/>
  <c r="Y174" i="17073"/>
  <c r="Z166" i="17073"/>
  <c r="Z170" i="17073"/>
  <c r="Z174" i="17073"/>
  <c r="AA166" i="17073"/>
  <c r="AA170" i="17073"/>
  <c r="AA174" i="17073"/>
  <c r="AB166" i="17073"/>
  <c r="AB170" i="17073"/>
  <c r="AB174" i="17073"/>
  <c r="AC166" i="17073"/>
  <c r="AC170" i="17073"/>
  <c r="AC174" i="17073"/>
  <c r="AD166" i="17073"/>
  <c r="AD170" i="17073"/>
  <c r="AD174" i="17073"/>
  <c r="AE166" i="17073"/>
  <c r="AE170" i="17073"/>
  <c r="AE174" i="17073"/>
  <c r="AF166" i="17073"/>
  <c r="AF170" i="17073"/>
  <c r="AF174" i="17073"/>
  <c r="AG166" i="17073"/>
  <c r="AG170" i="17073"/>
  <c r="AG174" i="17073"/>
  <c r="AH166" i="17073"/>
  <c r="AH170" i="17073"/>
  <c r="AH174" i="17073"/>
  <c r="V171" i="17073"/>
  <c r="W167" i="17073"/>
  <c r="W175" i="17073"/>
  <c r="X170" i="17073"/>
  <c r="X175" i="17073"/>
  <c r="Y167" i="17073"/>
  <c r="Y171" i="17073"/>
  <c r="Y175" i="17073"/>
  <c r="Z167" i="17073"/>
  <c r="Z171" i="17073"/>
  <c r="Z175" i="17073"/>
  <c r="AA167" i="17073"/>
  <c r="AA171" i="17073"/>
  <c r="AA175" i="17073"/>
  <c r="AB167" i="17073"/>
  <c r="AB171" i="17073"/>
  <c r="AB175" i="17073"/>
  <c r="AC167" i="17073"/>
  <c r="AC171" i="17073"/>
  <c r="AC175" i="17073"/>
  <c r="AD167" i="17073"/>
  <c r="AD171" i="17073"/>
  <c r="AD175" i="17073"/>
  <c r="AE167" i="17073"/>
  <c r="AE171" i="17073"/>
  <c r="AE175" i="17073"/>
  <c r="AF167" i="17073"/>
  <c r="AF171" i="17073"/>
  <c r="AF175" i="17073"/>
  <c r="AG167" i="17073"/>
  <c r="AG171" i="17073"/>
  <c r="AG175" i="17073"/>
  <c r="AH167" i="17073"/>
  <c r="AH171" i="17073"/>
  <c r="AH175" i="17073"/>
  <c r="V172" i="17073"/>
  <c r="W168" i="17073"/>
  <c r="W176" i="17073"/>
  <c r="X171" i="17073"/>
  <c r="X176" i="17073"/>
  <c r="Y168" i="17073"/>
  <c r="Y172" i="17073"/>
  <c r="Y176" i="17073"/>
  <c r="Z168" i="17073"/>
  <c r="Z172" i="17073"/>
  <c r="Z176" i="17073"/>
  <c r="AA168" i="17073"/>
  <c r="AA172" i="17073"/>
  <c r="AA176" i="17073"/>
  <c r="AB168" i="17073"/>
  <c r="AB172" i="17073"/>
  <c r="AB176" i="17073"/>
  <c r="AC168" i="17073"/>
  <c r="AC172" i="17073"/>
  <c r="AC176" i="17073"/>
  <c r="AD168" i="17073"/>
  <c r="AD172" i="17073"/>
  <c r="AD176" i="17073"/>
  <c r="AE168" i="17073"/>
  <c r="AE172" i="17073"/>
  <c r="AE176" i="17073"/>
  <c r="AF168" i="17073"/>
  <c r="AF172" i="17073"/>
  <c r="AF176" i="17073"/>
  <c r="AG168" i="17073"/>
  <c r="AG172" i="17073"/>
  <c r="AG176" i="17073"/>
  <c r="AH168" i="17073"/>
  <c r="AH172" i="17073"/>
  <c r="AH176" i="17073"/>
  <c r="H66" i="17074"/>
  <c r="N66" i="17074" s="1"/>
  <c r="B84" i="17074"/>
  <c r="H84" i="17074" s="1"/>
  <c r="N84" i="17074" s="1"/>
  <c r="E98" i="32"/>
  <c r="H90" i="32"/>
  <c r="U172" i="17075"/>
  <c r="AD181" i="17075"/>
  <c r="AC182" i="17075"/>
  <c r="T174" i="17075"/>
  <c r="S180" i="17075"/>
  <c r="D174" i="17075"/>
  <c r="P177" i="17075"/>
  <c r="G181" i="17075"/>
  <c r="D173" i="17075"/>
  <c r="AC176" i="17075"/>
  <c r="AB179" i="17075"/>
  <c r="K175" i="17075"/>
  <c r="AF171" i="17075"/>
  <c r="D175" i="17075"/>
  <c r="Q171" i="17075"/>
  <c r="B95" i="17073"/>
  <c r="N74" i="17073"/>
  <c r="H74" i="17073"/>
  <c r="E101" i="1"/>
  <c r="AN58" i="17066"/>
  <c r="AO17" i="17066"/>
  <c r="AO23" i="17066"/>
  <c r="AO25" i="17066"/>
  <c r="AO11" i="17066"/>
  <c r="AO27" i="17066"/>
  <c r="AO13" i="17066"/>
  <c r="AO19" i="17066"/>
  <c r="AN7" i="17069"/>
  <c r="AN50" i="17069"/>
  <c r="AN48" i="17069"/>
  <c r="AN47" i="17069"/>
  <c r="AH44" i="17070"/>
  <c r="AI10" i="17070"/>
  <c r="AH11" i="17070"/>
  <c r="AJ27" i="17069"/>
  <c r="AK36" i="17068"/>
  <c r="AJ37" i="17068"/>
  <c r="K29" i="17070"/>
  <c r="J30" i="17070"/>
  <c r="AH12" i="17069"/>
  <c r="AI10" i="17068"/>
  <c r="AH11" i="17068"/>
  <c r="AI12" i="17068"/>
  <c r="AH14" i="17069"/>
  <c r="AH13" i="17068"/>
  <c r="AA14" i="17069"/>
  <c r="Z15" i="17069"/>
  <c r="Y14" i="17069"/>
  <c r="X15" i="17069"/>
  <c r="AD15" i="17069"/>
  <c r="AE14" i="17069"/>
  <c r="K12" i="17070"/>
  <c r="J14" i="17070"/>
  <c r="J13" i="17070"/>
  <c r="AJ19" i="17069"/>
  <c r="AJ18" i="17070"/>
  <c r="AJ19" i="17070" s="1"/>
  <c r="AK18" i="17069"/>
  <c r="AK12" i="17070"/>
  <c r="AJ14" i="17070"/>
  <c r="AK14" i="17070" s="1"/>
  <c r="B14" i="17070"/>
  <c r="C12" i="17070"/>
  <c r="B13" i="17070"/>
  <c r="L28" i="17070"/>
  <c r="M27" i="17070"/>
  <c r="Q29" i="17070"/>
  <c r="P31" i="17070"/>
  <c r="P30" i="17070"/>
  <c r="M12" i="17070"/>
  <c r="L13" i="17070"/>
  <c r="L14" i="17070"/>
  <c r="H14" i="17070"/>
  <c r="I12" i="17070"/>
  <c r="H13" i="17070"/>
  <c r="N47" i="17069"/>
  <c r="O53" i="17069"/>
  <c r="N50" i="17069"/>
  <c r="N49" i="17069"/>
  <c r="N51" i="17069"/>
  <c r="N48" i="17069"/>
  <c r="K22" i="17070"/>
  <c r="J23" i="17070"/>
  <c r="K27" i="17070"/>
  <c r="J28" i="17070"/>
  <c r="J31" i="17070"/>
  <c r="AG29" i="17070"/>
  <c r="F51" i="17069"/>
  <c r="F48" i="17069"/>
  <c r="F47" i="17069"/>
  <c r="F50" i="17069"/>
  <c r="F49" i="17069"/>
  <c r="G53" i="17069"/>
  <c r="AJ46" i="17069"/>
  <c r="AJ62" i="17069"/>
  <c r="AJ59" i="17070"/>
  <c r="AJ60" i="17070" s="1"/>
  <c r="AJ63" i="17069"/>
  <c r="AJ60" i="17069"/>
  <c r="AJ64" i="17069"/>
  <c r="F62" i="17070"/>
  <c r="F64" i="17070"/>
  <c r="F63" i="17070"/>
  <c r="F46" i="17070"/>
  <c r="G59" i="17070" s="1"/>
  <c r="F60" i="17070"/>
  <c r="F61" i="17070"/>
  <c r="P14" i="17070"/>
  <c r="Q12" i="17070"/>
  <c r="P13" i="17070"/>
  <c r="D31" i="17070"/>
  <c r="E27" i="17070"/>
  <c r="D28" i="17070"/>
  <c r="AE29" i="17070"/>
  <c r="AD30" i="17070"/>
  <c r="G27" i="17070"/>
  <c r="F28" i="17070"/>
  <c r="F31" i="17070"/>
  <c r="N31" i="17070"/>
  <c r="N28" i="17070"/>
  <c r="O27" i="17070"/>
  <c r="AE14" i="17070"/>
  <c r="AD15" i="17070"/>
  <c r="S27" i="17070"/>
  <c r="R28" i="17070"/>
  <c r="R31" i="17070"/>
  <c r="AB30" i="17070"/>
  <c r="AC29" i="17070"/>
  <c r="AB31" i="17070"/>
  <c r="L30" i="17070"/>
  <c r="L31" i="17070"/>
  <c r="M29" i="17070"/>
  <c r="H30" i="17070"/>
  <c r="I29" i="17070"/>
  <c r="H31" i="17070"/>
  <c r="V63" i="17070"/>
  <c r="V61" i="17070"/>
  <c r="V46" i="17070"/>
  <c r="W59" i="17070" s="1"/>
  <c r="V60" i="17070"/>
  <c r="V62" i="17070"/>
  <c r="F14" i="17070"/>
  <c r="F13" i="17070"/>
  <c r="G12" i="17070"/>
  <c r="I27" i="17070"/>
  <c r="H28" i="17070"/>
  <c r="P28" i="17070"/>
  <c r="Q27" i="17070"/>
  <c r="N46" i="17070"/>
  <c r="O59" i="17070" s="1"/>
  <c r="N64" i="17070"/>
  <c r="N62" i="17070"/>
  <c r="N60" i="17070"/>
  <c r="N61" i="17070"/>
  <c r="N63" i="17070"/>
  <c r="AC14" i="17070"/>
  <c r="AB15" i="17070"/>
  <c r="AJ69" i="17070"/>
  <c r="AJ77" i="17067"/>
  <c r="AJ60" i="17066"/>
  <c r="AJ67" i="17066"/>
  <c r="AJ47" i="17066"/>
  <c r="Z56" i="17068"/>
  <c r="Z59" i="17068"/>
  <c r="Z58" i="17068"/>
  <c r="AA54" i="17068"/>
  <c r="Z57" i="17068"/>
  <c r="N56" i="17066"/>
  <c r="N53" i="17066"/>
  <c r="N52" i="17066"/>
  <c r="N55" i="17066"/>
  <c r="AA61" i="17068"/>
  <c r="L61" i="17068"/>
  <c r="L62" i="17067"/>
  <c r="L65" i="17067"/>
  <c r="L63" i="17067"/>
  <c r="L64" i="17067"/>
  <c r="L54" i="17067"/>
  <c r="AJ71" i="17070"/>
  <c r="AJ79" i="17067"/>
  <c r="AJ62" i="17066"/>
  <c r="AJ56" i="17066"/>
  <c r="AI64" i="17066"/>
  <c r="AH55" i="17066"/>
  <c r="AH56" i="17066"/>
  <c r="AH54" i="17066"/>
  <c r="AH52" i="17066"/>
  <c r="AH53" i="17066"/>
  <c r="AH61" i="17068"/>
  <c r="AH62" i="17067"/>
  <c r="AH63" i="17067"/>
  <c r="AH54" i="17067"/>
  <c r="AH64" i="17067"/>
  <c r="AH65" i="17067"/>
  <c r="M58" i="17066"/>
  <c r="L56" i="17066"/>
  <c r="L53" i="17066"/>
  <c r="L54" i="17066"/>
  <c r="L52" i="17066"/>
  <c r="M64" i="17066"/>
  <c r="L55" i="17066"/>
  <c r="N65" i="17067"/>
  <c r="N61" i="17068"/>
  <c r="N54" i="17067"/>
  <c r="O61" i="17067" s="1"/>
  <c r="N64" i="17067"/>
  <c r="N63" i="17067"/>
  <c r="N62" i="17067"/>
  <c r="AJ70" i="17070"/>
  <c r="AJ78" i="17067"/>
  <c r="AJ68" i="17066"/>
  <c r="AJ61" i="17066"/>
  <c r="AJ55" i="17066"/>
  <c r="R46" i="17070"/>
  <c r="S53" i="17070" s="1"/>
  <c r="R55" i="17070"/>
  <c r="R56" i="17070"/>
  <c r="R54" i="17070"/>
  <c r="R57" i="17070"/>
  <c r="Q67" i="17067"/>
  <c r="AB48" i="17069"/>
  <c r="AB50" i="17069"/>
  <c r="AB49" i="17069"/>
  <c r="AB51" i="17069"/>
  <c r="AB47" i="17069"/>
  <c r="AC53" i="17069"/>
  <c r="AD61" i="17070"/>
  <c r="AD63" i="17070"/>
  <c r="AD60" i="17070"/>
  <c r="AD46" i="17070"/>
  <c r="AE59" i="17070" s="1"/>
  <c r="AD64" i="17070"/>
  <c r="AJ68" i="17067"/>
  <c r="AJ39" i="17067"/>
  <c r="AJ31" i="17067"/>
  <c r="AJ23" i="17067"/>
  <c r="AJ17" i="17067"/>
  <c r="AJ13" i="17067"/>
  <c r="AJ41" i="17067"/>
  <c r="AJ37" i="17067"/>
  <c r="AJ29" i="17067"/>
  <c r="AJ21" i="17067"/>
  <c r="AJ11" i="17067"/>
  <c r="AJ62" i="17067"/>
  <c r="AJ50" i="17067"/>
  <c r="AI20" i="17069"/>
  <c r="AH20" i="17070"/>
  <c r="AH21" i="17069"/>
  <c r="Z15" i="17070"/>
  <c r="AA14" i="17070"/>
  <c r="AL53" i="17065"/>
  <c r="AL55" i="17065"/>
  <c r="AL51" i="17065"/>
  <c r="AL54" i="17065"/>
  <c r="AL52" i="17065"/>
  <c r="AM57" i="17065"/>
  <c r="AJ42" i="17070"/>
  <c r="AJ54" i="17070"/>
  <c r="AJ11" i="17070"/>
  <c r="AJ30" i="17070"/>
  <c r="AJ21" i="17070"/>
  <c r="AC59" i="17069"/>
  <c r="P54" i="17068"/>
  <c r="Q61" i="17068" s="1"/>
  <c r="P63" i="17068"/>
  <c r="P64" i="17068"/>
  <c r="P65" i="17068"/>
  <c r="P62" i="17068"/>
  <c r="M229" i="1032"/>
  <c r="E234" i="1032"/>
  <c r="N230" i="1032" s="1"/>
  <c r="N266" i="1032"/>
  <c r="E287" i="1032"/>
  <c r="N275" i="1032" s="1"/>
  <c r="N225" i="1032"/>
  <c r="E262" i="1032"/>
  <c r="L262" i="1032"/>
  <c r="W59" i="17069" l="1"/>
  <c r="D47" i="17070"/>
  <c r="D51" i="17070"/>
  <c r="V51" i="17069"/>
  <c r="AO59" i="17070"/>
  <c r="W53" i="17069"/>
  <c r="V50" i="17069"/>
  <c r="AB55" i="17068"/>
  <c r="AC54" i="17068"/>
  <c r="K18" i="17070"/>
  <c r="J19" i="17070"/>
  <c r="AE61" i="17068"/>
  <c r="AD56" i="17068"/>
  <c r="AD58" i="17068"/>
  <c r="AN50" i="17070"/>
  <c r="AO53" i="17070"/>
  <c r="AN51" i="17070"/>
  <c r="AH31" i="17070"/>
  <c r="G22" i="17070"/>
  <c r="AN47" i="17070"/>
  <c r="AF31" i="17067"/>
  <c r="AF29" i="17067"/>
  <c r="AF41" i="17067"/>
  <c r="AF13" i="17067"/>
  <c r="AF23" i="17067"/>
  <c r="AF39" i="17067"/>
  <c r="AF68" i="17067"/>
  <c r="AN54" i="17070"/>
  <c r="C177" i="17073"/>
  <c r="U173" i="17075"/>
  <c r="AH137" i="17075"/>
  <c r="AD168" i="17074"/>
  <c r="W15" i="17068"/>
  <c r="AF12" i="17070"/>
  <c r="AG12" i="17069"/>
  <c r="AF13" i="17069"/>
  <c r="M168" i="17074"/>
  <c r="X168" i="17074"/>
  <c r="G86" i="1"/>
  <c r="AQ31" i="17070"/>
  <c r="AN57" i="17070"/>
  <c r="AN56" i="17070"/>
  <c r="E291" i="1032"/>
  <c r="E293" i="1032" s="1"/>
  <c r="V30" i="17069"/>
  <c r="V29" i="17070"/>
  <c r="W29" i="17069"/>
  <c r="W54" i="17068"/>
  <c r="AH30" i="17070"/>
  <c r="AA67" i="17068"/>
  <c r="V15" i="17070"/>
  <c r="V59" i="17068"/>
  <c r="D22" i="17070"/>
  <c r="Y29" i="17069"/>
  <c r="X30" i="17069"/>
  <c r="X29" i="17070"/>
  <c r="X31" i="17070" s="1"/>
  <c r="E20" i="17070"/>
  <c r="V58" i="17068"/>
  <c r="AD19" i="17069"/>
  <c r="AE18" i="17069"/>
  <c r="AD18" i="17070"/>
  <c r="E18" i="17070"/>
  <c r="D19" i="17070"/>
  <c r="W20" i="17070"/>
  <c r="V22" i="17070"/>
  <c r="V21" i="17070"/>
  <c r="H19" i="17070"/>
  <c r="I18" i="17070"/>
  <c r="H22" i="17070"/>
  <c r="V57" i="17068"/>
  <c r="Y15" i="17068"/>
  <c r="W14" i="17069"/>
  <c r="V15" i="17069"/>
  <c r="W61" i="17068"/>
  <c r="H51" i="17070"/>
  <c r="H49" i="17070"/>
  <c r="L51" i="17070"/>
  <c r="W67" i="17068"/>
  <c r="Y20" i="17070"/>
  <c r="X21" i="17070"/>
  <c r="O58" i="17066"/>
  <c r="N54" i="17066"/>
  <c r="V48" i="17069"/>
  <c r="AF11" i="17067"/>
  <c r="AF50" i="17067"/>
  <c r="AJ55" i="17065"/>
  <c r="AK57" i="17065"/>
  <c r="AJ52" i="17065"/>
  <c r="AJ51" i="17065"/>
  <c r="AK63" i="17065"/>
  <c r="AJ54" i="17065"/>
  <c r="AJ53" i="17065"/>
  <c r="D69" i="17066"/>
  <c r="D66" i="17066"/>
  <c r="D65" i="17066"/>
  <c r="D68" i="17066"/>
  <c r="D67" i="17066"/>
  <c r="AE59" i="17069"/>
  <c r="AD47" i="17069"/>
  <c r="AD49" i="17069"/>
  <c r="AE53" i="17069"/>
  <c r="AD51" i="17069"/>
  <c r="AD50" i="17069"/>
  <c r="AD48" i="17069"/>
  <c r="D51" i="17065"/>
  <c r="E57" i="17065"/>
  <c r="D52" i="17065"/>
  <c r="D54" i="17065"/>
  <c r="D53" i="17065"/>
  <c r="D55" i="17065"/>
  <c r="AD51" i="17065"/>
  <c r="AD52" i="17065"/>
  <c r="AD54" i="17065"/>
  <c r="AD53" i="17065"/>
  <c r="AD55" i="17065"/>
  <c r="AE57" i="17065"/>
  <c r="AE63" i="17065"/>
  <c r="V47" i="17069"/>
  <c r="AF21" i="17067"/>
  <c r="AF17" i="17067"/>
  <c r="E63" i="17065"/>
  <c r="M59" i="17070"/>
  <c r="M53" i="17070"/>
  <c r="L50" i="17070"/>
  <c r="L48" i="17070"/>
  <c r="L49" i="17070"/>
  <c r="C31" i="17070"/>
  <c r="B32" i="17070"/>
  <c r="R22" i="17070"/>
  <c r="S18" i="17070"/>
  <c r="P55" i="17067"/>
  <c r="P56" i="17067"/>
  <c r="AN42" i="17070"/>
  <c r="AN28" i="17070"/>
  <c r="AN60" i="17070"/>
  <c r="AN21" i="17070"/>
  <c r="AN11" i="17070"/>
  <c r="AN13" i="17070"/>
  <c r="AD70" i="17067"/>
  <c r="AD57" i="17067"/>
  <c r="AD51" i="17067"/>
  <c r="AD63" i="17067"/>
  <c r="AN64" i="17070"/>
  <c r="AN44" i="17070"/>
  <c r="AD43" i="17070"/>
  <c r="AB41" i="17067"/>
  <c r="AB13" i="17067"/>
  <c r="AB21" i="17067"/>
  <c r="AB29" i="17067"/>
  <c r="AB11" i="17067"/>
  <c r="AB62" i="17067"/>
  <c r="AB17" i="17067"/>
  <c r="AB50" i="17067"/>
  <c r="AB39" i="17067"/>
  <c r="AB23" i="17067"/>
  <c r="AB68" i="17067"/>
  <c r="AB31" i="17067"/>
  <c r="AB37" i="17067"/>
  <c r="U67" i="17068"/>
  <c r="T58" i="17068"/>
  <c r="T57" i="17068"/>
  <c r="U54" i="17068"/>
  <c r="T59" i="17068"/>
  <c r="T56" i="17068"/>
  <c r="T55" i="17068"/>
  <c r="AD62" i="17070"/>
  <c r="AN49" i="17070"/>
  <c r="P57" i="17067"/>
  <c r="AN37" i="17067"/>
  <c r="AN17" i="17067"/>
  <c r="AN23" i="17067"/>
  <c r="AN21" i="17067"/>
  <c r="AN68" i="17067"/>
  <c r="AN31" i="17067"/>
  <c r="AN41" i="17067"/>
  <c r="AN39" i="17067"/>
  <c r="AN29" i="17067"/>
  <c r="AN50" i="17067"/>
  <c r="AN13" i="17067"/>
  <c r="AN11" i="17067"/>
  <c r="AB42" i="17070"/>
  <c r="AB21" i="17070"/>
  <c r="AB60" i="17070"/>
  <c r="AB13" i="17070"/>
  <c r="AB11" i="17070"/>
  <c r="AB54" i="17070"/>
  <c r="AF51" i="17067"/>
  <c r="AF70" i="17067"/>
  <c r="Q61" i="17067"/>
  <c r="AC54" i="17067"/>
  <c r="E64" i="17066"/>
  <c r="E58" i="17066"/>
  <c r="D56" i="17066"/>
  <c r="D53" i="17066"/>
  <c r="D52" i="17066"/>
  <c r="D54" i="17066"/>
  <c r="D55" i="17066"/>
  <c r="AF43" i="17070"/>
  <c r="AF55" i="17070"/>
  <c r="P59" i="17067"/>
  <c r="AM54" i="17067"/>
  <c r="G58" i="17066"/>
  <c r="F55" i="17066"/>
  <c r="F54" i="17066"/>
  <c r="F52" i="17066"/>
  <c r="F53" i="17066"/>
  <c r="F56" i="17066"/>
  <c r="G64" i="17066"/>
  <c r="AN72" i="17067"/>
  <c r="AN52" i="17067"/>
  <c r="D63" i="17067"/>
  <c r="D65" i="17067"/>
  <c r="D61" i="17068"/>
  <c r="D64" i="17067"/>
  <c r="D54" i="17067"/>
  <c r="D62" i="17067"/>
  <c r="AF11" i="17070"/>
  <c r="AF54" i="17070"/>
  <c r="AF42" i="17070"/>
  <c r="AF13" i="17070"/>
  <c r="F63" i="17067"/>
  <c r="F61" i="17068"/>
  <c r="F62" i="17067"/>
  <c r="F65" i="17067"/>
  <c r="F54" i="17067"/>
  <c r="F64" i="17067"/>
  <c r="J55" i="17066"/>
  <c r="J52" i="17066"/>
  <c r="J53" i="17066"/>
  <c r="K64" i="17066"/>
  <c r="J56" i="17066"/>
  <c r="J54" i="17066"/>
  <c r="AH51" i="17069"/>
  <c r="AH49" i="17069"/>
  <c r="AH48" i="17069"/>
  <c r="AH47" i="17069"/>
  <c r="AI59" i="17069"/>
  <c r="AH50" i="17069"/>
  <c r="AI53" i="17069"/>
  <c r="AB44" i="17070"/>
  <c r="AB57" i="17070"/>
  <c r="AB64" i="17070"/>
  <c r="J62" i="17067"/>
  <c r="J65" i="17067"/>
  <c r="J61" i="17068"/>
  <c r="J64" i="17067"/>
  <c r="J54" i="17067"/>
  <c r="K61" i="17067" s="1"/>
  <c r="J63" i="17067"/>
  <c r="AB51" i="17067"/>
  <c r="AB63" i="17067"/>
  <c r="AB57" i="17067"/>
  <c r="AB70" i="17067"/>
  <c r="B62" i="17067"/>
  <c r="B63" i="17067"/>
  <c r="B54" i="17067"/>
  <c r="B64" i="17067"/>
  <c r="B61" i="17068"/>
  <c r="B65" i="17067"/>
  <c r="AB63" i="17070"/>
  <c r="AB56" i="17070"/>
  <c r="Z30" i="17069"/>
  <c r="AA29" i="17069"/>
  <c r="Z29" i="17070"/>
  <c r="AA27" i="17069"/>
  <c r="Z27" i="17070"/>
  <c r="Z28" i="17069"/>
  <c r="AB43" i="17070"/>
  <c r="AB62" i="17070"/>
  <c r="AB55" i="17070"/>
  <c r="AH46" i="17070"/>
  <c r="AH62" i="17070"/>
  <c r="AH64" i="17070"/>
  <c r="AH60" i="17070"/>
  <c r="AH63" i="17070"/>
  <c r="AH61" i="17070"/>
  <c r="AG18" i="17069"/>
  <c r="AF18" i="17070"/>
  <c r="AF19" i="17069"/>
  <c r="Z21" i="17069"/>
  <c r="Z20" i="17070"/>
  <c r="AA20" i="17069"/>
  <c r="AB19" i="17069"/>
  <c r="AB18" i="17070"/>
  <c r="AC18" i="17069"/>
  <c r="L291" i="1032"/>
  <c r="L292" i="1032" s="1"/>
  <c r="G85" i="1"/>
  <c r="H85" i="1" s="1"/>
  <c r="H86" i="1" s="1"/>
  <c r="H87" i="1" s="1"/>
  <c r="H88" i="1" s="1"/>
  <c r="AG15" i="17068"/>
  <c r="AF64" i="17069"/>
  <c r="AF62" i="17069"/>
  <c r="AF63" i="17069"/>
  <c r="AF46" i="17069"/>
  <c r="AG59" i="17069" s="1"/>
  <c r="AF59" i="17070"/>
  <c r="AF61" i="17069"/>
  <c r="AF60" i="17069"/>
  <c r="K58" i="17066"/>
  <c r="AD75" i="17067"/>
  <c r="AD67" i="17070"/>
  <c r="AF55" i="17066"/>
  <c r="AF56" i="17066"/>
  <c r="AF53" i="17066"/>
  <c r="AG64" i="17066"/>
  <c r="AF52" i="17066"/>
  <c r="AF54" i="17066"/>
  <c r="AG31" i="17069"/>
  <c r="AF32" i="17069"/>
  <c r="AB52" i="17067"/>
  <c r="AB65" i="17067"/>
  <c r="AB72" i="17067"/>
  <c r="AB59" i="17067"/>
  <c r="AF54" i="17067"/>
  <c r="AG61" i="17067" s="1"/>
  <c r="AF61" i="17068"/>
  <c r="AF64" i="17067"/>
  <c r="AF65" i="17067"/>
  <c r="AF62" i="17067"/>
  <c r="AF63" i="17067"/>
  <c r="G87" i="1"/>
  <c r="AA15" i="17068"/>
  <c r="AN43" i="17070"/>
  <c r="AN62" i="17070"/>
  <c r="AF66" i="17065"/>
  <c r="AF68" i="17065"/>
  <c r="AF64" i="17065"/>
  <c r="AF50" i="17065"/>
  <c r="AF67" i="17065"/>
  <c r="AF65" i="17065"/>
  <c r="B55" i="17066"/>
  <c r="B52" i="17066"/>
  <c r="B54" i="17066"/>
  <c r="C64" i="17066"/>
  <c r="B53" i="17066"/>
  <c r="B56" i="17066"/>
  <c r="AG14" i="17069"/>
  <c r="AF15" i="17069"/>
  <c r="AJ54" i="17067"/>
  <c r="AK61" i="17067" s="1"/>
  <c r="AJ61" i="17068"/>
  <c r="Z62" i="17069"/>
  <c r="Z60" i="17069"/>
  <c r="Z64" i="17069"/>
  <c r="Z46" i="17069"/>
  <c r="AA59" i="17069" s="1"/>
  <c r="Z61" i="17069"/>
  <c r="Z59" i="17070"/>
  <c r="Z63" i="17069"/>
  <c r="AN19" i="17069"/>
  <c r="AN18" i="17070"/>
  <c r="AN19" i="17070" s="1"/>
  <c r="G89" i="1"/>
  <c r="AB49" i="17070"/>
  <c r="AN51" i="17067"/>
  <c r="AN70" i="17067"/>
  <c r="S67" i="17068"/>
  <c r="R59" i="17068"/>
  <c r="R57" i="17068"/>
  <c r="S54" i="17068"/>
  <c r="R58" i="17068"/>
  <c r="R56" i="17068"/>
  <c r="R55" i="17068"/>
  <c r="AO15" i="17068"/>
  <c r="X28" i="17070"/>
  <c r="Y27" i="17070"/>
  <c r="AN30" i="17069"/>
  <c r="AN29" i="17070"/>
  <c r="AN30" i="17070" s="1"/>
  <c r="X18" i="17070"/>
  <c r="X19" i="17069"/>
  <c r="Y18" i="17069"/>
  <c r="X13" i="17069"/>
  <c r="Y12" i="17069"/>
  <c r="X12" i="17070"/>
  <c r="AK58" i="17066"/>
  <c r="AK64" i="17066"/>
  <c r="AJ52" i="17066"/>
  <c r="AJ53" i="17066"/>
  <c r="AD28" i="17070"/>
  <c r="AE27" i="17070"/>
  <c r="AG20" i="17069"/>
  <c r="AF20" i="17070"/>
  <c r="AF21" i="17069"/>
  <c r="AB64" i="17067"/>
  <c r="AB71" i="17067"/>
  <c r="AB58" i="17067"/>
  <c r="AA18" i="17069"/>
  <c r="Z19" i="17069"/>
  <c r="Z18" i="17070"/>
  <c r="AF27" i="17070"/>
  <c r="AF28" i="17069"/>
  <c r="AG27" i="17069"/>
  <c r="AB51" i="17070"/>
  <c r="AF168" i="17074"/>
  <c r="AE168" i="17074"/>
  <c r="AC168" i="17074"/>
  <c r="AG168" i="17074"/>
  <c r="O168" i="17074"/>
  <c r="C168" i="17074"/>
  <c r="K168" i="17074"/>
  <c r="AA168" i="17074"/>
  <c r="H168" i="17074"/>
  <c r="Z168" i="17074"/>
  <c r="V168" i="17074"/>
  <c r="R168" i="17074"/>
  <c r="N168" i="17074"/>
  <c r="J168" i="17074"/>
  <c r="F168" i="17074"/>
  <c r="Y168" i="17074"/>
  <c r="U168" i="17074"/>
  <c r="Q168" i="17074"/>
  <c r="I168" i="17074"/>
  <c r="AB168" i="17074"/>
  <c r="T168" i="17074"/>
  <c r="P168" i="17074"/>
  <c r="L168" i="17074"/>
  <c r="D168" i="17074"/>
  <c r="W168" i="17074"/>
  <c r="S168" i="17074"/>
  <c r="G168" i="17074"/>
  <c r="AH168" i="17074"/>
  <c r="N213" i="1032"/>
  <c r="N246" i="1032" s="1"/>
  <c r="E247" i="1032"/>
  <c r="E246" i="1032"/>
  <c r="M246" i="1032"/>
  <c r="M247" i="1032" s="1"/>
  <c r="AJ15" i="17070"/>
  <c r="Q22" i="17070"/>
  <c r="P23" i="17070"/>
  <c r="O22" i="17070"/>
  <c r="N23" i="17070"/>
  <c r="S14" i="17070"/>
  <c r="R15" i="17070"/>
  <c r="AL14" i="17070"/>
  <c r="AL22" i="17070"/>
  <c r="AM20" i="17070"/>
  <c r="AL31" i="17070"/>
  <c r="AM10" i="17070"/>
  <c r="AM29" i="17070"/>
  <c r="AM27" i="17070"/>
  <c r="AM18" i="17070"/>
  <c r="AM12" i="17070"/>
  <c r="L171" i="17075"/>
  <c r="W171" i="17075"/>
  <c r="S179" i="17075"/>
  <c r="M171" i="17075"/>
  <c r="U175" i="17075"/>
  <c r="W178" i="17075"/>
  <c r="J173" i="17075"/>
  <c r="Y174" i="17075"/>
  <c r="AF173" i="17075"/>
  <c r="R178" i="17075"/>
  <c r="G172" i="17075"/>
  <c r="Q177" i="17075"/>
  <c r="Z181" i="17075"/>
  <c r="W174" i="17075"/>
  <c r="AB172" i="17075"/>
  <c r="U179" i="17075"/>
  <c r="K179" i="17075"/>
  <c r="AE171" i="17075"/>
  <c r="V175" i="17075"/>
  <c r="J175" i="17075"/>
  <c r="Z172" i="17075"/>
  <c r="R176" i="17075"/>
  <c r="W173" i="17075"/>
  <c r="C182" i="17075"/>
  <c r="Q178" i="17075"/>
  <c r="T172" i="17075"/>
  <c r="AA176" i="17075"/>
  <c r="Y181" i="17075"/>
  <c r="V174" i="17075"/>
  <c r="AB175" i="17075"/>
  <c r="Y179" i="17075"/>
  <c r="Y171" i="17075"/>
  <c r="M175" i="17075"/>
  <c r="AF179" i="17075"/>
  <c r="AD175" i="17075"/>
  <c r="AE172" i="17075"/>
  <c r="F174" i="17075"/>
  <c r="O175" i="17075"/>
  <c r="T173" i="17075"/>
  <c r="K181" i="17075"/>
  <c r="I173" i="17075"/>
  <c r="V172" i="17075"/>
  <c r="E180" i="17075"/>
  <c r="R177" i="17075"/>
  <c r="X179" i="17075"/>
  <c r="AH179" i="17075"/>
  <c r="E179" i="17075"/>
  <c r="D171" i="17075"/>
  <c r="S175" i="17075"/>
  <c r="AA179" i="17075"/>
  <c r="AC179" i="17075"/>
  <c r="P171" i="17075"/>
  <c r="J179" i="17075"/>
  <c r="W179" i="17075"/>
  <c r="AE179" i="17075"/>
  <c r="AF175" i="17075"/>
  <c r="F175" i="17075"/>
  <c r="AG179" i="17075"/>
  <c r="S171" i="17075"/>
  <c r="E175" i="17075"/>
  <c r="R175" i="17075"/>
  <c r="V179" i="17075"/>
  <c r="H171" i="17075"/>
  <c r="N175" i="17075"/>
  <c r="N181" i="17075"/>
  <c r="AA178" i="17075"/>
  <c r="AA180" i="17075"/>
  <c r="J176" i="17075"/>
  <c r="Z176" i="17075"/>
  <c r="AE176" i="17075"/>
  <c r="H182" i="17075"/>
  <c r="AA172" i="17075"/>
  <c r="Z182" i="17075"/>
  <c r="M174" i="17075"/>
  <c r="K174" i="17075"/>
  <c r="W180" i="17075"/>
  <c r="T175" i="17075"/>
  <c r="J180" i="17075"/>
  <c r="AH178" i="17075"/>
  <c r="O173" i="17075"/>
  <c r="S173" i="17075"/>
  <c r="H180" i="17075"/>
  <c r="AC180" i="17075"/>
  <c r="AA177" i="17075"/>
  <c r="AE182" i="17075"/>
  <c r="E177" i="17075"/>
  <c r="K172" i="17075"/>
  <c r="Q175" i="17075"/>
  <c r="H179" i="17075"/>
  <c r="X174" i="17075"/>
  <c r="T182" i="17075"/>
  <c r="I182" i="17075"/>
  <c r="V180" i="17075"/>
  <c r="L178" i="17075"/>
  <c r="I172" i="17075"/>
  <c r="AB176" i="17075"/>
  <c r="T178" i="17075"/>
  <c r="Z173" i="17075"/>
  <c r="P174" i="17075"/>
  <c r="N177" i="17075"/>
  <c r="Q176" i="17075"/>
  <c r="S178" i="17075"/>
  <c r="AB178" i="17075"/>
  <c r="AA171" i="17075"/>
  <c r="M179" i="17075"/>
  <c r="AB171" i="17075"/>
  <c r="Z179" i="17075"/>
  <c r="P179" i="17075"/>
  <c r="G171" i="17075"/>
  <c r="R179" i="17075"/>
  <c r="AA175" i="17075"/>
  <c r="K171" i="17075"/>
  <c r="E171" i="17075"/>
  <c r="O179" i="17075"/>
  <c r="N179" i="17075"/>
  <c r="O171" i="17075"/>
  <c r="AG171" i="17075"/>
  <c r="G175" i="17075"/>
  <c r="AC171" i="17075"/>
  <c r="C171" i="17075"/>
  <c r="I179" i="17075"/>
  <c r="L175" i="17075"/>
  <c r="C179" i="17075"/>
  <c r="V171" i="17075"/>
  <c r="G179" i="17075"/>
  <c r="Y175" i="17075"/>
  <c r="U174" i="17075"/>
  <c r="F172" i="17075"/>
  <c r="J172" i="17075"/>
  <c r="S172" i="17075"/>
  <c r="Q181" i="17075"/>
  <c r="K182" i="17075"/>
  <c r="AC172" i="17075"/>
  <c r="F177" i="17075"/>
  <c r="AH182" i="17075"/>
  <c r="H175" i="17075"/>
  <c r="D176" i="17075"/>
  <c r="M182" i="17075"/>
  <c r="AD180" i="17075"/>
  <c r="C180" i="17075"/>
  <c r="AE173" i="17075"/>
  <c r="AB173" i="17075"/>
  <c r="N178" i="17075"/>
  <c r="K173" i="17075"/>
  <c r="O177" i="17075"/>
  <c r="AH173" i="17075"/>
  <c r="X175" i="17075"/>
  <c r="H181" i="17075"/>
  <c r="H174" i="17075"/>
  <c r="C181" i="17075"/>
  <c r="T181" i="17075"/>
  <c r="AF182" i="17075"/>
  <c r="AE177" i="17075"/>
  <c r="D177" i="17075"/>
  <c r="V182" i="17075"/>
  <c r="D181" i="17075"/>
  <c r="F182" i="17075"/>
  <c r="T177" i="17075"/>
  <c r="AH177" i="17075"/>
  <c r="P182" i="17075"/>
  <c r="AF177" i="17075"/>
  <c r="AF181" i="17075"/>
  <c r="AE175" i="17075"/>
  <c r="F171" i="17075"/>
  <c r="U171" i="17075"/>
  <c r="I175" i="17075"/>
  <c r="C175" i="17075"/>
  <c r="X171" i="17075"/>
  <c r="AH171" i="17075"/>
  <c r="W175" i="17075"/>
  <c r="AG175" i="17075"/>
  <c r="AD171" i="17075"/>
  <c r="D179" i="17075"/>
  <c r="AC175" i="17075"/>
  <c r="AD179" i="17075"/>
  <c r="R171" i="17075"/>
  <c r="F179" i="17075"/>
  <c r="Z175" i="17075"/>
  <c r="I171" i="17075"/>
  <c r="AH175" i="17075"/>
  <c r="Q179" i="17075"/>
  <c r="J171" i="17075"/>
  <c r="O172" i="17075"/>
  <c r="AG174" i="17075"/>
  <c r="E174" i="17075"/>
  <c r="H176" i="17075"/>
  <c r="X177" i="17075"/>
  <c r="C174" i="17075"/>
  <c r="C178" i="17075"/>
  <c r="Q173" i="17075"/>
  <c r="X176" i="17075"/>
  <c r="W182" i="17075"/>
  <c r="V177" i="17075"/>
  <c r="G176" i="17075"/>
  <c r="N171" i="17075"/>
  <c r="P175" i="17075"/>
  <c r="AD178" i="17075"/>
  <c r="X172" i="17075"/>
  <c r="N173" i="17075"/>
  <c r="X173" i="17075"/>
  <c r="Q180" i="17075"/>
  <c r="X180" i="17075"/>
  <c r="AB182" i="17075"/>
  <c r="G177" i="17075"/>
  <c r="AE181" i="17075"/>
  <c r="Z171" i="17075"/>
  <c r="T171" i="17075"/>
  <c r="C173" i="17075"/>
  <c r="AE174" i="17075"/>
  <c r="AG173" i="17075"/>
  <c r="V176" i="17075"/>
  <c r="Q172" i="17075"/>
  <c r="S177" i="17075"/>
  <c r="AH174" i="17075"/>
  <c r="Z177" i="17075"/>
  <c r="F173" i="17075"/>
  <c r="E172" i="17075"/>
  <c r="AF172" i="17075"/>
  <c r="K180" i="17075"/>
  <c r="L173" i="17075"/>
  <c r="Y177" i="17075"/>
  <c r="F176" i="17075"/>
  <c r="AF178" i="17075"/>
  <c r="Q182" i="17075"/>
  <c r="O181" i="17075"/>
  <c r="AD176" i="17075"/>
  <c r="N180" i="17075"/>
  <c r="L177" i="17075"/>
  <c r="AH172" i="17075"/>
  <c r="G182" i="17075"/>
  <c r="E176" i="17075"/>
  <c r="J181" i="17075"/>
  <c r="E173" i="17075"/>
  <c r="G180" i="17075"/>
  <c r="AA181" i="17075"/>
  <c r="AB177" i="17075"/>
  <c r="AH176" i="17075"/>
  <c r="AE178" i="17075"/>
  <c r="I181" i="17075"/>
  <c r="P176" i="17075"/>
  <c r="D182" i="17075"/>
  <c r="AA182" i="17075"/>
  <c r="Z180" i="17075"/>
  <c r="J178" i="17075"/>
  <c r="H172" i="17075"/>
  <c r="M172" i="17075"/>
  <c r="S174" i="17075"/>
  <c r="Z174" i="17075"/>
  <c r="W181" i="17075"/>
  <c r="AG177" i="17075"/>
  <c r="L176" i="17075"/>
  <c r="E182" i="17075"/>
  <c r="V173" i="17075"/>
  <c r="F178" i="17075"/>
  <c r="J177" i="17075"/>
  <c r="K177" i="17075"/>
  <c r="P173" i="17075"/>
  <c r="O178" i="17075"/>
  <c r="O176" i="17075"/>
  <c r="Q174" i="17075"/>
  <c r="AB180" i="17075"/>
  <c r="W177" i="17075"/>
  <c r="R181" i="17075"/>
  <c r="AC181" i="17075"/>
  <c r="U176" i="17075"/>
  <c r="U180" i="17075"/>
  <c r="Z178" i="17075"/>
  <c r="I180" i="17075"/>
  <c r="O174" i="17075"/>
  <c r="C176" i="17075"/>
  <c r="J182" i="17075"/>
  <c r="O182" i="17075"/>
  <c r="G178" i="17075"/>
  <c r="L172" i="17075"/>
  <c r="D178" i="17075"/>
  <c r="L181" i="17075"/>
  <c r="AF176" i="17075"/>
  <c r="H178" i="17075"/>
  <c r="G173" i="17075"/>
  <c r="R174" i="17075"/>
  <c r="N176" i="17075"/>
  <c r="R173" i="17075"/>
  <c r="AD172" i="17075"/>
  <c r="K178" i="17075"/>
  <c r="D180" i="17075"/>
  <c r="T179" i="17075"/>
  <c r="L179" i="17075"/>
  <c r="J174" i="17075"/>
  <c r="C177" i="17075"/>
  <c r="AD174" i="17075"/>
  <c r="N174" i="17075"/>
  <c r="AC178" i="17075"/>
  <c r="V181" i="17075"/>
  <c r="T176" i="17075"/>
  <c r="AB174" i="17075"/>
  <c r="AG182" i="17075"/>
  <c r="AC174" i="17075"/>
  <c r="N182" i="17075"/>
  <c r="M173" i="17075"/>
  <c r="AG172" i="17075"/>
  <c r="Y173" i="17075"/>
  <c r="S176" i="17075"/>
  <c r="AD182" i="17075"/>
  <c r="H177" i="17075"/>
  <c r="AF174" i="17075"/>
  <c r="H173" i="17075"/>
  <c r="P180" i="17075"/>
  <c r="AG178" i="17075"/>
  <c r="K176" i="17075"/>
  <c r="W176" i="17075"/>
  <c r="M181" i="17075"/>
  <c r="G174" i="17075"/>
  <c r="Y176" i="17075"/>
  <c r="S181" i="17075"/>
  <c r="E181" i="17075"/>
  <c r="F181" i="17075"/>
  <c r="AA173" i="17075"/>
  <c r="I178" i="17075"/>
  <c r="W172" i="17075"/>
  <c r="D172" i="17075"/>
  <c r="M178" i="17075"/>
  <c r="S182" i="17075"/>
  <c r="R180" i="17075"/>
  <c r="N172" i="17075"/>
  <c r="Y178" i="17075"/>
  <c r="T180" i="17075"/>
  <c r="X182" i="17075"/>
  <c r="AD177" i="17075"/>
  <c r="I176" i="17075"/>
  <c r="R182" i="17075"/>
  <c r="AG180" i="17075"/>
  <c r="V178" i="17075"/>
  <c r="P172" i="17075"/>
  <c r="AF180" i="17075"/>
  <c r="E178" i="17075"/>
  <c r="Y180" i="17075"/>
  <c r="X178" i="17075"/>
  <c r="AC173" i="17075"/>
  <c r="M180" i="17075"/>
  <c r="Y182" i="17075"/>
  <c r="U177" i="17075"/>
  <c r="AA174" i="17075"/>
  <c r="X181" i="17075"/>
  <c r="AG176" i="17075"/>
  <c r="P181" i="17075"/>
  <c r="F180" i="17075"/>
  <c r="C172" i="17075"/>
  <c r="I174" i="17075"/>
  <c r="I177" i="17075"/>
  <c r="L174" i="17075"/>
  <c r="L182" i="17075"/>
  <c r="U181" i="17075"/>
  <c r="AC177" i="17075"/>
  <c r="AB181" i="17075"/>
  <c r="O180" i="17075"/>
  <c r="P178" i="17075"/>
  <c r="AG181" i="17075"/>
  <c r="Y172" i="17075"/>
  <c r="M177" i="17075"/>
  <c r="M176" i="17075"/>
  <c r="AH181" i="17075"/>
  <c r="AE180" i="17075"/>
  <c r="U178" i="17075"/>
  <c r="R172" i="17075"/>
  <c r="AH180" i="17075"/>
  <c r="AD173" i="17075"/>
  <c r="U182" i="17075"/>
  <c r="L180" i="17075"/>
  <c r="S177" i="17073"/>
  <c r="K177" i="17073"/>
  <c r="AH177" i="17073"/>
  <c r="X177" i="17073"/>
  <c r="AG177" i="17073"/>
  <c r="AC177" i="17073"/>
  <c r="Y177" i="17073"/>
  <c r="V177" i="17073"/>
  <c r="R177" i="17073"/>
  <c r="N177" i="17073"/>
  <c r="J177" i="17073"/>
  <c r="F177" i="17073"/>
  <c r="AD177" i="17073"/>
  <c r="W177" i="17073"/>
  <c r="G177" i="17073"/>
  <c r="O177" i="17073"/>
  <c r="Z177" i="17073"/>
  <c r="AE177" i="17073"/>
  <c r="AA177" i="17073"/>
  <c r="T177" i="17073"/>
  <c r="P177" i="17073"/>
  <c r="L177" i="17073"/>
  <c r="H177" i="17073"/>
  <c r="D177" i="17073"/>
  <c r="AF177" i="17073"/>
  <c r="AB177" i="17073"/>
  <c r="U177" i="17073"/>
  <c r="Q177" i="17073"/>
  <c r="M177" i="17073"/>
  <c r="I177" i="17073"/>
  <c r="E177" i="17073"/>
  <c r="H93" i="32"/>
  <c r="I91" i="32"/>
  <c r="H95" i="17073"/>
  <c r="N95" i="17073"/>
  <c r="AN61" i="17067"/>
  <c r="AN51" i="17066"/>
  <c r="AN60" i="17066"/>
  <c r="AO33" i="17066"/>
  <c r="AO35" i="17066"/>
  <c r="AN61" i="17066"/>
  <c r="AO37" i="17066"/>
  <c r="AN62" i="17066"/>
  <c r="AN59" i="17066"/>
  <c r="AO18" i="17069"/>
  <c r="AO14" i="17069"/>
  <c r="AN7" i="17070"/>
  <c r="AO10" i="17069"/>
  <c r="AO27" i="17069"/>
  <c r="AO12" i="17069"/>
  <c r="AO29" i="17069"/>
  <c r="AO20" i="17069"/>
  <c r="AO22" i="17069"/>
  <c r="AO31" i="17069"/>
  <c r="AJ22" i="17070"/>
  <c r="AK18" i="17070"/>
  <c r="K14" i="17070"/>
  <c r="J15" i="17070"/>
  <c r="AI14" i="17069"/>
  <c r="AH15" i="17069"/>
  <c r="AH12" i="17070"/>
  <c r="AI12" i="17069"/>
  <c r="AH13" i="17069"/>
  <c r="AK27" i="17069"/>
  <c r="AJ28" i="17069"/>
  <c r="AJ27" i="17070"/>
  <c r="N32" i="17070"/>
  <c r="O31" i="17070"/>
  <c r="N48" i="17070"/>
  <c r="N51" i="17070"/>
  <c r="N47" i="17070"/>
  <c r="N50" i="17070"/>
  <c r="N49" i="17070"/>
  <c r="O53" i="17070"/>
  <c r="R32" i="17070"/>
  <c r="S31" i="17070"/>
  <c r="AB32" i="17070"/>
  <c r="AC31" i="17070"/>
  <c r="AJ46" i="17070"/>
  <c r="AJ49" i="17070" s="1"/>
  <c r="AJ61" i="17070"/>
  <c r="P15" i="17070"/>
  <c r="Q14" i="17070"/>
  <c r="G53" i="17070"/>
  <c r="F50" i="17070"/>
  <c r="F51" i="17070"/>
  <c r="F48" i="17070"/>
  <c r="F47" i="17070"/>
  <c r="F49" i="17070"/>
  <c r="J32" i="17070"/>
  <c r="K31" i="17070"/>
  <c r="B15" i="17070"/>
  <c r="C14" i="17070"/>
  <c r="G14" i="17070"/>
  <c r="F15" i="17070"/>
  <c r="H32" i="17070"/>
  <c r="I31" i="17070"/>
  <c r="L32" i="17070"/>
  <c r="M31" i="17070"/>
  <c r="E22" i="17070"/>
  <c r="D23" i="17070"/>
  <c r="F32" i="17070"/>
  <c r="G31" i="17070"/>
  <c r="AE31" i="17070"/>
  <c r="AD32" i="17070"/>
  <c r="D32" i="17070"/>
  <c r="E31" i="17070"/>
  <c r="AK59" i="17069"/>
  <c r="AJ51" i="17069"/>
  <c r="AK53" i="17069"/>
  <c r="AJ50" i="17069"/>
  <c r="AJ47" i="17069"/>
  <c r="AJ49" i="17069"/>
  <c r="AJ48" i="17069"/>
  <c r="I14" i="17070"/>
  <c r="H15" i="17070"/>
  <c r="V47" i="17070"/>
  <c r="W53" i="17070"/>
  <c r="V48" i="17070"/>
  <c r="V49" i="17070"/>
  <c r="V50" i="17070"/>
  <c r="V51" i="17070"/>
  <c r="M14" i="17070"/>
  <c r="L15" i="17070"/>
  <c r="Q31" i="17070"/>
  <c r="P32" i="17070"/>
  <c r="AJ44" i="17070"/>
  <c r="AJ64" i="17070"/>
  <c r="AJ57" i="17070"/>
  <c r="AJ70" i="17067"/>
  <c r="AJ63" i="17067"/>
  <c r="AJ57" i="17067"/>
  <c r="AJ51" i="17067"/>
  <c r="N54" i="17068"/>
  <c r="O61" i="17068" s="1"/>
  <c r="N64" i="17068"/>
  <c r="N63" i="17068"/>
  <c r="N62" i="17068"/>
  <c r="N65" i="17068"/>
  <c r="AI61" i="17067"/>
  <c r="AH59" i="17067"/>
  <c r="AI67" i="17067"/>
  <c r="AH55" i="17067"/>
  <c r="AH58" i="17067"/>
  <c r="AH57" i="17067"/>
  <c r="AH56" i="17067"/>
  <c r="AJ72" i="17067"/>
  <c r="AJ65" i="17067"/>
  <c r="AJ52" i="17067"/>
  <c r="M61" i="17067"/>
  <c r="L55" i="17067"/>
  <c r="L57" i="17067"/>
  <c r="M67" i="17067"/>
  <c r="L58" i="17067"/>
  <c r="L56" i="17067"/>
  <c r="L59" i="17067"/>
  <c r="O67" i="17067"/>
  <c r="N59" i="17067"/>
  <c r="N58" i="17067"/>
  <c r="N55" i="17067"/>
  <c r="N57" i="17067"/>
  <c r="N56" i="17067"/>
  <c r="AH63" i="17068"/>
  <c r="AH54" i="17068"/>
  <c r="AI61" i="17068" s="1"/>
  <c r="AH65" i="17068"/>
  <c r="AH62" i="17068"/>
  <c r="AH64" i="17068"/>
  <c r="L65" i="17068"/>
  <c r="L64" i="17068"/>
  <c r="L54" i="17068"/>
  <c r="L63" i="17068"/>
  <c r="L62" i="17068"/>
  <c r="AJ62" i="17070"/>
  <c r="AJ55" i="17070"/>
  <c r="AJ43" i="17070"/>
  <c r="AH22" i="17070"/>
  <c r="AH21" i="17070"/>
  <c r="AI20" i="17070"/>
  <c r="AD49" i="17070"/>
  <c r="AE53" i="17070"/>
  <c r="AD47" i="17070"/>
  <c r="AD51" i="17070"/>
  <c r="AD48" i="17070"/>
  <c r="AD50" i="17070"/>
  <c r="P55" i="17068"/>
  <c r="P57" i="17068"/>
  <c r="Q67" i="17068"/>
  <c r="P56" i="17068"/>
  <c r="P59" i="17068"/>
  <c r="P58" i="17068"/>
  <c r="Q54" i="17068"/>
  <c r="AJ71" i="17067"/>
  <c r="AJ64" i="17067"/>
  <c r="AH32" i="17070"/>
  <c r="AI31" i="17070"/>
  <c r="S59" i="17070"/>
  <c r="R48" i="17070"/>
  <c r="R50" i="17070"/>
  <c r="R47" i="17070"/>
  <c r="R49" i="17070"/>
  <c r="R51" i="17070"/>
  <c r="AJ56" i="17070"/>
  <c r="AJ63" i="17070"/>
  <c r="G234" i="1032"/>
  <c r="N262" i="1032"/>
  <c r="G287" i="1032" l="1"/>
  <c r="G290" i="1032"/>
  <c r="G91" i="1"/>
  <c r="AJ58" i="17067"/>
  <c r="AJ59" i="17067"/>
  <c r="AG12" i="17070"/>
  <c r="AF14" i="17070"/>
  <c r="W29" i="17070"/>
  <c r="V30" i="17070"/>
  <c r="V31" i="17070"/>
  <c r="W22" i="17070"/>
  <c r="V23" i="17070"/>
  <c r="X30" i="17070"/>
  <c r="Y29" i="17070"/>
  <c r="H23" i="17070"/>
  <c r="I22" i="17070"/>
  <c r="AD19" i="17070"/>
  <c r="AE18" i="17070"/>
  <c r="AD22" i="17070"/>
  <c r="AJ51" i="17070"/>
  <c r="S22" i="17070"/>
  <c r="R23" i="17070"/>
  <c r="G61" i="17067"/>
  <c r="F58" i="17067"/>
  <c r="F59" i="17067"/>
  <c r="F56" i="17067"/>
  <c r="F55" i="17067"/>
  <c r="F57" i="17067"/>
  <c r="G67" i="17067"/>
  <c r="D57" i="17067"/>
  <c r="E67" i="17067"/>
  <c r="D58" i="17067"/>
  <c r="D55" i="17067"/>
  <c r="D56" i="17067"/>
  <c r="D59" i="17067"/>
  <c r="E61" i="17067"/>
  <c r="F63" i="17068"/>
  <c r="F64" i="17068"/>
  <c r="F65" i="17068"/>
  <c r="F54" i="17068"/>
  <c r="G61" i="17068" s="1"/>
  <c r="F62" i="17068"/>
  <c r="D65" i="17068"/>
  <c r="D54" i="17068"/>
  <c r="E61" i="17068" s="1"/>
  <c r="D63" i="17068"/>
  <c r="D62" i="17068"/>
  <c r="D64" i="17068"/>
  <c r="B55" i="17067"/>
  <c r="B57" i="17067"/>
  <c r="B58" i="17067"/>
  <c r="B56" i="17067"/>
  <c r="C67" i="17067"/>
  <c r="B59" i="17067"/>
  <c r="AF31" i="17070"/>
  <c r="AF28" i="17070"/>
  <c r="AG27" i="17070"/>
  <c r="AG20" i="17070"/>
  <c r="AF21" i="17070"/>
  <c r="X13" i="17070"/>
  <c r="X14" i="17070"/>
  <c r="Y12" i="17070"/>
  <c r="Y31" i="17070"/>
  <c r="X32" i="17070"/>
  <c r="AG53" i="17069"/>
  <c r="AF49" i="17069"/>
  <c r="AF47" i="17069"/>
  <c r="AF50" i="17069"/>
  <c r="AF51" i="17069"/>
  <c r="AF48" i="17069"/>
  <c r="AC18" i="17070"/>
  <c r="AB22" i="17070"/>
  <c r="AB19" i="17070"/>
  <c r="Z22" i="17070"/>
  <c r="AA18" i="17070"/>
  <c r="Z19" i="17070"/>
  <c r="J56" i="17067"/>
  <c r="J55" i="17067"/>
  <c r="J59" i="17067"/>
  <c r="K67" i="17067"/>
  <c r="J58" i="17067"/>
  <c r="J57" i="17067"/>
  <c r="AI53" i="17070"/>
  <c r="AH50" i="17070"/>
  <c r="AH48" i="17070"/>
  <c r="AH49" i="17070"/>
  <c r="AH51" i="17070"/>
  <c r="AH47" i="17070"/>
  <c r="H89" i="1"/>
  <c r="Z64" i="17070"/>
  <c r="Z63" i="17070"/>
  <c r="Z60" i="17070"/>
  <c r="Z61" i="17070"/>
  <c r="Z62" i="17070"/>
  <c r="Z46" i="17070"/>
  <c r="AJ54" i="17068"/>
  <c r="AK61" i="17068" s="1"/>
  <c r="AJ63" i="17068"/>
  <c r="AJ65" i="17068"/>
  <c r="AJ62" i="17068"/>
  <c r="AJ64" i="17068"/>
  <c r="AI59" i="17070"/>
  <c r="AG63" i="17065"/>
  <c r="AF51" i="17065"/>
  <c r="AF54" i="17065"/>
  <c r="AF53" i="17065"/>
  <c r="AF55" i="17065"/>
  <c r="AG57" i="17065"/>
  <c r="AF52" i="17065"/>
  <c r="AF46" i="17070"/>
  <c r="AF62" i="17070"/>
  <c r="AF63" i="17070"/>
  <c r="AF61" i="17070"/>
  <c r="AF60" i="17070"/>
  <c r="AF64" i="17070"/>
  <c r="AK67" i="17067"/>
  <c r="AK54" i="17067" s="1"/>
  <c r="AJ56" i="17067"/>
  <c r="AJ55" i="17067"/>
  <c r="AF65" i="17068"/>
  <c r="AF62" i="17068"/>
  <c r="AF63" i="17068"/>
  <c r="AF64" i="17068"/>
  <c r="AF54" i="17068"/>
  <c r="Z21" i="17070"/>
  <c r="AA20" i="17070"/>
  <c r="AA27" i="17070"/>
  <c r="Z28" i="17070"/>
  <c r="B62" i="17068"/>
  <c r="B64" i="17068"/>
  <c r="B65" i="17068"/>
  <c r="B54" i="17068"/>
  <c r="C61" i="17068" s="1"/>
  <c r="B63" i="17068"/>
  <c r="J65" i="17068"/>
  <c r="J62" i="17068"/>
  <c r="J54" i="17068"/>
  <c r="J64" i="17068"/>
  <c r="J63" i="17068"/>
  <c r="AG18" i="17070"/>
  <c r="AF22" i="17070"/>
  <c r="AF19" i="17070"/>
  <c r="AF59" i="17067"/>
  <c r="AF57" i="17067"/>
  <c r="AF56" i="17067"/>
  <c r="AF55" i="17067"/>
  <c r="AF58" i="17067"/>
  <c r="AG67" i="17067"/>
  <c r="AG54" i="17067" s="1"/>
  <c r="C61" i="17067"/>
  <c r="X19" i="17070"/>
  <c r="X22" i="17070"/>
  <c r="Y18" i="17070"/>
  <c r="AA53" i="17069"/>
  <c r="Z50" i="17069"/>
  <c r="Z47" i="17069"/>
  <c r="Z48" i="17069"/>
  <c r="Z49" i="17069"/>
  <c r="Z51" i="17069"/>
  <c r="Z30" i="17070"/>
  <c r="AA29" i="17070"/>
  <c r="Z31" i="17070"/>
  <c r="AH178" i="17073"/>
  <c r="G244" i="1032"/>
  <c r="G245" i="1032"/>
  <c r="AH169" i="17074"/>
  <c r="AL32" i="17070"/>
  <c r="AM31" i="17070"/>
  <c r="AM22" i="17070"/>
  <c r="AL23" i="17070"/>
  <c r="AL15" i="17070"/>
  <c r="AM14" i="17070"/>
  <c r="C183" i="17075"/>
  <c r="X183" i="17075"/>
  <c r="I183" i="17075"/>
  <c r="H183" i="17075"/>
  <c r="Q183" i="17075"/>
  <c r="AB183" i="17075"/>
  <c r="AE183" i="17075"/>
  <c r="U183" i="17075"/>
  <c r="O183" i="17075"/>
  <c r="K183" i="17075"/>
  <c r="AF183" i="17075"/>
  <c r="Y183" i="17075"/>
  <c r="D183" i="17075"/>
  <c r="N183" i="17075"/>
  <c r="W183" i="17075"/>
  <c r="V183" i="17075"/>
  <c r="AD183" i="17075"/>
  <c r="G183" i="17075"/>
  <c r="AG183" i="17075"/>
  <c r="J183" i="17075"/>
  <c r="E183" i="17075"/>
  <c r="Z183" i="17075"/>
  <c r="AH183" i="17075"/>
  <c r="AC183" i="17075"/>
  <c r="P183" i="17075"/>
  <c r="AA183" i="17075"/>
  <c r="S183" i="17075"/>
  <c r="T183" i="17075"/>
  <c r="L183" i="17075"/>
  <c r="F183" i="17075"/>
  <c r="R183" i="17075"/>
  <c r="M183" i="17075"/>
  <c r="AO58" i="17066"/>
  <c r="AN56" i="17066"/>
  <c r="AN55" i="17066"/>
  <c r="AO64" i="17066"/>
  <c r="AN53" i="17066"/>
  <c r="AN54" i="17066"/>
  <c r="AN52" i="17066"/>
  <c r="AN62" i="17067"/>
  <c r="AN54" i="17067"/>
  <c r="AN65" i="17067"/>
  <c r="AN64" i="17067"/>
  <c r="AN63" i="17067"/>
  <c r="AO29" i="17070"/>
  <c r="AO12" i="17070"/>
  <c r="AO18" i="17070"/>
  <c r="AN31" i="17070"/>
  <c r="AO10" i="17070"/>
  <c r="AN14" i="17070"/>
  <c r="AN22" i="17070"/>
  <c r="AO20" i="17070"/>
  <c r="AO27" i="17070"/>
  <c r="AJ50" i="17070"/>
  <c r="AK27" i="17070"/>
  <c r="AJ31" i="17070"/>
  <c r="AJ28" i="17070"/>
  <c r="AI12" i="17070"/>
  <c r="AH14" i="17070"/>
  <c r="AH13" i="17070"/>
  <c r="AK22" i="17070"/>
  <c r="AJ23" i="17070"/>
  <c r="AK59" i="17070"/>
  <c r="AK53" i="17070"/>
  <c r="AJ48" i="17070"/>
  <c r="AJ47" i="17070"/>
  <c r="L56" i="17068"/>
  <c r="M67" i="17068"/>
  <c r="M54" i="17068"/>
  <c r="L58" i="17068"/>
  <c r="L55" i="17068"/>
  <c r="L59" i="17068"/>
  <c r="L57" i="17068"/>
  <c r="AI54" i="17067"/>
  <c r="AH57" i="17068"/>
  <c r="AH55" i="17068"/>
  <c r="AH58" i="17068"/>
  <c r="AH59" i="17068"/>
  <c r="AH56" i="17068"/>
  <c r="AI67" i="17068"/>
  <c r="AI54" i="17068"/>
  <c r="M61" i="17068"/>
  <c r="N57" i="17068"/>
  <c r="N58" i="17068"/>
  <c r="N55" i="17068"/>
  <c r="O54" i="17068"/>
  <c r="N59" i="17068"/>
  <c r="O67" i="17068"/>
  <c r="N56" i="17068"/>
  <c r="AI22" i="17070"/>
  <c r="AH23" i="17070"/>
  <c r="G262" i="1032"/>
  <c r="P262" i="1032" s="1"/>
  <c r="R210" i="1032"/>
  <c r="N247" i="1032"/>
  <c r="G229" i="1032"/>
  <c r="G241" i="1032"/>
  <c r="G243" i="1032"/>
  <c r="E248" i="1032"/>
  <c r="G221" i="1032"/>
  <c r="Q221" i="1032" s="1"/>
  <c r="G222" i="1032"/>
  <c r="Q222" i="1032" s="1"/>
  <c r="G233" i="1032"/>
  <c r="G237" i="1032"/>
  <c r="G232" i="1032"/>
  <c r="G239" i="1032"/>
  <c r="G214" i="1032"/>
  <c r="Q214" i="1032" s="1"/>
  <c r="G231" i="1032"/>
  <c r="G220" i="1032"/>
  <c r="Q220" i="1032" s="1"/>
  <c r="G223" i="1032"/>
  <c r="Q223" i="1032" s="1"/>
  <c r="G217" i="1032"/>
  <c r="Q217" i="1032" s="1"/>
  <c r="G227" i="1032"/>
  <c r="Q227" i="1032" s="1"/>
  <c r="G216" i="1032"/>
  <c r="Q216" i="1032" s="1"/>
  <c r="G235" i="1032"/>
  <c r="G213" i="1032"/>
  <c r="G228" i="1032"/>
  <c r="Q228" i="1032" s="1"/>
  <c r="G218" i="1032"/>
  <c r="Q218" i="1032" s="1"/>
  <c r="H208" i="1032"/>
  <c r="H245" i="1032" s="1"/>
  <c r="I208" i="1032"/>
  <c r="I245" i="1032" s="1"/>
  <c r="G224" i="1032"/>
  <c r="Q224" i="1032" s="1"/>
  <c r="G219" i="1032"/>
  <c r="Q219" i="1032" s="1"/>
  <c r="G215" i="1032"/>
  <c r="Q215" i="1032" s="1"/>
  <c r="G226" i="1032"/>
  <c r="Q226" i="1032" s="1"/>
  <c r="G230" i="1032"/>
  <c r="G238" i="1032"/>
  <c r="G225" i="1032"/>
  <c r="Q225" i="1032" s="1"/>
  <c r="G236" i="1032"/>
  <c r="G242" i="1032"/>
  <c r="G240" i="1032"/>
  <c r="N291" i="1032"/>
  <c r="G260" i="1032"/>
  <c r="P260" i="1032" s="1"/>
  <c r="G267" i="1032"/>
  <c r="P267" i="1032" s="1"/>
  <c r="G265" i="1032"/>
  <c r="P265" i="1032" s="1"/>
  <c r="G271" i="1032"/>
  <c r="P271" i="1032" s="1"/>
  <c r="G276" i="1032"/>
  <c r="G270" i="1032"/>
  <c r="P270" i="1032" s="1"/>
  <c r="G259" i="1032"/>
  <c r="P259" i="1032" s="1"/>
  <c r="G274" i="1032"/>
  <c r="G269" i="1032"/>
  <c r="P269" i="1032" s="1"/>
  <c r="G278" i="1032"/>
  <c r="G281" i="1032"/>
  <c r="G268" i="1032"/>
  <c r="P268" i="1032" s="1"/>
  <c r="G273" i="1032"/>
  <c r="P273" i="1032" s="1"/>
  <c r="G264" i="1032"/>
  <c r="P264" i="1032" s="1"/>
  <c r="I253" i="1032"/>
  <c r="I290" i="1032" s="1"/>
  <c r="G258" i="1032"/>
  <c r="G272" i="1032"/>
  <c r="P272" i="1032" s="1"/>
  <c r="G261" i="1032"/>
  <c r="P261" i="1032" s="1"/>
  <c r="G263" i="1032"/>
  <c r="P263" i="1032" s="1"/>
  <c r="G279" i="1032"/>
  <c r="H253" i="1032"/>
  <c r="H290" i="1032" s="1"/>
  <c r="G286" i="1032"/>
  <c r="G289" i="1032"/>
  <c r="G283" i="1032"/>
  <c r="G282" i="1032"/>
  <c r="G285" i="1032"/>
  <c r="G288" i="1032"/>
  <c r="G284" i="1032"/>
  <c r="G277" i="1032"/>
  <c r="G275" i="1032"/>
  <c r="G280" i="1032"/>
  <c r="G266" i="1032"/>
  <c r="P266" i="1032" s="1"/>
  <c r="AF15" i="17070" l="1"/>
  <c r="AG14" i="17070"/>
  <c r="W31" i="17070"/>
  <c r="V32" i="17070"/>
  <c r="AE22" i="17070"/>
  <c r="AD23" i="17070"/>
  <c r="E67" i="17068"/>
  <c r="D57" i="17068"/>
  <c r="E54" i="17068"/>
  <c r="D55" i="17068"/>
  <c r="D58" i="17068"/>
  <c r="D59" i="17068"/>
  <c r="D56" i="17068"/>
  <c r="F56" i="17068"/>
  <c r="G54" i="17068"/>
  <c r="F59" i="17068"/>
  <c r="F55" i="17068"/>
  <c r="G67" i="17068"/>
  <c r="F57" i="17068"/>
  <c r="F58" i="17068"/>
  <c r="Y22" i="17070"/>
  <c r="X23" i="17070"/>
  <c r="AG59" i="17070"/>
  <c r="AG53" i="17070"/>
  <c r="AF48" i="17070"/>
  <c r="AF51" i="17070"/>
  <c r="AF49" i="17070"/>
  <c r="AF47" i="17070"/>
  <c r="AF50" i="17070"/>
  <c r="AG31" i="17070"/>
  <c r="AF32" i="17070"/>
  <c r="AG22" i="17070"/>
  <c r="AF23" i="17070"/>
  <c r="AB23" i="17070"/>
  <c r="AC22" i="17070"/>
  <c r="B55" i="17068"/>
  <c r="B58" i="17068"/>
  <c r="C67" i="17068"/>
  <c r="C54" i="17068"/>
  <c r="B59" i="17068"/>
  <c r="B57" i="17068"/>
  <c r="B56" i="17068"/>
  <c r="AG61" i="17068"/>
  <c r="AF58" i="17068"/>
  <c r="AF59" i="17068"/>
  <c r="AF57" i="17068"/>
  <c r="AF55" i="17068"/>
  <c r="AF56" i="17068"/>
  <c r="AG54" i="17068"/>
  <c r="AG67" i="17068"/>
  <c r="Y14" i="17070"/>
  <c r="X15" i="17070"/>
  <c r="Z32" i="17070"/>
  <c r="AA31" i="17070"/>
  <c r="K61" i="17068"/>
  <c r="K54" i="17068"/>
  <c r="K67" i="17068"/>
  <c r="J57" i="17068"/>
  <c r="J58" i="17068"/>
  <c r="J59" i="17068"/>
  <c r="J55" i="17068"/>
  <c r="J56" i="17068"/>
  <c r="AJ58" i="17068"/>
  <c r="AJ55" i="17068"/>
  <c r="AJ59" i="17068"/>
  <c r="AK67" i="17068"/>
  <c r="AJ57" i="17068"/>
  <c r="AJ56" i="17068"/>
  <c r="AK54" i="17068"/>
  <c r="Z23" i="17070"/>
  <c r="AA22" i="17070"/>
  <c r="AA59" i="17070"/>
  <c r="Z51" i="17070"/>
  <c r="Z47" i="17070"/>
  <c r="AA53" i="17070"/>
  <c r="Z50" i="17070"/>
  <c r="Z49" i="17070"/>
  <c r="Z48" i="17070"/>
  <c r="P275" i="1032"/>
  <c r="G291" i="1032"/>
  <c r="Q230" i="1032"/>
  <c r="AH184" i="17075"/>
  <c r="AJ184" i="17075"/>
  <c r="AO61" i="17067"/>
  <c r="AN58" i="17067"/>
  <c r="AN56" i="17067"/>
  <c r="AN55" i="17067"/>
  <c r="AN59" i="17067"/>
  <c r="AN57" i="17067"/>
  <c r="AO67" i="17067"/>
  <c r="AN32" i="17070"/>
  <c r="AO31" i="17070"/>
  <c r="AO14" i="17070"/>
  <c r="AN15" i="17070"/>
  <c r="AO22" i="17070"/>
  <c r="AN23" i="17070"/>
  <c r="AK31" i="17070"/>
  <c r="AJ32" i="17070"/>
  <c r="AI14" i="17070"/>
  <c r="AH15" i="17070"/>
  <c r="P274" i="1032"/>
  <c r="R255" i="1032"/>
  <c r="Q255" i="1032"/>
  <c r="N292" i="1032"/>
  <c r="I244" i="1032"/>
  <c r="I242" i="1032"/>
  <c r="I230" i="1032"/>
  <c r="I231" i="1032"/>
  <c r="I224" i="1032"/>
  <c r="S224" i="1032" s="1"/>
  <c r="I216" i="1032"/>
  <c r="S216" i="1032" s="1"/>
  <c r="I240" i="1032"/>
  <c r="I238" i="1032"/>
  <c r="I226" i="1032"/>
  <c r="S226" i="1032" s="1"/>
  <c r="I218" i="1032"/>
  <c r="S218" i="1032" s="1"/>
  <c r="I243" i="1032"/>
  <c r="I227" i="1032"/>
  <c r="S227" i="1032" s="1"/>
  <c r="I219" i="1032"/>
  <c r="S219" i="1032" s="1"/>
  <c r="I235" i="1032"/>
  <c r="I225" i="1032"/>
  <c r="S225" i="1032" s="1"/>
  <c r="I217" i="1032"/>
  <c r="S217" i="1032" s="1"/>
  <c r="I236" i="1032"/>
  <c r="I241" i="1032"/>
  <c r="I234" i="1032"/>
  <c r="I228" i="1032"/>
  <c r="S228" i="1032" s="1"/>
  <c r="I220" i="1032"/>
  <c r="S220" i="1032" s="1"/>
  <c r="I239" i="1032"/>
  <c r="I232" i="1032"/>
  <c r="I237" i="1032"/>
  <c r="I222" i="1032"/>
  <c r="S222" i="1032" s="1"/>
  <c r="I214" i="1032"/>
  <c r="S214" i="1032" s="1"/>
  <c r="I233" i="1032"/>
  <c r="I223" i="1032"/>
  <c r="S223" i="1032" s="1"/>
  <c r="I215" i="1032"/>
  <c r="S215" i="1032" s="1"/>
  <c r="I229" i="1032"/>
  <c r="I221" i="1032"/>
  <c r="S221" i="1032" s="1"/>
  <c r="I213" i="1032"/>
  <c r="S213" i="1032" s="1"/>
  <c r="I273" i="1032"/>
  <c r="R273" i="1032" s="1"/>
  <c r="I265" i="1032"/>
  <c r="R265" i="1032" s="1"/>
  <c r="I286" i="1032"/>
  <c r="I270" i="1032"/>
  <c r="R270" i="1032" s="1"/>
  <c r="I262" i="1032"/>
  <c r="R262" i="1032" s="1"/>
  <c r="I289" i="1032"/>
  <c r="I275" i="1032"/>
  <c r="I276" i="1032"/>
  <c r="I287" i="1032"/>
  <c r="I282" i="1032"/>
  <c r="I285" i="1032"/>
  <c r="I271" i="1032"/>
  <c r="R271" i="1032" s="1"/>
  <c r="I263" i="1032"/>
  <c r="R263" i="1032" s="1"/>
  <c r="I288" i="1032"/>
  <c r="I272" i="1032"/>
  <c r="R272" i="1032" s="1"/>
  <c r="I264" i="1032"/>
  <c r="R264" i="1032" s="1"/>
  <c r="I283" i="1032"/>
  <c r="I269" i="1032"/>
  <c r="R269" i="1032" s="1"/>
  <c r="I261" i="1032"/>
  <c r="R261" i="1032" s="1"/>
  <c r="I278" i="1032"/>
  <c r="I266" i="1032"/>
  <c r="R266" i="1032" s="1"/>
  <c r="I258" i="1032"/>
  <c r="R258" i="1032" s="1"/>
  <c r="I281" i="1032"/>
  <c r="I284" i="1032"/>
  <c r="I279" i="1032"/>
  <c r="I274" i="1032"/>
  <c r="I277" i="1032"/>
  <c r="I267" i="1032"/>
  <c r="R267" i="1032" s="1"/>
  <c r="I259" i="1032"/>
  <c r="R259" i="1032" s="1"/>
  <c r="I280" i="1032"/>
  <c r="I268" i="1032"/>
  <c r="R268" i="1032" s="1"/>
  <c r="I260" i="1032"/>
  <c r="R260" i="1032" s="1"/>
  <c r="H243" i="1032"/>
  <c r="H240" i="1032"/>
  <c r="H232" i="1032"/>
  <c r="H221" i="1032"/>
  <c r="R221" i="1032" s="1"/>
  <c r="H213" i="1032"/>
  <c r="R213" i="1032" s="1"/>
  <c r="H222" i="1032"/>
  <c r="R222" i="1032" s="1"/>
  <c r="H214" i="1032"/>
  <c r="R214" i="1032" s="1"/>
  <c r="H234" i="1032"/>
  <c r="H224" i="1032"/>
  <c r="R224" i="1032" s="1"/>
  <c r="H216" i="1032"/>
  <c r="R216" i="1032" s="1"/>
  <c r="H241" i="1032"/>
  <c r="H239" i="1032"/>
  <c r="H229" i="1032"/>
  <c r="H227" i="1032"/>
  <c r="R227" i="1032" s="1"/>
  <c r="H219" i="1032"/>
  <c r="R219" i="1032" s="1"/>
  <c r="H235" i="1032"/>
  <c r="H237" i="1032"/>
  <c r="H242" i="1032"/>
  <c r="H230" i="1032"/>
  <c r="H225" i="1032"/>
  <c r="R225" i="1032" s="1"/>
  <c r="H217" i="1032"/>
  <c r="R217" i="1032" s="1"/>
  <c r="H226" i="1032"/>
  <c r="R226" i="1032" s="1"/>
  <c r="H218" i="1032"/>
  <c r="R218" i="1032" s="1"/>
  <c r="H244" i="1032"/>
  <c r="H228" i="1032"/>
  <c r="R228" i="1032" s="1"/>
  <c r="H220" i="1032"/>
  <c r="R220" i="1032" s="1"/>
  <c r="H233" i="1032"/>
  <c r="H238" i="1032"/>
  <c r="H231" i="1032"/>
  <c r="H236" i="1032"/>
  <c r="H223" i="1032"/>
  <c r="R223" i="1032" s="1"/>
  <c r="H215" i="1032"/>
  <c r="R215" i="1032" s="1"/>
  <c r="Q229" i="1032"/>
  <c r="H280" i="1032"/>
  <c r="H268" i="1032"/>
  <c r="Q268" i="1032" s="1"/>
  <c r="H260" i="1032"/>
  <c r="Q260" i="1032" s="1"/>
  <c r="H279" i="1032"/>
  <c r="H274" i="1032"/>
  <c r="H277" i="1032"/>
  <c r="H267" i="1032"/>
  <c r="Q267" i="1032" s="1"/>
  <c r="H259" i="1032"/>
  <c r="Q259" i="1032" s="1"/>
  <c r="H276" i="1032"/>
  <c r="H273" i="1032"/>
  <c r="Q273" i="1032" s="1"/>
  <c r="H265" i="1032"/>
  <c r="Q265" i="1032" s="1"/>
  <c r="H286" i="1032"/>
  <c r="H270" i="1032"/>
  <c r="Q270" i="1032" s="1"/>
  <c r="H262" i="1032"/>
  <c r="Q262" i="1032" s="1"/>
  <c r="H289" i="1032"/>
  <c r="H275" i="1032"/>
  <c r="H288" i="1032"/>
  <c r="H272" i="1032"/>
  <c r="Q272" i="1032" s="1"/>
  <c r="H264" i="1032"/>
  <c r="Q264" i="1032" s="1"/>
  <c r="H287" i="1032"/>
  <c r="H282" i="1032"/>
  <c r="H285" i="1032"/>
  <c r="H271" i="1032"/>
  <c r="Q271" i="1032" s="1"/>
  <c r="H263" i="1032"/>
  <c r="Q263" i="1032" s="1"/>
  <c r="H284" i="1032"/>
  <c r="H283" i="1032"/>
  <c r="H269" i="1032"/>
  <c r="Q269" i="1032" s="1"/>
  <c r="H261" i="1032"/>
  <c r="Q261" i="1032" s="1"/>
  <c r="H278" i="1032"/>
  <c r="H266" i="1032"/>
  <c r="Q266" i="1032" s="1"/>
  <c r="H258" i="1032"/>
  <c r="Q258" i="1032" s="1"/>
  <c r="H281" i="1032"/>
  <c r="P258" i="1032"/>
  <c r="Q213" i="1032"/>
  <c r="G246" i="1032"/>
  <c r="P291" i="1032" l="1"/>
  <c r="Q275" i="1032"/>
  <c r="R230" i="1032"/>
  <c r="R275" i="1032"/>
  <c r="S230" i="1032"/>
  <c r="Q246" i="1032"/>
  <c r="AO54" i="17067"/>
  <c r="Q274" i="1032"/>
  <c r="R274" i="1032"/>
  <c r="S229" i="1032"/>
  <c r="R229" i="103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Kattia Monge Castro</author>
  </authors>
  <commentList>
    <comment ref="R16" authorId="0" shapeId="0" xr:uid="{00000000-0006-0000-0100-000001000000}">
      <text>
        <r>
          <rPr>
            <b/>
            <sz val="8"/>
            <color indexed="81"/>
            <rFont val="Tahoma"/>
            <family val="2"/>
          </rPr>
          <t>A partir junio 07 se elimina, el sistema no permite hacer diferencia y además representa mercado primario (no tenencia).</t>
        </r>
      </text>
    </comment>
    <comment ref="T16" authorId="0" shapeId="0" xr:uid="{00000000-0006-0000-0100-000002000000}">
      <text>
        <r>
          <rPr>
            <b/>
            <sz val="8"/>
            <color indexed="81"/>
            <rFont val="Tahoma"/>
            <family val="2"/>
          </rPr>
          <t>A partir junio 07 se elimina, el sistema no permite hacer diferencia y además representa mercado primario (no tenencia).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mongeck</author>
  </authors>
  <commentList>
    <comment ref="A81" authorId="0" shapeId="0" xr:uid="{00000000-0006-0000-0900-000001000000}">
      <text>
        <r>
          <rPr>
            <sz val="8"/>
            <color indexed="81"/>
            <rFont val="Tahoma"/>
            <family val="2"/>
          </rPr>
          <t>Al 31 de diciembre del año correspondiente, y si se refiere al mes, es al último día del respectivo mes.</t>
        </r>
      </text>
    </comment>
  </commentList>
</comments>
</file>

<file path=xl/sharedStrings.xml><?xml version="1.0" encoding="utf-8"?>
<sst xmlns="http://schemas.openxmlformats.org/spreadsheetml/2006/main" count="1743" uniqueCount="251">
  <si>
    <t>Ministiry of Finance of Costa Rica</t>
  </si>
  <si>
    <t>Dirección de Crédito Público</t>
  </si>
  <si>
    <t>Profile of Central Government Public Debt of Costa Rica</t>
  </si>
  <si>
    <t>Historic 2000-2018</t>
  </si>
  <si>
    <t>CONTENTS</t>
  </si>
  <si>
    <t>DOMESTIC PUBLIC DEBT PROFILE OF THE CENTRAL GOVERNMENT OF COSTA RICA</t>
  </si>
  <si>
    <t>Æ</t>
  </si>
  <si>
    <t>Domestic Public Debt Profile in colones</t>
  </si>
  <si>
    <t>Domestic Public Debt Profile in dollars</t>
  </si>
  <si>
    <t>Graphic N° 1. Debt Stock Composition by Currency</t>
  </si>
  <si>
    <t>Graphic N° 2. Debt Stock  Composition by Interest Rate</t>
  </si>
  <si>
    <t>Graphic N° 3. Debt Stock Composition by Maturity</t>
  </si>
  <si>
    <t>Graphic N° 4. Debt Stock Composition by Original Placement</t>
  </si>
  <si>
    <t>Graphic N° 5. Domestic Public Debt Service to GDP, Current Revenues and Total Expenditures</t>
  </si>
  <si>
    <t xml:space="preserve">Graphics: Domestic Public Debt Maturity Profile </t>
  </si>
  <si>
    <t>Maturity Profile Domestic Public Debt in colones</t>
  </si>
  <si>
    <t>Maturity Profile Domestic Public Debt in dollars</t>
  </si>
  <si>
    <t>Maturity Profile Domestic Public Debt as percentage by Total Debt</t>
  </si>
  <si>
    <t>EXTERNAL PUBLIC DEBT PROFILE OF THE CENTRAL GOVERNMENT OF COSTA RICA</t>
  </si>
  <si>
    <t>External Public Debt  Profile in dollars</t>
  </si>
  <si>
    <t>External Public Debt  Profile in colones</t>
  </si>
  <si>
    <t>Graphic N° 4. Debt Stock  Composition by Creditor</t>
  </si>
  <si>
    <t>Graphic N° 5. External Public Debt Service to GDP, Current Revenues and Total Expenditures</t>
  </si>
  <si>
    <t xml:space="preserve">Graphics: External Public Debt Maturity Profile </t>
  </si>
  <si>
    <t>Maturity Profile External Public Debt in colones</t>
  </si>
  <si>
    <t>Maturity Profile External Public Debt in dollars</t>
  </si>
  <si>
    <t>Maturity Profile External Public Debt as percentage by Total Debt</t>
  </si>
  <si>
    <t>PUBLIC DEBT PROFILE OF THE CENTRAL GOVERNMENT OF COSTA RICA</t>
  </si>
  <si>
    <t>Public Debt Profile in colones</t>
  </si>
  <si>
    <t>Public Debt Profile in dollars</t>
  </si>
  <si>
    <t>Graphic N° 1. Debt Stock Composition by Interest Rate</t>
  </si>
  <si>
    <t>Graphic N° 2. Debt Stock Composition by Currency</t>
  </si>
  <si>
    <t>Graphic N° 4. Public Debt Composition of the Central Government of Costa Rica</t>
  </si>
  <si>
    <t>Graphic N° 5. Public Debt  to GDP</t>
  </si>
  <si>
    <t>Graphic N° 6. Total Debt by Anual Maturity in dollars</t>
  </si>
  <si>
    <t>Graphic N° 7. Total Debt by Anual Maturity in colones</t>
  </si>
  <si>
    <t>Graphic N° 8.  Total Debt by Anual Maturity as Percentage</t>
  </si>
  <si>
    <t>Graphic N° 9. Public Debt Service to GDP, Current Revenues and Total Expenditures</t>
  </si>
  <si>
    <t xml:space="preserve">Graphics: Public Debt Maturity Profile </t>
  </si>
  <si>
    <t>Maturity Profile Public Debt in dollars</t>
  </si>
  <si>
    <t>Maturity Profile Public Debt in colones</t>
  </si>
  <si>
    <t>Maturity Profile Public Debt to GDP</t>
  </si>
  <si>
    <t>DOMESTIC PUBLIC PROFILE DEBT OF THE CENTRAL GOVERNMENT OF COSTA RICA</t>
  </si>
  <si>
    <r>
      <rPr>
        <b/>
        <sz val="10"/>
        <rFont val="Wingdings"/>
        <charset val="2"/>
      </rPr>
      <t>Å</t>
    </r>
    <r>
      <rPr>
        <b/>
        <sz val="10"/>
        <rFont val="Arial"/>
        <family val="2"/>
      </rPr>
      <t xml:space="preserve"> CONTENTS</t>
    </r>
  </si>
  <si>
    <t>(Millions of colones)</t>
  </si>
  <si>
    <t>DOMESTIC DEBT</t>
  </si>
  <si>
    <t>December 2000</t>
  </si>
  <si>
    <t>December 2001</t>
  </si>
  <si>
    <t>December 2002</t>
  </si>
  <si>
    <t>December 2003</t>
  </si>
  <si>
    <t>December 2004</t>
  </si>
  <si>
    <t>December 2005</t>
  </si>
  <si>
    <t>December 2006</t>
  </si>
  <si>
    <t>December 2007</t>
  </si>
  <si>
    <t>December 2008</t>
  </si>
  <si>
    <t>December 2009</t>
  </si>
  <si>
    <t>December 2010</t>
  </si>
  <si>
    <t>December 2011</t>
  </si>
  <si>
    <t>December 2012</t>
  </si>
  <si>
    <t>December 2013</t>
  </si>
  <si>
    <t>December 2014</t>
  </si>
  <si>
    <t>December 2015</t>
  </si>
  <si>
    <t>December 2016</t>
  </si>
  <si>
    <t>December 2017</t>
  </si>
  <si>
    <t>December 2018</t>
  </si>
  <si>
    <t>December 2019</t>
  </si>
  <si>
    <t>December 2020</t>
  </si>
  <si>
    <t>Nominal</t>
  </si>
  <si>
    <t>Relative</t>
  </si>
  <si>
    <t>CURRENCY</t>
  </si>
  <si>
    <t xml:space="preserve">   Debt ¢</t>
  </si>
  <si>
    <t xml:space="preserve">   %GDP</t>
  </si>
  <si>
    <t xml:space="preserve">   Debt US $</t>
  </si>
  <si>
    <t>SECTOR</t>
  </si>
  <si>
    <t>    Public Sector Debt</t>
  </si>
  <si>
    <t>    % GDP</t>
  </si>
  <si>
    <t>    Private Sector Debt</t>
  </si>
  <si>
    <t>INTEREST RATE</t>
  </si>
  <si>
    <t xml:space="preserve">   Floating Debt</t>
  </si>
  <si>
    <t xml:space="preserve">   Fixed debt</t>
  </si>
  <si>
    <t xml:space="preserve">   Indexed debt</t>
  </si>
  <si>
    <t>Weighted Average Rate</t>
  </si>
  <si>
    <t>ND</t>
  </si>
  <si>
    <t>MATURITY</t>
  </si>
  <si>
    <t xml:space="preserve">   Debt &lt; 1 year</t>
  </si>
  <si>
    <t xml:space="preserve">    %GDP</t>
  </si>
  <si>
    <t xml:space="preserve">   Debt &gt; 1 and &lt; 5 years</t>
  </si>
  <si>
    <t xml:space="preserve">   Debt &gt; 5 year</t>
  </si>
  <si>
    <t>Average Maturity</t>
  </si>
  <si>
    <t>años</t>
  </si>
  <si>
    <t>Duration Macaulay</t>
  </si>
  <si>
    <t>Modified Duration</t>
  </si>
  <si>
    <t>ATR</t>
  </si>
  <si>
    <t>Expense</t>
  </si>
  <si>
    <t xml:space="preserve">     Interests</t>
  </si>
  <si>
    <t xml:space="preserve">   %Current Revenues</t>
  </si>
  <si>
    <t xml:space="preserve">   %Total Expenditures</t>
  </si>
  <si>
    <t>PUBLIC DEBT</t>
  </si>
  <si>
    <t xml:space="preserve">   %Exports</t>
  </si>
  <si>
    <t xml:space="preserve">   %Tax Revenues</t>
  </si>
  <si>
    <t>Domestic Debt</t>
  </si>
  <si>
    <t>External Debt</t>
  </si>
  <si>
    <t xml:space="preserve">   %ICurrent Revenues</t>
  </si>
  <si>
    <t>Current GDP</t>
  </si>
  <si>
    <t>Real Variation</t>
  </si>
  <si>
    <t>Exports</t>
  </si>
  <si>
    <t>Total Current Revenues</t>
  </si>
  <si>
    <t>Tax Revenues</t>
  </si>
  <si>
    <t>Total Expenditures</t>
  </si>
  <si>
    <t>SOVEREIGN RISK RATING</t>
  </si>
  <si>
    <t>Long Term</t>
  </si>
  <si>
    <t>Rating</t>
  </si>
  <si>
    <t>Outlook</t>
  </si>
  <si>
    <r>
      <t xml:space="preserve">Standard &amp; Poors </t>
    </r>
    <r>
      <rPr>
        <vertAlign val="superscript"/>
        <sz val="11"/>
        <rFont val="Book Antiqua"/>
        <family val="1"/>
      </rPr>
      <t>1</t>
    </r>
  </si>
  <si>
    <t>B+</t>
  </si>
  <si>
    <t>Negativa</t>
  </si>
  <si>
    <r>
      <t>Moodys</t>
    </r>
    <r>
      <rPr>
        <vertAlign val="superscript"/>
        <sz val="11"/>
        <rFont val="Book Antiqua"/>
        <family val="1"/>
      </rPr>
      <t xml:space="preserve"> 2</t>
    </r>
  </si>
  <si>
    <t>B1</t>
  </si>
  <si>
    <r>
      <t xml:space="preserve">Fitch </t>
    </r>
    <r>
      <rPr>
        <vertAlign val="superscript"/>
        <sz val="11"/>
        <rFont val="Book Antiqua"/>
        <family val="1"/>
      </rPr>
      <t>3</t>
    </r>
  </si>
  <si>
    <r>
      <t>1</t>
    </r>
    <r>
      <rPr>
        <sz val="7"/>
        <rFont val="Arial"/>
        <family val="2"/>
      </rPr>
      <t xml:space="preserve"> Rating list 02/25/2016</t>
    </r>
  </si>
  <si>
    <r>
      <t>2</t>
    </r>
    <r>
      <rPr>
        <sz val="7"/>
        <rFont val="Arial"/>
        <family val="2"/>
      </rPr>
      <t xml:space="preserve"> Rating list 02/09/2017</t>
    </r>
  </si>
  <si>
    <r>
      <t>3</t>
    </r>
    <r>
      <rPr>
        <sz val="7"/>
        <rFont val="Arial"/>
        <family val="2"/>
      </rPr>
      <t xml:space="preserve"> Rating list 01/19/2017</t>
    </r>
  </si>
  <si>
    <t>Exchande Rate</t>
  </si>
  <si>
    <t>(USD million)</t>
  </si>
  <si>
    <t>N/D</t>
  </si>
  <si>
    <t>Graphics of the Domestic Public Debt Central Government of Costa Rica</t>
  </si>
  <si>
    <t>Graphic N° 1</t>
  </si>
  <si>
    <t>Graphic N° 2</t>
  </si>
  <si>
    <t>Domestic Public Debt of the Central Goverment of Costa Rica</t>
  </si>
  <si>
    <t xml:space="preserve"> Debt Stock Composition by Currency</t>
  </si>
  <si>
    <t>Debt Stock  Composition by Interest Rate</t>
  </si>
  <si>
    <t>Graphic N° 3</t>
  </si>
  <si>
    <t>Graphic N° 4</t>
  </si>
  <si>
    <t>Debt Stock Composition by Maturity</t>
  </si>
  <si>
    <t>Debt Stock Composition by Original Placement</t>
  </si>
  <si>
    <t>Graphic N° 5</t>
  </si>
  <si>
    <t>Central Goverment of Costa Rica</t>
  </si>
  <si>
    <t>Domestic Public Debt Interest Expense</t>
  </si>
  <si>
    <t>to GDP, Current Revenues and Total Expenditures</t>
  </si>
  <si>
    <t>December 1998-2020</t>
  </si>
  <si>
    <t>Saldo Deuda Interna del Gobierno Central por plazo de colocación.</t>
  </si>
  <si>
    <t>Al 31/12/2020</t>
  </si>
  <si>
    <t xml:space="preserve"> </t>
  </si>
  <si>
    <t>Plazo Colocación</t>
  </si>
  <si>
    <t>Monto colones</t>
  </si>
  <si>
    <t>%</t>
  </si>
  <si>
    <t>% acum.</t>
  </si>
  <si>
    <t>Monto dólares</t>
  </si>
  <si>
    <t>0 &gt; 6 Months</t>
  </si>
  <si>
    <t>6 Months &gt; 1 Year</t>
  </si>
  <si>
    <t>1 &gt; 2 years</t>
  </si>
  <si>
    <t>2 &gt; 4 years</t>
  </si>
  <si>
    <t>&lt; 4 years</t>
  </si>
  <si>
    <t>TC</t>
  </si>
  <si>
    <t>SERVICIO</t>
  </si>
  <si>
    <t>Graphics Maturity Profile Domestic Public Debt Central Goverment of Costa Rica</t>
  </si>
  <si>
    <t>Maturity Profile Domestic Public Debt</t>
  </si>
  <si>
    <r>
      <t>December 31</t>
    </r>
    <r>
      <rPr>
        <b/>
        <vertAlign val="superscript"/>
        <sz val="10"/>
        <rFont val="Arial"/>
        <family val="2"/>
      </rPr>
      <t>st</t>
    </r>
    <r>
      <rPr>
        <b/>
        <sz val="10"/>
        <rFont val="Arial"/>
        <family val="2"/>
      </rPr>
      <t xml:space="preserve">  2020</t>
    </r>
  </si>
  <si>
    <t>(Millones de Colones)</t>
  </si>
  <si>
    <t>Month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</si>
  <si>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</si>
  <si>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</si>
  <si>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</si>
  <si>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</si>
  <si>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</si>
  <si>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</si>
  <si>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</si>
  <si>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</si>
  <si>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</si>
  <si>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</si>
  <si>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</si>
  <si>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</si>
  <si>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Total </t>
  </si>
  <si>
    <t>EXTERNAL DEBT</t>
  </si>
  <si>
    <t>Relativo</t>
  </si>
  <si>
    <t xml:space="preserve">  Debt in other currency</t>
  </si>
  <si>
    <t>CREDITOR</t>
  </si>
  <si>
    <t>    Bilateral</t>
  </si>
  <si>
    <t>Comercial</t>
  </si>
  <si>
    <t>    Eurobonds</t>
  </si>
  <si>
    <t>    Multilateral</t>
  </si>
  <si>
    <t>Suppliers / Others</t>
  </si>
  <si>
    <t xml:space="preserve">   Average Maturity</t>
  </si>
  <si>
    <r>
      <t xml:space="preserve">   Duration Macaulay </t>
    </r>
    <r>
      <rPr>
        <vertAlign val="superscript"/>
        <sz val="10"/>
        <rFont val="Arial"/>
        <family val="2"/>
      </rPr>
      <t>1</t>
    </r>
  </si>
  <si>
    <r>
      <t xml:space="preserve">   Modified Duration </t>
    </r>
    <r>
      <rPr>
        <vertAlign val="superscript"/>
        <sz val="10"/>
        <rFont val="Arial"/>
        <family val="2"/>
      </rPr>
      <t>1</t>
    </r>
  </si>
  <si>
    <t xml:space="preserve">   ATR</t>
  </si>
  <si>
    <t>Graphics of the External Public Debt Central Goverment of Costa Rica</t>
  </si>
  <si>
    <t>External Public Debt of the Central Goverment of Costa Rica</t>
  </si>
  <si>
    <t>Debt Stock Composition by Currency</t>
  </si>
  <si>
    <t>Debt Stock Composition by Interest Rate</t>
  </si>
  <si>
    <t>December 2021</t>
  </si>
  <si>
    <t>Debt Stock Composition by Creditor</t>
  </si>
  <si>
    <t>Central Government of Costa Rica</t>
  </si>
  <si>
    <t>External Public Debt Interest Expense</t>
  </si>
  <si>
    <t>December 1998-2019</t>
  </si>
  <si>
    <t>Saldo</t>
  </si>
  <si>
    <t>Moneda</t>
  </si>
  <si>
    <t>CAD</t>
  </si>
  <si>
    <t>CNY</t>
  </si>
  <si>
    <t>SDR</t>
  </si>
  <si>
    <t>DEG = SDR</t>
  </si>
  <si>
    <t>DKK</t>
  </si>
  <si>
    <t>EUR</t>
  </si>
  <si>
    <t>GBP</t>
  </si>
  <si>
    <t>JPY</t>
  </si>
  <si>
    <t>Other currencies</t>
  </si>
  <si>
    <t>NOK</t>
  </si>
  <si>
    <t>SEK</t>
  </si>
  <si>
    <t>BID</t>
  </si>
  <si>
    <t>uac=bid</t>
  </si>
  <si>
    <t>US$</t>
  </si>
  <si>
    <t>TOTAL</t>
  </si>
  <si>
    <t>Graphics Maturity Profile External Public Debt Central Goverment of Costa Rica</t>
  </si>
  <si>
    <t>Maturity Profile External Public Debt</t>
  </si>
  <si>
    <t>NOTA: Cálculo con valor al vencimiento</t>
  </si>
  <si>
    <t>PUBLIC DEBT OF THE CENTRAL GOVERNMENT OF COSTA RICA</t>
  </si>
  <si>
    <t>Weighted Average Rate ¢</t>
  </si>
  <si>
    <t>Duration</t>
  </si>
  <si>
    <t>Public Debt of the Central Goverment of Costa Rica</t>
  </si>
  <si>
    <t>Public Debt Composition of the Central Government                     of Costa Rica</t>
  </si>
  <si>
    <t>Public Debt  to GDP</t>
  </si>
  <si>
    <t>Graphic N° 6</t>
  </si>
  <si>
    <t>Total Debt by Anual Maturity</t>
  </si>
  <si>
    <t>December 31st  2020</t>
  </si>
  <si>
    <t>Graphic N° 7</t>
  </si>
  <si>
    <t>Graphic N° 8</t>
  </si>
  <si>
    <t>Graphic N° 9</t>
  </si>
  <si>
    <t>Public Debt Interest Expense</t>
  </si>
  <si>
    <t xml:space="preserve">   %PIB</t>
  </si>
  <si>
    <t xml:space="preserve">   %Ingresos Corrientes</t>
  </si>
  <si>
    <t xml:space="preserve">   %Gastos Totales</t>
  </si>
  <si>
    <t>DEUDA PÚBLICA</t>
  </si>
  <si>
    <t>Deuda Interna</t>
  </si>
  <si>
    <t>Deuda Externa</t>
  </si>
  <si>
    <t>Gráfico aplicable cierres diciembre.</t>
  </si>
  <si>
    <t>Límite</t>
  </si>
  <si>
    <t>Perfil de Vencimientos</t>
  </si>
  <si>
    <t>Al 31 de Diciembre 2020.  En millones de colones.</t>
  </si>
  <si>
    <t>Total</t>
  </si>
  <si>
    <t>En millones de colones</t>
  </si>
  <si>
    <t>2037-2041</t>
  </si>
  <si>
    <t>2042-2051</t>
  </si>
  <si>
    <t>2042-2052</t>
  </si>
  <si>
    <t>GRÁFICOS</t>
  </si>
  <si>
    <t>Maturity Profile</t>
  </si>
  <si>
    <t>Al 31 Diciembre  2018.  En millones de dólares.</t>
  </si>
  <si>
    <t>En millones de dólares</t>
  </si>
  <si>
    <t>NOTA: Calculo con valor anual</t>
  </si>
  <si>
    <t>Graphics Maturity Profile Public Debt Central Goverment of Costa Rica</t>
  </si>
  <si>
    <t>Maturity Profile Public Debt</t>
  </si>
  <si>
    <t>Maturity Profile Public Debt as a percentage of Total Debt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</si>
</sst>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\ _€_-;\-* #,##0.00\ _€_-;_-* &quot;-&quot;??\ _€_-;_-@_-"/>
    <numFmt numFmtId="165" formatCode="_(* #,##0.00_);_(* \(#,##0.00\);_(* &quot;-&quot;??_);_(@_)"/>
    <numFmt numFmtId="166" formatCode="0.0%"/>
    <numFmt numFmtId="167" formatCode="0.0000%"/>
    <numFmt numFmtId="168" formatCode="0.000000%"/>
    <numFmt numFmtId="169" formatCode="0.0000000%"/>
    <numFmt numFmtId="170" formatCode="[$$-409]#,##0.00"/>
    <numFmt numFmtId="171" formatCode="&quot;¢&quot;#,##0.00"/>
    <numFmt numFmtId="172" formatCode="#,##0.00;[Red]#,##0.00"/>
    <numFmt numFmtId="173" formatCode="_([$€]* #,##0.00_);_([$€]* \(#,##0.00\);_([$€]* &quot;-&quot;??_);_(@_)"/>
    <numFmt numFmtId="174" formatCode="#,##0.0_);\(#,##0.0\)"/>
    <numFmt numFmtId="175" formatCode="#,##0.0"/>
    <numFmt numFmtId="176" formatCode="0.000%"/>
  </numFmts>
  <fonts count="7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u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u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b/>
      <i/>
      <u/>
      <sz val="9"/>
      <name val="Arial"/>
      <family val="2"/>
    </font>
    <font>
      <i/>
      <sz val="9"/>
      <name val="Arial"/>
      <family val="2"/>
    </font>
    <font>
      <sz val="10"/>
      <name val="Book Antiqua"/>
      <family val="1"/>
    </font>
    <font>
      <sz val="7"/>
      <name val="Arial"/>
      <family val="2"/>
    </font>
    <font>
      <sz val="11"/>
      <name val="Book Antiqua"/>
      <family val="1"/>
    </font>
    <font>
      <vertAlign val="superscript"/>
      <sz val="11"/>
      <name val="Book Antiqua"/>
      <family val="1"/>
    </font>
    <font>
      <sz val="8"/>
      <color indexed="81"/>
      <name val="Tahoma"/>
      <family val="2"/>
    </font>
    <font>
      <vertAlign val="superscript"/>
      <sz val="10"/>
      <name val="Arial"/>
      <family val="2"/>
    </font>
    <font>
      <b/>
      <sz val="8"/>
      <color indexed="81"/>
      <name val="Tahoma"/>
      <family val="2"/>
    </font>
    <font>
      <b/>
      <u/>
      <sz val="9"/>
      <name val="Times New Roman"/>
      <family val="1"/>
    </font>
    <font>
      <b/>
      <sz val="11"/>
      <name val="Arial"/>
      <family val="2"/>
    </font>
    <font>
      <b/>
      <sz val="8"/>
      <name val="Arial"/>
      <family val="2"/>
    </font>
    <font>
      <sz val="9"/>
      <name val="Times New Roman"/>
      <family val="1"/>
    </font>
    <font>
      <b/>
      <sz val="10"/>
      <color indexed="12"/>
      <name val="Arial"/>
      <family val="2"/>
    </font>
    <font>
      <sz val="9"/>
      <color indexed="8"/>
      <name val="Arial"/>
      <family val="2"/>
    </font>
    <font>
      <vertAlign val="superscript"/>
      <sz val="7"/>
      <name val="Arial"/>
      <family val="2"/>
    </font>
    <font>
      <sz val="10"/>
      <name val="Courier"/>
      <family val="3"/>
    </font>
    <font>
      <sz val="11"/>
      <name val="Calibri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9"/>
      <color indexed="10"/>
      <name val="Arial"/>
      <family val="2"/>
    </font>
    <font>
      <u/>
      <sz val="9"/>
      <name val="Arial"/>
      <family val="2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color theme="0"/>
      <name val="Arial"/>
      <family val="2"/>
    </font>
    <font>
      <sz val="11"/>
      <color rgb="FF00007A"/>
      <name val="Arial"/>
      <family val="2"/>
    </font>
    <font>
      <sz val="12"/>
      <color rgb="FF00007A"/>
      <name val="Arial"/>
      <family val="2"/>
    </font>
    <font>
      <sz val="8"/>
      <color rgb="FF000000"/>
      <name val="Arial"/>
      <family val="2"/>
    </font>
    <font>
      <b/>
      <sz val="10"/>
      <color theme="0"/>
      <name val="Arial"/>
      <family val="2"/>
    </font>
    <font>
      <sz val="10"/>
      <color indexed="13"/>
      <name val="Arial"/>
      <family val="2"/>
    </font>
    <font>
      <i/>
      <sz val="10"/>
      <name val="Arial"/>
      <family val="2"/>
    </font>
    <font>
      <b/>
      <sz val="9.5"/>
      <name val="Arial"/>
      <family val="2"/>
    </font>
    <font>
      <b/>
      <i/>
      <sz val="8"/>
      <name val="Arial"/>
      <family val="2"/>
    </font>
    <font>
      <sz val="9.5"/>
      <name val="Arial"/>
      <family val="2"/>
    </font>
    <font>
      <i/>
      <u/>
      <sz val="8"/>
      <name val="Arial"/>
      <family val="2"/>
    </font>
    <font>
      <u/>
      <sz val="8"/>
      <name val="Arial"/>
      <family val="2"/>
    </font>
    <font>
      <i/>
      <u/>
      <sz val="9"/>
      <name val="Arial"/>
      <family val="2"/>
    </font>
    <font>
      <i/>
      <u/>
      <sz val="9"/>
      <color indexed="8"/>
      <name val="Arial"/>
      <family val="2"/>
    </font>
    <font>
      <u/>
      <sz val="9"/>
      <color indexed="8"/>
      <name val="Arial"/>
      <family val="2"/>
    </font>
    <font>
      <b/>
      <sz val="10"/>
      <name val="Book Antiqua"/>
      <family val="1"/>
    </font>
    <font>
      <u/>
      <sz val="10"/>
      <color theme="10"/>
      <name val="Arial"/>
      <family val="2"/>
    </font>
    <font>
      <b/>
      <sz val="11"/>
      <name val="Calibri"/>
      <family val="2"/>
      <scheme val="minor"/>
    </font>
    <font>
      <u/>
      <sz val="10"/>
      <color theme="10"/>
      <name val="Arial"/>
      <family val="2"/>
    </font>
    <font>
      <b/>
      <sz val="10"/>
      <name val="Wingdings"/>
      <charset val="2"/>
    </font>
    <font>
      <b/>
      <i/>
      <sz val="11"/>
      <name val="Arial"/>
      <family val="2"/>
    </font>
    <font>
      <i/>
      <sz val="9.5"/>
      <name val="Arial"/>
      <family val="2"/>
    </font>
    <font>
      <b/>
      <vertAlign val="superscript"/>
      <sz val="10"/>
      <name val="Arial"/>
      <family val="2"/>
    </font>
    <font>
      <sz val="14"/>
      <color rgb="FF00007A"/>
      <name val="Wingdings"/>
      <charset val="2"/>
    </font>
    <font>
      <sz val="11"/>
      <color theme="1"/>
      <name val="Calibri"/>
      <family val="2"/>
    </font>
    <font>
      <b/>
      <sz val="11"/>
      <color theme="1"/>
      <name val="Arial"/>
      <family val="2"/>
    </font>
    <font>
      <sz val="9"/>
      <color theme="0"/>
      <name val="Arial"/>
      <family val="2"/>
    </font>
    <font>
      <b/>
      <u/>
      <sz val="9"/>
      <color theme="0"/>
      <name val="Arial"/>
      <family val="2"/>
    </font>
    <font>
      <b/>
      <sz val="6"/>
      <color theme="0"/>
      <name val="Arial"/>
      <family val="2"/>
    </font>
    <font>
      <sz val="9"/>
      <color theme="0"/>
      <name val="Calibri"/>
      <family val="2"/>
      <scheme val="minor"/>
    </font>
    <font>
      <b/>
      <sz val="9"/>
      <color theme="0"/>
      <name val="Arial"/>
      <family val="2"/>
    </font>
    <font>
      <i/>
      <sz val="8"/>
      <color theme="0"/>
      <name val="Arial"/>
      <family val="2"/>
    </font>
    <font>
      <b/>
      <u/>
      <sz val="9"/>
      <color theme="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ck">
        <color rgb="FF3F3F3F"/>
      </left>
      <right style="thick">
        <color rgb="FF3F3F3F"/>
      </right>
      <top style="thick">
        <color rgb="FF3F3F3F"/>
      </top>
      <bottom style="thick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rgb="FF7F7F7F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36" fillId="2" borderId="13" applyNumberFormat="0" applyAlignment="0" applyProtection="0"/>
    <xf numFmtId="0" fontId="37" fillId="3" borderId="14">
      <alignment horizontal="center" vertical="center" wrapText="1"/>
    </xf>
    <xf numFmtId="17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74" fontId="29" fillId="0" borderId="0"/>
    <xf numFmtId="174" fontId="29" fillId="0" borderId="0"/>
    <xf numFmtId="174" fontId="29" fillId="0" borderId="0"/>
    <xf numFmtId="174" fontId="29" fillId="0" borderId="0"/>
    <xf numFmtId="174" fontId="29" fillId="0" borderId="0"/>
    <xf numFmtId="174" fontId="29" fillId="0" borderId="0"/>
    <xf numFmtId="174" fontId="29" fillId="0" borderId="0"/>
    <xf numFmtId="0" fontId="7" fillId="0" borderId="0"/>
    <xf numFmtId="174" fontId="29" fillId="0" borderId="0"/>
    <xf numFmtId="174" fontId="29" fillId="0" borderId="0"/>
    <xf numFmtId="174" fontId="29" fillId="0" borderId="0"/>
    <xf numFmtId="174" fontId="29" fillId="0" borderId="0"/>
    <xf numFmtId="174" fontId="29" fillId="0" borderId="0"/>
    <xf numFmtId="174" fontId="29" fillId="0" borderId="0"/>
    <xf numFmtId="174" fontId="29" fillId="0" borderId="0"/>
    <xf numFmtId="0" fontId="2" fillId="0" borderId="0"/>
    <xf numFmtId="9" fontId="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8" fillId="2" borderId="15" applyNumberFormat="0" applyAlignment="0" applyProtection="0"/>
    <xf numFmtId="0" fontId="2" fillId="0" borderId="0"/>
    <xf numFmtId="0" fontId="57" fillId="0" borderId="0" applyNumberFormat="0" applyFill="0" applyBorder="0" applyAlignment="0" applyProtection="0"/>
    <xf numFmtId="0" fontId="2" fillId="0" borderId="0"/>
    <xf numFmtId="0" fontId="59" fillId="0" borderId="0" applyNumberFormat="0" applyFill="0" applyBorder="0" applyAlignment="0" applyProtection="0"/>
    <xf numFmtId="167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46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840">
    <xf numFmtId="0" fontId="0" fillId="0" borderId="0" xfId="0"/>
    <xf numFmtId="0" fontId="3" fillId="0" borderId="0" xfId="0" applyFont="1"/>
    <xf numFmtId="0" fontId="8" fillId="0" borderId="0" xfId="0" applyFont="1"/>
    <xf numFmtId="2" fontId="0" fillId="0" borderId="0" xfId="0" applyNumberFormat="1"/>
    <xf numFmtId="0" fontId="0" fillId="0" borderId="0" xfId="0" applyFill="1"/>
    <xf numFmtId="0" fontId="0" fillId="0" borderId="2" xfId="0" applyFill="1" applyBorder="1"/>
    <xf numFmtId="0" fontId="3" fillId="0" borderId="2" xfId="0" applyFont="1" applyFill="1" applyBorder="1"/>
    <xf numFmtId="0" fontId="3" fillId="0" borderId="0" xfId="0" applyFont="1" applyFill="1" applyBorder="1"/>
    <xf numFmtId="2" fontId="0" fillId="0" borderId="0" xfId="0" applyNumberFormat="1" applyFill="1"/>
    <xf numFmtId="0" fontId="3" fillId="0" borderId="3" xfId="0" applyFont="1" applyBorder="1"/>
    <xf numFmtId="0" fontId="10" fillId="0" borderId="0" xfId="0" applyFont="1" applyFill="1" applyBorder="1"/>
    <xf numFmtId="0" fontId="3" fillId="0" borderId="0" xfId="0" applyFont="1" applyFill="1"/>
    <xf numFmtId="0" fontId="0" fillId="0" borderId="0" xfId="0" applyFill="1" applyBorder="1"/>
    <xf numFmtId="0" fontId="3" fillId="0" borderId="0" xfId="0" applyFont="1" applyBorder="1"/>
    <xf numFmtId="0" fontId="0" fillId="0" borderId="0" xfId="0" applyBorder="1"/>
    <xf numFmtId="0" fontId="3" fillId="0" borderId="0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3" fillId="0" borderId="5" xfId="0" applyFont="1" applyFill="1" applyBorder="1"/>
    <xf numFmtId="4" fontId="22" fillId="0" borderId="0" xfId="0" applyNumberFormat="1" applyFont="1" applyFill="1" applyBorder="1" applyAlignment="1" applyProtection="1">
      <alignment horizontal="center"/>
    </xf>
    <xf numFmtId="15" fontId="22" fillId="0" borderId="0" xfId="0" applyNumberFormat="1" applyFont="1" applyFill="1" applyBorder="1" applyAlignment="1" applyProtection="1">
      <alignment horizontal="center"/>
    </xf>
    <xf numFmtId="4" fontId="3" fillId="0" borderId="0" xfId="0" applyNumberFormat="1" applyFont="1" applyFill="1" applyBorder="1" applyAlignment="1"/>
    <xf numFmtId="0" fontId="8" fillId="0" borderId="0" xfId="0" applyFont="1" applyFill="1" applyBorder="1"/>
    <xf numFmtId="4" fontId="25" fillId="0" borderId="0" xfId="0" applyNumberFormat="1" applyFont="1" applyFill="1" applyBorder="1" applyAlignment="1">
      <alignment horizontal="right"/>
    </xf>
    <xf numFmtId="172" fontId="22" fillId="0" borderId="0" xfId="0" applyNumberFormat="1" applyFont="1" applyFill="1" applyBorder="1" applyAlignment="1">
      <alignment horizontal="right"/>
    </xf>
    <xf numFmtId="0" fontId="22" fillId="0" borderId="0" xfId="0" applyFont="1" applyFill="1" applyBorder="1" applyAlignment="1" applyProtection="1">
      <alignment horizontal="center"/>
    </xf>
    <xf numFmtId="0" fontId="3" fillId="0" borderId="0" xfId="0" applyFont="1" applyFill="1" applyBorder="1" applyAlignment="1"/>
    <xf numFmtId="0" fontId="23" fillId="0" borderId="0" xfId="0" applyFont="1" applyFill="1" applyBorder="1"/>
    <xf numFmtId="4" fontId="3" fillId="0" borderId="0" xfId="0" applyNumberFormat="1" applyFont="1" applyFill="1" applyBorder="1"/>
    <xf numFmtId="0" fontId="16" fillId="0" borderId="0" xfId="0" applyFont="1" applyFill="1" applyBorder="1"/>
    <xf numFmtId="166" fontId="5" fillId="4" borderId="2" xfId="28" applyNumberFormat="1" applyFont="1" applyFill="1" applyBorder="1"/>
    <xf numFmtId="0" fontId="0" fillId="4" borderId="0" xfId="0" applyFill="1"/>
    <xf numFmtId="0" fontId="3" fillId="4" borderId="2" xfId="0" applyFont="1" applyFill="1" applyBorder="1"/>
    <xf numFmtId="0" fontId="0" fillId="4" borderId="2" xfId="0" applyFill="1" applyBorder="1"/>
    <xf numFmtId="166" fontId="13" fillId="4" borderId="8" xfId="0" applyNumberFormat="1" applyFont="1" applyFill="1" applyBorder="1"/>
    <xf numFmtId="165" fontId="0" fillId="4" borderId="2" xfId="0" applyNumberFormat="1" applyFill="1" applyBorder="1"/>
    <xf numFmtId="0" fontId="12" fillId="4" borderId="8" xfId="0" applyFont="1" applyFill="1" applyBorder="1"/>
    <xf numFmtId="2" fontId="3" fillId="4" borderId="2" xfId="0" applyNumberFormat="1" applyFont="1" applyFill="1" applyBorder="1"/>
    <xf numFmtId="0" fontId="10" fillId="4" borderId="8" xfId="0" applyFont="1" applyFill="1" applyBorder="1"/>
    <xf numFmtId="0" fontId="3" fillId="4" borderId="0" xfId="0" applyFont="1" applyFill="1"/>
    <xf numFmtId="165" fontId="3" fillId="4" borderId="2" xfId="0" applyNumberFormat="1" applyFont="1" applyFill="1" applyBorder="1"/>
    <xf numFmtId="166" fontId="9" fillId="4" borderId="8" xfId="0" applyNumberFormat="1" applyFont="1" applyFill="1" applyBorder="1"/>
    <xf numFmtId="165" fontId="3" fillId="4" borderId="2" xfId="4" applyFont="1" applyFill="1" applyBorder="1"/>
    <xf numFmtId="0" fontId="16" fillId="4" borderId="8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165" fontId="3" fillId="4" borderId="3" xfId="4" applyFont="1" applyFill="1" applyBorder="1"/>
    <xf numFmtId="166" fontId="9" fillId="4" borderId="10" xfId="0" applyNumberFormat="1" applyFont="1" applyFill="1" applyBorder="1"/>
    <xf numFmtId="165" fontId="3" fillId="4" borderId="1" xfId="4" applyFont="1" applyFill="1" applyBorder="1"/>
    <xf numFmtId="166" fontId="9" fillId="4" borderId="7" xfId="0" applyNumberFormat="1" applyFont="1" applyFill="1" applyBorder="1"/>
    <xf numFmtId="0" fontId="16" fillId="4" borderId="3" xfId="0" applyFont="1" applyFill="1" applyBorder="1" applyAlignment="1">
      <alignment horizontal="center"/>
    </xf>
    <xf numFmtId="166" fontId="13" fillId="4" borderId="10" xfId="0" applyNumberFormat="1" applyFont="1" applyFill="1" applyBorder="1"/>
    <xf numFmtId="2" fontId="3" fillId="4" borderId="2" xfId="0" applyNumberFormat="1" applyFont="1" applyFill="1" applyBorder="1" applyAlignment="1">
      <alignment horizontal="right"/>
    </xf>
    <xf numFmtId="0" fontId="3" fillId="4" borderId="3" xfId="0" applyFont="1" applyFill="1" applyBorder="1"/>
    <xf numFmtId="0" fontId="3" fillId="4" borderId="10" xfId="0" applyFont="1" applyFill="1" applyBorder="1"/>
    <xf numFmtId="10" fontId="3" fillId="4" borderId="2" xfId="28" applyNumberFormat="1" applyFont="1" applyFill="1" applyBorder="1"/>
    <xf numFmtId="166" fontId="12" fillId="4" borderId="8" xfId="0" applyNumberFormat="1" applyFont="1" applyFill="1" applyBorder="1"/>
    <xf numFmtId="0" fontId="4" fillId="4" borderId="0" xfId="0" applyFont="1" applyFill="1"/>
    <xf numFmtId="165" fontId="10" fillId="4" borderId="8" xfId="0" applyNumberFormat="1" applyFont="1" applyFill="1" applyBorder="1"/>
    <xf numFmtId="166" fontId="5" fillId="4" borderId="2" xfId="28" applyNumberFormat="1" applyFont="1" applyFill="1" applyBorder="1" applyAlignment="1">
      <alignment horizontal="right"/>
    </xf>
    <xf numFmtId="0" fontId="14" fillId="4" borderId="8" xfId="0" applyFont="1" applyFill="1" applyBorder="1"/>
    <xf numFmtId="0" fontId="16" fillId="4" borderId="10" xfId="0" applyFont="1" applyFill="1" applyBorder="1" applyAlignment="1">
      <alignment horizontal="center"/>
    </xf>
    <xf numFmtId="0" fontId="10" fillId="4" borderId="0" xfId="0" applyFont="1" applyFill="1"/>
    <xf numFmtId="0" fontId="8" fillId="4" borderId="0" xfId="0" applyFont="1" applyFill="1"/>
    <xf numFmtId="0" fontId="8" fillId="0" borderId="0" xfId="0" applyFont="1" applyFill="1"/>
    <xf numFmtId="0" fontId="28" fillId="4" borderId="0" xfId="0" applyFont="1" applyFill="1"/>
    <xf numFmtId="0" fontId="12" fillId="4" borderId="0" xfId="0" applyFont="1" applyFill="1"/>
    <xf numFmtId="0" fontId="10" fillId="0" borderId="0" xfId="0" applyFont="1" applyFill="1"/>
    <xf numFmtId="0" fontId="12" fillId="0" borderId="0" xfId="0" applyFont="1" applyFill="1"/>
    <xf numFmtId="2" fontId="2" fillId="0" borderId="0" xfId="0" applyNumberFormat="1" applyFont="1" applyFill="1"/>
    <xf numFmtId="0" fontId="2" fillId="0" borderId="0" xfId="0" applyFont="1"/>
    <xf numFmtId="165" fontId="0" fillId="0" borderId="0" xfId="0" applyNumberFormat="1"/>
    <xf numFmtId="166" fontId="3" fillId="4" borderId="2" xfId="28" applyNumberFormat="1" applyFont="1" applyFill="1" applyBorder="1" applyAlignment="1">
      <alignment horizontal="right"/>
    </xf>
    <xf numFmtId="0" fontId="27" fillId="4" borderId="8" xfId="0" applyFont="1" applyFill="1" applyBorder="1"/>
    <xf numFmtId="0" fontId="3" fillId="4" borderId="2" xfId="0" applyFont="1" applyFill="1" applyBorder="1" applyAlignment="1">
      <alignment horizontal="right"/>
    </xf>
    <xf numFmtId="10" fontId="3" fillId="4" borderId="2" xfId="0" applyNumberFormat="1" applyFont="1" applyFill="1" applyBorder="1"/>
    <xf numFmtId="165" fontId="2" fillId="4" borderId="2" xfId="4" applyFont="1" applyFill="1" applyBorder="1"/>
    <xf numFmtId="165" fontId="2" fillId="4" borderId="2" xfId="0" applyNumberFormat="1" applyFont="1" applyFill="1" applyBorder="1"/>
    <xf numFmtId="0" fontId="2" fillId="4" borderId="2" xfId="0" applyFont="1" applyFill="1" applyBorder="1"/>
    <xf numFmtId="165" fontId="0" fillId="0" borderId="0" xfId="4" applyFont="1"/>
    <xf numFmtId="0" fontId="12" fillId="4" borderId="0" xfId="0" applyFont="1" applyFill="1" applyBorder="1"/>
    <xf numFmtId="0" fontId="10" fillId="4" borderId="0" xfId="0" applyFont="1" applyFill="1" applyBorder="1"/>
    <xf numFmtId="0" fontId="16" fillId="4" borderId="0" xfId="0" applyFont="1" applyFill="1" applyBorder="1" applyAlignment="1">
      <alignment horizontal="center"/>
    </xf>
    <xf numFmtId="2" fontId="0" fillId="0" borderId="0" xfId="0" applyNumberFormat="1" applyFill="1" applyBorder="1"/>
    <xf numFmtId="0" fontId="8" fillId="4" borderId="0" xfId="0" applyFont="1" applyFill="1" applyBorder="1"/>
    <xf numFmtId="0" fontId="4" fillId="0" borderId="2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/>
    </xf>
    <xf numFmtId="165" fontId="3" fillId="0" borderId="3" xfId="4" applyFont="1" applyFill="1" applyBorder="1"/>
    <xf numFmtId="166" fontId="9" fillId="0" borderId="10" xfId="0" applyNumberFormat="1" applyFont="1" applyFill="1" applyBorder="1"/>
    <xf numFmtId="165" fontId="3" fillId="0" borderId="1" xfId="4" applyFont="1" applyFill="1" applyBorder="1"/>
    <xf numFmtId="166" fontId="9" fillId="0" borderId="7" xfId="0" applyNumberFormat="1" applyFont="1" applyFill="1" applyBorder="1"/>
    <xf numFmtId="165" fontId="3" fillId="0" borderId="2" xfId="4" applyFont="1" applyFill="1" applyBorder="1"/>
    <xf numFmtId="166" fontId="9" fillId="0" borderId="8" xfId="0" applyNumberFormat="1" applyFont="1" applyFill="1" applyBorder="1"/>
    <xf numFmtId="166" fontId="5" fillId="0" borderId="2" xfId="28" applyNumberFormat="1" applyFont="1" applyFill="1" applyBorder="1"/>
    <xf numFmtId="0" fontId="12" fillId="0" borderId="8" xfId="0" applyFont="1" applyFill="1" applyBorder="1"/>
    <xf numFmtId="165" fontId="3" fillId="0" borderId="2" xfId="0" applyNumberFormat="1" applyFont="1" applyFill="1" applyBorder="1"/>
    <xf numFmtId="0" fontId="10" fillId="0" borderId="8" xfId="0" applyFont="1" applyFill="1" applyBorder="1"/>
    <xf numFmtId="0" fontId="16" fillId="0" borderId="8" xfId="0" applyFont="1" applyFill="1" applyBorder="1" applyAlignment="1">
      <alignment horizontal="center"/>
    </xf>
    <xf numFmtId="166" fontId="5" fillId="0" borderId="2" xfId="28" applyNumberFormat="1" applyFont="1" applyFill="1" applyBorder="1" applyAlignment="1">
      <alignment horizontal="right"/>
    </xf>
    <xf numFmtId="0" fontId="14" fillId="0" borderId="8" xfId="0" applyFont="1" applyFill="1" applyBorder="1"/>
    <xf numFmtId="0" fontId="3" fillId="0" borderId="3" xfId="0" applyFont="1" applyFill="1" applyBorder="1"/>
    <xf numFmtId="0" fontId="3" fillId="0" borderId="10" xfId="0" applyFont="1" applyFill="1" applyBorder="1"/>
    <xf numFmtId="166" fontId="14" fillId="0" borderId="8" xfId="0" applyNumberFormat="1" applyFont="1" applyFill="1" applyBorder="1"/>
    <xf numFmtId="0" fontId="16" fillId="0" borderId="10" xfId="0" applyFont="1" applyFill="1" applyBorder="1" applyAlignment="1">
      <alignment horizontal="center"/>
    </xf>
    <xf numFmtId="0" fontId="0" fillId="4" borderId="0" xfId="0" applyFill="1" applyBorder="1"/>
    <xf numFmtId="10" fontId="3" fillId="4" borderId="0" xfId="28" applyNumberFormat="1" applyFont="1" applyFill="1" applyBorder="1"/>
    <xf numFmtId="0" fontId="3" fillId="4" borderId="0" xfId="0" applyFont="1" applyFill="1" applyBorder="1"/>
    <xf numFmtId="2" fontId="0" fillId="4" borderId="0" xfId="0" applyNumberFormat="1" applyFill="1"/>
    <xf numFmtId="165" fontId="3" fillId="0" borderId="0" xfId="4" applyFont="1" applyFill="1" applyBorder="1"/>
    <xf numFmtId="0" fontId="2" fillId="0" borderId="0" xfId="0" applyFont="1" applyFill="1" applyAlignment="1">
      <alignment horizontal="left"/>
    </xf>
    <xf numFmtId="0" fontId="23" fillId="0" borderId="0" xfId="0" applyFont="1" applyFill="1"/>
    <xf numFmtId="165" fontId="3" fillId="0" borderId="0" xfId="0" applyNumberFormat="1" applyFont="1"/>
    <xf numFmtId="0" fontId="10" fillId="0" borderId="0" xfId="0" applyFont="1" applyAlignment="1"/>
    <xf numFmtId="49" fontId="3" fillId="0" borderId="0" xfId="0" applyNumberFormat="1" applyFont="1" applyFill="1" applyBorder="1" applyAlignment="1"/>
    <xf numFmtId="0" fontId="11" fillId="4" borderId="0" xfId="0" applyFont="1" applyFill="1" applyBorder="1" applyAlignment="1">
      <alignment horizontal="center"/>
    </xf>
    <xf numFmtId="166" fontId="9" fillId="4" borderId="9" xfId="0" applyNumberFormat="1" applyFont="1" applyFill="1" applyBorder="1"/>
    <xf numFmtId="4" fontId="2" fillId="4" borderId="2" xfId="4" applyNumberFormat="1" applyFont="1" applyFill="1" applyBorder="1"/>
    <xf numFmtId="0" fontId="34" fillId="4" borderId="8" xfId="0" applyFont="1" applyFill="1" applyBorder="1"/>
    <xf numFmtId="165" fontId="3" fillId="4" borderId="0" xfId="4" applyFont="1" applyFill="1"/>
    <xf numFmtId="0" fontId="15" fillId="4" borderId="12" xfId="0" applyFont="1" applyFill="1" applyBorder="1"/>
    <xf numFmtId="0" fontId="16" fillId="4" borderId="2" xfId="0" applyFont="1" applyFill="1" applyBorder="1" applyAlignment="1">
      <alignment horizontal="center"/>
    </xf>
    <xf numFmtId="0" fontId="10" fillId="4" borderId="4" xfId="0" applyFont="1" applyFill="1" applyBorder="1"/>
    <xf numFmtId="0" fontId="16" fillId="4" borderId="4" xfId="0" applyFont="1" applyFill="1" applyBorder="1" applyAlignment="1">
      <alignment horizontal="center"/>
    </xf>
    <xf numFmtId="164" fontId="3" fillId="4" borderId="0" xfId="0" applyNumberFormat="1" applyFont="1" applyFill="1" applyBorder="1" applyAlignment="1">
      <alignment horizontal="center"/>
    </xf>
    <xf numFmtId="10" fontId="8" fillId="4" borderId="0" xfId="28" applyNumberFormat="1" applyFont="1" applyFill="1"/>
    <xf numFmtId="2" fontId="3" fillId="5" borderId="11" xfId="0" applyNumberFormat="1" applyFont="1" applyFill="1" applyBorder="1" applyAlignment="1">
      <alignment horizontal="center"/>
    </xf>
    <xf numFmtId="2" fontId="2" fillId="4" borderId="0" xfId="0" applyNumberFormat="1" applyFont="1" applyFill="1" applyBorder="1"/>
    <xf numFmtId="0" fontId="8" fillId="4" borderId="0" xfId="0" applyFont="1" applyFill="1" applyAlignment="1">
      <alignment horizontal="center"/>
    </xf>
    <xf numFmtId="165" fontId="2" fillId="0" borderId="0" xfId="4" applyFont="1" applyFill="1" applyBorder="1"/>
    <xf numFmtId="10" fontId="2" fillId="0" borderId="0" xfId="28" applyNumberFormat="1" applyFont="1" applyFill="1" applyBorder="1"/>
    <xf numFmtId="165" fontId="0" fillId="0" borderId="0" xfId="0" applyNumberFormat="1" applyFill="1"/>
    <xf numFmtId="165" fontId="44" fillId="0" borderId="0" xfId="4" applyFont="1"/>
    <xf numFmtId="0" fontId="2" fillId="0" borderId="0" xfId="0" applyFont="1" applyFill="1"/>
    <xf numFmtId="0" fontId="2" fillId="0" borderId="6" xfId="0" applyFont="1" applyFill="1" applyBorder="1"/>
    <xf numFmtId="0" fontId="2" fillId="0" borderId="5" xfId="0" applyFont="1" applyFill="1" applyBorder="1"/>
    <xf numFmtId="0" fontId="2" fillId="0" borderId="2" xfId="0" applyFont="1" applyFill="1" applyBorder="1"/>
    <xf numFmtId="165" fontId="2" fillId="0" borderId="2" xfId="4" applyFont="1" applyFill="1" applyBorder="1"/>
    <xf numFmtId="165" fontId="3" fillId="4" borderId="2" xfId="4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10" fontId="2" fillId="0" borderId="0" xfId="28" applyNumberFormat="1"/>
    <xf numFmtId="166" fontId="5" fillId="0" borderId="8" xfId="28" applyNumberFormat="1" applyFont="1" applyFill="1" applyBorder="1" applyAlignment="1">
      <alignment horizontal="right"/>
    </xf>
    <xf numFmtId="166" fontId="5" fillId="4" borderId="8" xfId="28" applyNumberFormat="1" applyFont="1" applyFill="1" applyBorder="1" applyAlignment="1">
      <alignment horizontal="right"/>
    </xf>
    <xf numFmtId="166" fontId="5" fillId="4" borderId="2" xfId="30" applyNumberFormat="1" applyFont="1" applyFill="1" applyBorder="1"/>
    <xf numFmtId="0" fontId="27" fillId="4" borderId="0" xfId="0" applyFont="1" applyFill="1" applyBorder="1"/>
    <xf numFmtId="0" fontId="2" fillId="4" borderId="5" xfId="0" applyFont="1" applyFill="1" applyBorder="1"/>
    <xf numFmtId="2" fontId="2" fillId="0" borderId="0" xfId="0" applyNumberFormat="1" applyFont="1"/>
    <xf numFmtId="0" fontId="3" fillId="0" borderId="1" xfId="0" applyFont="1" applyBorder="1"/>
    <xf numFmtId="0" fontId="10" fillId="0" borderId="4" xfId="0" applyFont="1" applyFill="1" applyBorder="1"/>
    <xf numFmtId="0" fontId="16" fillId="0" borderId="4" xfId="0" applyFont="1" applyFill="1" applyBorder="1" applyAlignment="1">
      <alignment horizontal="center"/>
    </xf>
    <xf numFmtId="165" fontId="3" fillId="0" borderId="0" xfId="4" applyFont="1"/>
    <xf numFmtId="0" fontId="12" fillId="0" borderId="0" xfId="0" applyFont="1" applyFill="1" applyBorder="1"/>
    <xf numFmtId="0" fontId="3" fillId="4" borderId="4" xfId="0" applyFont="1" applyFill="1" applyBorder="1"/>
    <xf numFmtId="10" fontId="8" fillId="0" borderId="0" xfId="28" applyNumberFormat="1" applyFont="1" applyFill="1"/>
    <xf numFmtId="0" fontId="28" fillId="0" borderId="0" xfId="0" applyFont="1"/>
    <xf numFmtId="0" fontId="8" fillId="0" borderId="0" xfId="0" applyFont="1" applyFill="1" applyAlignment="1">
      <alignment horizontal="center"/>
    </xf>
    <xf numFmtId="165" fontId="2" fillId="0" borderId="2" xfId="0" applyNumberFormat="1" applyFont="1" applyFill="1" applyBorder="1"/>
    <xf numFmtId="165" fontId="26" fillId="4" borderId="3" xfId="4" applyFont="1" applyFill="1" applyBorder="1"/>
    <xf numFmtId="0" fontId="3" fillId="0" borderId="4" xfId="0" applyFont="1" applyFill="1" applyBorder="1"/>
    <xf numFmtId="0" fontId="15" fillId="4" borderId="0" xfId="0" applyFont="1" applyFill="1" applyBorder="1"/>
    <xf numFmtId="0" fontId="17" fillId="0" borderId="0" xfId="0" applyFont="1" applyFill="1" applyBorder="1"/>
    <xf numFmtId="10" fontId="8" fillId="4" borderId="0" xfId="28" applyNumberFormat="1" applyFont="1" applyFill="1" applyBorder="1"/>
    <xf numFmtId="0" fontId="28" fillId="4" borderId="0" xfId="0" applyFont="1" applyFill="1" applyBorder="1"/>
    <xf numFmtId="175" fontId="8" fillId="4" borderId="0" xfId="0" applyNumberFormat="1" applyFont="1" applyFill="1" applyBorder="1"/>
    <xf numFmtId="0" fontId="15" fillId="0" borderId="12" xfId="0" applyFont="1" applyFill="1" applyBorder="1"/>
    <xf numFmtId="165" fontId="0" fillId="4" borderId="0" xfId="4" applyFont="1" applyFill="1"/>
    <xf numFmtId="0" fontId="3" fillId="4" borderId="0" xfId="0" applyFont="1" applyFill="1" applyBorder="1" applyAlignment="1">
      <alignment horizontal="center"/>
    </xf>
    <xf numFmtId="2" fontId="3" fillId="0" borderId="2" xfId="0" applyNumberFormat="1" applyFont="1" applyFill="1" applyBorder="1"/>
    <xf numFmtId="0" fontId="3" fillId="0" borderId="2" xfId="0" applyFont="1" applyFill="1" applyBorder="1" applyAlignment="1">
      <alignment horizontal="right"/>
    </xf>
    <xf numFmtId="165" fontId="3" fillId="0" borderId="2" xfId="4" applyFont="1" applyFill="1" applyBorder="1" applyAlignment="1">
      <alignment horizontal="right"/>
    </xf>
    <xf numFmtId="165" fontId="4" fillId="0" borderId="3" xfId="4" applyFont="1" applyFill="1" applyBorder="1" applyAlignment="1">
      <alignment horizontal="center"/>
    </xf>
    <xf numFmtId="9" fontId="4" fillId="0" borderId="10" xfId="28" applyFont="1" applyFill="1" applyBorder="1" applyAlignment="1">
      <alignment horizontal="center"/>
    </xf>
    <xf numFmtId="9" fontId="11" fillId="0" borderId="8" xfId="28" applyFont="1" applyFill="1" applyBorder="1" applyAlignment="1"/>
    <xf numFmtId="166" fontId="4" fillId="0" borderId="2" xfId="28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center"/>
    </xf>
    <xf numFmtId="9" fontId="11" fillId="0" borderId="10" xfId="28" applyFont="1" applyFill="1" applyBorder="1" applyAlignment="1"/>
    <xf numFmtId="2" fontId="3" fillId="0" borderId="11" xfId="0" applyNumberFormat="1" applyFont="1" applyFill="1" applyBorder="1" applyAlignment="1">
      <alignment horizontal="center"/>
    </xf>
    <xf numFmtId="166" fontId="35" fillId="0" borderId="8" xfId="0" applyNumberFormat="1" applyFont="1" applyFill="1" applyBorder="1"/>
    <xf numFmtId="166" fontId="3" fillId="0" borderId="2" xfId="28" applyNumberFormat="1" applyFont="1" applyFill="1" applyBorder="1" applyAlignment="1">
      <alignment horizontal="right"/>
    </xf>
    <xf numFmtId="2" fontId="3" fillId="0" borderId="2" xfId="0" applyNumberFormat="1" applyFont="1" applyFill="1" applyBorder="1" applyAlignment="1">
      <alignment horizontal="right"/>
    </xf>
    <xf numFmtId="166" fontId="12" fillId="0" borderId="8" xfId="0" applyNumberFormat="1" applyFont="1" applyFill="1" applyBorder="1"/>
    <xf numFmtId="165" fontId="10" fillId="0" borderId="8" xfId="0" applyNumberFormat="1" applyFont="1" applyFill="1" applyBorder="1"/>
    <xf numFmtId="10" fontId="3" fillId="0" borderId="0" xfId="28" applyNumberFormat="1" applyFont="1" applyFill="1" applyBorder="1"/>
    <xf numFmtId="165" fontId="26" fillId="0" borderId="3" xfId="4" applyFont="1" applyFill="1" applyBorder="1"/>
    <xf numFmtId="166" fontId="10" fillId="4" borderId="8" xfId="0" applyNumberFormat="1" applyFont="1" applyFill="1" applyBorder="1"/>
    <xf numFmtId="166" fontId="10" fillId="0" borderId="8" xfId="0" applyNumberFormat="1" applyFont="1" applyFill="1" applyBorder="1"/>
    <xf numFmtId="17" fontId="39" fillId="4" borderId="0" xfId="36" applyNumberFormat="1" applyFont="1" applyFill="1"/>
    <xf numFmtId="0" fontId="12" fillId="0" borderId="0" xfId="36" applyFont="1" applyFill="1"/>
    <xf numFmtId="172" fontId="12" fillId="0" borderId="0" xfId="36" applyNumberFormat="1" applyFont="1" applyFill="1" applyBorder="1"/>
    <xf numFmtId="0" fontId="39" fillId="0" borderId="0" xfId="36" applyFont="1" applyFill="1"/>
    <xf numFmtId="0" fontId="2" fillId="4" borderId="0" xfId="0" applyFont="1" applyFill="1"/>
    <xf numFmtId="165" fontId="2" fillId="0" borderId="3" xfId="4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165" fontId="2" fillId="0" borderId="2" xfId="4" applyFont="1" applyFill="1" applyBorder="1" applyAlignment="1">
      <alignment horizontal="center"/>
    </xf>
    <xf numFmtId="9" fontId="2" fillId="0" borderId="2" xfId="28" applyFont="1" applyFill="1" applyBorder="1" applyAlignment="1">
      <alignment horizontal="right"/>
    </xf>
    <xf numFmtId="166" fontId="2" fillId="0" borderId="2" xfId="28" applyNumberFormat="1" applyFont="1" applyFill="1" applyBorder="1" applyAlignment="1">
      <alignment horizontal="right"/>
    </xf>
    <xf numFmtId="165" fontId="2" fillId="0" borderId="2" xfId="4" applyFont="1" applyFill="1" applyBorder="1" applyAlignment="1">
      <alignment horizontal="right"/>
    </xf>
    <xf numFmtId="0" fontId="2" fillId="0" borderId="3" xfId="0" applyFont="1" applyFill="1" applyBorder="1" applyAlignment="1">
      <alignment horizontal="center"/>
    </xf>
    <xf numFmtId="0" fontId="2" fillId="0" borderId="0" xfId="0" applyFont="1" applyFill="1" applyBorder="1"/>
    <xf numFmtId="0" fontId="2" fillId="4" borderId="0" xfId="0" applyFont="1" applyFill="1" applyBorder="1"/>
    <xf numFmtId="2" fontId="2" fillId="0" borderId="11" xfId="0" applyNumberFormat="1" applyFont="1" applyFill="1" applyBorder="1" applyAlignment="1">
      <alignment horizontal="center"/>
    </xf>
    <xf numFmtId="9" fontId="10" fillId="0" borderId="10" xfId="28" applyFont="1" applyFill="1" applyBorder="1" applyAlignment="1"/>
    <xf numFmtId="165" fontId="3" fillId="0" borderId="2" xfId="4" applyFont="1" applyFill="1" applyBorder="1" applyAlignment="1">
      <alignment horizontal="center"/>
    </xf>
    <xf numFmtId="165" fontId="3" fillId="4" borderId="3" xfId="4" applyFont="1" applyFill="1" applyBorder="1" applyAlignment="1">
      <alignment horizontal="center"/>
    </xf>
    <xf numFmtId="9" fontId="47" fillId="4" borderId="10" xfId="28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165" fontId="2" fillId="4" borderId="2" xfId="4" applyFont="1" applyFill="1" applyBorder="1" applyAlignment="1">
      <alignment horizontal="center"/>
    </xf>
    <xf numFmtId="9" fontId="2" fillId="4" borderId="2" xfId="28" applyFont="1" applyFill="1" applyBorder="1" applyAlignment="1">
      <alignment horizontal="right"/>
    </xf>
    <xf numFmtId="0" fontId="2" fillId="4" borderId="2" xfId="0" applyFont="1" applyFill="1" applyBorder="1" applyAlignment="1">
      <alignment horizontal="center"/>
    </xf>
    <xf numFmtId="166" fontId="2" fillId="4" borderId="2" xfId="28" applyNumberFormat="1" applyFont="1" applyFill="1" applyBorder="1" applyAlignment="1">
      <alignment horizontal="right"/>
    </xf>
    <xf numFmtId="165" fontId="2" fillId="4" borderId="2" xfId="4" applyFont="1" applyFill="1" applyBorder="1" applyAlignment="1">
      <alignment horizontal="right"/>
    </xf>
    <xf numFmtId="165" fontId="3" fillId="4" borderId="2" xfId="4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2" fontId="2" fillId="4" borderId="11" xfId="0" applyNumberFormat="1" applyFont="1" applyFill="1" applyBorder="1" applyAlignment="1">
      <alignment horizontal="center"/>
    </xf>
    <xf numFmtId="166" fontId="35" fillId="4" borderId="8" xfId="0" applyNumberFormat="1" applyFont="1" applyFill="1" applyBorder="1"/>
    <xf numFmtId="166" fontId="4" fillId="4" borderId="2" xfId="28" applyNumberFormat="1" applyFont="1" applyFill="1" applyBorder="1" applyAlignment="1">
      <alignment horizontal="right"/>
    </xf>
    <xf numFmtId="2" fontId="2" fillId="4" borderId="0" xfId="0" applyNumberFormat="1" applyFont="1" applyFill="1"/>
    <xf numFmtId="10" fontId="5" fillId="4" borderId="0" xfId="28" applyNumberFormat="1" applyFont="1" applyFill="1" applyBorder="1"/>
    <xf numFmtId="0" fontId="48" fillId="4" borderId="2" xfId="0" applyFont="1" applyFill="1" applyBorder="1"/>
    <xf numFmtId="9" fontId="12" fillId="0" borderId="8" xfId="28" applyFont="1" applyFill="1" applyBorder="1" applyAlignment="1"/>
    <xf numFmtId="166" fontId="12" fillId="0" borderId="8" xfId="28" applyNumberFormat="1" applyFont="1" applyFill="1" applyBorder="1" applyAlignment="1"/>
    <xf numFmtId="0" fontId="8" fillId="0" borderId="2" xfId="0" applyFont="1" applyFill="1" applyBorder="1"/>
    <xf numFmtId="0" fontId="8" fillId="4" borderId="2" xfId="0" applyFont="1" applyFill="1" applyBorder="1"/>
    <xf numFmtId="0" fontId="23" fillId="0" borderId="12" xfId="0" applyFont="1" applyFill="1" applyBorder="1"/>
    <xf numFmtId="0" fontId="50" fillId="4" borderId="2" xfId="0" applyFont="1" applyFill="1" applyBorder="1"/>
    <xf numFmtId="0" fontId="3" fillId="0" borderId="1" xfId="0" applyFont="1" applyFill="1" applyBorder="1"/>
    <xf numFmtId="166" fontId="8" fillId="4" borderId="2" xfId="28" applyNumberFormat="1" applyFont="1" applyFill="1" applyBorder="1"/>
    <xf numFmtId="0" fontId="9" fillId="4" borderId="8" xfId="0" applyFont="1" applyFill="1" applyBorder="1"/>
    <xf numFmtId="166" fontId="2" fillId="4" borderId="2" xfId="28" applyNumberFormat="1" applyFont="1" applyFill="1" applyBorder="1"/>
    <xf numFmtId="166" fontId="8" fillId="0" borderId="2" xfId="28" applyNumberFormat="1" applyFont="1" applyFill="1" applyBorder="1"/>
    <xf numFmtId="166" fontId="2" fillId="0" borderId="2" xfId="28" applyNumberFormat="1" applyFont="1" applyFill="1" applyBorder="1"/>
    <xf numFmtId="10" fontId="8" fillId="4" borderId="2" xfId="28" applyNumberFormat="1" applyFont="1" applyFill="1" applyBorder="1"/>
    <xf numFmtId="9" fontId="8" fillId="0" borderId="2" xfId="28" applyFont="1" applyFill="1" applyBorder="1" applyAlignment="1">
      <alignment horizontal="right"/>
    </xf>
    <xf numFmtId="9" fontId="8" fillId="0" borderId="8" xfId="28" applyFont="1" applyFill="1" applyBorder="1" applyAlignment="1"/>
    <xf numFmtId="9" fontId="24" fillId="0" borderId="8" xfId="28" applyFont="1" applyFill="1" applyBorder="1" applyAlignment="1"/>
    <xf numFmtId="0" fontId="8" fillId="4" borderId="8" xfId="0" applyFont="1" applyFill="1" applyBorder="1"/>
    <xf numFmtId="0" fontId="24" fillId="0" borderId="2" xfId="0" applyFont="1" applyFill="1" applyBorder="1"/>
    <xf numFmtId="0" fontId="24" fillId="4" borderId="8" xfId="0" applyFont="1" applyFill="1" applyBorder="1"/>
    <xf numFmtId="2" fontId="24" fillId="0" borderId="2" xfId="0" applyNumberFormat="1" applyFont="1" applyFill="1" applyBorder="1"/>
    <xf numFmtId="2" fontId="24" fillId="4" borderId="2" xfId="0" applyNumberFormat="1" applyFont="1" applyFill="1" applyBorder="1"/>
    <xf numFmtId="165" fontId="24" fillId="4" borderId="2" xfId="4" applyFont="1" applyFill="1" applyBorder="1" applyAlignment="1">
      <alignment horizontal="center"/>
    </xf>
    <xf numFmtId="0" fontId="24" fillId="0" borderId="2" xfId="0" applyFont="1" applyFill="1" applyBorder="1" applyAlignment="1">
      <alignment horizontal="right"/>
    </xf>
    <xf numFmtId="0" fontId="24" fillId="4" borderId="2" xfId="0" applyFont="1" applyFill="1" applyBorder="1"/>
    <xf numFmtId="0" fontId="24" fillId="0" borderId="2" xfId="0" applyFont="1" applyFill="1" applyBorder="1" applyAlignment="1">
      <alignment horizontal="center"/>
    </xf>
    <xf numFmtId="0" fontId="24" fillId="4" borderId="2" xfId="0" applyFont="1" applyFill="1" applyBorder="1" applyAlignment="1">
      <alignment horizontal="center"/>
    </xf>
    <xf numFmtId="165" fontId="24" fillId="0" borderId="2" xfId="4" applyFont="1" applyFill="1" applyBorder="1" applyAlignment="1">
      <alignment horizontal="center"/>
    </xf>
    <xf numFmtId="166" fontId="8" fillId="0" borderId="2" xfId="28" applyNumberFormat="1" applyFont="1" applyFill="1" applyBorder="1" applyAlignment="1"/>
    <xf numFmtId="166" fontId="8" fillId="4" borderId="2" xfId="28" applyNumberFormat="1" applyFont="1" applyFill="1" applyBorder="1" applyAlignment="1"/>
    <xf numFmtId="10" fontId="8" fillId="0" borderId="2" xfId="28" applyNumberFormat="1" applyFont="1" applyFill="1" applyBorder="1" applyAlignment="1">
      <alignment horizontal="right"/>
    </xf>
    <xf numFmtId="10" fontId="8" fillId="4" borderId="2" xfId="28" applyNumberFormat="1" applyFont="1" applyFill="1" applyBorder="1" applyAlignment="1">
      <alignment horizontal="right"/>
    </xf>
    <xf numFmtId="166" fontId="2" fillId="4" borderId="2" xfId="28" applyNumberFormat="1" applyFont="1" applyFill="1" applyBorder="1" applyAlignment="1">
      <alignment horizontal="center"/>
    </xf>
    <xf numFmtId="0" fontId="9" fillId="0" borderId="8" xfId="0" applyFont="1" applyFill="1" applyBorder="1"/>
    <xf numFmtId="0" fontId="35" fillId="0" borderId="8" xfId="0" applyFont="1" applyFill="1" applyBorder="1"/>
    <xf numFmtId="0" fontId="35" fillId="4" borderId="8" xfId="0" applyFont="1" applyFill="1" applyBorder="1"/>
    <xf numFmtId="166" fontId="8" fillId="0" borderId="2" xfId="28" applyNumberFormat="1" applyFont="1" applyFill="1" applyBorder="1" applyAlignment="1">
      <alignment horizontal="right"/>
    </xf>
    <xf numFmtId="166" fontId="8" fillId="4" borderId="2" xfId="28" applyNumberFormat="1" applyFont="1" applyFill="1" applyBorder="1" applyAlignment="1">
      <alignment horizontal="right"/>
    </xf>
    <xf numFmtId="166" fontId="8" fillId="0" borderId="8" xfId="28" applyNumberFormat="1" applyFont="1" applyFill="1" applyBorder="1" applyAlignment="1">
      <alignment horizontal="right"/>
    </xf>
    <xf numFmtId="166" fontId="8" fillId="4" borderId="8" xfId="28" applyNumberFormat="1" applyFont="1" applyFill="1" applyBorder="1" applyAlignment="1">
      <alignment horizontal="right"/>
    </xf>
    <xf numFmtId="165" fontId="2" fillId="0" borderId="0" xfId="4" applyFont="1"/>
    <xf numFmtId="9" fontId="11" fillId="4" borderId="8" xfId="28" applyFont="1" applyFill="1" applyBorder="1" applyAlignment="1"/>
    <xf numFmtId="0" fontId="51" fillId="4" borderId="8" xfId="0" applyFont="1" applyFill="1" applyBorder="1"/>
    <xf numFmtId="166" fontId="35" fillId="0" borderId="8" xfId="28" applyNumberFormat="1" applyFont="1" applyFill="1" applyBorder="1"/>
    <xf numFmtId="166" fontId="35" fillId="4" borderId="8" xfId="28" applyNumberFormat="1" applyFont="1" applyFill="1" applyBorder="1"/>
    <xf numFmtId="0" fontId="52" fillId="4" borderId="8" xfId="0" applyFont="1" applyFill="1" applyBorder="1"/>
    <xf numFmtId="0" fontId="53" fillId="4" borderId="8" xfId="0" applyFont="1" applyFill="1" applyBorder="1"/>
    <xf numFmtId="0" fontId="54" fillId="4" borderId="8" xfId="0" applyFont="1" applyFill="1" applyBorder="1"/>
    <xf numFmtId="166" fontId="55" fillId="4" borderId="8" xfId="28" applyNumberFormat="1" applyFont="1" applyFill="1" applyBorder="1"/>
    <xf numFmtId="166" fontId="53" fillId="4" borderId="8" xfId="0" applyNumberFormat="1" applyFont="1" applyFill="1" applyBorder="1"/>
    <xf numFmtId="166" fontId="54" fillId="4" borderId="8" xfId="0" applyNumberFormat="1" applyFont="1" applyFill="1" applyBorder="1"/>
    <xf numFmtId="9" fontId="12" fillId="4" borderId="8" xfId="28" applyFont="1" applyFill="1" applyBorder="1" applyAlignment="1"/>
    <xf numFmtId="166" fontId="52" fillId="4" borderId="8" xfId="0" applyNumberFormat="1" applyFont="1" applyFill="1" applyBorder="1"/>
    <xf numFmtId="0" fontId="56" fillId="4" borderId="2" xfId="0" applyFont="1" applyFill="1" applyBorder="1"/>
    <xf numFmtId="0" fontId="53" fillId="0" borderId="8" xfId="0" applyFont="1" applyFill="1" applyBorder="1"/>
    <xf numFmtId="166" fontId="35" fillId="4" borderId="0" xfId="28" applyNumberFormat="1" applyFont="1" applyFill="1" applyBorder="1"/>
    <xf numFmtId="166" fontId="35" fillId="0" borderId="0" xfId="28" applyNumberFormat="1" applyFont="1" applyFill="1" applyBorder="1"/>
    <xf numFmtId="0" fontId="53" fillId="4" borderId="0" xfId="0" applyFont="1" applyFill="1" applyBorder="1"/>
    <xf numFmtId="166" fontId="53" fillId="0" borderId="8" xfId="0" applyNumberFormat="1" applyFont="1" applyFill="1" applyBorder="1"/>
    <xf numFmtId="165" fontId="2" fillId="0" borderId="1" xfId="4" applyFont="1" applyFill="1" applyBorder="1"/>
    <xf numFmtId="166" fontId="35" fillId="0" borderId="7" xfId="0" applyNumberFormat="1" applyFont="1" applyFill="1" applyBorder="1"/>
    <xf numFmtId="165" fontId="2" fillId="4" borderId="1" xfId="4" applyFont="1" applyFill="1" applyBorder="1"/>
    <xf numFmtId="166" fontId="35" fillId="4" borderId="7" xfId="0" applyNumberFormat="1" applyFont="1" applyFill="1" applyBorder="1"/>
    <xf numFmtId="166" fontId="2" fillId="0" borderId="8" xfId="28" applyNumberFormat="1" applyFont="1" applyFill="1" applyBorder="1"/>
    <xf numFmtId="166" fontId="2" fillId="4" borderId="8" xfId="28" applyNumberFormat="1" applyFont="1" applyFill="1" applyBorder="1"/>
    <xf numFmtId="0" fontId="35" fillId="0" borderId="8" xfId="0" applyFont="1" applyFill="1" applyBorder="1" applyAlignment="1">
      <alignment horizontal="right"/>
    </xf>
    <xf numFmtId="0" fontId="35" fillId="4" borderId="8" xfId="0" applyFont="1" applyFill="1" applyBorder="1" applyAlignment="1">
      <alignment horizontal="right"/>
    </xf>
    <xf numFmtId="10" fontId="2" fillId="4" borderId="2" xfId="30" applyNumberFormat="1" applyFont="1" applyFill="1" applyBorder="1"/>
    <xf numFmtId="10" fontId="2" fillId="4" borderId="2" xfId="28" applyNumberFormat="1" applyFont="1" applyFill="1" applyBorder="1"/>
    <xf numFmtId="166" fontId="12" fillId="4" borderId="8" xfId="28" applyNumberFormat="1" applyFont="1" applyFill="1" applyBorder="1"/>
    <xf numFmtId="166" fontId="12" fillId="0" borderId="8" xfId="28" applyNumberFormat="1" applyFont="1" applyFill="1" applyBorder="1"/>
    <xf numFmtId="166" fontId="35" fillId="0" borderId="0" xfId="0" applyNumberFormat="1" applyFont="1" applyFill="1" applyBorder="1"/>
    <xf numFmtId="0" fontId="53" fillId="0" borderId="0" xfId="0" applyFont="1" applyFill="1" applyBorder="1"/>
    <xf numFmtId="166" fontId="53" fillId="0" borderId="0" xfId="0" applyNumberFormat="1" applyFont="1" applyFill="1" applyBorder="1"/>
    <xf numFmtId="0" fontId="35" fillId="0" borderId="0" xfId="0" applyFont="1" applyFill="1" applyBorder="1"/>
    <xf numFmtId="0" fontId="56" fillId="0" borderId="2" xfId="0" applyFont="1" applyFill="1" applyBorder="1"/>
    <xf numFmtId="166" fontId="8" fillId="0" borderId="8" xfId="28" applyNumberFormat="1" applyFont="1" applyFill="1" applyBorder="1" applyAlignment="1"/>
    <xf numFmtId="10" fontId="52" fillId="4" borderId="8" xfId="0" applyNumberFormat="1" applyFont="1" applyFill="1" applyBorder="1"/>
    <xf numFmtId="10" fontId="8" fillId="0" borderId="2" xfId="28" applyNumberFormat="1" applyFont="1" applyFill="1" applyBorder="1"/>
    <xf numFmtId="10" fontId="8" fillId="0" borderId="8" xfId="28" applyNumberFormat="1" applyFont="1" applyFill="1" applyBorder="1" applyAlignment="1"/>
    <xf numFmtId="166" fontId="51" fillId="0" borderId="8" xfId="0" applyNumberFormat="1" applyFont="1" applyFill="1" applyBorder="1"/>
    <xf numFmtId="166" fontId="51" fillId="4" borderId="8" xfId="0" applyNumberFormat="1" applyFont="1" applyFill="1" applyBorder="1"/>
    <xf numFmtId="4" fontId="2" fillId="0" borderId="0" xfId="0" applyNumberFormat="1" applyFont="1" applyFill="1" applyBorder="1"/>
    <xf numFmtId="0" fontId="41" fillId="0" borderId="0" xfId="0" applyFont="1" applyFill="1"/>
    <xf numFmtId="9" fontId="14" fillId="4" borderId="0" xfId="28" applyFont="1" applyFill="1" applyBorder="1" applyAlignment="1"/>
    <xf numFmtId="166" fontId="14" fillId="4" borderId="0" xfId="28" applyNumberFormat="1" applyFont="1" applyFill="1" applyBorder="1" applyAlignment="1"/>
    <xf numFmtId="166" fontId="5" fillId="4" borderId="0" xfId="28" applyNumberFormat="1" applyFont="1" applyFill="1" applyBorder="1" applyAlignment="1"/>
    <xf numFmtId="10" fontId="8" fillId="4" borderId="0" xfId="28" applyNumberFormat="1" applyFont="1" applyFill="1" applyBorder="1" applyAlignment="1"/>
    <xf numFmtId="166" fontId="8" fillId="4" borderId="0" xfId="28" applyNumberFormat="1" applyFont="1" applyFill="1" applyBorder="1" applyAlignment="1"/>
    <xf numFmtId="9" fontId="24" fillId="4" borderId="0" xfId="28" applyFont="1" applyFill="1" applyBorder="1" applyAlignment="1"/>
    <xf numFmtId="9" fontId="12" fillId="4" borderId="0" xfId="28" applyFont="1" applyFill="1" applyBorder="1" applyAlignment="1"/>
    <xf numFmtId="9" fontId="8" fillId="4" borderId="0" xfId="28" applyFont="1" applyFill="1" applyBorder="1" applyAlignment="1"/>
    <xf numFmtId="166" fontId="12" fillId="4" borderId="0" xfId="28" applyNumberFormat="1" applyFont="1" applyFill="1" applyBorder="1" applyAlignment="1"/>
    <xf numFmtId="9" fontId="14" fillId="4" borderId="9" xfId="28" applyFont="1" applyFill="1" applyBorder="1" applyAlignment="1"/>
    <xf numFmtId="165" fontId="2" fillId="4" borderId="0" xfId="4" applyFont="1" applyFill="1"/>
    <xf numFmtId="165" fontId="2" fillId="0" borderId="0" xfId="4" applyFont="1" applyFill="1"/>
    <xf numFmtId="0" fontId="32" fillId="0" borderId="0" xfId="0" applyFont="1" applyFill="1" applyAlignment="1"/>
    <xf numFmtId="0" fontId="33" fillId="0" borderId="0" xfId="0" applyFont="1" applyFill="1"/>
    <xf numFmtId="4" fontId="2" fillId="0" borderId="0" xfId="0" applyNumberFormat="1" applyFont="1" applyFill="1"/>
    <xf numFmtId="10" fontId="2" fillId="0" borderId="0" xfId="0" applyNumberFormat="1" applyFont="1" applyFill="1"/>
    <xf numFmtId="4" fontId="41" fillId="0" borderId="0" xfId="0" applyNumberFormat="1" applyFont="1" applyFill="1"/>
    <xf numFmtId="0" fontId="3" fillId="2" borderId="13" xfId="37" applyFont="1" applyFill="1" applyBorder="1" applyAlignment="1" applyProtection="1">
      <alignment horizontal="center" vertical="center" wrapText="1"/>
    </xf>
    <xf numFmtId="0" fontId="12" fillId="0" borderId="0" xfId="36" applyFont="1" applyFill="1" applyBorder="1"/>
    <xf numFmtId="17" fontId="39" fillId="0" borderId="0" xfId="36" applyNumberFormat="1" applyFont="1" applyFill="1"/>
    <xf numFmtId="0" fontId="2" fillId="0" borderId="0" xfId="38" applyFont="1" applyFill="1" applyBorder="1"/>
    <xf numFmtId="0" fontId="12" fillId="0" borderId="0" xfId="36" applyFont="1" applyFill="1" applyAlignment="1"/>
    <xf numFmtId="0" fontId="39" fillId="0" borderId="0" xfId="36" applyFont="1" applyFill="1" applyAlignment="1"/>
    <xf numFmtId="0" fontId="10" fillId="0" borderId="0" xfId="36" applyFont="1" applyFill="1" applyBorder="1" applyAlignment="1">
      <alignment horizontal="center"/>
    </xf>
    <xf numFmtId="49" fontId="12" fillId="0" borderId="0" xfId="36" applyNumberFormat="1" applyFont="1" applyFill="1"/>
    <xf numFmtId="0" fontId="3" fillId="0" borderId="0" xfId="39" applyFont="1" applyFill="1" applyBorder="1" applyAlignment="1" applyProtection="1">
      <alignment horizontal="center" vertical="center" wrapText="1"/>
    </xf>
    <xf numFmtId="0" fontId="40" fillId="0" borderId="19" xfId="36" applyFont="1" applyFill="1" applyBorder="1" applyAlignment="1">
      <alignment horizontal="left"/>
    </xf>
    <xf numFmtId="0" fontId="40" fillId="0" borderId="19" xfId="36" applyFont="1" applyFill="1" applyBorder="1" applyAlignment="1">
      <alignment horizontal="center"/>
    </xf>
    <xf numFmtId="0" fontId="39" fillId="0" borderId="0" xfId="36" applyFont="1" applyFill="1" applyBorder="1"/>
    <xf numFmtId="165" fontId="39" fillId="0" borderId="0" xfId="4" applyFont="1" applyFill="1" applyBorder="1"/>
    <xf numFmtId="165" fontId="39" fillId="0" borderId="0" xfId="4" applyFont="1" applyFill="1" applyBorder="1" applyAlignment="1">
      <alignment horizontal="right"/>
    </xf>
    <xf numFmtId="0" fontId="40" fillId="0" borderId="19" xfId="36" applyFont="1" applyFill="1" applyBorder="1"/>
    <xf numFmtId="165" fontId="40" fillId="0" borderId="19" xfId="6" applyFont="1" applyFill="1" applyBorder="1"/>
    <xf numFmtId="3" fontId="39" fillId="0" borderId="0" xfId="36" applyNumberFormat="1" applyFont="1" applyFill="1" applyBorder="1"/>
    <xf numFmtId="165" fontId="40" fillId="0" borderId="0" xfId="6" applyFont="1" applyFill="1" applyBorder="1"/>
    <xf numFmtId="165" fontId="8" fillId="0" borderId="0" xfId="38" applyNumberFormat="1" applyFont="1" applyFill="1"/>
    <xf numFmtId="164" fontId="12" fillId="0" borderId="0" xfId="36" applyNumberFormat="1" applyFont="1" applyFill="1"/>
    <xf numFmtId="165" fontId="12" fillId="0" borderId="0" xfId="4" applyFont="1" applyFill="1"/>
    <xf numFmtId="17" fontId="39" fillId="0" borderId="0" xfId="36" applyNumberFormat="1" applyFont="1" applyFill="1" applyBorder="1" applyAlignment="1">
      <alignment horizontal="center"/>
    </xf>
    <xf numFmtId="165" fontId="12" fillId="0" borderId="0" xfId="36" applyNumberFormat="1" applyFont="1" applyFill="1"/>
    <xf numFmtId="165" fontId="39" fillId="0" borderId="0" xfId="4" applyFont="1" applyFill="1"/>
    <xf numFmtId="17" fontId="39" fillId="0" borderId="0" xfId="36" applyNumberFormat="1" applyFont="1" applyFill="1" applyBorder="1"/>
    <xf numFmtId="0" fontId="39" fillId="0" borderId="0" xfId="36" applyFont="1" applyFill="1" applyBorder="1" applyAlignment="1">
      <alignment horizontal="center"/>
    </xf>
    <xf numFmtId="166" fontId="39" fillId="0" borderId="0" xfId="30" applyNumberFormat="1" applyFont="1" applyFill="1" applyBorder="1" applyAlignment="1">
      <alignment horizontal="center"/>
    </xf>
    <xf numFmtId="166" fontId="40" fillId="0" borderId="19" xfId="30" applyNumberFormat="1" applyFont="1" applyFill="1" applyBorder="1" applyAlignment="1">
      <alignment horizontal="center"/>
    </xf>
    <xf numFmtId="172" fontId="40" fillId="0" borderId="0" xfId="36" applyNumberFormat="1" applyFont="1" applyFill="1" applyBorder="1"/>
    <xf numFmtId="10" fontId="40" fillId="0" borderId="0" xfId="36" applyNumberFormat="1" applyFont="1" applyFill="1"/>
    <xf numFmtId="17" fontId="39" fillId="0" borderId="0" xfId="36" applyNumberFormat="1" applyFont="1" applyFill="1" applyAlignment="1">
      <alignment horizontal="center"/>
    </xf>
    <xf numFmtId="165" fontId="39" fillId="0" borderId="0" xfId="6" applyFont="1" applyFill="1" applyBorder="1"/>
    <xf numFmtId="10" fontId="39" fillId="0" borderId="0" xfId="36" applyNumberFormat="1" applyFont="1" applyFill="1"/>
    <xf numFmtId="17" fontId="40" fillId="0" borderId="0" xfId="36" applyNumberFormat="1" applyFont="1" applyFill="1" applyBorder="1" applyAlignment="1">
      <alignment horizontal="center"/>
    </xf>
    <xf numFmtId="10" fontId="40" fillId="0" borderId="0" xfId="36" applyNumberFormat="1" applyFont="1" applyFill="1" applyBorder="1" applyAlignment="1">
      <alignment horizontal="center"/>
    </xf>
    <xf numFmtId="10" fontId="39" fillId="0" borderId="0" xfId="36" applyNumberFormat="1" applyFont="1" applyFill="1" applyBorder="1"/>
    <xf numFmtId="0" fontId="40" fillId="0" borderId="0" xfId="36" applyFont="1" applyFill="1" applyBorder="1" applyAlignment="1">
      <alignment horizontal="center"/>
    </xf>
    <xf numFmtId="10" fontId="39" fillId="0" borderId="0" xfId="6" applyNumberFormat="1" applyFont="1" applyFill="1" applyBorder="1"/>
    <xf numFmtId="10" fontId="39" fillId="0" borderId="0" xfId="30" applyNumberFormat="1" applyFont="1" applyFill="1" applyBorder="1" applyAlignment="1">
      <alignment horizontal="justify"/>
    </xf>
    <xf numFmtId="165" fontId="39" fillId="0" borderId="0" xfId="30" applyNumberFormat="1" applyFont="1" applyFill="1" applyBorder="1"/>
    <xf numFmtId="10" fontId="40" fillId="0" borderId="0" xfId="30" applyNumberFormat="1" applyFont="1" applyFill="1" applyBorder="1"/>
    <xf numFmtId="9" fontId="39" fillId="0" borderId="0" xfId="30" applyFont="1" applyFill="1" applyBorder="1"/>
    <xf numFmtId="172" fontId="39" fillId="0" borderId="0" xfId="27" applyNumberFormat="1" applyFont="1" applyFill="1" applyBorder="1"/>
    <xf numFmtId="4" fontId="39" fillId="0" borderId="0" xfId="36" applyNumberFormat="1" applyFont="1" applyFill="1" applyBorder="1"/>
    <xf numFmtId="10" fontId="39" fillId="0" borderId="0" xfId="30" applyNumberFormat="1" applyFont="1" applyFill="1" applyBorder="1"/>
    <xf numFmtId="0" fontId="39" fillId="0" borderId="0" xfId="27" applyFont="1" applyFill="1" applyBorder="1"/>
    <xf numFmtId="172" fontId="39" fillId="0" borderId="0" xfId="36" applyNumberFormat="1" applyFont="1" applyFill="1" applyBorder="1"/>
    <xf numFmtId="0" fontId="2" fillId="0" borderId="0" xfId="0" applyFont="1" applyFill="1"/>
    <xf numFmtId="168" fontId="2" fillId="0" borderId="0" xfId="28" applyNumberFormat="1" applyFont="1" applyFill="1" applyBorder="1"/>
    <xf numFmtId="168" fontId="2" fillId="0" borderId="0" xfId="0" applyNumberFormat="1" applyFont="1" applyFill="1" applyBorder="1"/>
    <xf numFmtId="170" fontId="2" fillId="0" borderId="0" xfId="0" applyNumberFormat="1" applyFont="1" applyFill="1" applyBorder="1"/>
    <xf numFmtId="167" fontId="2" fillId="0" borderId="0" xfId="0" applyNumberFormat="1" applyFont="1" applyFill="1" applyBorder="1"/>
    <xf numFmtId="0" fontId="32" fillId="0" borderId="0" xfId="0" applyFont="1" applyFill="1" applyAlignment="1">
      <alignment horizontal="center" readingOrder="1"/>
    </xf>
    <xf numFmtId="167" fontId="2" fillId="0" borderId="0" xfId="0" applyNumberFormat="1" applyFont="1" applyFill="1"/>
    <xf numFmtId="169" fontId="2" fillId="0" borderId="0" xfId="28" applyNumberFormat="1" applyFont="1" applyFill="1"/>
    <xf numFmtId="0" fontId="24" fillId="0" borderId="0" xfId="0" applyFont="1" applyFill="1"/>
    <xf numFmtId="1" fontId="2" fillId="0" borderId="0" xfId="0" applyNumberFormat="1" applyFont="1" applyFill="1"/>
    <xf numFmtId="168" fontId="2" fillId="0" borderId="0" xfId="0" applyNumberFormat="1" applyFont="1" applyFill="1"/>
    <xf numFmtId="170" fontId="2" fillId="0" borderId="0" xfId="0" applyNumberFormat="1" applyFont="1" applyFill="1"/>
    <xf numFmtId="0" fontId="58" fillId="0" borderId="0" xfId="1" applyFont="1" applyFill="1" applyBorder="1" applyAlignment="1" applyProtection="1">
      <alignment horizontal="center" vertical="center" wrapText="1"/>
    </xf>
    <xf numFmtId="0" fontId="2" fillId="0" borderId="0" xfId="38" applyFont="1" applyFill="1"/>
    <xf numFmtId="0" fontId="12" fillId="0" borderId="0" xfId="36" applyFont="1" applyFill="1" applyAlignment="1">
      <alignment wrapText="1"/>
    </xf>
    <xf numFmtId="0" fontId="2" fillId="0" borderId="0" xfId="38" applyFont="1" applyFill="1" applyAlignment="1">
      <alignment wrapText="1"/>
    </xf>
    <xf numFmtId="165" fontId="39" fillId="0" borderId="0" xfId="36" applyNumberFormat="1" applyFont="1" applyFill="1" applyBorder="1"/>
    <xf numFmtId="165" fontId="8" fillId="0" borderId="0" xfId="36" applyNumberFormat="1" applyFont="1" applyFill="1"/>
    <xf numFmtId="4" fontId="39" fillId="0" borderId="0" xfId="6" applyNumberFormat="1" applyFont="1" applyFill="1"/>
    <xf numFmtId="4" fontId="39" fillId="0" borderId="0" xfId="6" applyNumberFormat="1" applyFont="1" applyFill="1" applyBorder="1"/>
    <xf numFmtId="165" fontId="39" fillId="0" borderId="0" xfId="36" applyNumberFormat="1" applyFont="1" applyFill="1"/>
    <xf numFmtId="164" fontId="8" fillId="0" borderId="0" xfId="36" applyNumberFormat="1" applyFont="1" applyFill="1"/>
    <xf numFmtId="2" fontId="39" fillId="0" borderId="0" xfId="30" applyNumberFormat="1" applyFont="1" applyFill="1" applyBorder="1" applyAlignment="1">
      <alignment horizontal="center"/>
    </xf>
    <xf numFmtId="10" fontId="40" fillId="0" borderId="19" xfId="30" applyNumberFormat="1" applyFont="1" applyFill="1" applyBorder="1" applyAlignment="1">
      <alignment horizontal="center"/>
    </xf>
    <xf numFmtId="164" fontId="12" fillId="0" borderId="0" xfId="36" applyNumberFormat="1" applyFont="1" applyFill="1" applyBorder="1"/>
    <xf numFmtId="165" fontId="12" fillId="0" borderId="0" xfId="36" applyNumberFormat="1" applyFont="1" applyFill="1" applyBorder="1"/>
    <xf numFmtId="165" fontId="12" fillId="0" borderId="0" xfId="4" applyFont="1" applyFill="1" applyBorder="1"/>
    <xf numFmtId="165" fontId="8" fillId="0" borderId="0" xfId="4" applyFont="1" applyFill="1" applyBorder="1"/>
    <xf numFmtId="165" fontId="12" fillId="0" borderId="0" xfId="6" applyFont="1" applyFill="1" applyBorder="1"/>
    <xf numFmtId="2" fontId="39" fillId="0" borderId="0" xfId="36" applyNumberFormat="1" applyFont="1" applyFill="1" applyBorder="1"/>
    <xf numFmtId="0" fontId="2" fillId="0" borderId="0" xfId="0" applyFont="1" applyFill="1"/>
    <xf numFmtId="0" fontId="15" fillId="4" borderId="2" xfId="0" applyFont="1" applyFill="1" applyBorder="1"/>
    <xf numFmtId="0" fontId="4" fillId="0" borderId="2" xfId="0" applyFont="1" applyFill="1" applyBorder="1"/>
    <xf numFmtId="0" fontId="3" fillId="0" borderId="2" xfId="0" applyFont="1" applyFill="1" applyBorder="1" applyAlignment="1">
      <alignment horizontal="left"/>
    </xf>
    <xf numFmtId="0" fontId="5" fillId="0" borderId="2" xfId="0" applyFont="1" applyFill="1" applyBorder="1"/>
    <xf numFmtId="0" fontId="3" fillId="0" borderId="2" xfId="0" applyFont="1" applyFill="1" applyBorder="1" applyAlignment="1">
      <alignment horizontal="left" wrapText="1"/>
    </xf>
    <xf numFmtId="0" fontId="62" fillId="0" borderId="2" xfId="0" applyFont="1" applyFill="1" applyBorder="1"/>
    <xf numFmtId="0" fontId="5" fillId="0" borderId="2" xfId="0" applyFont="1" applyFill="1" applyBorder="1" applyAlignment="1">
      <alignment wrapText="1"/>
    </xf>
    <xf numFmtId="0" fontId="15" fillId="0" borderId="2" xfId="0" applyFont="1" applyFill="1" applyBorder="1"/>
    <xf numFmtId="0" fontId="31" fillId="0" borderId="0" xfId="38" applyFont="1" applyFill="1"/>
    <xf numFmtId="0" fontId="42" fillId="0" borderId="0" xfId="38" applyFont="1" applyFill="1"/>
    <xf numFmtId="0" fontId="43" fillId="0" borderId="0" xfId="38" applyFont="1" applyFill="1"/>
    <xf numFmtId="0" fontId="33" fillId="0" borderId="0" xfId="38" applyFont="1" applyFill="1"/>
    <xf numFmtId="0" fontId="23" fillId="0" borderId="0" xfId="38" applyFont="1" applyFill="1"/>
    <xf numFmtId="0" fontId="23" fillId="0" borderId="0" xfId="38" applyFont="1" applyFill="1" applyBorder="1"/>
    <xf numFmtId="0" fontId="64" fillId="0" borderId="18" xfId="35" applyFont="1" applyFill="1" applyBorder="1" applyAlignment="1" applyProtection="1">
      <alignment horizontal="center"/>
    </xf>
    <xf numFmtId="0" fontId="64" fillId="0" borderId="0" xfId="35" applyFont="1" applyFill="1" applyBorder="1" applyAlignment="1" applyProtection="1">
      <alignment horizontal="center"/>
    </xf>
    <xf numFmtId="0" fontId="31" fillId="0" borderId="0" xfId="38" applyFont="1" applyFill="1" applyBorder="1"/>
    <xf numFmtId="0" fontId="30" fillId="0" borderId="0" xfId="38" applyFont="1" applyFill="1"/>
    <xf numFmtId="0" fontId="66" fillId="0" borderId="0" xfId="38" applyFont="1" applyFill="1"/>
    <xf numFmtId="0" fontId="42" fillId="0" borderId="0" xfId="38" applyFont="1" applyFill="1" applyBorder="1"/>
    <xf numFmtId="0" fontId="4" fillId="0" borderId="6" xfId="0" applyFont="1" applyFill="1" applyBorder="1"/>
    <xf numFmtId="0" fontId="5" fillId="4" borderId="2" xfId="0" applyFont="1" applyFill="1" applyBorder="1"/>
    <xf numFmtId="0" fontId="5" fillId="0" borderId="5" xfId="0" applyFont="1" applyFill="1" applyBorder="1"/>
    <xf numFmtId="0" fontId="3" fillId="4" borderId="2" xfId="0" applyFont="1" applyFill="1" applyBorder="1" applyAlignment="1">
      <alignment horizontal="left" wrapText="1"/>
    </xf>
    <xf numFmtId="0" fontId="5" fillId="4" borderId="5" xfId="0" applyFont="1" applyFill="1" applyBorder="1"/>
    <xf numFmtId="0" fontId="5" fillId="4" borderId="2" xfId="0" applyFont="1" applyFill="1" applyBorder="1" applyAlignment="1">
      <alignment wrapText="1"/>
    </xf>
    <xf numFmtId="0" fontId="3" fillId="0" borderId="12" xfId="0" applyFont="1" applyBorder="1"/>
    <xf numFmtId="0" fontId="4" fillId="0" borderId="8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15" fillId="0" borderId="3" xfId="0" applyFont="1" applyFill="1" applyBorder="1"/>
    <xf numFmtId="0" fontId="3" fillId="0" borderId="0" xfId="0" applyFont="1" applyFill="1" applyAlignment="1">
      <alignment horizontal="center" vertical="center" wrapText="1"/>
    </xf>
    <xf numFmtId="0" fontId="17" fillId="0" borderId="20" xfId="0" applyFont="1" applyFill="1" applyBorder="1"/>
    <xf numFmtId="0" fontId="3" fillId="4" borderId="20" xfId="0" applyFont="1" applyFill="1" applyBorder="1"/>
    <xf numFmtId="0" fontId="16" fillId="4" borderId="20" xfId="0" applyFont="1" applyFill="1" applyBorder="1" applyAlignment="1">
      <alignment horizontal="center"/>
    </xf>
    <xf numFmtId="0" fontId="3" fillId="0" borderId="20" xfId="0" applyFont="1" applyFill="1" applyBorder="1"/>
    <xf numFmtId="0" fontId="2" fillId="0" borderId="20" xfId="0" applyFont="1" applyFill="1" applyBorder="1"/>
    <xf numFmtId="165" fontId="3" fillId="0" borderId="20" xfId="6" applyFont="1" applyFill="1" applyBorder="1" applyAlignment="1">
      <alignment horizontal="center"/>
    </xf>
    <xf numFmtId="0" fontId="17" fillId="0" borderId="21" xfId="0" applyFont="1" applyFill="1" applyBorder="1"/>
    <xf numFmtId="0" fontId="3" fillId="4" borderId="21" xfId="0" applyFont="1" applyFill="1" applyBorder="1"/>
    <xf numFmtId="0" fontId="3" fillId="0" borderId="21" xfId="0" applyFont="1" applyFill="1" applyBorder="1"/>
    <xf numFmtId="165" fontId="3" fillId="0" borderId="21" xfId="6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0" xfId="0" applyFont="1"/>
    <xf numFmtId="0" fontId="2" fillId="0" borderId="0" xfId="0" applyFont="1" applyFill="1"/>
    <xf numFmtId="165" fontId="10" fillId="0" borderId="0" xfId="0" applyNumberFormat="1" applyFont="1" applyFill="1" applyBorder="1"/>
    <xf numFmtId="2" fontId="3" fillId="6" borderId="11" xfId="0" applyNumberFormat="1" applyFont="1" applyFill="1" applyBorder="1" applyAlignment="1">
      <alignment horizontal="center"/>
    </xf>
    <xf numFmtId="165" fontId="3" fillId="0" borderId="3" xfId="4" applyFont="1" applyFill="1" applyBorder="1" applyAlignment="1">
      <alignment horizontal="center"/>
    </xf>
    <xf numFmtId="9" fontId="47" fillId="0" borderId="10" xfId="28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166" fontId="14" fillId="0" borderId="8" xfId="28" applyNumberFormat="1" applyFont="1" applyFill="1" applyBorder="1" applyAlignment="1"/>
    <xf numFmtId="166" fontId="2" fillId="0" borderId="8" xfId="28" applyNumberFormat="1" applyFont="1" applyFill="1" applyBorder="1" applyAlignment="1"/>
    <xf numFmtId="9" fontId="2" fillId="0" borderId="8" xfId="28" applyFont="1" applyFill="1" applyBorder="1" applyAlignment="1"/>
    <xf numFmtId="9" fontId="14" fillId="0" borderId="8" xfId="28" applyFont="1" applyFill="1" applyBorder="1" applyAlignment="1"/>
    <xf numFmtId="165" fontId="3" fillId="0" borderId="8" xfId="4" applyFont="1" applyFill="1" applyBorder="1" applyAlignment="1">
      <alignment horizontal="right"/>
    </xf>
    <xf numFmtId="9" fontId="14" fillId="0" borderId="10" xfId="28" applyFont="1" applyFill="1" applyBorder="1" applyAlignment="1"/>
    <xf numFmtId="166" fontId="9" fillId="0" borderId="8" xfId="28" applyNumberFormat="1" applyFont="1" applyFill="1" applyBorder="1"/>
    <xf numFmtId="0" fontId="13" fillId="0" borderId="8" xfId="0" applyFont="1" applyFill="1" applyBorder="1"/>
    <xf numFmtId="166" fontId="9" fillId="0" borderId="0" xfId="28" applyNumberFormat="1" applyFont="1" applyFill="1" applyBorder="1"/>
    <xf numFmtId="166" fontId="13" fillId="0" borderId="8" xfId="0" applyNumberFormat="1" applyFont="1" applyFill="1" applyBorder="1"/>
    <xf numFmtId="0" fontId="4" fillId="6" borderId="2" xfId="0" applyFont="1" applyFill="1" applyBorder="1" applyAlignment="1">
      <alignment horizontal="center"/>
    </xf>
    <xf numFmtId="0" fontId="4" fillId="6" borderId="8" xfId="0" applyFont="1" applyFill="1" applyBorder="1" applyAlignment="1">
      <alignment horizontal="center"/>
    </xf>
    <xf numFmtId="165" fontId="3" fillId="6" borderId="3" xfId="4" applyFont="1" applyFill="1" applyBorder="1"/>
    <xf numFmtId="166" fontId="9" fillId="6" borderId="10" xfId="0" applyNumberFormat="1" applyFont="1" applyFill="1" applyBorder="1"/>
    <xf numFmtId="165" fontId="2" fillId="6" borderId="2" xfId="4" applyFont="1" applyFill="1" applyBorder="1"/>
    <xf numFmtId="166" fontId="35" fillId="6" borderId="8" xfId="0" applyNumberFormat="1" applyFont="1" applyFill="1" applyBorder="1"/>
    <xf numFmtId="166" fontId="9" fillId="6" borderId="8" xfId="0" applyNumberFormat="1" applyFont="1" applyFill="1" applyBorder="1"/>
    <xf numFmtId="166" fontId="8" fillId="6" borderId="2" xfId="28" applyNumberFormat="1" applyFont="1" applyFill="1" applyBorder="1"/>
    <xf numFmtId="0" fontId="35" fillId="6" borderId="8" xfId="0" applyFont="1" applyFill="1" applyBorder="1"/>
    <xf numFmtId="166" fontId="9" fillId="6" borderId="8" xfId="28" applyNumberFormat="1" applyFont="1" applyFill="1" applyBorder="1"/>
    <xf numFmtId="0" fontId="9" fillId="6" borderId="8" xfId="0" applyFont="1" applyFill="1" applyBorder="1"/>
    <xf numFmtId="166" fontId="5" fillId="6" borderId="2" xfId="28" applyNumberFormat="1" applyFont="1" applyFill="1" applyBorder="1"/>
    <xf numFmtId="0" fontId="13" fillId="6" borderId="8" xfId="0" applyFont="1" applyFill="1" applyBorder="1"/>
    <xf numFmtId="165" fontId="3" fillId="6" borderId="2" xfId="4" applyFont="1" applyFill="1" applyBorder="1" applyAlignment="1">
      <alignment horizontal="right"/>
    </xf>
    <xf numFmtId="165" fontId="2" fillId="6" borderId="2" xfId="0" applyNumberFormat="1" applyFont="1" applyFill="1" applyBorder="1"/>
    <xf numFmtId="0" fontId="12" fillId="6" borderId="8" xfId="0" applyFont="1" applyFill="1" applyBorder="1"/>
    <xf numFmtId="0" fontId="2" fillId="6" borderId="2" xfId="0" applyFont="1" applyFill="1" applyBorder="1"/>
    <xf numFmtId="2" fontId="3" fillId="6" borderId="2" xfId="0" applyNumberFormat="1" applyFont="1" applyFill="1" applyBorder="1" applyAlignment="1">
      <alignment horizontal="right"/>
    </xf>
    <xf numFmtId="0" fontId="10" fillId="6" borderId="8" xfId="0" applyFont="1" applyFill="1" applyBorder="1"/>
    <xf numFmtId="165" fontId="3" fillId="6" borderId="2" xfId="0" applyNumberFormat="1" applyFont="1" applyFill="1" applyBorder="1"/>
    <xf numFmtId="165" fontId="3" fillId="6" borderId="2" xfId="4" applyFont="1" applyFill="1" applyBorder="1"/>
    <xf numFmtId="166" fontId="13" fillId="6" borderId="8" xfId="0" applyNumberFormat="1" applyFont="1" applyFill="1" applyBorder="1"/>
    <xf numFmtId="166" fontId="4" fillId="6" borderId="2" xfId="28" applyNumberFormat="1" applyFont="1" applyFill="1" applyBorder="1" applyAlignment="1">
      <alignment horizontal="right"/>
    </xf>
    <xf numFmtId="0" fontId="3" fillId="6" borderId="3" xfId="0" applyFont="1" applyFill="1" applyBorder="1"/>
    <xf numFmtId="0" fontId="3" fillId="6" borderId="10" xfId="0" applyFont="1" applyFill="1" applyBorder="1"/>
    <xf numFmtId="9" fontId="47" fillId="6" borderId="10" xfId="28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11" fillId="6" borderId="7" xfId="0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/>
    </xf>
    <xf numFmtId="0" fontId="11" fillId="6" borderId="8" xfId="0" applyFont="1" applyFill="1" applyBorder="1" applyAlignment="1">
      <alignment horizontal="center"/>
    </xf>
    <xf numFmtId="165" fontId="2" fillId="6" borderId="2" xfId="4" applyFont="1" applyFill="1" applyBorder="1" applyAlignment="1">
      <alignment horizontal="center"/>
    </xf>
    <xf numFmtId="166" fontId="14" fillId="6" borderId="8" xfId="28" applyNumberFormat="1" applyFont="1" applyFill="1" applyBorder="1" applyAlignment="1"/>
    <xf numFmtId="166" fontId="8" fillId="6" borderId="2" xfId="28" applyNumberFormat="1" applyFont="1" applyFill="1" applyBorder="1" applyAlignment="1">
      <alignment horizontal="right"/>
    </xf>
    <xf numFmtId="0" fontId="2" fillId="6" borderId="2" xfId="0" applyFont="1" applyFill="1" applyBorder="1" applyAlignment="1">
      <alignment horizontal="center"/>
    </xf>
    <xf numFmtId="166" fontId="8" fillId="6" borderId="8" xfId="28" applyNumberFormat="1" applyFont="1" applyFill="1" applyBorder="1" applyAlignment="1"/>
    <xf numFmtId="166" fontId="2" fillId="6" borderId="8" xfId="28" applyNumberFormat="1" applyFont="1" applyFill="1" applyBorder="1" applyAlignment="1"/>
    <xf numFmtId="9" fontId="2" fillId="6" borderId="2" xfId="28" applyFont="1" applyFill="1" applyBorder="1" applyAlignment="1">
      <alignment horizontal="right"/>
    </xf>
    <xf numFmtId="9" fontId="2" fillId="6" borderId="8" xfId="28" applyFont="1" applyFill="1" applyBorder="1" applyAlignment="1"/>
    <xf numFmtId="0" fontId="24" fillId="6" borderId="2" xfId="0" applyFont="1" applyFill="1" applyBorder="1" applyAlignment="1">
      <alignment horizontal="center"/>
    </xf>
    <xf numFmtId="9" fontId="24" fillId="6" borderId="8" xfId="28" applyFont="1" applyFill="1" applyBorder="1" applyAlignment="1"/>
    <xf numFmtId="165" fontId="24" fillId="6" borderId="2" xfId="4" applyFont="1" applyFill="1" applyBorder="1" applyAlignment="1">
      <alignment horizontal="center"/>
    </xf>
    <xf numFmtId="9" fontId="14" fillId="6" borderId="8" xfId="28" applyFont="1" applyFill="1" applyBorder="1" applyAlignment="1"/>
    <xf numFmtId="9" fontId="12" fillId="6" borderId="8" xfId="28" applyFont="1" applyFill="1" applyBorder="1" applyAlignment="1"/>
    <xf numFmtId="166" fontId="8" fillId="6" borderId="2" xfId="28" applyNumberFormat="1" applyFont="1" applyFill="1" applyBorder="1" applyAlignment="1"/>
    <xf numFmtId="166" fontId="12" fillId="6" borderId="8" xfId="28" applyNumberFormat="1" applyFont="1" applyFill="1" applyBorder="1" applyAlignment="1"/>
    <xf numFmtId="10" fontId="8" fillId="6" borderId="2" xfId="28" applyNumberFormat="1" applyFont="1" applyFill="1" applyBorder="1" applyAlignment="1">
      <alignment horizontal="right"/>
    </xf>
    <xf numFmtId="165" fontId="3" fillId="6" borderId="8" xfId="4" applyFont="1" applyFill="1" applyBorder="1" applyAlignment="1">
      <alignment horizontal="right"/>
    </xf>
    <xf numFmtId="0" fontId="2" fillId="6" borderId="3" xfId="0" applyFont="1" applyFill="1" applyBorder="1" applyAlignment="1">
      <alignment horizontal="center"/>
    </xf>
    <xf numFmtId="9" fontId="14" fillId="6" borderId="10" xfId="28" applyFont="1" applyFill="1" applyBorder="1" applyAlignment="1"/>
    <xf numFmtId="165" fontId="3" fillId="6" borderId="1" xfId="4" applyFont="1" applyFill="1" applyBorder="1"/>
    <xf numFmtId="166" fontId="9" fillId="6" borderId="7" xfId="0" applyNumberFormat="1" applyFont="1" applyFill="1" applyBorder="1"/>
    <xf numFmtId="166" fontId="3" fillId="6" borderId="8" xfId="28" applyNumberFormat="1" applyFont="1" applyFill="1" applyBorder="1"/>
    <xf numFmtId="0" fontId="9" fillId="6" borderId="8" xfId="0" applyFont="1" applyFill="1" applyBorder="1" applyAlignment="1">
      <alignment horizontal="right"/>
    </xf>
    <xf numFmtId="10" fontId="3" fillId="6" borderId="2" xfId="28" applyNumberFormat="1" applyFont="1" applyFill="1" applyBorder="1"/>
    <xf numFmtId="2" fontId="3" fillId="6" borderId="2" xfId="0" applyNumberFormat="1" applyFont="1" applyFill="1" applyBorder="1"/>
    <xf numFmtId="166" fontId="12" fillId="6" borderId="8" xfId="0" applyNumberFormat="1" applyFont="1" applyFill="1" applyBorder="1"/>
    <xf numFmtId="165" fontId="10" fillId="6" borderId="8" xfId="0" applyNumberFormat="1" applyFont="1" applyFill="1" applyBorder="1"/>
    <xf numFmtId="10" fontId="3" fillId="6" borderId="2" xfId="0" applyNumberFormat="1" applyFont="1" applyFill="1" applyBorder="1"/>
    <xf numFmtId="166" fontId="3" fillId="0" borderId="8" xfId="28" applyNumberFormat="1" applyFont="1" applyFill="1" applyBorder="1"/>
    <xf numFmtId="0" fontId="9" fillId="0" borderId="8" xfId="0" applyFont="1" applyFill="1" applyBorder="1" applyAlignment="1">
      <alignment horizontal="right"/>
    </xf>
    <xf numFmtId="10" fontId="3" fillId="0" borderId="2" xfId="28" applyNumberFormat="1" applyFont="1" applyFill="1" applyBorder="1"/>
    <xf numFmtId="10" fontId="3" fillId="0" borderId="2" xfId="0" applyNumberFormat="1" applyFont="1" applyFill="1" applyBorder="1"/>
    <xf numFmtId="166" fontId="11" fillId="0" borderId="8" xfId="28" applyNumberFormat="1" applyFont="1" applyFill="1" applyBorder="1"/>
    <xf numFmtId="166" fontId="14" fillId="6" borderId="8" xfId="0" applyNumberFormat="1" applyFont="1" applyFill="1" applyBorder="1"/>
    <xf numFmtId="166" fontId="11" fillId="6" borderId="8" xfId="28" applyNumberFormat="1" applyFont="1" applyFill="1" applyBorder="1"/>
    <xf numFmtId="166" fontId="10" fillId="6" borderId="8" xfId="0" applyNumberFormat="1" applyFont="1" applyFill="1" applyBorder="1"/>
    <xf numFmtId="165" fontId="2" fillId="0" borderId="2" xfId="4" applyFill="1" applyBorder="1"/>
    <xf numFmtId="10" fontId="49" fillId="0" borderId="0" xfId="28" applyNumberFormat="1" applyFont="1" applyFill="1" applyBorder="1"/>
    <xf numFmtId="165" fontId="2" fillId="6" borderId="2" xfId="4" applyFill="1" applyBorder="1"/>
    <xf numFmtId="10" fontId="49" fillId="6" borderId="0" xfId="28" applyNumberFormat="1" applyFont="1" applyFill="1" applyBorder="1"/>
    <xf numFmtId="10" fontId="3" fillId="6" borderId="0" xfId="28" applyNumberFormat="1" applyFont="1" applyFill="1" applyBorder="1"/>
    <xf numFmtId="0" fontId="16" fillId="6" borderId="8" xfId="0" applyFont="1" applyFill="1" applyBorder="1" applyAlignment="1">
      <alignment horizontal="center"/>
    </xf>
    <xf numFmtId="0" fontId="16" fillId="6" borderId="10" xfId="0" applyFont="1" applyFill="1" applyBorder="1" applyAlignment="1">
      <alignment horizontal="center"/>
    </xf>
    <xf numFmtId="165" fontId="26" fillId="6" borderId="3" xfId="4" applyFont="1" applyFill="1" applyBorder="1"/>
    <xf numFmtId="0" fontId="6" fillId="0" borderId="16" xfId="0" applyFont="1" applyFill="1" applyBorder="1" applyAlignment="1">
      <alignment horizontal="right"/>
    </xf>
    <xf numFmtId="49" fontId="3" fillId="0" borderId="0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9" fontId="14" fillId="0" borderId="0" xfId="28" applyFont="1" applyFill="1" applyBorder="1" applyAlignment="1"/>
    <xf numFmtId="165" fontId="3" fillId="0" borderId="0" xfId="4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66" fontId="10" fillId="0" borderId="8" xfId="28" applyNumberFormat="1" applyFont="1" applyFill="1" applyBorder="1" applyAlignment="1"/>
    <xf numFmtId="166" fontId="10" fillId="4" borderId="0" xfId="28" applyNumberFormat="1" applyFont="1" applyFill="1" applyBorder="1" applyAlignment="1"/>
    <xf numFmtId="166" fontId="11" fillId="0" borderId="8" xfId="28" applyNumberFormat="1" applyFont="1" applyFill="1" applyBorder="1" applyAlignment="1"/>
    <xf numFmtId="166" fontId="2" fillId="6" borderId="8" xfId="28" applyNumberFormat="1" applyFont="1" applyFill="1" applyBorder="1"/>
    <xf numFmtId="166" fontId="35" fillId="6" borderId="8" xfId="28" applyNumberFormat="1" applyFont="1" applyFill="1" applyBorder="1"/>
    <xf numFmtId="0" fontId="35" fillId="6" borderId="8" xfId="0" applyFont="1" applyFill="1" applyBorder="1" applyAlignment="1">
      <alignment horizontal="right"/>
    </xf>
    <xf numFmtId="166" fontId="12" fillId="6" borderId="8" xfId="28" applyNumberFormat="1" applyFont="1" applyFill="1" applyBorder="1"/>
    <xf numFmtId="10" fontId="4" fillId="0" borderId="0" xfId="28" applyNumberFormat="1" applyFont="1" applyFill="1" applyBorder="1"/>
    <xf numFmtId="10" fontId="4" fillId="6" borderId="0" xfId="28" applyNumberFormat="1" applyFont="1" applyFill="1" applyBorder="1"/>
    <xf numFmtId="0" fontId="3" fillId="0" borderId="8" xfId="0" applyFont="1" applyFill="1" applyBorder="1"/>
    <xf numFmtId="0" fontId="3" fillId="4" borderId="8" xfId="0" applyFont="1" applyFill="1" applyBorder="1"/>
    <xf numFmtId="10" fontId="4" fillId="4" borderId="0" xfId="28" applyNumberFormat="1" applyFont="1" applyFill="1" applyBorder="1"/>
    <xf numFmtId="0" fontId="3" fillId="6" borderId="8" xfId="0" applyFont="1" applyFill="1" applyBorder="1"/>
    <xf numFmtId="10" fontId="41" fillId="4" borderId="0" xfId="0" applyNumberFormat="1" applyFont="1" applyFill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Fill="1" applyAlignment="1">
      <alignment horizontal="right"/>
    </xf>
    <xf numFmtId="0" fontId="2" fillId="0" borderId="0" xfId="0" applyFont="1" applyFill="1" applyAlignment="1">
      <alignment horizontal="right"/>
    </xf>
    <xf numFmtId="0" fontId="2" fillId="4" borderId="0" xfId="0" applyFont="1" applyFill="1" applyAlignment="1">
      <alignment horizontal="right"/>
    </xf>
    <xf numFmtId="165" fontId="47" fillId="0" borderId="0" xfId="4" applyFont="1" applyFill="1" applyBorder="1" applyAlignment="1">
      <alignment horizontal="center"/>
    </xf>
    <xf numFmtId="165" fontId="11" fillId="0" borderId="0" xfId="4" applyFont="1" applyFill="1" applyBorder="1" applyAlignment="1">
      <alignment horizontal="center"/>
    </xf>
    <xf numFmtId="165" fontId="14" fillId="0" borderId="0" xfId="4" applyFont="1" applyFill="1" applyBorder="1" applyAlignment="1"/>
    <xf numFmtId="165" fontId="8" fillId="0" borderId="0" xfId="4" applyFont="1" applyFill="1" applyBorder="1" applyAlignment="1"/>
    <xf numFmtId="165" fontId="2" fillId="0" borderId="0" xfId="4" applyFont="1" applyFill="1" applyBorder="1" applyAlignment="1"/>
    <xf numFmtId="165" fontId="24" fillId="0" borderId="0" xfId="4" applyFont="1" applyFill="1" applyBorder="1" applyAlignment="1"/>
    <xf numFmtId="165" fontId="12" fillId="0" borderId="0" xfId="4" applyFont="1" applyFill="1" applyBorder="1" applyAlignment="1"/>
    <xf numFmtId="165" fontId="11" fillId="0" borderId="0" xfId="4" applyFont="1" applyFill="1" applyBorder="1" applyAlignment="1"/>
    <xf numFmtId="165" fontId="9" fillId="0" borderId="0" xfId="4" applyFont="1" applyFill="1" applyBorder="1"/>
    <xf numFmtId="165" fontId="13" fillId="0" borderId="0" xfId="4" applyFont="1" applyFill="1" applyBorder="1"/>
    <xf numFmtId="165" fontId="10" fillId="0" borderId="0" xfId="4" applyFont="1" applyFill="1" applyBorder="1"/>
    <xf numFmtId="2" fontId="9" fillId="0" borderId="0" xfId="0" applyNumberFormat="1" applyFont="1" applyFill="1" applyBorder="1"/>
    <xf numFmtId="2" fontId="35" fillId="0" borderId="0" xfId="0" applyNumberFormat="1" applyFont="1" applyFill="1" applyBorder="1"/>
    <xf numFmtId="2" fontId="9" fillId="0" borderId="0" xfId="28" applyNumberFormat="1" applyFont="1" applyFill="1" applyBorder="1"/>
    <xf numFmtId="2" fontId="13" fillId="0" borderId="0" xfId="0" applyNumberFormat="1" applyFont="1" applyFill="1" applyBorder="1"/>
    <xf numFmtId="2" fontId="12" fillId="0" borderId="0" xfId="0" applyNumberFormat="1" applyFont="1" applyFill="1" applyBorder="1"/>
    <xf numFmtId="2" fontId="10" fillId="0" borderId="0" xfId="0" applyNumberFormat="1" applyFont="1" applyFill="1" applyBorder="1"/>
    <xf numFmtId="2" fontId="3" fillId="0" borderId="0" xfId="0" applyNumberFormat="1" applyFont="1"/>
    <xf numFmtId="165" fontId="9" fillId="0" borderId="0" xfId="4" applyFont="1" applyFill="1" applyBorder="1" applyAlignment="1">
      <alignment horizontal="right"/>
    </xf>
    <xf numFmtId="165" fontId="11" fillId="0" borderId="0" xfId="4" applyFont="1" applyFill="1" applyBorder="1"/>
    <xf numFmtId="165" fontId="14" fillId="0" borderId="0" xfId="4" applyFont="1" applyFill="1" applyBorder="1"/>
    <xf numFmtId="165" fontId="16" fillId="0" borderId="0" xfId="4" applyFont="1" applyFill="1" applyBorder="1" applyAlignment="1">
      <alignment horizontal="center"/>
    </xf>
    <xf numFmtId="0" fontId="2" fillId="0" borderId="0" xfId="0" applyFont="1" applyFill="1"/>
    <xf numFmtId="0" fontId="65" fillId="0" borderId="0" xfId="38" applyFont="1" applyFill="1"/>
    <xf numFmtId="0" fontId="30" fillId="0" borderId="0" xfId="38" applyFont="1" applyFill="1"/>
    <xf numFmtId="0" fontId="12" fillId="0" borderId="0" xfId="36" applyFont="1" applyFill="1"/>
    <xf numFmtId="17" fontId="39" fillId="0" borderId="0" xfId="36" applyNumberFormat="1" applyFont="1" applyFill="1"/>
    <xf numFmtId="0" fontId="2" fillId="0" borderId="0" xfId="0" applyFont="1" applyBorder="1"/>
    <xf numFmtId="0" fontId="2" fillId="0" borderId="0" xfId="0" applyFont="1" applyFill="1"/>
    <xf numFmtId="0" fontId="28" fillId="0" borderId="0" xfId="0" applyFont="1" applyFill="1" applyBorder="1"/>
    <xf numFmtId="166" fontId="62" fillId="0" borderId="2" xfId="28" applyNumberFormat="1" applyFont="1" applyFill="1" applyBorder="1"/>
    <xf numFmtId="166" fontId="2" fillId="0" borderId="2" xfId="28" applyNumberFormat="1" applyFont="1" applyFill="1" applyBorder="1" applyAlignment="1">
      <alignment horizontal="center"/>
    </xf>
    <xf numFmtId="166" fontId="3" fillId="0" borderId="0" xfId="28" applyNumberFormat="1" applyFont="1"/>
    <xf numFmtId="166" fontId="0" fillId="0" borderId="0" xfId="28" applyNumberFormat="1" applyFont="1"/>
    <xf numFmtId="164" fontId="2" fillId="0" borderId="0" xfId="0" applyNumberFormat="1" applyFont="1" applyFill="1"/>
    <xf numFmtId="166" fontId="5" fillId="0" borderId="2" xfId="30" applyNumberFormat="1" applyFont="1" applyFill="1" applyBorder="1"/>
    <xf numFmtId="166" fontId="9" fillId="0" borderId="9" xfId="0" applyNumberFormat="1" applyFont="1" applyFill="1" applyBorder="1"/>
    <xf numFmtId="0" fontId="51" fillId="0" borderId="8" xfId="0" applyFont="1" applyFill="1" applyBorder="1"/>
    <xf numFmtId="10" fontId="52" fillId="0" borderId="8" xfId="0" applyNumberFormat="1" applyFont="1" applyFill="1" applyBorder="1"/>
    <xf numFmtId="0" fontId="8" fillId="0" borderId="8" xfId="0" applyFont="1" applyFill="1" applyBorder="1"/>
    <xf numFmtId="0" fontId="52" fillId="0" borderId="8" xfId="0" applyFont="1" applyFill="1" applyBorder="1"/>
    <xf numFmtId="0" fontId="24" fillId="0" borderId="8" xfId="0" applyFont="1" applyFill="1" applyBorder="1"/>
    <xf numFmtId="166" fontId="52" fillId="0" borderId="8" xfId="0" applyNumberFormat="1" applyFont="1" applyFill="1" applyBorder="1"/>
    <xf numFmtId="4" fontId="10" fillId="0" borderId="8" xfId="0" applyNumberFormat="1" applyFont="1" applyFill="1" applyBorder="1"/>
    <xf numFmtId="0" fontId="16" fillId="0" borderId="3" xfId="0" applyFont="1" applyFill="1" applyBorder="1" applyAlignment="1">
      <alignment horizontal="center"/>
    </xf>
    <xf numFmtId="166" fontId="13" fillId="0" borderId="10" xfId="0" applyNumberFormat="1" applyFont="1" applyFill="1" applyBorder="1"/>
    <xf numFmtId="0" fontId="3" fillId="4" borderId="1" xfId="0" applyFont="1" applyFill="1" applyBorder="1" applyAlignment="1">
      <alignment horizontal="center"/>
    </xf>
    <xf numFmtId="0" fontId="11" fillId="4" borderId="7" xfId="0" applyFont="1" applyFill="1" applyBorder="1" applyAlignment="1">
      <alignment horizontal="center"/>
    </xf>
    <xf numFmtId="0" fontId="11" fillId="4" borderId="8" xfId="0" applyFont="1" applyFill="1" applyBorder="1" applyAlignment="1">
      <alignment horizontal="center"/>
    </xf>
    <xf numFmtId="166" fontId="14" fillId="4" borderId="8" xfId="28" applyNumberFormat="1" applyFont="1" applyFill="1" applyBorder="1" applyAlignment="1"/>
    <xf numFmtId="166" fontId="8" fillId="4" borderId="8" xfId="28" applyNumberFormat="1" applyFont="1" applyFill="1" applyBorder="1" applyAlignment="1"/>
    <xf numFmtId="166" fontId="2" fillId="4" borderId="8" xfId="28" applyNumberFormat="1" applyFont="1" applyFill="1" applyBorder="1" applyAlignment="1"/>
    <xf numFmtId="9" fontId="2" fillId="4" borderId="8" xfId="28" applyFont="1" applyFill="1" applyBorder="1" applyAlignment="1"/>
    <xf numFmtId="9" fontId="24" fillId="4" borderId="8" xfId="28" applyFont="1" applyFill="1" applyBorder="1" applyAlignment="1"/>
    <xf numFmtId="9" fontId="14" fillId="4" borderId="8" xfId="28" applyFont="1" applyFill="1" applyBorder="1" applyAlignment="1"/>
    <xf numFmtId="166" fontId="11" fillId="4" borderId="8" xfId="28" applyNumberFormat="1" applyFont="1" applyFill="1" applyBorder="1" applyAlignment="1"/>
    <xf numFmtId="166" fontId="12" fillId="4" borderId="8" xfId="28" applyNumberFormat="1" applyFont="1" applyFill="1" applyBorder="1" applyAlignment="1"/>
    <xf numFmtId="166" fontId="10" fillId="4" borderId="8" xfId="28" applyNumberFormat="1" applyFont="1" applyFill="1" applyBorder="1" applyAlignment="1"/>
    <xf numFmtId="165" fontId="3" fillId="4" borderId="8" xfId="4" applyFont="1" applyFill="1" applyBorder="1" applyAlignment="1">
      <alignment horizontal="right"/>
    </xf>
    <xf numFmtId="9" fontId="14" fillId="4" borderId="10" xfId="28" applyFont="1" applyFill="1" applyBorder="1" applyAlignment="1"/>
    <xf numFmtId="166" fontId="4" fillId="6" borderId="2" xfId="28" applyNumberFormat="1" applyFont="1" applyFill="1" applyBorder="1"/>
    <xf numFmtId="166" fontId="9" fillId="4" borderId="8" xfId="28" applyNumberFormat="1" applyFont="1" applyFill="1" applyBorder="1"/>
    <xf numFmtId="0" fontId="13" fillId="4" borderId="8" xfId="0" applyFont="1" applyFill="1" applyBorder="1"/>
    <xf numFmtId="10" fontId="12" fillId="6" borderId="8" xfId="28" applyNumberFormat="1" applyFont="1" applyFill="1" applyBorder="1" applyAlignment="1"/>
    <xf numFmtId="0" fontId="41" fillId="4" borderId="0" xfId="0" applyFont="1" applyFill="1"/>
    <xf numFmtId="10" fontId="45" fillId="4" borderId="0" xfId="28" applyNumberFormat="1" applyFont="1" applyFill="1" applyBorder="1"/>
    <xf numFmtId="4" fontId="41" fillId="4" borderId="0" xfId="0" applyNumberFormat="1" applyFont="1" applyFill="1"/>
    <xf numFmtId="0" fontId="45" fillId="4" borderId="0" xfId="0" applyFont="1" applyFill="1" applyBorder="1"/>
    <xf numFmtId="4" fontId="45" fillId="4" borderId="0" xfId="0" applyNumberFormat="1" applyFont="1" applyFill="1" applyBorder="1"/>
    <xf numFmtId="10" fontId="41" fillId="4" borderId="0" xfId="28" applyNumberFormat="1" applyFont="1" applyFill="1" applyAlignment="1">
      <alignment horizontal="center"/>
    </xf>
    <xf numFmtId="166" fontId="3" fillId="4" borderId="8" xfId="28" applyNumberFormat="1" applyFont="1" applyFill="1" applyBorder="1"/>
    <xf numFmtId="0" fontId="9" fillId="4" borderId="8" xfId="0" applyFont="1" applyFill="1" applyBorder="1" applyAlignment="1">
      <alignment horizontal="right"/>
    </xf>
    <xf numFmtId="166" fontId="14" fillId="4" borderId="8" xfId="0" applyNumberFormat="1" applyFont="1" applyFill="1" applyBorder="1"/>
    <xf numFmtId="166" fontId="11" fillId="4" borderId="8" xfId="28" applyNumberFormat="1" applyFont="1" applyFill="1" applyBorder="1"/>
    <xf numFmtId="165" fontId="2" fillId="4" borderId="2" xfId="4" applyFill="1" applyBorder="1"/>
    <xf numFmtId="10" fontId="49" fillId="4" borderId="0" xfId="28" applyNumberFormat="1" applyFont="1" applyFill="1" applyBorder="1"/>
    <xf numFmtId="10" fontId="10" fillId="6" borderId="2" xfId="28" applyNumberFormat="1" applyFont="1" applyFill="1" applyBorder="1"/>
    <xf numFmtId="165" fontId="4" fillId="6" borderId="0" xfId="4" applyFont="1" applyFill="1" applyBorder="1"/>
    <xf numFmtId="165" fontId="39" fillId="0" borderId="0" xfId="4" applyFont="1"/>
    <xf numFmtId="166" fontId="2" fillId="6" borderId="2" xfId="28" applyNumberFormat="1" applyFont="1" applyFill="1" applyBorder="1"/>
    <xf numFmtId="165" fontId="4" fillId="4" borderId="0" xfId="4" applyFont="1" applyFill="1" applyBorder="1"/>
    <xf numFmtId="10" fontId="12" fillId="0" borderId="8" xfId="28" applyNumberFormat="1" applyFont="1" applyFill="1" applyBorder="1" applyAlignment="1"/>
    <xf numFmtId="166" fontId="4" fillId="0" borderId="2" xfId="28" applyNumberFormat="1" applyFont="1" applyFill="1" applyBorder="1"/>
    <xf numFmtId="0" fontId="3" fillId="0" borderId="19" xfId="0" applyFont="1" applyFill="1" applyBorder="1" applyAlignment="1">
      <alignment horizontal="center"/>
    </xf>
    <xf numFmtId="10" fontId="10" fillId="0" borderId="2" xfId="28" applyNumberFormat="1" applyFont="1" applyFill="1" applyBorder="1"/>
    <xf numFmtId="165" fontId="4" fillId="0" borderId="0" xfId="4" applyFont="1" applyFill="1" applyBorder="1"/>
    <xf numFmtId="10" fontId="12" fillId="0" borderId="2" xfId="0" applyNumberFormat="1" applyFont="1" applyFill="1" applyBorder="1"/>
    <xf numFmtId="166" fontId="12" fillId="0" borderId="2" xfId="28" applyNumberFormat="1" applyFont="1" applyFill="1" applyBorder="1"/>
    <xf numFmtId="166" fontId="12" fillId="4" borderId="2" xfId="28" applyNumberFormat="1" applyFont="1" applyFill="1" applyBorder="1"/>
    <xf numFmtId="166" fontId="12" fillId="0" borderId="2" xfId="28" applyNumberFormat="1" applyFont="1" applyFill="1" applyBorder="1" applyAlignment="1">
      <alignment horizontal="right"/>
    </xf>
    <xf numFmtId="166" fontId="12" fillId="4" borderId="2" xfId="28" applyNumberFormat="1" applyFont="1" applyFill="1" applyBorder="1" applyAlignment="1">
      <alignment horizontal="right"/>
    </xf>
    <xf numFmtId="0" fontId="14" fillId="0" borderId="2" xfId="0" applyFont="1" applyFill="1" applyBorder="1"/>
    <xf numFmtId="166" fontId="12" fillId="4" borderId="2" xfId="28" applyNumberFormat="1" applyFont="1" applyFill="1" applyBorder="1" applyAlignment="1">
      <alignment horizontal="center"/>
    </xf>
    <xf numFmtId="10" fontId="3" fillId="0" borderId="2" xfId="28" applyNumberFormat="1" applyFont="1" applyFill="1" applyBorder="1" applyAlignment="1">
      <alignment horizontal="right"/>
    </xf>
    <xf numFmtId="10" fontId="12" fillId="0" borderId="8" xfId="0" applyNumberFormat="1" applyFont="1" applyFill="1" applyBorder="1"/>
    <xf numFmtId="10" fontId="2" fillId="4" borderId="0" xfId="0" applyNumberFormat="1" applyFont="1" applyFill="1"/>
    <xf numFmtId="166" fontId="2" fillId="4" borderId="0" xfId="0" applyNumberFormat="1" applyFont="1" applyFill="1"/>
    <xf numFmtId="10" fontId="2" fillId="0" borderId="2" xfId="28" applyNumberFormat="1" applyFont="1" applyFill="1" applyBorder="1" applyAlignment="1">
      <alignment horizontal="center"/>
    </xf>
    <xf numFmtId="166" fontId="40" fillId="0" borderId="0" xfId="30" applyNumberFormat="1" applyFont="1" applyFill="1" applyBorder="1" applyAlignment="1">
      <alignment horizontal="center"/>
    </xf>
    <xf numFmtId="165" fontId="3" fillId="6" borderId="0" xfId="4" applyFont="1" applyFill="1" applyBorder="1"/>
    <xf numFmtId="165" fontId="10" fillId="6" borderId="2" xfId="4" applyFont="1" applyFill="1" applyBorder="1"/>
    <xf numFmtId="165" fontId="3" fillId="6" borderId="8" xfId="4" applyFont="1" applyFill="1" applyBorder="1"/>
    <xf numFmtId="10" fontId="10" fillId="0" borderId="2" xfId="28" applyNumberFormat="1" applyFont="1" applyFill="1" applyBorder="1" applyAlignment="1">
      <alignment horizontal="right"/>
    </xf>
    <xf numFmtId="165" fontId="10" fillId="6" borderId="8" xfId="4" applyFont="1" applyFill="1" applyBorder="1"/>
    <xf numFmtId="165" fontId="4" fillId="4" borderId="0" xfId="28" applyNumberFormat="1" applyFont="1" applyFill="1" applyBorder="1"/>
    <xf numFmtId="165" fontId="4" fillId="0" borderId="0" xfId="28" applyNumberFormat="1" applyFont="1" applyFill="1" applyBorder="1"/>
    <xf numFmtId="166" fontId="39" fillId="0" borderId="0" xfId="36" applyNumberFormat="1" applyFont="1" applyFill="1" applyBorder="1"/>
    <xf numFmtId="171" fontId="45" fillId="4" borderId="0" xfId="0" applyNumberFormat="1" applyFont="1" applyFill="1" applyBorder="1" applyAlignment="1">
      <alignment horizontal="center"/>
    </xf>
    <xf numFmtId="10" fontId="45" fillId="4" borderId="0" xfId="28" applyNumberFormat="1" applyFont="1" applyFill="1" applyBorder="1" applyAlignment="1">
      <alignment horizontal="center"/>
    </xf>
    <xf numFmtId="2" fontId="71" fillId="4" borderId="0" xfId="0" applyNumberFormat="1" applyFont="1" applyFill="1" applyBorder="1" applyAlignment="1">
      <alignment horizontal="center"/>
    </xf>
    <xf numFmtId="2" fontId="41" fillId="4" borderId="0" xfId="0" applyNumberFormat="1" applyFont="1" applyFill="1" applyBorder="1" applyAlignment="1">
      <alignment horizontal="center"/>
    </xf>
    <xf numFmtId="4" fontId="41" fillId="4" borderId="0" xfId="0" applyNumberFormat="1" applyFont="1" applyFill="1" applyBorder="1" applyAlignment="1">
      <alignment horizontal="center"/>
    </xf>
    <xf numFmtId="10" fontId="41" fillId="4" borderId="0" xfId="28" applyNumberFormat="1" applyFont="1" applyFill="1" applyBorder="1" applyAlignment="1">
      <alignment horizontal="center"/>
    </xf>
    <xf numFmtId="170" fontId="45" fillId="4" borderId="0" xfId="0" applyNumberFormat="1" applyFont="1" applyFill="1" applyBorder="1" applyAlignment="1">
      <alignment horizontal="center"/>
    </xf>
    <xf numFmtId="165" fontId="41" fillId="4" borderId="0" xfId="0" applyNumberFormat="1" applyFont="1" applyFill="1"/>
    <xf numFmtId="2" fontId="41" fillId="4" borderId="0" xfId="0" applyNumberFormat="1" applyFont="1" applyFill="1"/>
    <xf numFmtId="171" fontId="41" fillId="4" borderId="0" xfId="0" applyNumberFormat="1" applyFont="1" applyFill="1"/>
    <xf numFmtId="0" fontId="45" fillId="4" borderId="0" xfId="0" applyFont="1" applyFill="1"/>
    <xf numFmtId="10" fontId="41" fillId="4" borderId="0" xfId="0" applyNumberFormat="1" applyFont="1" applyFill="1"/>
    <xf numFmtId="165" fontId="45" fillId="4" borderId="0" xfId="0" applyNumberFormat="1" applyFont="1" applyFill="1"/>
    <xf numFmtId="166" fontId="41" fillId="4" borderId="0" xfId="0" applyNumberFormat="1" applyFont="1" applyFill="1"/>
    <xf numFmtId="0" fontId="41" fillId="0" borderId="0" xfId="0" applyFont="1" applyFill="1" applyBorder="1"/>
    <xf numFmtId="0" fontId="3" fillId="6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10" fontId="10" fillId="4" borderId="2" xfId="0" applyNumberFormat="1" applyFont="1" applyFill="1" applyBorder="1"/>
    <xf numFmtId="10" fontId="12" fillId="4" borderId="8" xfId="28" applyNumberFormat="1" applyFont="1" applyFill="1" applyBorder="1" applyAlignment="1"/>
    <xf numFmtId="166" fontId="4" fillId="4" borderId="2" xfId="28" applyNumberFormat="1" applyFont="1" applyFill="1" applyBorder="1"/>
    <xf numFmtId="10" fontId="3" fillId="4" borderId="2" xfId="28" applyNumberFormat="1" applyFont="1" applyFill="1" applyBorder="1" applyAlignment="1">
      <alignment horizontal="right"/>
    </xf>
    <xf numFmtId="0" fontId="3" fillId="4" borderId="19" xfId="0" applyFont="1" applyFill="1" applyBorder="1" applyAlignment="1">
      <alignment horizontal="center"/>
    </xf>
    <xf numFmtId="0" fontId="3" fillId="4" borderId="0" xfId="0" applyFont="1" applyFill="1" applyAlignment="1">
      <alignment horizontal="center" vertical="center" wrapText="1"/>
    </xf>
    <xf numFmtId="165" fontId="3" fillId="4" borderId="20" xfId="6" applyFont="1" applyFill="1" applyBorder="1" applyAlignment="1">
      <alignment horizontal="center"/>
    </xf>
    <xf numFmtId="165" fontId="3" fillId="4" borderId="21" xfId="6" applyFont="1" applyFill="1" applyBorder="1" applyAlignment="1">
      <alignment horizontal="center"/>
    </xf>
    <xf numFmtId="2" fontId="3" fillId="4" borderId="11" xfId="0" applyNumberFormat="1" applyFont="1" applyFill="1" applyBorder="1" applyAlignment="1">
      <alignment horizontal="center"/>
    </xf>
    <xf numFmtId="10" fontId="3" fillId="4" borderId="2" xfId="28" applyNumberFormat="1" applyFont="1" applyFill="1" applyBorder="1" applyAlignment="1">
      <alignment horizontal="center"/>
    </xf>
    <xf numFmtId="165" fontId="3" fillId="4" borderId="0" xfId="4" applyFont="1" applyFill="1" applyBorder="1"/>
    <xf numFmtId="10" fontId="10" fillId="4" borderId="2" xfId="28" applyNumberFormat="1" applyFont="1" applyFill="1" applyBorder="1"/>
    <xf numFmtId="165" fontId="10" fillId="4" borderId="2" xfId="4" applyFont="1" applyFill="1" applyBorder="1"/>
    <xf numFmtId="165" fontId="3" fillId="4" borderId="8" xfId="4" applyFont="1" applyFill="1" applyBorder="1"/>
    <xf numFmtId="165" fontId="10" fillId="4" borderId="8" xfId="4" applyFont="1" applyFill="1" applyBorder="1"/>
    <xf numFmtId="176" fontId="3" fillId="6" borderId="2" xfId="28" applyNumberFormat="1" applyFont="1" applyFill="1" applyBorder="1"/>
    <xf numFmtId="165" fontId="3" fillId="6" borderId="0" xfId="0" applyNumberFormat="1" applyFont="1" applyFill="1"/>
    <xf numFmtId="176" fontId="3" fillId="6" borderId="2" xfId="28" applyNumberFormat="1" applyFont="1" applyFill="1" applyBorder="1" applyAlignment="1">
      <alignment horizontal="right"/>
    </xf>
    <xf numFmtId="4" fontId="45" fillId="4" borderId="0" xfId="0" applyNumberFormat="1" applyFont="1" applyFill="1"/>
    <xf numFmtId="4" fontId="2" fillId="4" borderId="0" xfId="0" applyNumberFormat="1" applyFont="1" applyFill="1"/>
    <xf numFmtId="10" fontId="41" fillId="4" borderId="0" xfId="28" applyNumberFormat="1" applyFont="1" applyFill="1"/>
    <xf numFmtId="0" fontId="41" fillId="4" borderId="0" xfId="0" applyFont="1" applyFill="1" applyBorder="1"/>
    <xf numFmtId="10" fontId="41" fillId="4" borderId="0" xfId="28" applyNumberFormat="1" applyFont="1" applyFill="1" applyBorder="1"/>
    <xf numFmtId="166" fontId="72" fillId="4" borderId="0" xfId="28" applyNumberFormat="1" applyFont="1" applyFill="1" applyBorder="1"/>
    <xf numFmtId="0" fontId="67" fillId="4" borderId="0" xfId="0" applyFont="1" applyFill="1" applyBorder="1"/>
    <xf numFmtId="4" fontId="41" fillId="4" borderId="0" xfId="0" applyNumberFormat="1" applyFont="1" applyFill="1" applyBorder="1"/>
    <xf numFmtId="165" fontId="41" fillId="4" borderId="0" xfId="0" applyNumberFormat="1" applyFont="1" applyFill="1" applyBorder="1"/>
    <xf numFmtId="4" fontId="73" fillId="4" borderId="0" xfId="0" applyNumberFormat="1" applyFont="1" applyFill="1" applyBorder="1" applyAlignment="1" applyProtection="1">
      <alignment horizontal="center"/>
    </xf>
    <xf numFmtId="15" fontId="73" fillId="4" borderId="0" xfId="0" applyNumberFormat="1" applyFont="1" applyFill="1" applyAlignment="1">
      <alignment horizontal="center"/>
    </xf>
    <xf numFmtId="166" fontId="41" fillId="4" borderId="0" xfId="0" applyNumberFormat="1" applyFont="1" applyFill="1" applyBorder="1"/>
    <xf numFmtId="10" fontId="41" fillId="4" borderId="0" xfId="0" applyNumberFormat="1" applyFont="1" applyFill="1" applyBorder="1"/>
    <xf numFmtId="4" fontId="45" fillId="4" borderId="0" xfId="0" applyNumberFormat="1" applyFont="1" applyFill="1" applyBorder="1" applyAlignment="1"/>
    <xf numFmtId="165" fontId="41" fillId="4" borderId="0" xfId="4" applyFont="1" applyFill="1"/>
    <xf numFmtId="170" fontId="71" fillId="4" borderId="0" xfId="0" applyNumberFormat="1" applyFont="1" applyFill="1" applyBorder="1"/>
    <xf numFmtId="170" fontId="41" fillId="4" borderId="0" xfId="0" applyNumberFormat="1" applyFont="1" applyFill="1"/>
    <xf numFmtId="167" fontId="45" fillId="4" borderId="0" xfId="28" applyNumberFormat="1" applyFont="1" applyFill="1" applyBorder="1"/>
    <xf numFmtId="0" fontId="41" fillId="4" borderId="0" xfId="0" applyFont="1" applyFill="1" applyAlignment="1">
      <alignment horizontal="center"/>
    </xf>
    <xf numFmtId="4" fontId="41" fillId="4" borderId="0" xfId="0" applyNumberFormat="1" applyFont="1" applyFill="1" applyAlignment="1">
      <alignment horizontal="center"/>
    </xf>
    <xf numFmtId="166" fontId="68" fillId="4" borderId="0" xfId="0" applyNumberFormat="1" applyFont="1" applyFill="1" applyBorder="1"/>
    <xf numFmtId="10" fontId="67" fillId="4" borderId="0" xfId="0" applyNumberFormat="1" applyFont="1" applyFill="1"/>
    <xf numFmtId="165" fontId="45" fillId="4" borderId="0" xfId="0" applyNumberFormat="1" applyFont="1" applyFill="1" applyBorder="1"/>
    <xf numFmtId="10" fontId="41" fillId="4" borderId="0" xfId="28" applyNumberFormat="1" applyFont="1" applyFill="1" applyAlignment="1"/>
    <xf numFmtId="0" fontId="69" fillId="4" borderId="0" xfId="0" applyFont="1" applyFill="1" applyBorder="1"/>
    <xf numFmtId="9" fontId="45" fillId="4" borderId="0" xfId="0" applyNumberFormat="1" applyFont="1" applyFill="1" applyBorder="1" applyAlignment="1">
      <alignment horizontal="center"/>
    </xf>
    <xf numFmtId="4" fontId="45" fillId="4" borderId="0" xfId="0" applyNumberFormat="1" applyFont="1" applyFill="1" applyBorder="1" applyAlignment="1">
      <alignment horizontal="center"/>
    </xf>
    <xf numFmtId="4" fontId="41" fillId="4" borderId="0" xfId="0" applyNumberFormat="1" applyFont="1" applyFill="1" applyBorder="1" applyAlignment="1">
      <alignment vertical="center" wrapText="1"/>
    </xf>
    <xf numFmtId="0" fontId="45" fillId="4" borderId="0" xfId="0" applyFont="1" applyFill="1" applyBorder="1" applyAlignment="1"/>
    <xf numFmtId="0" fontId="41" fillId="4" borderId="0" xfId="0" applyFont="1" applyFill="1" applyBorder="1" applyAlignment="1">
      <alignment vertical="center" wrapText="1"/>
    </xf>
    <xf numFmtId="0" fontId="45" fillId="4" borderId="0" xfId="0" applyFont="1" applyFill="1" applyBorder="1" applyAlignment="1">
      <alignment vertical="center" wrapText="1"/>
    </xf>
    <xf numFmtId="0" fontId="45" fillId="4" borderId="0" xfId="0" applyFont="1" applyFill="1" applyBorder="1" applyAlignment="1">
      <alignment horizontal="center" vertical="center" wrapText="1"/>
    </xf>
    <xf numFmtId="172" fontId="41" fillId="4" borderId="0" xfId="0" applyNumberFormat="1" applyFont="1" applyFill="1"/>
    <xf numFmtId="172" fontId="41" fillId="4" borderId="0" xfId="0" applyNumberFormat="1" applyFont="1" applyFill="1" applyBorder="1"/>
    <xf numFmtId="165" fontId="41" fillId="4" borderId="0" xfId="4" applyFont="1" applyFill="1" applyBorder="1"/>
    <xf numFmtId="165" fontId="41" fillId="4" borderId="0" xfId="4" applyFont="1" applyFill="1" applyBorder="1" applyAlignment="1">
      <alignment horizontal="center"/>
    </xf>
    <xf numFmtId="165" fontId="45" fillId="4" borderId="0" xfId="4" applyFont="1" applyFill="1" applyAlignment="1">
      <alignment horizontal="center"/>
    </xf>
    <xf numFmtId="165" fontId="45" fillId="4" borderId="0" xfId="4" applyFont="1" applyFill="1" applyBorder="1" applyAlignment="1">
      <alignment horizontal="center"/>
    </xf>
    <xf numFmtId="2" fontId="41" fillId="4" borderId="0" xfId="0" applyNumberFormat="1" applyFont="1" applyFill="1" applyBorder="1"/>
    <xf numFmtId="172" fontId="45" fillId="4" borderId="0" xfId="0" applyNumberFormat="1" applyFont="1" applyFill="1" applyBorder="1"/>
    <xf numFmtId="165" fontId="45" fillId="4" borderId="0" xfId="0" applyNumberFormat="1" applyFont="1" applyFill="1" applyBorder="1" applyAlignment="1">
      <alignment horizontal="center"/>
    </xf>
    <xf numFmtId="17" fontId="70" fillId="4" borderId="0" xfId="36" applyNumberFormat="1" applyFont="1" applyFill="1" applyBorder="1"/>
    <xf numFmtId="0" fontId="23" fillId="0" borderId="0" xfId="38" applyFont="1" applyFill="1" applyAlignment="1">
      <alignment horizontal="center"/>
    </xf>
    <xf numFmtId="0" fontId="65" fillId="0" borderId="0" xfId="38" applyFont="1" applyFill="1" applyAlignment="1"/>
    <xf numFmtId="0" fontId="6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165" fontId="3" fillId="0" borderId="0" xfId="6" applyFont="1" applyFill="1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165" fontId="3" fillId="4" borderId="0" xfId="6" applyFont="1" applyFill="1" applyBorder="1" applyAlignment="1">
      <alignment horizontal="center"/>
    </xf>
    <xf numFmtId="0" fontId="45" fillId="4" borderId="0" xfId="0" applyFont="1" applyFill="1" applyAlignment="1">
      <alignment horizontal="center"/>
    </xf>
    <xf numFmtId="49" fontId="23" fillId="0" borderId="0" xfId="0" applyNumberFormat="1" applyFont="1" applyFill="1" applyAlignment="1">
      <alignment horizontal="center" readingOrder="1"/>
    </xf>
    <xf numFmtId="0" fontId="23" fillId="0" borderId="0" xfId="0" applyFont="1" applyFill="1" applyAlignment="1">
      <alignment horizontal="center" readingOrder="1"/>
    </xf>
    <xf numFmtId="0" fontId="12" fillId="0" borderId="0" xfId="36" applyFont="1" applyFill="1" applyAlignment="1"/>
    <xf numFmtId="17" fontId="39" fillId="0" borderId="0" xfId="36" applyNumberFormat="1" applyFont="1" applyFill="1" applyAlignment="1"/>
    <xf numFmtId="0" fontId="3" fillId="0" borderId="0" xfId="36" applyFont="1" applyFill="1" applyAlignment="1">
      <alignment horizontal="center"/>
    </xf>
    <xf numFmtId="9" fontId="58" fillId="0" borderId="0" xfId="30" applyFont="1" applyFill="1" applyBorder="1" applyAlignment="1">
      <alignment horizontal="center"/>
    </xf>
    <xf numFmtId="0" fontId="32" fillId="0" borderId="0" xfId="38" applyFont="1" applyFill="1" applyBorder="1" applyAlignment="1">
      <alignment horizontal="center" vertical="center" readingOrder="1"/>
    </xf>
    <xf numFmtId="0" fontId="2" fillId="0" borderId="0" xfId="0" applyFont="1" applyBorder="1" applyAlignment="1"/>
    <xf numFmtId="0" fontId="6" fillId="0" borderId="0" xfId="0" applyFont="1" applyFill="1" applyAlignment="1">
      <alignment horizontal="right"/>
    </xf>
    <xf numFmtId="0" fontId="32" fillId="0" borderId="0" xfId="38" applyFont="1" applyFill="1" applyAlignment="1">
      <alignment horizontal="center" vertical="center" readingOrder="1"/>
    </xf>
    <xf numFmtId="0" fontId="2" fillId="0" borderId="0" xfId="0" applyFont="1" applyFill="1" applyAlignment="1"/>
    <xf numFmtId="0" fontId="23" fillId="0" borderId="0" xfId="0" applyFont="1" applyFill="1" applyAlignment="1">
      <alignment horizontal="center" wrapText="1" readingOrder="1"/>
    </xf>
    <xf numFmtId="0" fontId="45" fillId="4" borderId="0" xfId="0" applyFont="1" applyFill="1" applyBorder="1" applyAlignment="1">
      <alignment horizontal="center"/>
    </xf>
    <xf numFmtId="0" fontId="41" fillId="4" borderId="0" xfId="0" applyFont="1" applyFill="1" applyBorder="1" applyAlignment="1">
      <alignment horizontal="center"/>
    </xf>
    <xf numFmtId="0" fontId="32" fillId="0" borderId="0" xfId="38" applyFont="1" applyFill="1" applyAlignment="1">
      <alignment horizontal="center" vertical="center"/>
    </xf>
    <xf numFmtId="0" fontId="32" fillId="0" borderId="0" xfId="38" applyFont="1" applyFill="1" applyBorder="1" applyAlignment="1">
      <alignment horizontal="center" vertical="center"/>
    </xf>
    <xf numFmtId="0" fontId="23" fillId="0" borderId="0" xfId="38" applyFont="1" applyFill="1" applyAlignment="1">
      <alignment horizontal="center"/>
    </xf>
    <xf numFmtId="0" fontId="30" fillId="0" borderId="0" xfId="38" applyFont="1" applyFill="1" applyAlignment="1"/>
    <xf numFmtId="0" fontId="32" fillId="0" borderId="0" xfId="38" applyFont="1" applyFill="1" applyAlignment="1">
      <alignment horizontal="left"/>
    </xf>
    <xf numFmtId="0" fontId="65" fillId="0" borderId="0" xfId="38" applyFont="1" applyFill="1" applyAlignment="1"/>
    <xf numFmtId="0" fontId="65" fillId="0" borderId="0" xfId="38" applyFont="1" applyFill="1" applyBorder="1" applyAlignment="1"/>
    <xf numFmtId="0" fontId="6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49" fontId="3" fillId="0" borderId="1" xfId="0" applyNumberFormat="1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center"/>
    </xf>
    <xf numFmtId="0" fontId="61" fillId="0" borderId="6" xfId="0" applyFont="1" applyFill="1" applyBorder="1" applyAlignment="1">
      <alignment horizontal="center" vertical="center" wrapText="1"/>
    </xf>
    <xf numFmtId="0" fontId="61" fillId="0" borderId="5" xfId="0" applyFont="1" applyFill="1" applyBorder="1" applyAlignment="1">
      <alignment horizontal="center" vertical="center" wrapText="1"/>
    </xf>
    <xf numFmtId="0" fontId="61" fillId="0" borderId="12" xfId="0" applyFont="1" applyFill="1" applyBorder="1" applyAlignment="1">
      <alignment horizontal="center" vertical="center" wrapText="1"/>
    </xf>
    <xf numFmtId="49" fontId="3" fillId="6" borderId="1" xfId="0" applyNumberFormat="1" applyFont="1" applyFill="1" applyBorder="1" applyAlignment="1">
      <alignment horizontal="center"/>
    </xf>
    <xf numFmtId="49" fontId="3" fillId="6" borderId="7" xfId="0" applyNumberFormat="1" applyFont="1" applyFill="1" applyBorder="1" applyAlignment="1">
      <alignment horizontal="center"/>
    </xf>
    <xf numFmtId="165" fontId="3" fillId="0" borderId="0" xfId="6" applyFont="1" applyFill="1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/>
    </xf>
    <xf numFmtId="49" fontId="3" fillId="4" borderId="7" xfId="0" applyNumberFormat="1" applyFont="1" applyFill="1" applyBorder="1" applyAlignment="1">
      <alignment horizontal="center"/>
    </xf>
    <xf numFmtId="165" fontId="3" fillId="4" borderId="0" xfId="6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45" fillId="4" borderId="0" xfId="0" applyFont="1" applyFill="1" applyAlignment="1">
      <alignment horizontal="center"/>
    </xf>
    <xf numFmtId="17" fontId="23" fillId="0" borderId="0" xfId="0" applyNumberFormat="1" applyFont="1" applyFill="1" applyAlignment="1">
      <alignment horizontal="center" readingOrder="1"/>
    </xf>
    <xf numFmtId="49" fontId="23" fillId="0" borderId="0" xfId="0" applyNumberFormat="1" applyFont="1" applyFill="1" applyAlignment="1">
      <alignment horizontal="center" readingOrder="1"/>
    </xf>
    <xf numFmtId="0" fontId="23" fillId="0" borderId="0" xfId="0" applyFont="1" applyFill="1" applyAlignment="1">
      <alignment horizontal="center" readingOrder="1"/>
    </xf>
    <xf numFmtId="0" fontId="23" fillId="0" borderId="0" xfId="0" applyFont="1" applyFill="1" applyAlignment="1">
      <alignment horizontal="center"/>
    </xf>
    <xf numFmtId="0" fontId="32" fillId="0" borderId="0" xfId="0" applyFont="1" applyFill="1" applyAlignment="1">
      <alignment horizontal="center" vertical="center" readingOrder="1"/>
    </xf>
    <xf numFmtId="0" fontId="32" fillId="0" borderId="0" xfId="0" applyFont="1" applyFill="1" applyBorder="1" applyAlignment="1">
      <alignment horizontal="center" vertical="center" readingOrder="1"/>
    </xf>
    <xf numFmtId="0" fontId="32" fillId="0" borderId="17" xfId="0" applyFont="1" applyFill="1" applyBorder="1" applyAlignment="1">
      <alignment horizontal="center" vertical="center" readingOrder="1"/>
    </xf>
    <xf numFmtId="0" fontId="3" fillId="0" borderId="0" xfId="36" applyFont="1" applyFill="1" applyAlignment="1">
      <alignment horizontal="center" vertical="center" wrapText="1"/>
    </xf>
    <xf numFmtId="0" fontId="3" fillId="0" borderId="0" xfId="36" applyFont="1" applyFill="1" applyAlignment="1">
      <alignment horizontal="center" wrapText="1"/>
    </xf>
    <xf numFmtId="0" fontId="12" fillId="0" borderId="0" xfId="36" applyFont="1" applyFill="1" applyAlignment="1"/>
    <xf numFmtId="17" fontId="39" fillId="0" borderId="0" xfId="36" applyNumberFormat="1" applyFont="1" applyFill="1" applyAlignment="1"/>
    <xf numFmtId="0" fontId="3" fillId="0" borderId="0" xfId="36" applyFont="1" applyFill="1" applyAlignment="1">
      <alignment horizontal="center"/>
    </xf>
    <xf numFmtId="0" fontId="3" fillId="0" borderId="0" xfId="36" applyFont="1" applyFill="1" applyAlignment="1">
      <alignment horizontal="center" vertical="center"/>
    </xf>
    <xf numFmtId="9" fontId="3" fillId="0" borderId="0" xfId="36" applyNumberFormat="1" applyFont="1" applyFill="1" applyAlignment="1">
      <alignment horizontal="center"/>
    </xf>
    <xf numFmtId="0" fontId="3" fillId="0" borderId="0" xfId="38" applyFont="1" applyFill="1" applyAlignment="1">
      <alignment horizontal="center"/>
    </xf>
    <xf numFmtId="9" fontId="58" fillId="0" borderId="0" xfId="30" applyFont="1" applyFill="1" applyBorder="1" applyAlignment="1">
      <alignment horizontal="center"/>
    </xf>
    <xf numFmtId="0" fontId="3" fillId="0" borderId="0" xfId="38" applyNumberFormat="1" applyFont="1" applyFill="1" applyAlignment="1">
      <alignment horizontal="center" readingOrder="1"/>
    </xf>
    <xf numFmtId="0" fontId="3" fillId="0" borderId="0" xfId="0" applyFont="1" applyFill="1" applyAlignment="1">
      <alignment horizontal="center"/>
    </xf>
    <xf numFmtId="0" fontId="32" fillId="0" borderId="0" xfId="38" applyFont="1" applyFill="1" applyBorder="1" applyAlignment="1">
      <alignment horizontal="center" vertical="center" readingOrder="1"/>
    </xf>
    <xf numFmtId="0" fontId="32" fillId="0" borderId="17" xfId="38" applyFont="1" applyFill="1" applyBorder="1" applyAlignment="1">
      <alignment horizontal="center" vertical="center" readingOrder="1"/>
    </xf>
    <xf numFmtId="0" fontId="2" fillId="0" borderId="0" xfId="0" applyFont="1" applyBorder="1" applyAlignment="1"/>
    <xf numFmtId="0" fontId="61" fillId="0" borderId="6" xfId="0" applyFont="1" applyFill="1" applyBorder="1" applyAlignment="1">
      <alignment horizontal="center" vertical="center"/>
    </xf>
    <xf numFmtId="0" fontId="61" fillId="0" borderId="5" xfId="0" applyFont="1" applyFill="1" applyBorder="1" applyAlignment="1">
      <alignment horizontal="center" vertical="center"/>
    </xf>
    <xf numFmtId="0" fontId="61" fillId="0" borderId="1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right"/>
    </xf>
    <xf numFmtId="0" fontId="2" fillId="0" borderId="9" xfId="0" applyFont="1" applyFill="1" applyBorder="1" applyAlignment="1"/>
    <xf numFmtId="0" fontId="32" fillId="0" borderId="16" xfId="0" applyFont="1" applyFill="1" applyBorder="1" applyAlignment="1">
      <alignment horizontal="center" vertical="center" readingOrder="1"/>
    </xf>
    <xf numFmtId="0" fontId="32" fillId="0" borderId="0" xfId="38" applyFont="1" applyFill="1" applyAlignment="1">
      <alignment horizontal="center" vertical="center" readingOrder="1"/>
    </xf>
    <xf numFmtId="0" fontId="32" fillId="0" borderId="0" xfId="38" applyNumberFormat="1" applyFont="1" applyFill="1" applyAlignment="1">
      <alignment horizontal="center" vertical="center" readingOrder="1"/>
    </xf>
    <xf numFmtId="0" fontId="32" fillId="0" borderId="17" xfId="38" applyNumberFormat="1" applyFont="1" applyFill="1" applyBorder="1" applyAlignment="1">
      <alignment horizontal="center" vertical="center" readingOrder="1"/>
    </xf>
    <xf numFmtId="9" fontId="3" fillId="0" borderId="0" xfId="36" applyNumberFormat="1" applyFont="1" applyFill="1" applyAlignment="1">
      <alignment horizontal="center" wrapText="1"/>
    </xf>
    <xf numFmtId="9" fontId="58" fillId="0" borderId="0" xfId="30" applyFont="1" applyFill="1" applyBorder="1" applyAlignment="1">
      <alignment horizontal="center" wrapText="1"/>
    </xf>
    <xf numFmtId="9" fontId="58" fillId="0" borderId="0" xfId="30" applyFont="1" applyFill="1" applyBorder="1" applyAlignment="1">
      <alignment horizontal="center" vertical="center" wrapText="1"/>
    </xf>
    <xf numFmtId="0" fontId="2" fillId="0" borderId="0" xfId="38" applyFont="1" applyFill="1" applyAlignment="1">
      <alignment horizontal="center" vertical="center" wrapText="1"/>
    </xf>
    <xf numFmtId="0" fontId="58" fillId="0" borderId="0" xfId="30" applyNumberFormat="1" applyFont="1" applyFill="1" applyBorder="1" applyAlignment="1">
      <alignment horizontal="center"/>
    </xf>
    <xf numFmtId="0" fontId="2" fillId="0" borderId="0" xfId="0" applyFont="1" applyFill="1" applyAlignment="1"/>
    <xf numFmtId="0" fontId="23" fillId="0" borderId="6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right"/>
    </xf>
    <xf numFmtId="0" fontId="23" fillId="0" borderId="6" xfId="0" applyFont="1" applyFill="1" applyBorder="1" applyAlignment="1">
      <alignment horizontal="center"/>
    </xf>
    <xf numFmtId="0" fontId="23" fillId="0" borderId="5" xfId="0" applyFont="1" applyFill="1" applyBorder="1" applyAlignment="1">
      <alignment horizontal="center"/>
    </xf>
    <xf numFmtId="0" fontId="23" fillId="0" borderId="12" xfId="0" applyFont="1" applyFill="1" applyBorder="1" applyAlignment="1">
      <alignment horizontal="center"/>
    </xf>
    <xf numFmtId="0" fontId="32" fillId="0" borderId="0" xfId="0" applyFont="1" applyFill="1" applyAlignment="1">
      <alignment horizontal="center" vertical="center" wrapText="1" readingOrder="1"/>
    </xf>
    <xf numFmtId="0" fontId="32" fillId="0" borderId="16" xfId="0" applyFont="1" applyFill="1" applyBorder="1" applyAlignment="1">
      <alignment horizontal="center" vertical="center" wrapText="1" readingOrder="1"/>
    </xf>
    <xf numFmtId="0" fontId="23" fillId="0" borderId="0" xfId="0" applyFont="1" applyFill="1" applyAlignment="1">
      <alignment horizontal="center" vertical="center" wrapText="1" readingOrder="1"/>
    </xf>
    <xf numFmtId="0" fontId="23" fillId="0" borderId="0" xfId="0" applyFont="1" applyFill="1" applyAlignment="1">
      <alignment horizontal="center" wrapText="1" readingOrder="1"/>
    </xf>
    <xf numFmtId="0" fontId="45" fillId="4" borderId="0" xfId="0" applyFont="1" applyFill="1" applyBorder="1" applyAlignment="1">
      <alignment horizontal="center"/>
    </xf>
    <xf numFmtId="0" fontId="41" fillId="4" borderId="0" xfId="0" applyFont="1" applyFill="1" applyBorder="1" applyAlignment="1">
      <alignment horizontal="center"/>
    </xf>
    <xf numFmtId="0" fontId="32" fillId="0" borderId="0" xfId="0" applyFont="1" applyFill="1" applyAlignment="1">
      <alignment horizontal="center" vertical="center"/>
    </xf>
    <xf numFmtId="0" fontId="32" fillId="0" borderId="16" xfId="0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readingOrder="1"/>
    </xf>
    <xf numFmtId="0" fontId="32" fillId="0" borderId="0" xfId="38" applyFont="1" applyFill="1" applyAlignment="1">
      <alignment horizontal="center" vertical="center"/>
    </xf>
    <xf numFmtId="0" fontId="32" fillId="0" borderId="0" xfId="38" applyFont="1" applyFill="1" applyBorder="1" applyAlignment="1">
      <alignment horizontal="center" vertical="center"/>
    </xf>
  </cellXfs>
  <cellStyles count="51">
    <cellStyle name="Cálculo" xfId="1" builtinId="22"/>
    <cellStyle name="Estilo 1" xfId="2" xr:uid="{00000000-0005-0000-0000-000001000000}"/>
    <cellStyle name="Euro" xfId="3" xr:uid="{00000000-0005-0000-0000-000002000000}"/>
    <cellStyle name="Hipervínculo" xfId="37" builtinId="8"/>
    <cellStyle name="Hipervínculo 2" xfId="39" xr:uid="{00000000-0005-0000-0000-000004000000}"/>
    <cellStyle name="Millares" xfId="4" builtinId="3"/>
    <cellStyle name="Millares 11 2" xfId="40" xr:uid="{00000000-0005-0000-0000-000006000000}"/>
    <cellStyle name="Millares 11 2 2" xfId="41" xr:uid="{00000000-0005-0000-0000-000007000000}"/>
    <cellStyle name="Millares 2" xfId="5" xr:uid="{00000000-0005-0000-0000-000008000000}"/>
    <cellStyle name="Millares 2 2" xfId="6" xr:uid="{00000000-0005-0000-0000-000009000000}"/>
    <cellStyle name="Millares 3" xfId="7" xr:uid="{00000000-0005-0000-0000-00000A000000}"/>
    <cellStyle name="Millares 3 2" xfId="42" xr:uid="{00000000-0005-0000-0000-00000B000000}"/>
    <cellStyle name="Millares 4" xfId="8" xr:uid="{00000000-0005-0000-0000-00000C000000}"/>
    <cellStyle name="Millares 5" xfId="9" xr:uid="{00000000-0005-0000-0000-00000D000000}"/>
    <cellStyle name="Millares 6" xfId="10" xr:uid="{00000000-0005-0000-0000-00000E000000}"/>
    <cellStyle name="Millares 7" xfId="11" xr:uid="{00000000-0005-0000-0000-00000F000000}"/>
    <cellStyle name="Normal" xfId="0" builtinId="0"/>
    <cellStyle name="Normal 10" xfId="12" xr:uid="{00000000-0005-0000-0000-000011000000}"/>
    <cellStyle name="Normal 11" xfId="13" xr:uid="{00000000-0005-0000-0000-000012000000}"/>
    <cellStyle name="Normal 12" xfId="14" xr:uid="{00000000-0005-0000-0000-000013000000}"/>
    <cellStyle name="Normal 13" xfId="15" xr:uid="{00000000-0005-0000-0000-000014000000}"/>
    <cellStyle name="Normal 14" xfId="38" xr:uid="{00000000-0005-0000-0000-000015000000}"/>
    <cellStyle name="Normal 15" xfId="16" xr:uid="{00000000-0005-0000-0000-000016000000}"/>
    <cellStyle name="Normal 16" xfId="17" xr:uid="{00000000-0005-0000-0000-000017000000}"/>
    <cellStyle name="Normal 17" xfId="18" xr:uid="{00000000-0005-0000-0000-000018000000}"/>
    <cellStyle name="Normal 17 2" xfId="43" xr:uid="{00000000-0005-0000-0000-000019000000}"/>
    <cellStyle name="Normal 2" xfId="19" xr:uid="{00000000-0005-0000-0000-00001A000000}"/>
    <cellStyle name="Normal 2 2" xfId="44" xr:uid="{00000000-0005-0000-0000-00001B000000}"/>
    <cellStyle name="Normal 2 3" xfId="45" xr:uid="{00000000-0005-0000-0000-00001C000000}"/>
    <cellStyle name="Normal 3" xfId="20" xr:uid="{00000000-0005-0000-0000-00001D000000}"/>
    <cellStyle name="Normal 4" xfId="21" xr:uid="{00000000-0005-0000-0000-00001E000000}"/>
    <cellStyle name="Normal 4 2" xfId="46" xr:uid="{00000000-0005-0000-0000-00001F000000}"/>
    <cellStyle name="Normal 5" xfId="22" xr:uid="{00000000-0005-0000-0000-000020000000}"/>
    <cellStyle name="Normal 6" xfId="23" xr:uid="{00000000-0005-0000-0000-000021000000}"/>
    <cellStyle name="Normal 7" xfId="24" xr:uid="{00000000-0005-0000-0000-000022000000}"/>
    <cellStyle name="Normal 8" xfId="25" xr:uid="{00000000-0005-0000-0000-000023000000}"/>
    <cellStyle name="Normal 9" xfId="26" xr:uid="{00000000-0005-0000-0000-000024000000}"/>
    <cellStyle name="Normal_Saldos vigentes menos cancel setiembre 06-Hoja Trabajo MSH 2" xfId="36" xr:uid="{00000000-0005-0000-0000-000025000000}"/>
    <cellStyle name="Normal_Vencimientos Mensuales Julio 2007" xfId="27" xr:uid="{00000000-0005-0000-0000-000026000000}"/>
    <cellStyle name="Porcentaje" xfId="28" builtinId="5"/>
    <cellStyle name="Porcentaje 2" xfId="47" xr:uid="{00000000-0005-0000-0000-000028000000}"/>
    <cellStyle name="Porcentaje 3" xfId="48" xr:uid="{00000000-0005-0000-0000-000029000000}"/>
    <cellStyle name="Porcentaje 3 2" xfId="49" xr:uid="{00000000-0005-0000-0000-00002A000000}"/>
    <cellStyle name="Porcentual 2" xfId="29" xr:uid="{00000000-0005-0000-0000-00002B000000}"/>
    <cellStyle name="Porcentual 2 10" xfId="50" xr:uid="{00000000-0005-0000-0000-00002C000000}"/>
    <cellStyle name="Porcentual 2 2" xfId="30" xr:uid="{00000000-0005-0000-0000-00002D000000}"/>
    <cellStyle name="Porcentual 3" xfId="31" xr:uid="{00000000-0005-0000-0000-00002E000000}"/>
    <cellStyle name="Porcentual 4" xfId="32" xr:uid="{00000000-0005-0000-0000-00002F000000}"/>
    <cellStyle name="Porcentual 5" xfId="33" xr:uid="{00000000-0005-0000-0000-000030000000}"/>
    <cellStyle name="Porcentual 6" xfId="34" xr:uid="{00000000-0005-0000-0000-000031000000}"/>
    <cellStyle name="Salida" xfId="35" builtinId="21"/>
  </cellStyles>
  <dxfs count="0"/>
  <tableStyles count="0" defaultTableStyle="TableStyleMedium9" defaultPivotStyle="PivotStyleLight16"/>
  <colors>
    <mruColors>
      <color rgb="FFFFFFCC"/>
      <color rgb="FFCCFFCC"/>
      <color rgb="FFCCE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customXml" Target="../customXml/item1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'Domestic Debt Colones'!$A$9</c:f>
              <c:strCache>
                <c:ptCount val="1"/>
                <c:pt idx="0">
                  <c:v>CURRENCY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4"/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233-4D0C-B637-2A01A1AF74E2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233-4D0C-B637-2A01A1AF74E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solidFill>
                      <a:sysClr val="windowText" lastClr="000000"/>
                    </a:solidFill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('Domestic Debt Colones'!$A$10,'Domestic Debt Colones'!$A$12)</c:f>
              <c:strCache>
                <c:ptCount val="2"/>
                <c:pt idx="0">
                  <c:v>   Debt ¢</c:v>
                </c:pt>
                <c:pt idx="1">
                  <c:v>   Debt US $</c:v>
                </c:pt>
              </c:strCache>
            </c:strRef>
          </c:cat>
          <c:val>
            <c:numRef>
              <c:f>('Domestic Debt Colones'!$AP$10,'Domestic Debt Colones'!$AP$12)</c:f>
              <c:numCache>
                <c:formatCode>_(* #\ ##0.00_);_(* \(#\ ##0.00\);_(* "-"??_);_(@_)</c:formatCode>
                <c:ptCount val="2"/>
                <c:pt idx="0">
                  <c:v>14286562.164341722</c:v>
                </c:pt>
                <c:pt idx="1">
                  <c:v>4234492.0551041476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233-4D0C-B637-2A01A1AF74E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3175">
      <a:noFill/>
      <a:prstDash val="solid"/>
    </a:ln>
    <a:effectLst/>
  </c:spPr>
  <c:txPr>
    <a:bodyPr/>
    <a:lstStyle/>
    <a:p>
      <a:pPr>
        <a:defRPr sz="1150" b="0" i="0" u="none" strike="noStrike" baseline="0">
          <a:solidFill>
            <a:schemeClr val="bg1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'Domestic Debt Colones'!$A$20:$A$21</c:f>
              <c:strCache>
                <c:ptCount val="2"/>
                <c:pt idx="1">
                  <c:v>INTEREST RATE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2"/>
          <c:dPt>
            <c:idx val="0"/>
            <c:bubble3D val="0"/>
            <c:explosion val="30"/>
            <c:spPr>
              <a:solidFill>
                <a:srgbClr val="CCE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04F-41CD-86D7-6D90AD6A092F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04F-41CD-86D7-6D90AD6A092F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04F-41CD-86D7-6D90AD6A092F}"/>
              </c:ext>
            </c:extLst>
          </c:dPt>
          <c:dLbls>
            <c:dLbl>
              <c:idx val="1"/>
              <c:layout>
                <c:manualLayout>
                  <c:x val="-0.17511880459387022"/>
                  <c:y val="-4.60724601205671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04F-41CD-86D7-6D90AD6A09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solidFill>
                      <a:sysClr val="windowText" lastClr="000000"/>
                    </a:solidFill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('Domestic Debt Colones'!$A$22,'Domestic Debt Colones'!$A$24,'Domestic Debt Colones'!$A$26)</c:f>
              <c:strCache>
                <c:ptCount val="3"/>
                <c:pt idx="0">
                  <c:v>   Floating Debt</c:v>
                </c:pt>
                <c:pt idx="1">
                  <c:v>   Fixed debt</c:v>
                </c:pt>
                <c:pt idx="2">
                  <c:v>   Indexed debt</c:v>
                </c:pt>
              </c:strCache>
            </c:strRef>
          </c:cat>
          <c:val>
            <c:numRef>
              <c:f>('Domestic Debt Colones'!$AP$22,'Domestic Debt Colones'!$AP$24,'Domestic Debt Colones'!$AP$26)</c:f>
              <c:numCache>
                <c:formatCode>_(* #\ ##0.00_);_(* \(#\ ##0.00\);_(* "-"??_);_(@_)</c:formatCode>
                <c:ptCount val="3"/>
                <c:pt idx="0">
                  <c:v>3045950.20835718</c:v>
                </c:pt>
                <c:pt idx="1">
                  <c:v>14278820.304710202</c:v>
                </c:pt>
                <c:pt idx="2">
                  <c:v>1196283.7063784848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04F-41CD-86D7-6D90AD6A092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3175">
      <a:noFill/>
      <a:prstDash val="solid"/>
    </a:ln>
    <a:effectLst/>
  </c:spPr>
  <c:txPr>
    <a:bodyPr/>
    <a:lstStyle/>
    <a:p>
      <a:pPr>
        <a:defRPr sz="1150" b="0" i="0" u="none" strike="noStrike" baseline="0">
          <a:solidFill>
            <a:schemeClr val="bg1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'Domestic Debt Colones'!$A$31</c:f>
              <c:strCache>
                <c:ptCount val="1"/>
                <c:pt idx="0">
                  <c:v>MATURITY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064-4840-B263-3AECA77C47CF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064-4840-B263-3AECA77C47CF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064-4840-B263-3AECA77C47C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solidFill>
                      <a:sysClr val="windowText" lastClr="000000"/>
                    </a:solidFill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('Domestic Debt Colones'!$A$32,'Domestic Debt Colones'!$A$34,'Domestic Debt Colones'!$A$36)</c:f>
              <c:strCache>
                <c:ptCount val="3"/>
                <c:pt idx="0">
                  <c:v>   Debt &lt; 1 year</c:v>
                </c:pt>
                <c:pt idx="1">
                  <c:v>   Debt &gt; 1 and &lt; 5 years</c:v>
                </c:pt>
                <c:pt idx="2">
                  <c:v>   Debt &gt; 5 year</c:v>
                </c:pt>
              </c:strCache>
            </c:strRef>
          </c:cat>
          <c:val>
            <c:numRef>
              <c:f>('Domestic Debt Colones'!$AP$32,'Domestic Debt Colones'!$AP$34,'Domestic Debt Colones'!$AP$36)</c:f>
              <c:numCache>
                <c:formatCode>_(* #\ ##0.00_);_(* \(#\ ##0.00\);_(* "-"??_);_(@_)</c:formatCode>
                <c:ptCount val="3"/>
                <c:pt idx="0">
                  <c:v>2350231.4955271771</c:v>
                </c:pt>
                <c:pt idx="1">
                  <c:v>7043509.6818910558</c:v>
                </c:pt>
                <c:pt idx="2">
                  <c:v>9127313.0420276374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064-4840-B263-3AECA77C47C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'GRAPHICS DOMESTIC DEBT'!$D$84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6EC-4191-AA58-051EFCB1938B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6EC-4191-AA58-051EFCB1938B}"/>
              </c:ext>
            </c:extLst>
          </c:dPt>
          <c:dPt>
            <c:idx val="2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6EC-4191-AA58-051EFCB1938B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6EC-4191-AA58-051EFCB1938B}"/>
              </c:ext>
            </c:extLst>
          </c:dPt>
          <c:dPt>
            <c:idx val="4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6EC-4191-AA58-051EFCB1938B}"/>
              </c:ext>
            </c:extLst>
          </c:dPt>
          <c:dLbls>
            <c:dLbl>
              <c:idx val="4"/>
              <c:layout>
                <c:manualLayout>
                  <c:x val="-0.13403000550857069"/>
                  <c:y val="-0.1255975018932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6EC-4191-AA58-051EFCB193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'GRAPHICS DOMESTIC DEBT'!$B$85:$B$89</c:f>
              <c:strCache>
                <c:ptCount val="5"/>
                <c:pt idx="0">
                  <c:v>0 &gt; 6 Months</c:v>
                </c:pt>
                <c:pt idx="1">
                  <c:v>6 Months &gt; 1 Year</c:v>
                </c:pt>
                <c:pt idx="2">
                  <c:v>1 &gt; 2 years</c:v>
                </c:pt>
                <c:pt idx="3">
                  <c:v>2 &gt; 4 years</c:v>
                </c:pt>
                <c:pt idx="4">
                  <c:v>&lt; 4 years</c:v>
                </c:pt>
              </c:strCache>
            </c:strRef>
          </c:cat>
          <c:val>
            <c:numRef>
              <c:f>'GRAPHICS DOMESTIC DEBT'!$D$85:$D$89</c:f>
              <c:numCache>
                <c:formatCode>0.00%</c:formatCode>
                <c:ptCount val="5"/>
                <c:pt idx="0">
                  <c:v>6.1840194069954418E-2</c:v>
                </c:pt>
                <c:pt idx="1">
                  <c:v>6.5054931211823028E-2</c:v>
                </c:pt>
                <c:pt idx="2">
                  <c:v>0.11032447022937722</c:v>
                </c:pt>
                <c:pt idx="3">
                  <c:v>0.19215191770075218</c:v>
                </c:pt>
                <c:pt idx="4">
                  <c:v>0.57062848678809308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6EC-4191-AA58-051EFCB1938B}"/>
            </c:ext>
          </c:extLst>
        </c:ser>
        <c:ser>
          <c:idx val="1"/>
          <c:order val="1"/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'GRAPHICS DOMESTIC DEBT'!$B$85:$B$89</c:f>
              <c:strCache>
                <c:ptCount val="5"/>
                <c:pt idx="0">
                  <c:v>0 &gt; 6 Months</c:v>
                </c:pt>
                <c:pt idx="1">
                  <c:v>6 Months &gt; 1 Year</c:v>
                </c:pt>
                <c:pt idx="2">
                  <c:v>1 &gt; 2 years</c:v>
                </c:pt>
                <c:pt idx="3">
                  <c:v>2 &gt; 4 years</c:v>
                </c:pt>
                <c:pt idx="4">
                  <c:v>&lt; 4 years</c:v>
                </c:pt>
              </c:strCache>
            </c:strRef>
          </c:cat>
          <c:val>
            <c:numRef>
              <c:f>'GRAPHICS DOMESTIC DEBT'!$C$85</c:f>
              <c:numCache>
                <c:formatCode>#,##0.00</c:formatCode>
                <c:ptCount val="1"/>
                <c:pt idx="0">
                  <c:v>1145345.5873106807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6EC-4191-AA58-051EFCB1938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80676177854006"/>
          <c:y val="4.3926551526568457E-2"/>
          <c:w val="0.78190500939857766"/>
          <c:h val="0.6988879532610488"/>
        </c:manualLayout>
      </c:layout>
      <c:lineChart>
        <c:grouping val="standard"/>
        <c:varyColors val="0"/>
        <c:ser>
          <c:idx val="1"/>
          <c:order val="0"/>
          <c:tx>
            <c:strRef>
              <c:f>'GRAPHICS DOMESTIC DEBT'!$B$111</c:f>
              <c:strCache>
                <c:ptCount val="1"/>
                <c:pt idx="0">
                  <c:v>   %GDP</c:v>
                </c:pt>
              </c:strCache>
            </c:strRef>
          </c:tx>
          <c:cat>
            <c:numRef>
              <c:f>'GRAPHICS DOMESTIC DEBT'!$C$110:$Y$110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DOMESTIC DEBT'!$C$111:$Y$111</c:f>
              <c:numCache>
                <c:formatCode>0.00%</c:formatCode>
                <c:ptCount val="23"/>
                <c:pt idx="0">
                  <c:v>2.857022671039602E-2</c:v>
                </c:pt>
                <c:pt idx="1">
                  <c:v>3.1658496247742487E-2</c:v>
                </c:pt>
                <c:pt idx="2">
                  <c:v>3.2459270359974597E-2</c:v>
                </c:pt>
                <c:pt idx="3">
                  <c:v>3.3251495099801527E-2</c:v>
                </c:pt>
                <c:pt idx="4">
                  <c:v>3.5566946343028455E-2</c:v>
                </c:pt>
                <c:pt idx="5">
                  <c:v>3.4602961187832154E-2</c:v>
                </c:pt>
                <c:pt idx="6">
                  <c:v>3.2154453375404519E-2</c:v>
                </c:pt>
                <c:pt idx="7">
                  <c:v>3.2801600908598801E-2</c:v>
                </c:pt>
                <c:pt idx="8">
                  <c:v>3.0237317663925442E-2</c:v>
                </c:pt>
                <c:pt idx="9">
                  <c:v>2.4001237939351265E-2</c:v>
                </c:pt>
                <c:pt idx="10">
                  <c:v>1.5847600872617801E-2</c:v>
                </c:pt>
                <c:pt idx="11">
                  <c:v>1.6016463175041049E-2</c:v>
                </c:pt>
                <c:pt idx="12">
                  <c:v>1.7178158546678715E-2</c:v>
                </c:pt>
                <c:pt idx="13">
                  <c:v>1.828947194204943E-2</c:v>
                </c:pt>
                <c:pt idx="14">
                  <c:v>1.872282196340392E-2</c:v>
                </c:pt>
                <c:pt idx="15">
                  <c:v>2.2880474219698479E-2</c:v>
                </c:pt>
                <c:pt idx="16">
                  <c:v>2.2039084839346638E-2</c:v>
                </c:pt>
                <c:pt idx="17">
                  <c:v>2.2444009892816669E-2</c:v>
                </c:pt>
                <c:pt idx="18">
                  <c:v>2.2344645591451613E-2</c:v>
                </c:pt>
                <c:pt idx="19">
                  <c:v>2.5348418469056246E-2</c:v>
                </c:pt>
                <c:pt idx="20">
                  <c:v>2.9512737966259604E-2</c:v>
                </c:pt>
                <c:pt idx="21">
                  <c:v>3.6108817388776401E-2</c:v>
                </c:pt>
                <c:pt idx="22">
                  <c:v>3.9506642562350668E-2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4E8-4D69-8854-E9FEB7F9C51D}"/>
            </c:ext>
          </c:extLst>
        </c:ser>
        <c:ser>
          <c:idx val="2"/>
          <c:order val="1"/>
          <c:tx>
            <c:strRef>
              <c:f>'GRAPHICS DOMESTIC DEBT'!$B$112</c:f>
              <c:strCache>
                <c:ptCount val="1"/>
                <c:pt idx="0">
                  <c:v>   %Current Revenues</c:v>
                </c:pt>
              </c:strCache>
            </c:strRef>
          </c:tx>
          <c:cat>
            <c:numRef>
              <c:f>'GRAPHICS DOMESTIC DEBT'!$C$110:$Y$110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DOMESTIC DEBT'!$C$112:$Y$112</c:f>
              <c:numCache>
                <c:formatCode>0.00%</c:formatCode>
                <c:ptCount val="23"/>
                <c:pt idx="0">
                  <c:v>0.23302591381619486</c:v>
                </c:pt>
                <c:pt idx="1">
                  <c:v>0.26097610964893692</c:v>
                </c:pt>
                <c:pt idx="2">
                  <c:v>0.24962305990397268</c:v>
                </c:pt>
                <c:pt idx="3">
                  <c:v>0.24714076357742307</c:v>
                </c:pt>
                <c:pt idx="4">
                  <c:v>0.27017643943832037</c:v>
                </c:pt>
                <c:pt idx="5">
                  <c:v>0.25631606290173675</c:v>
                </c:pt>
                <c:pt idx="6">
                  <c:v>0.24167385367222716</c:v>
                </c:pt>
                <c:pt idx="7">
                  <c:v>0.24234441818293048</c:v>
                </c:pt>
                <c:pt idx="8">
                  <c:v>0.2183930759335817</c:v>
                </c:pt>
                <c:pt idx="9">
                  <c:v>0.16143458158536084</c:v>
                </c:pt>
                <c:pt idx="10">
                  <c:v>0.10254808248221711</c:v>
                </c:pt>
                <c:pt idx="11">
                  <c:v>0.11895234030799891</c:v>
                </c:pt>
                <c:pt idx="12">
                  <c:v>0.12278820914316019</c:v>
                </c:pt>
                <c:pt idx="13">
                  <c:v>0.12940613563016726</c:v>
                </c:pt>
                <c:pt idx="14">
                  <c:v>0.1298287060053806</c:v>
                </c:pt>
                <c:pt idx="15">
                  <c:v>0.16085905513472037</c:v>
                </c:pt>
                <c:pt idx="16">
                  <c:v>0.1574946998875755</c:v>
                </c:pt>
                <c:pt idx="17">
                  <c:v>0.15647531858303274</c:v>
                </c:pt>
                <c:pt idx="18">
                  <c:v>0.15207993628760516</c:v>
                </c:pt>
                <c:pt idx="19">
                  <c:v>0.17486642546508352</c:v>
                </c:pt>
                <c:pt idx="20">
                  <c:v>0.20787347885015375</c:v>
                </c:pt>
                <c:pt idx="21">
                  <c:v>0.24925290551252494</c:v>
                </c:pt>
                <c:pt idx="22">
                  <c:v>0.30711274310638509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4E8-4D69-8854-E9FEB7F9C51D}"/>
            </c:ext>
          </c:extLst>
        </c:ser>
        <c:ser>
          <c:idx val="3"/>
          <c:order val="2"/>
          <c:tx>
            <c:strRef>
              <c:f>'GRAPHICS DOMESTIC DEBT'!$B$113</c:f>
              <c:strCache>
                <c:ptCount val="1"/>
                <c:pt idx="0">
                  <c:v>   %Total Expenditures</c:v>
                </c:pt>
              </c:strCache>
            </c:strRef>
          </c:tx>
          <c:cat>
            <c:numRef>
              <c:f>'GRAPHICS DOMESTIC DEBT'!$C$110:$Y$110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DOMESTIC DEBT'!$C$113:$Y$113</c:f>
              <c:numCache>
                <c:formatCode>0.00%</c:formatCode>
                <c:ptCount val="23"/>
                <c:pt idx="0">
                  <c:v>0.19399229136461651</c:v>
                </c:pt>
                <c:pt idx="1">
                  <c:v>0.22101151147225656</c:v>
                </c:pt>
                <c:pt idx="2">
                  <c:v>0.20229227779600886</c:v>
                </c:pt>
                <c:pt idx="3">
                  <c:v>0.20512051320646896</c:v>
                </c:pt>
                <c:pt idx="4">
                  <c:v>0.20676464450014115</c:v>
                </c:pt>
                <c:pt idx="5">
                  <c:v>0.20791389221925322</c:v>
                </c:pt>
                <c:pt idx="6">
                  <c:v>0.2037444143056247</c:v>
                </c:pt>
                <c:pt idx="7">
                  <c:v>0.21695741419924069</c:v>
                </c:pt>
                <c:pt idx="8">
                  <c:v>0.208216361271642</c:v>
                </c:pt>
                <c:pt idx="9">
                  <c:v>0.16855317217008825</c:v>
                </c:pt>
                <c:pt idx="10">
                  <c:v>0.10376174272545508</c:v>
                </c:pt>
                <c:pt idx="11">
                  <c:v>9.5570771273210037E-2</c:v>
                </c:pt>
                <c:pt idx="12">
                  <c:v>9.0383206731839819E-2</c:v>
                </c:pt>
                <c:pt idx="13">
                  <c:v>0.10100789073919833</c:v>
                </c:pt>
                <c:pt idx="14">
                  <c:v>7.1127564741609792E-2</c:v>
                </c:pt>
                <c:pt idx="15">
                  <c:v>0.1167477902741177</c:v>
                </c:pt>
                <c:pt idx="16">
                  <c:v>0.1092852892025262</c:v>
                </c:pt>
                <c:pt idx="17">
                  <c:v>0.10607282943689754</c:v>
                </c:pt>
                <c:pt idx="18">
                  <c:v>0.11186389842530996</c:v>
                </c:pt>
                <c:pt idx="19">
                  <c:v>0.12242743065339341</c:v>
                </c:pt>
                <c:pt idx="20">
                  <c:v>0.14636220721817433</c:v>
                </c:pt>
                <c:pt idx="21">
                  <c:v>0.16623640714103793</c:v>
                </c:pt>
                <c:pt idx="22">
                  <c:v>0.18768008372634931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4E8-4D69-8854-E9FEB7F9C5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924736"/>
        <c:axId val="89926656"/>
      </c:lineChart>
      <c:catAx>
        <c:axId val="899247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r>
                  <a:rPr lang="es-ES">
                    <a:solidFill>
                      <a:sysClr val="windowText" lastClr="000000"/>
                    </a:solidFill>
                  </a:rPr>
                  <a:t>PERIOD</a:t>
                </a:r>
              </a:p>
            </c:rich>
          </c:tx>
          <c:layout>
            <c:manualLayout>
              <c:xMode val="edge"/>
              <c:yMode val="edge"/>
              <c:x val="0.50485243799970547"/>
              <c:y val="0.8474682163846760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900" b="1">
                <a:solidFill>
                  <a:sysClr val="windowText" lastClr="000000"/>
                </a:solidFill>
              </a:defRPr>
            </a:pPr>
            <a:endParaRPr lang="es-CR"/>
          </a:p>
        </c:txPr>
        <c:crossAx val="89926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992665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r>
                  <a:rPr lang="es-ES">
                    <a:solidFill>
                      <a:sysClr val="windowText" lastClr="000000"/>
                    </a:solidFill>
                  </a:rPr>
                  <a:t>PERCENT</a:t>
                </a:r>
              </a:p>
            </c:rich>
          </c:tx>
          <c:layout>
            <c:manualLayout>
              <c:xMode val="edge"/>
              <c:yMode val="edge"/>
              <c:x val="1.0729702628507561E-2"/>
              <c:y val="0.41216192062013729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12700"/>
        </c:spPr>
        <c:txPr>
          <a:bodyPr rot="0" vert="horz"/>
          <a:lstStyle/>
          <a:p>
            <a:pPr>
              <a:defRPr b="1">
                <a:solidFill>
                  <a:sysClr val="windowText" lastClr="000000"/>
                </a:solidFill>
              </a:defRPr>
            </a:pPr>
            <a:endParaRPr lang="es-CR"/>
          </a:p>
        </c:txPr>
        <c:crossAx val="89924736"/>
        <c:crosses val="autoZero"/>
        <c:crossBetween val="between"/>
      </c:valAx>
      <c:spPr>
        <a:noFill/>
      </c:spPr>
    </c:plotArea>
    <c:legend>
      <c:legendPos val="b"/>
      <c:overlay val="0"/>
      <c:txPr>
        <a:bodyPr/>
        <a:lstStyle/>
        <a:p>
          <a:pPr>
            <a:defRPr sz="900" b="1">
              <a:solidFill>
                <a:sysClr val="windowText" lastClr="000000"/>
              </a:solidFill>
            </a:defRPr>
          </a:pPr>
          <a:endParaRPr lang="es-CR"/>
        </a:p>
      </c:txPr>
    </c:legend>
    <c:plotVisOnly val="1"/>
    <c:dispBlanksAs val="gap"/>
    <c:showDLblsOverMax val="0"/>
  </c:chart>
  <c:spPr>
    <a:noFill/>
    <a:effectLst/>
  </c:sp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59604834803374"/>
          <c:y val="6.3178213834381824E-2"/>
          <c:w val="0.83779099500974397"/>
          <c:h val="0.72034162396367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'Maturity Profile Domestic Debt'!$D$119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Debt'!$B$120:$B$131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Debt'!$D$120:$D$131</c:f>
              <c:numCache>
                <c:formatCode>_(* #\ ##0.00_);_(* \(#\ ##0.00\);_(* "-"??_);_(@_)</c:formatCode>
                <c:ptCount val="12"/>
                <c:pt idx="0">
                  <c:v>252267.03933410862</c:v>
                </c:pt>
                <c:pt idx="1">
                  <c:v>220721.47461309997</c:v>
                </c:pt>
                <c:pt idx="2">
                  <c:v>2271.6982152131995</c:v>
                </c:pt>
                <c:pt idx="3">
                  <c:v>3568.840229800599</c:v>
                </c:pt>
                <c:pt idx="4">
                  <c:v>258780.47064933172</c:v>
                </c:pt>
                <c:pt idx="5">
                  <c:v>239146.23376139518</c:v>
                </c:pt>
                <c:pt idx="6">
                  <c:v>366655.33516601776</c:v>
                </c:pt>
                <c:pt idx="7">
                  <c:v>287340.81769569317</c:v>
                </c:pt>
                <c:pt idx="8">
                  <c:v>205225.2351645868</c:v>
                </c:pt>
                <c:pt idx="9">
                  <c:v>2194.4743498555999</c:v>
                </c:pt>
                <c:pt idx="10">
                  <c:v>2138.2418196076001</c:v>
                </c:pt>
                <c:pt idx="11">
                  <c:v>203015.63385122723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0D-4938-8D54-76A8FC160C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87619840"/>
        <c:axId val="87633920"/>
      </c:barChart>
      <c:catAx>
        <c:axId val="8761984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87633920"/>
        <c:crosses val="autoZero"/>
        <c:auto val="1"/>
        <c:lblAlgn val="ctr"/>
        <c:lblOffset val="100"/>
        <c:noMultiLvlLbl val="0"/>
      </c:catAx>
      <c:valAx>
        <c:axId val="87633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8761984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53918335938135"/>
          <c:y val="8.8875315819167466E-2"/>
          <c:w val="0.84217552687570862"/>
          <c:h val="0.7210421867998207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Debt'!$D$164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Debt'!$B$165:$B$176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Debt'!$D$165:$D$176</c:f>
              <c:numCache>
                <c:formatCode>0.0%</c:formatCode>
                <c:ptCount val="12"/>
                <c:pt idx="0">
                  <c:v>1.3620555090716443E-2</c:v>
                </c:pt>
                <c:pt idx="1">
                  <c:v>1.1917327815031027E-2</c:v>
                </c:pt>
                <c:pt idx="2">
                  <c:v>1.2265490874855648E-4</c:v>
                </c:pt>
                <c:pt idx="3">
                  <c:v>1.9269098764656474E-4</c:v>
                </c:pt>
                <c:pt idx="4">
                  <c:v>1.397223222734425E-2</c:v>
                </c:pt>
                <c:pt idx="5">
                  <c:v>1.2912128593107171E-2</c:v>
                </c:pt>
                <c:pt idx="6">
                  <c:v>1.9796677382492311E-2</c:v>
                </c:pt>
                <c:pt idx="7">
                  <c:v>1.5514279818586383E-2</c:v>
                </c:pt>
                <c:pt idx="8">
                  <c:v>1.1080645449928766E-2</c:v>
                </c:pt>
                <c:pt idx="9">
                  <c:v>1.1848539094235516E-4</c:v>
                </c:pt>
                <c:pt idx="10">
                  <c:v>1.1544925004120929E-4</c:v>
                </c:pt>
                <c:pt idx="11">
                  <c:v>1.0961343314792224E-2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98-4545-B589-C6B120A126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87655552"/>
        <c:axId val="87657088"/>
      </c:barChart>
      <c:catAx>
        <c:axId val="8765555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87657088"/>
        <c:crosses val="autoZero"/>
        <c:auto val="1"/>
        <c:lblAlgn val="ctr"/>
        <c:lblOffset val="100"/>
        <c:noMultiLvlLbl val="0"/>
      </c:catAx>
      <c:valAx>
        <c:axId val="87657088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8765555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15358768559727"/>
          <c:y val="3.2728793516195093E-2"/>
          <c:w val="0.84986090506802592"/>
          <c:h val="0.7761956678492111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Debt'!$D$141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Debt'!$B$142:$B$153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Debt'!$D$142:$D$153</c:f>
              <c:numCache>
                <c:formatCode>_(* #\ ##0.00_);_(* \(#\ ##0.00\);_(* "-"??_);_(@_)</c:formatCode>
                <c:ptCount val="12"/>
                <c:pt idx="0">
                  <c:v>409.69733870482457</c:v>
                </c:pt>
                <c:pt idx="1">
                  <c:v>358.46538248790068</c:v>
                </c:pt>
                <c:pt idx="2">
                  <c:v>3.6893789833585604</c:v>
                </c:pt>
                <c:pt idx="3">
                  <c:v>5.7960181729311078</c:v>
                </c:pt>
                <c:pt idx="4">
                  <c:v>420.27555567176358</c:v>
                </c:pt>
                <c:pt idx="5">
                  <c:v>388.38833559845904</c:v>
                </c:pt>
                <c:pt idx="6">
                  <c:v>595.4710351219959</c:v>
                </c:pt>
                <c:pt idx="7">
                  <c:v>466.65933299069923</c:v>
                </c:pt>
                <c:pt idx="8">
                  <c:v>333.29852724297075</c:v>
                </c:pt>
                <c:pt idx="9">
                  <c:v>3.563962630096468</c:v>
                </c:pt>
                <c:pt idx="10">
                  <c:v>3.4726375087010739</c:v>
                </c:pt>
                <c:pt idx="11">
                  <c:v>329.70999748469683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17-481A-9581-04959FB356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87664512"/>
        <c:axId val="87666048"/>
      </c:barChart>
      <c:catAx>
        <c:axId val="8766451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87666048"/>
        <c:crosses val="autoZero"/>
        <c:auto val="1"/>
        <c:lblAlgn val="ctr"/>
        <c:lblOffset val="100"/>
        <c:noMultiLvlLbl val="0"/>
      </c:catAx>
      <c:valAx>
        <c:axId val="87666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8766451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
Datos al 30 de Septiembre del 2007
- En millones de colones-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Deuda Interna</c:v>
          </c:tx>
          <c:spPr>
            <a:gradFill rotWithShape="0">
              <a:gsLst>
                <a:gs pos="0">
                  <a:srgbClr val="FFFF99"/>
                </a:gs>
                <a:gs pos="100000">
                  <a:srgbClr val="FFFFCC"/>
                </a:gs>
              </a:gsLst>
              <a:path path="rect">
                <a:fillToRect r="100000" b="10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276610.44230673759</c:v>
              </c:pt>
              <c:pt idx="1">
                <c:v>607819.60380162543</c:v>
              </c:pt>
              <c:pt idx="2">
                <c:v>365834.87417318602</c:v>
              </c:pt>
              <c:pt idx="3">
                <c:v>315140.90774585499</c:v>
              </c:pt>
              <c:pt idx="4">
                <c:v>356519.31541266822</c:v>
              </c:pt>
              <c:pt idx="5">
                <c:v>177623.8500642358</c:v>
              </c:pt>
              <c:pt idx="6">
                <c:v>53407.972886433199</c:v>
              </c:pt>
              <c:pt idx="7">
                <c:v>91045.690173931987</c:v>
              </c:pt>
              <c:pt idx="8">
                <c:v>273607.6669798232</c:v>
              </c:pt>
              <c:pt idx="9">
                <c:v>162471.33090178511</c:v>
              </c:pt>
              <c:pt idx="10">
                <c:v>4805.8409894705464</c:v>
              </c:pt>
              <c:pt idx="11">
                <c:v>2360.4345289922512</c:v>
              </c:pt>
              <c:pt idx="12">
                <c:v>2267.14291498475</c:v>
              </c:pt>
              <c:pt idx="13">
                <c:v>1865.6589907709999</c:v>
              </c:pt>
              <c:pt idx="14">
                <c:v>216.51707237775</c:v>
              </c:pt>
            </c:numLit>
          </c:val>
          <c:extLst>
            <c:ext xmlns:c16="http://schemas.microsoft.com/office/drawing/2014/chart" uri="{C3380CC4-5D6E-409C-BE32-E72D297353CC}">
              <c16:uniqueId val="{00000000-A0B5-48AB-80A3-2D9E24FAB454}"/>
            </c:ext>
          </c:extLst>
        </c:ser>
        <c:ser>
          <c:idx val="1"/>
          <c:order val="1"/>
          <c:tx>
            <c:v>Deuda Externa</c:v>
          </c:tx>
          <c:spPr>
            <a:blipFill dpi="0" rotWithShape="0">
              <a:blip xmlns:r="http://schemas.openxmlformats.org/officeDocument/2006/relationships" r:embed="rId1"/>
              <a:srcRect/>
              <a:tile tx="0" ty="0" sx="100000" sy="100000" flip="none" algn="tl"/>
            </a:blip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7373.1362790622661</c:v>
              </c:pt>
              <c:pt idx="1">
                <c:v>139418.000560566</c:v>
              </c:pt>
              <c:pt idx="2">
                <c:v>190322.08704482499</c:v>
              </c:pt>
              <c:pt idx="3">
                <c:v>33030.115724032476</c:v>
              </c:pt>
              <c:pt idx="4">
                <c:v>160103.11417900817</c:v>
              </c:pt>
              <c:pt idx="5">
                <c:v>157294.28352282598</c:v>
              </c:pt>
              <c:pt idx="6">
                <c:v>152304.83877143901</c:v>
              </c:pt>
              <c:pt idx="7">
                <c:v>146520.05012365201</c:v>
              </c:pt>
              <c:pt idx="8">
                <c:v>13604.537319320189</c:v>
              </c:pt>
              <c:pt idx="9">
                <c:v>13060.7668595346</c:v>
              </c:pt>
              <c:pt idx="10">
                <c:v>10232.73879893939</c:v>
              </c:pt>
              <c:pt idx="11">
                <c:v>5881.6793350992502</c:v>
              </c:pt>
              <c:pt idx="12">
                <c:v>4091.5481086497498</c:v>
              </c:pt>
              <c:pt idx="13">
                <c:v>133533.04715604399</c:v>
              </c:pt>
              <c:pt idx="14">
                <c:v>3031.0572263198701</c:v>
              </c:pt>
            </c:numLit>
          </c:val>
          <c:extLst>
            <c:ext xmlns:c16="http://schemas.microsoft.com/office/drawing/2014/chart" uri="{C3380CC4-5D6E-409C-BE32-E72D297353CC}">
              <c16:uniqueId val="{00000001-A0B5-48AB-80A3-2D9E24FAB4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87779200"/>
        <c:axId val="87780736"/>
      </c:barChart>
      <c:catAx>
        <c:axId val="8777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s-ES" sz="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87780736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87780736"/>
        <c:scaling>
          <c:orientation val="minMax"/>
          <c:max val="10000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s-ES"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R"/>
          </a:p>
        </c:txPr>
        <c:crossAx val="87779200"/>
        <c:crosses val="autoZero"/>
        <c:crossBetween val="between"/>
        <c:minorUnit val="50000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lang="es-ES" sz="46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C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Central. 
Datos al 31 de Septiembre del 2007. Datos porcentuales.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379,8536612</c:v>
          </c:tx>
          <c:spPr>
            <a:gradFill rotWithShape="0">
              <a:gsLst>
                <a:gs pos="0">
                  <a:srgbClr val="FFFFCC"/>
                </a:gs>
                <a:gs pos="100000">
                  <a:srgbClr val="FFFF99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B7-4953-89E6-2851F3DFB1BE}"/>
                </c:ext>
              </c:extLst>
            </c:dLbl>
            <c:dLbl>
              <c:idx val="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B7-4953-89E6-2851F3DFB1BE}"/>
                </c:ext>
              </c:extLst>
            </c:dLbl>
            <c:dLbl>
              <c:idx val="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B7-4953-89E6-2851F3DFB1BE}"/>
                </c:ext>
              </c:extLst>
            </c:dLbl>
            <c:dLbl>
              <c:idx val="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FB7-4953-89E6-2851F3DFB1BE}"/>
                </c:ext>
              </c:extLst>
            </c:dLbl>
            <c:dLbl>
              <c:idx val="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FB7-4953-89E6-2851F3DFB1BE}"/>
                </c:ext>
              </c:extLst>
            </c:dLbl>
            <c:dLbl>
              <c:idx val="5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FB7-4953-89E6-2851F3DFB1BE}"/>
                </c:ext>
              </c:extLst>
            </c:dLbl>
            <c:dLbl>
              <c:idx val="6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FB7-4953-89E6-2851F3DFB1BE}"/>
                </c:ext>
              </c:extLst>
            </c:dLbl>
            <c:dLbl>
              <c:idx val="7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FB7-4953-89E6-2851F3DFB1BE}"/>
                </c:ext>
              </c:extLst>
            </c:dLbl>
            <c:dLbl>
              <c:idx val="8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FB7-4953-89E6-2851F3DFB1BE}"/>
                </c:ext>
              </c:extLst>
            </c:dLbl>
            <c:dLbl>
              <c:idx val="9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FB7-4953-89E6-2851F3DFB1BE}"/>
                </c:ext>
              </c:extLst>
            </c:dLbl>
            <c:dLbl>
              <c:idx val="1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FB7-4953-89E6-2851F3DFB1BE}"/>
                </c:ext>
              </c:extLst>
            </c:dLbl>
            <c:dLbl>
              <c:idx val="1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FB7-4953-89E6-2851F3DFB1BE}"/>
                </c:ext>
              </c:extLst>
            </c:dLbl>
            <c:dLbl>
              <c:idx val="1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FB7-4953-89E6-2851F3DFB1BE}"/>
                </c:ext>
              </c:extLst>
            </c:dLbl>
            <c:dLbl>
              <c:idx val="1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FB7-4953-89E6-2851F3DFB1BE}"/>
                </c:ext>
              </c:extLst>
            </c:dLbl>
            <c:dLbl>
              <c:idx val="1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FB7-4953-89E6-2851F3DFB1BE}"/>
                </c:ext>
              </c:extLst>
            </c:dLbl>
            <c:dLbl>
              <c:idx val="15"/>
              <c:numFmt formatCode="#.#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lang="es-ES"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FB7-4953-89E6-2851F3DFB1BE}"/>
                </c:ext>
              </c:extLst>
            </c:dLbl>
            <c:dLbl>
              <c:idx val="16"/>
              <c:numFmt formatCode="#.#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lang="es-ES"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FB7-4953-89E6-2851F3DFB1BE}"/>
                </c:ext>
              </c:extLst>
            </c:dLbl>
            <c:dLbl>
              <c:idx val="17"/>
              <c:numFmt formatCode="#.#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lang="es-ES"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FB7-4953-89E6-2851F3DFB1BE}"/>
                </c:ext>
              </c:extLst>
            </c:dLbl>
            <c:numFmt formatCode="#.#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s-ES" sz="1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20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  <c:pt idx="15">
                <c:v>2022</c:v>
              </c:pt>
              <c:pt idx="16">
                <c:v>2023</c:v>
              </c:pt>
              <c:pt idx="17">
                <c:v>2024</c:v>
              </c:pt>
              <c:pt idx="18">
                <c:v>2025</c:v>
              </c:pt>
              <c:pt idx="19">
                <c:v>2026</c:v>
              </c:pt>
            </c:numLit>
          </c:cat>
          <c:val>
            <c:numLit>
              <c:formatCode>General</c:formatCode>
              <c:ptCount val="27"/>
              <c:pt idx="0">
                <c:v>144.36131855444634</c:v>
              </c:pt>
              <c:pt idx="1">
                <c:v>379.85366117943744</c:v>
              </c:pt>
              <c:pt idx="2">
                <c:v>282.71898613749403</c:v>
              </c:pt>
              <c:pt idx="3">
                <c:v>176.99060808712014</c:v>
              </c:pt>
              <c:pt idx="4">
                <c:v>262.62184903731298</c:v>
              </c:pt>
              <c:pt idx="5">
                <c:v>170.25358265663999</c:v>
              </c:pt>
              <c:pt idx="6">
                <c:v>104.57284831971714</c:v>
              </c:pt>
              <c:pt idx="7">
                <c:v>120.76508957263127</c:v>
              </c:pt>
              <c:pt idx="8">
                <c:v>146.00256558496486</c:v>
              </c:pt>
              <c:pt idx="9">
                <c:v>89.230667193275593</c:v>
              </c:pt>
              <c:pt idx="10">
                <c:v>7.6447699610117601</c:v>
              </c:pt>
              <c:pt idx="11">
                <c:v>4.1898281200732903</c:v>
              </c:pt>
              <c:pt idx="12">
                <c:v>3.2324016504736877</c:v>
              </c:pt>
              <c:pt idx="13">
                <c:v>68.829103284658103</c:v>
              </c:pt>
              <c:pt idx="14">
                <c:v>1.65088451131346</c:v>
              </c:pt>
              <c:pt idx="15">
                <c:v>5.4236824030592814</c:v>
              </c:pt>
              <c:pt idx="16">
                <c:v>1</c:v>
              </c:pt>
              <c:pt idx="17">
                <c:v>0.99174254215095659</c:v>
              </c:pt>
              <c:pt idx="18">
                <c:v>0.99174254215095659</c:v>
              </c:pt>
              <c:pt idx="19">
                <c:v>0.99174254215095659</c:v>
              </c:pt>
              <c:pt idx="20">
                <c:v>0.9234443752532</c:v>
              </c:pt>
              <c:pt idx="21">
                <c:v>0.84615951913208165</c:v>
              </c:pt>
              <c:pt idx="22">
                <c:v>0.45996719587925544</c:v>
              </c:pt>
              <c:pt idx="23">
                <c:v>8.2761530164502897E-2</c:v>
              </c:pt>
              <c:pt idx="24">
                <c:v>8.2761530164502897E-2</c:v>
              </c:pt>
              <c:pt idx="25">
                <c:v>8.2761530164502897E-2</c:v>
              </c:pt>
              <c:pt idx="26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2-8FB7-4953-89E6-2851F3DFB1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013120"/>
        <c:axId val="93014656"/>
      </c:barChart>
      <c:catAx>
        <c:axId val="93013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s-ES" sz="1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9301465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93014656"/>
        <c:scaling>
          <c:orientation val="minMax"/>
          <c:max val="0.30000000000000032"/>
          <c:min val="0"/>
        </c:scaling>
        <c:delete val="1"/>
        <c:axPos val="l"/>
        <c:numFmt formatCode="General" sourceLinked="1"/>
        <c:majorTickMark val="out"/>
        <c:minorTickMark val="none"/>
        <c:tickLblPos val="none"/>
        <c:crossAx val="93013120"/>
        <c:crosses val="autoZero"/>
        <c:crossBetween val="between"/>
        <c:majorUnit val="0.0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54" r="0.75000000000001454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30479379732705"/>
          <c:y val="5.6431714151673112E-2"/>
          <c:w val="0.86283645578785406"/>
          <c:h val="0.7683829521309836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Debt'!$E$119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Debt'!$B$120:$B$131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Debt'!$E$120:$E$131</c:f>
              <c:numCache>
                <c:formatCode>_(* #\ ##0.00_);_(* \(#\ ##0.00\);_(* "-"??_);_(@_)</c:formatCode>
                <c:ptCount val="12"/>
                <c:pt idx="0">
                  <c:v>526.50784001964996</c:v>
                </c:pt>
                <c:pt idx="1">
                  <c:v>429142.20246111753</c:v>
                </c:pt>
                <c:pt idx="2">
                  <c:v>185251.83167606324</c:v>
                </c:pt>
                <c:pt idx="3">
                  <c:v>22024.11171467571</c:v>
                </c:pt>
                <c:pt idx="4">
                  <c:v>45382.539521748055</c:v>
                </c:pt>
                <c:pt idx="5">
                  <c:v>293307.14925214293</c:v>
                </c:pt>
                <c:pt idx="6">
                  <c:v>254978.85784822059</c:v>
                </c:pt>
                <c:pt idx="7">
                  <c:v>220924.98298957018</c:v>
                </c:pt>
                <c:pt idx="8">
                  <c:v>228028.06679479059</c:v>
                </c:pt>
                <c:pt idx="9">
                  <c:v>1019.4968072202</c:v>
                </c:pt>
                <c:pt idx="10">
                  <c:v>721.86973826240001</c:v>
                </c:pt>
                <c:pt idx="11">
                  <c:v>527.38636874730003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CE-4DB4-AFDA-A8D439DF0C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055616"/>
        <c:axId val="93135232"/>
      </c:barChart>
      <c:catAx>
        <c:axId val="9305561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3135232"/>
        <c:crossesAt val="0"/>
        <c:auto val="1"/>
        <c:lblAlgn val="ctr"/>
        <c:lblOffset val="100"/>
        <c:noMultiLvlLbl val="0"/>
      </c:catAx>
      <c:valAx>
        <c:axId val="93135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9305561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13915748654934"/>
          <c:y val="3.0732752608822446E-2"/>
          <c:w val="0.85486424648225401"/>
          <c:h val="0.7857184136386622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Debt'!$E$164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Debt'!$B$165:$B$176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Debt'!$E$165:$E$176</c:f>
              <c:numCache>
                <c:formatCode>0.0%</c:formatCode>
                <c:ptCount val="12"/>
                <c:pt idx="0">
                  <c:v>2.8427530840380134E-5</c:v>
                </c:pt>
                <c:pt idx="1">
                  <c:v>2.317050624529499E-2</c:v>
                </c:pt>
                <c:pt idx="2">
                  <c:v>1.0002229326749729E-2</c:v>
                </c:pt>
                <c:pt idx="3">
                  <c:v>1.1891392063175252E-3</c:v>
                </c:pt>
                <c:pt idx="4">
                  <c:v>2.4503216169033957E-3</c:v>
                </c:pt>
                <c:pt idx="5">
                  <c:v>1.5836417612999053E-2</c:v>
                </c:pt>
                <c:pt idx="6">
                  <c:v>1.3766973241755855E-2</c:v>
                </c:pt>
                <c:pt idx="7">
                  <c:v>1.1928315762804353E-2</c:v>
                </c:pt>
                <c:pt idx="8">
                  <c:v>1.2311829774537153E-2</c:v>
                </c:pt>
                <c:pt idx="9">
                  <c:v>5.504529035662542E-5</c:v>
                </c:pt>
                <c:pt idx="10">
                  <c:v>3.8975629017082906E-5</c:v>
                </c:pt>
                <c:pt idx="11">
                  <c:v>2.8474964896629897E-5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2E-47AE-B835-FF19296158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165056"/>
        <c:axId val="93166592"/>
      </c:barChart>
      <c:catAx>
        <c:axId val="9316505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3166592"/>
        <c:crosses val="autoZero"/>
        <c:auto val="1"/>
        <c:lblAlgn val="ctr"/>
        <c:lblOffset val="100"/>
        <c:noMultiLvlLbl val="0"/>
      </c:catAx>
      <c:valAx>
        <c:axId val="93166592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9316505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30241130649514"/>
          <c:y val="3.0854085823004179E-2"/>
          <c:w val="0.85762626084295523"/>
          <c:h val="0.8043572065453539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Debt'!$E$141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Debt'!$B$142:$B$153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Debt'!$E$142:$E$153</c:f>
              <c:numCache>
                <c:formatCode>_(* #\ ##0.00_);_(* \(#\ ##0.00\);_(* "-"??_);_(@_)</c:formatCode>
                <c:ptCount val="12"/>
                <c:pt idx="0">
                  <c:v>0.85508143050581398</c:v>
                </c:pt>
                <c:pt idx="1">
                  <c:v>696.95358830207147</c:v>
                </c:pt>
                <c:pt idx="2">
                  <c:v>300.86047954666446</c:v>
                </c:pt>
                <c:pt idx="3">
                  <c:v>35.768525213037492</c:v>
                </c:pt>
                <c:pt idx="4">
                  <c:v>73.704062626673689</c:v>
                </c:pt>
                <c:pt idx="5">
                  <c:v>476.34902597223356</c:v>
                </c:pt>
                <c:pt idx="6">
                  <c:v>414.10150038688499</c:v>
                </c:pt>
                <c:pt idx="7">
                  <c:v>358.79589272999988</c:v>
                </c:pt>
                <c:pt idx="8">
                  <c:v>370.33174196055245</c:v>
                </c:pt>
                <c:pt idx="9">
                  <c:v>1.6557261298928119</c:v>
                </c:pt>
                <c:pt idx="10">
                  <c:v>1.1723612860337156</c:v>
                </c:pt>
                <c:pt idx="11">
                  <c:v>0.85650821571978419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F4-4819-9A14-6060C699AD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462912"/>
        <c:axId val="93464448"/>
      </c:barChart>
      <c:catAx>
        <c:axId val="9346291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3464448"/>
        <c:crosses val="autoZero"/>
        <c:auto val="1"/>
        <c:lblAlgn val="ctr"/>
        <c:lblOffset val="100"/>
        <c:noMultiLvlLbl val="0"/>
      </c:catAx>
      <c:valAx>
        <c:axId val="93464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9346291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>
                <a:solidFill>
                  <a:sysClr val="windowText" lastClr="000000"/>
                </a:solidFill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7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46784926371674"/>
          <c:y val="3.4444583315974393E-2"/>
          <c:w val="0.84930883639546195"/>
          <c:h val="0.7864278076351567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Debt'!$F$119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Debt'!$B$120:$B$131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Debt'!$F$120:$F$131</c:f>
              <c:numCache>
                <c:formatCode>_(* #\ ##0.00_);_(* \(#\ ##0.00\);_(* "-"??_);_(@_)</c:formatCode>
                <c:ptCount val="12"/>
                <c:pt idx="0">
                  <c:v>421584.79214033461</c:v>
                </c:pt>
                <c:pt idx="1">
                  <c:v>283172.10527178878</c:v>
                </c:pt>
                <c:pt idx="2">
                  <c:v>290569.42105795065</c:v>
                </c:pt>
                <c:pt idx="3">
                  <c:v>4132.7520893259998</c:v>
                </c:pt>
                <c:pt idx="4">
                  <c:v>163099.58697121602</c:v>
                </c:pt>
                <c:pt idx="5">
                  <c:v>107470.78639034792</c:v>
                </c:pt>
                <c:pt idx="6">
                  <c:v>276449.09886253643</c:v>
                </c:pt>
                <c:pt idx="7">
                  <c:v>425.86083884299995</c:v>
                </c:pt>
                <c:pt idx="8">
                  <c:v>233172.68520999578</c:v>
                </c:pt>
                <c:pt idx="9">
                  <c:v>725.89592910179999</c:v>
                </c:pt>
                <c:pt idx="10">
                  <c:v>95733.285829498782</c:v>
                </c:pt>
                <c:pt idx="11">
                  <c:v>484.81250261360003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5F-4518-912A-13D6E977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474176"/>
        <c:axId val="93504640"/>
      </c:barChart>
      <c:catAx>
        <c:axId val="9347417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3504640"/>
        <c:crosses val="autoZero"/>
        <c:auto val="1"/>
        <c:lblAlgn val="ctr"/>
        <c:lblOffset val="100"/>
        <c:noMultiLvlLbl val="0"/>
      </c:catAx>
      <c:valAx>
        <c:axId val="93504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9347417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46263729551777"/>
          <c:y val="8.1074720732372221E-2"/>
          <c:w val="0.83754903825427607"/>
          <c:h val="0.74671916010498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Debt'!$F$164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Debt'!$B$165:$B$176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Debt'!$F$165:$F$176</c:f>
              <c:numCache>
                <c:formatCode>0.0%</c:formatCode>
                <c:ptCount val="12"/>
                <c:pt idx="0">
                  <c:v>2.2762461960599351E-2</c:v>
                </c:pt>
                <c:pt idx="1">
                  <c:v>1.5289200167368283E-2</c:v>
                </c:pt>
                <c:pt idx="2">
                  <c:v>1.5688600530787942E-2</c:v>
                </c:pt>
                <c:pt idx="3">
                  <c:v>2.2313805900891359E-4</c:v>
                </c:pt>
                <c:pt idx="4">
                  <c:v>8.8061718862618727E-3</c:v>
                </c:pt>
                <c:pt idx="5">
                  <c:v>5.8026279237123985E-3</c:v>
                </c:pt>
                <c:pt idx="6">
                  <c:v>1.492620752507076E-2</c:v>
                </c:pt>
                <c:pt idx="7">
                  <c:v>2.2993336869338388E-5</c:v>
                </c:pt>
                <c:pt idx="8">
                  <c:v>1.2589601134323126E-2</c:v>
                </c:pt>
                <c:pt idx="9">
                  <c:v>3.9193013556412892E-5</c:v>
                </c:pt>
                <c:pt idx="10">
                  <c:v>5.1688896698431587E-3</c:v>
                </c:pt>
                <c:pt idx="11">
                  <c:v>2.6176290877901506E-5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4D-4E9D-B3C5-31BBCFF1BF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8765056"/>
        <c:axId val="98775040"/>
      </c:barChart>
      <c:catAx>
        <c:axId val="9876505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8775040"/>
        <c:crosses val="autoZero"/>
        <c:auto val="1"/>
        <c:lblAlgn val="ctr"/>
        <c:lblOffset val="100"/>
        <c:noMultiLvlLbl val="0"/>
      </c:catAx>
      <c:valAx>
        <c:axId val="98775040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9876505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2625886442137"/>
          <c:y val="7.616092764523838E-2"/>
          <c:w val="0.85907644349749746"/>
          <c:h val="0.7437620297462816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Debt'!$F$141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Debt'!$B$142:$B$153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Debt'!$F$142:$F$153</c:f>
              <c:numCache>
                <c:formatCode>_(* #\ ##0.00_);_(* \(#\ ##0.00\);_(* "-"??_);_(@_)</c:formatCode>
                <c:ptCount val="12"/>
                <c:pt idx="0">
                  <c:v>684.67988459469018</c:v>
                </c:pt>
                <c:pt idx="1">
                  <c:v>459.88908511999995</c:v>
                </c:pt>
                <c:pt idx="2">
                  <c:v>471.9027853606238</c:v>
                </c:pt>
                <c:pt idx="3">
                  <c:v>6.7118460540585296</c:v>
                </c:pt>
                <c:pt idx="4">
                  <c:v>264.88385840000001</c:v>
                </c:pt>
                <c:pt idx="5">
                  <c:v>174.53923147813668</c:v>
                </c:pt>
                <c:pt idx="6">
                  <c:v>448.97050518487748</c:v>
                </c:pt>
                <c:pt idx="7">
                  <c:v>0.69162444999999995</c:v>
                </c:pt>
                <c:pt idx="8">
                  <c:v>378.68692176892159</c:v>
                </c:pt>
                <c:pt idx="9">
                  <c:v>1.1789000699999999</c:v>
                </c:pt>
                <c:pt idx="10">
                  <c:v>155.47680162000003</c:v>
                </c:pt>
                <c:pt idx="11">
                  <c:v>0.78736561310553144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18-43BF-BC96-3EF9265F5B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8800768"/>
        <c:axId val="98802304"/>
      </c:barChart>
      <c:catAx>
        <c:axId val="9880076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8802304"/>
        <c:crosses val="autoZero"/>
        <c:auto val="1"/>
        <c:lblAlgn val="ctr"/>
        <c:lblOffset val="100"/>
        <c:noMultiLvlLbl val="0"/>
      </c:catAx>
      <c:valAx>
        <c:axId val="988023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988007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6752982596605"/>
          <c:y val="5.3435186273357631E-2"/>
          <c:w val="0.84840937015564688"/>
          <c:h val="0.7440002089291077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Debt'!$G$119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ysClr val="windowText" lastClr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Debt'!$B$120:$B$131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Debt'!$G$120:$G$131</c:f>
              <c:numCache>
                <c:formatCode>_(* #\ ##0.00_);_(* \(#\ ##0.00\);_(* "-"??_);_(@_)</c:formatCode>
                <c:ptCount val="12"/>
                <c:pt idx="0">
                  <c:v>448.79215452840009</c:v>
                </c:pt>
                <c:pt idx="1">
                  <c:v>496707.78013193334</c:v>
                </c:pt>
                <c:pt idx="2">
                  <c:v>9621.6144884204477</c:v>
                </c:pt>
                <c:pt idx="3">
                  <c:v>731.62002670640015</c:v>
                </c:pt>
                <c:pt idx="4">
                  <c:v>432.95248267279999</c:v>
                </c:pt>
                <c:pt idx="5">
                  <c:v>150610.83909693797</c:v>
                </c:pt>
                <c:pt idx="6">
                  <c:v>87358.117241197979</c:v>
                </c:pt>
                <c:pt idx="7">
                  <c:v>136301.3274883964</c:v>
                </c:pt>
                <c:pt idx="8">
                  <c:v>310060.50437147415</c:v>
                </c:pt>
                <c:pt idx="9">
                  <c:v>733.31991243919992</c:v>
                </c:pt>
                <c:pt idx="10">
                  <c:v>244489.99025287744</c:v>
                </c:pt>
                <c:pt idx="11">
                  <c:v>3831.2432874014498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32-492B-8087-44268685A0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8836480"/>
        <c:axId val="98838016"/>
      </c:barChart>
      <c:catAx>
        <c:axId val="9883648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8838016"/>
        <c:crosses val="autoZero"/>
        <c:auto val="1"/>
        <c:lblAlgn val="ctr"/>
        <c:lblOffset val="100"/>
        <c:noMultiLvlLbl val="0"/>
      </c:catAx>
      <c:valAx>
        <c:axId val="98838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988364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3749078928939"/>
          <c:y val="8.5679840259202056E-2"/>
          <c:w val="0.85936308575613218"/>
          <c:h val="0.7008196907041296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Debt'!$G$141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ysClr val="windowText" lastClr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Debt'!$B$142:$B$153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Debt'!$G$142:$G$153</c:f>
              <c:numCache>
                <c:formatCode>_(* #\ ##0.00_);_(* \(#\ ##0.00\);_(* "-"??_);_(@_)</c:formatCode>
                <c:ptCount val="12"/>
                <c:pt idx="0">
                  <c:v>0.72886633080261154</c:v>
                </c:pt>
                <c:pt idx="1">
                  <c:v>806.68428254122409</c:v>
                </c:pt>
                <c:pt idx="2">
                  <c:v>15.626099471238591</c:v>
                </c:pt>
                <c:pt idx="3">
                  <c:v>1.1881963599999998</c:v>
                </c:pt>
                <c:pt idx="4">
                  <c:v>0.70314171999999997</c:v>
                </c:pt>
                <c:pt idx="5">
                  <c:v>244.60135624929018</c:v>
                </c:pt>
                <c:pt idx="6">
                  <c:v>141.87500769999997</c:v>
                </c:pt>
                <c:pt idx="7">
                  <c:v>221.36182071718</c:v>
                </c:pt>
                <c:pt idx="8">
                  <c:v>503.557515138653</c:v>
                </c:pt>
                <c:pt idx="9">
                  <c:v>1.19095708</c:v>
                </c:pt>
                <c:pt idx="10">
                  <c:v>397.06692800999997</c:v>
                </c:pt>
                <c:pt idx="11">
                  <c:v>6.2221770347897642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62-479C-8F49-0809A438D1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8855552"/>
        <c:axId val="98886016"/>
      </c:barChart>
      <c:catAx>
        <c:axId val="9885555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8886016"/>
        <c:crosses val="autoZero"/>
        <c:auto val="1"/>
        <c:lblAlgn val="ctr"/>
        <c:lblOffset val="100"/>
        <c:noMultiLvlLbl val="0"/>
      </c:catAx>
      <c:valAx>
        <c:axId val="98886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9885555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01810691385097"/>
          <c:y val="6.8461569207402387E-2"/>
          <c:w val="0.84210425595534733"/>
          <c:h val="0.7294792804184245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Debt'!$G$164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Debt'!$B$165:$B$176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Debt'!$G$165:$G$176</c:f>
              <c:numCache>
                <c:formatCode>0.0%</c:formatCode>
                <c:ptCount val="12"/>
                <c:pt idx="0">
                  <c:v>2.4231458383032993E-5</c:v>
                </c:pt>
                <c:pt idx="1">
                  <c:v>2.6818547921015394E-2</c:v>
                </c:pt>
                <c:pt idx="2">
                  <c:v>5.194960488976053E-4</c:v>
                </c:pt>
                <c:pt idx="3">
                  <c:v>3.9502072508283471E-5</c:v>
                </c:pt>
                <c:pt idx="4">
                  <c:v>2.3376233206975274E-5</c:v>
                </c:pt>
                <c:pt idx="5">
                  <c:v>8.1318718315076619E-3</c:v>
                </c:pt>
                <c:pt idx="6">
                  <c:v>4.7166924844633199E-3</c:v>
                </c:pt>
                <c:pt idx="7">
                  <c:v>7.3592639961762626E-3</c:v>
                </c:pt>
                <c:pt idx="8">
                  <c:v>1.6740974930354202E-2</c:v>
                </c:pt>
                <c:pt idx="9">
                  <c:v>3.9593853770443759E-5</c:v>
                </c:pt>
                <c:pt idx="10">
                  <c:v>1.3200651936766068E-2</c:v>
                </c:pt>
                <c:pt idx="11">
                  <c:v>2.0685881278717391E-4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7D-4C59-8085-977BF35E1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8915840"/>
        <c:axId val="98917376"/>
      </c:barChart>
      <c:catAx>
        <c:axId val="9891584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8917376"/>
        <c:crosses val="autoZero"/>
        <c:auto val="1"/>
        <c:lblAlgn val="ctr"/>
        <c:lblOffset val="100"/>
        <c:noMultiLvlLbl val="0"/>
      </c:catAx>
      <c:valAx>
        <c:axId val="98917376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9891584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41542284012642"/>
          <c:y val="4.3907982090473988E-2"/>
          <c:w val="0.84010258869925458"/>
          <c:h val="0.67789680136136865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Debt'!$C$164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Debt'!$B$165:$B$176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Debt'!$C$165:$C$176</c:f>
              <c:numCache>
                <c:formatCode>0.0%</c:formatCode>
                <c:ptCount val="12"/>
                <c:pt idx="0">
                  <c:v>1.2270336808220072E-2</c:v>
                </c:pt>
                <c:pt idx="1">
                  <c:v>7.85294004978912E-3</c:v>
                </c:pt>
                <c:pt idx="2">
                  <c:v>1.2667119118179013E-2</c:v>
                </c:pt>
                <c:pt idx="3">
                  <c:v>1.1113370076605698E-2</c:v>
                </c:pt>
                <c:pt idx="4">
                  <c:v>1.1495737012113276E-2</c:v>
                </c:pt>
                <c:pt idx="5">
                  <c:v>6.4406910050472596E-3</c:v>
                </c:pt>
                <c:pt idx="6">
                  <c:v>9.9640379734659262E-3</c:v>
                </c:pt>
                <c:pt idx="7">
                  <c:v>1.4002931798856482E-3</c:v>
                </c:pt>
                <c:pt idx="8">
                  <c:v>3.2376472624523365E-3</c:v>
                </c:pt>
                <c:pt idx="9">
                  <c:v>8.7361649514052838E-3</c:v>
                </c:pt>
                <c:pt idx="10">
                  <c:v>2.4597500013642869E-2</c:v>
                </c:pt>
                <c:pt idx="11">
                  <c:v>1.711928783097097E-2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37-40DA-9D78-DD72F4D0DE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8947456"/>
        <c:axId val="98948992"/>
      </c:barChart>
      <c:catAx>
        <c:axId val="9894745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8948992"/>
        <c:crosses val="autoZero"/>
        <c:auto val="1"/>
        <c:lblAlgn val="ctr"/>
        <c:lblOffset val="100"/>
        <c:noMultiLvlLbl val="0"/>
      </c:catAx>
      <c:valAx>
        <c:axId val="98948992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9894745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9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73176001494518"/>
          <c:y val="9.9229753143602745E-2"/>
          <c:w val="0.84765893549900428"/>
          <c:h val="0.70739471291579725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Debt'!$C$141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Debt'!$B$142:$B$153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Debt'!$C$142:$C$153</c:f>
              <c:numCache>
                <c:formatCode>_(* #\ ##0.00_);_(* \(#\ ##0.00\);_(* "-"??_);_(@_)</c:formatCode>
                <c:ptCount val="12"/>
                <c:pt idx="0">
                  <c:v>369.08366082422157</c:v>
                </c:pt>
                <c:pt idx="1">
                  <c:v>236.21127171241463</c:v>
                </c:pt>
                <c:pt idx="2">
                  <c:v>381.01861173867667</c:v>
                </c:pt>
                <c:pt idx="3">
                  <c:v>334.28286248998177</c:v>
                </c:pt>
                <c:pt idx="4">
                  <c:v>345.78420842212739</c:v>
                </c:pt>
                <c:pt idx="5">
                  <c:v>193.73174930194176</c:v>
                </c:pt>
                <c:pt idx="6">
                  <c:v>299.71170875885923</c:v>
                </c:pt>
                <c:pt idx="7">
                  <c:v>42.119897859132678</c:v>
                </c:pt>
                <c:pt idx="8">
                  <c:v>97.386300210024018</c:v>
                </c:pt>
                <c:pt idx="9">
                  <c:v>262.77809584402502</c:v>
                </c:pt>
                <c:pt idx="10">
                  <c:v>739.87662230080878</c:v>
                </c:pt>
                <c:pt idx="11">
                  <c:v>514.93691836767664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C6-44E0-B02D-CE5E1D1A50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806144"/>
        <c:axId val="92824320"/>
      </c:barChart>
      <c:catAx>
        <c:axId val="9280614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2824320"/>
        <c:crosses val="autoZero"/>
        <c:auto val="1"/>
        <c:lblAlgn val="ctr"/>
        <c:lblOffset val="100"/>
        <c:noMultiLvlLbl val="0"/>
      </c:catAx>
      <c:valAx>
        <c:axId val="92824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928061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64829476961895"/>
          <c:y val="7.3042743671645219E-2"/>
          <c:w val="0.84271945687955963"/>
          <c:h val="0.736189503638227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'Maturity Profile Domestic Debt'!$C$119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Debt'!$B$120:$B$131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Debt'!$C$120:$C$131</c:f>
              <c:numCache>
                <c:formatCode>_(* #\ ##0.00_);_(* \(#\ ##0.00\);_(* "-"??_);_(@_)</c:formatCode>
                <c:ptCount val="12"/>
                <c:pt idx="0">
                  <c:v>227259.57331590628</c:v>
                </c:pt>
                <c:pt idx="1">
                  <c:v>145444.72844420222</c:v>
                </c:pt>
                <c:pt idx="2">
                  <c:v>234608.39999197281</c:v>
                </c:pt>
                <c:pt idx="3">
                  <c:v>205831.3297495814</c:v>
                </c:pt>
                <c:pt idx="4">
                  <c:v>212913.16849384061</c:v>
                </c:pt>
                <c:pt idx="5">
                  <c:v>119288.38731517758</c:v>
                </c:pt>
                <c:pt idx="6">
                  <c:v>184544.48755117992</c:v>
                </c:pt>
                <c:pt idx="7">
                  <c:v>25934.905907782351</c:v>
                </c:pt>
                <c:pt idx="8">
                  <c:v>59964.640491320206</c:v>
                </c:pt>
                <c:pt idx="9">
                  <c:v>161802.98473499992</c:v>
                </c:pt>
                <c:pt idx="10">
                  <c:v>455571.63141550001</c:v>
                </c:pt>
                <c:pt idx="11">
                  <c:v>317067.25811571314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1B-4121-BD42-EE8C8B5681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2858240"/>
        <c:axId val="92859776"/>
      </c:barChart>
      <c:catAx>
        <c:axId val="9285824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2859776"/>
        <c:crosses val="autoZero"/>
        <c:auto val="1"/>
        <c:lblAlgn val="ctr"/>
        <c:lblOffset val="100"/>
        <c:noMultiLvlLbl val="0"/>
      </c:catAx>
      <c:valAx>
        <c:axId val="92859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9285824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524959097626921"/>
          <c:y val="6.1754351356781E-2"/>
          <c:w val="0.81411312286529147"/>
          <c:h val="0.65325991717233822"/>
        </c:manualLayout>
      </c:layout>
      <c:lineChart>
        <c:grouping val="standard"/>
        <c:varyColors val="0"/>
        <c:ser>
          <c:idx val="1"/>
          <c:order val="0"/>
          <c:tx>
            <c:strRef>
              <c:f>'GRAPHICS EXTERNAL DEBT'!$B$80</c:f>
              <c:strCache>
                <c:ptCount val="1"/>
                <c:pt idx="0">
                  <c:v>   %GDP</c:v>
                </c:pt>
              </c:strCache>
            </c:strRef>
          </c:tx>
          <c:spPr>
            <a:ln w="12700">
              <a:solidFill>
                <a:srgbClr val="FF0000"/>
              </a:solidFill>
            </a:ln>
          </c:spPr>
          <c:marker>
            <c:symbol val="square"/>
            <c:size val="5"/>
            <c:spPr>
              <a:solidFill>
                <a:srgbClr val="FF0000"/>
              </a:solidFill>
              <a:ln w="12700"/>
            </c:spPr>
          </c:marker>
          <c:cat>
            <c:numRef>
              <c:f>'GRAPHICS EXTERNAL DEBT'!$C$79:$Y$79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EXTERNAL DEBT'!$C$80:$Y$80</c:f>
              <c:numCache>
                <c:formatCode>0.00%</c:formatCode>
                <c:ptCount val="23"/>
                <c:pt idx="0">
                  <c:v>3.4338942937608436E-3</c:v>
                </c:pt>
                <c:pt idx="1">
                  <c:v>4.7329315942628769E-3</c:v>
                </c:pt>
                <c:pt idx="2">
                  <c:v>5.6656939473578071E-3</c:v>
                </c:pt>
                <c:pt idx="3">
                  <c:v>7.6138434041180579E-3</c:v>
                </c:pt>
                <c:pt idx="4">
                  <c:v>8.1150334598289724E-3</c:v>
                </c:pt>
                <c:pt idx="5">
                  <c:v>8.7597571627980302E-3</c:v>
                </c:pt>
                <c:pt idx="6">
                  <c:v>9.0468711481181373E-3</c:v>
                </c:pt>
                <c:pt idx="7">
                  <c:v>8.4927046713490755E-3</c:v>
                </c:pt>
                <c:pt idx="8">
                  <c:v>7.562745744382429E-3</c:v>
                </c:pt>
                <c:pt idx="9">
                  <c:v>6.392843439103642E-3</c:v>
                </c:pt>
                <c:pt idx="10">
                  <c:v>5.2696549987860256E-3</c:v>
                </c:pt>
                <c:pt idx="11">
                  <c:v>4.5706757306073409E-3</c:v>
                </c:pt>
                <c:pt idx="12">
                  <c:v>3.3692251342551985E-3</c:v>
                </c:pt>
                <c:pt idx="13">
                  <c:v>2.7901730325752554E-3</c:v>
                </c:pt>
                <c:pt idx="14">
                  <c:v>2.0835449926746631E-3</c:v>
                </c:pt>
                <c:pt idx="15">
                  <c:v>2.5837228138275623E-3</c:v>
                </c:pt>
                <c:pt idx="16">
                  <c:v>3.6359233676011168E-3</c:v>
                </c:pt>
                <c:pt idx="17">
                  <c:v>4.9479404667734771E-3</c:v>
                </c:pt>
                <c:pt idx="18">
                  <c:v>5.9179650702546648E-3</c:v>
                </c:pt>
                <c:pt idx="19">
                  <c:v>5.9451391403558644E-3</c:v>
                </c:pt>
                <c:pt idx="20">
                  <c:v>5.9056260182235084E-3</c:v>
                </c:pt>
                <c:pt idx="21">
                  <c:v>5.7123018121348727E-3</c:v>
                </c:pt>
                <c:pt idx="22">
                  <c:v>6.5626024255085718E-3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01-4273-8610-5EB89ADFA633}"/>
            </c:ext>
          </c:extLst>
        </c:ser>
        <c:ser>
          <c:idx val="2"/>
          <c:order val="1"/>
          <c:tx>
            <c:strRef>
              <c:f>'GRAPHICS EXTERNAL DEBT'!$B$81</c:f>
              <c:strCache>
                <c:ptCount val="1"/>
                <c:pt idx="0">
                  <c:v>   %Current Revenues</c:v>
                </c:pt>
              </c:strCache>
            </c:strRef>
          </c:tx>
          <c:spPr>
            <a:ln w="12700">
              <a:solidFill>
                <a:srgbClr val="92D050"/>
              </a:solidFill>
            </a:ln>
          </c:spPr>
          <c:marker>
            <c:spPr>
              <a:solidFill>
                <a:schemeClr val="accent3"/>
              </a:solidFill>
              <a:ln w="12700"/>
            </c:spPr>
          </c:marker>
          <c:cat>
            <c:numRef>
              <c:f>'GRAPHICS EXTERNAL DEBT'!$C$79:$Y$79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EXTERNAL DEBT'!$C$81:$Y$81</c:f>
              <c:numCache>
                <c:formatCode>0.00%</c:formatCode>
                <c:ptCount val="23"/>
                <c:pt idx="0">
                  <c:v>2.800770059905297E-2</c:v>
                </c:pt>
                <c:pt idx="1">
                  <c:v>3.901581632429383E-2</c:v>
                </c:pt>
                <c:pt idx="2">
                  <c:v>4.3571153754670543E-2</c:v>
                </c:pt>
                <c:pt idx="3">
                  <c:v>5.6589668133866698E-2</c:v>
                </c:pt>
                <c:pt idx="4">
                  <c:v>6.1644056393083631E-2</c:v>
                </c:pt>
                <c:pt idx="5">
                  <c:v>6.4886541234315184E-2</c:v>
                </c:pt>
                <c:pt idx="6">
                  <c:v>6.799655987043475E-2</c:v>
                </c:pt>
                <c:pt idx="7">
                  <c:v>6.2745704946309794E-2</c:v>
                </c:pt>
                <c:pt idx="8">
                  <c:v>5.4622943872755694E-2</c:v>
                </c:pt>
                <c:pt idx="9">
                  <c:v>4.2998865656023351E-2</c:v>
                </c:pt>
                <c:pt idx="10">
                  <c:v>3.4099357991912355E-2</c:v>
                </c:pt>
                <c:pt idx="11">
                  <c:v>3.3945857397029384E-2</c:v>
                </c:pt>
                <c:pt idx="12">
                  <c:v>2.4082972532309392E-2</c:v>
                </c:pt>
                <c:pt idx="13">
                  <c:v>1.9741713212339435E-2</c:v>
                </c:pt>
                <c:pt idx="14">
                  <c:v>1.4889877003030301E-2</c:v>
                </c:pt>
                <c:pt idx="15">
                  <c:v>1.8164623975565369E-2</c:v>
                </c:pt>
                <c:pt idx="16">
                  <c:v>2.5982869243233692E-2</c:v>
                </c:pt>
                <c:pt idx="17">
                  <c:v>3.4496088916601664E-2</c:v>
                </c:pt>
                <c:pt idx="18">
                  <c:v>4.027827369886397E-2</c:v>
                </c:pt>
                <c:pt idx="19">
                  <c:v>4.101262694695032E-2</c:v>
                </c:pt>
                <c:pt idx="20">
                  <c:v>4.1596378709409493E-2</c:v>
                </c:pt>
                <c:pt idx="21">
                  <c:v>3.9431028950885454E-2</c:v>
                </c:pt>
                <c:pt idx="22">
                  <c:v>5.1015695136170859E-2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A01-4273-8610-5EB89ADFA633}"/>
            </c:ext>
          </c:extLst>
        </c:ser>
        <c:ser>
          <c:idx val="3"/>
          <c:order val="2"/>
          <c:tx>
            <c:strRef>
              <c:f>'GRAPHICS EXTERNAL DEBT'!$B$82</c:f>
              <c:strCache>
                <c:ptCount val="1"/>
                <c:pt idx="0">
                  <c:v>   %Total Expenditures</c:v>
                </c:pt>
              </c:strCache>
            </c:strRef>
          </c:tx>
          <c:cat>
            <c:numRef>
              <c:f>'GRAPHICS EXTERNAL DEBT'!$C$79:$Y$79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EXTERNAL DEBT'!$C$82:$Y$82</c:f>
              <c:numCache>
                <c:formatCode>0.00%</c:formatCode>
                <c:ptCount val="23"/>
                <c:pt idx="0">
                  <c:v>2.3316196581252613E-2</c:v>
                </c:pt>
                <c:pt idx="1">
                  <c:v>3.3041126058456612E-2</c:v>
                </c:pt>
                <c:pt idx="2">
                  <c:v>3.5309670278952279E-2</c:v>
                </c:pt>
                <c:pt idx="3">
                  <c:v>4.6967977284597548E-2</c:v>
                </c:pt>
                <c:pt idx="4">
                  <c:v>4.717588044375861E-2</c:v>
                </c:pt>
                <c:pt idx="5">
                  <c:v>5.2633507193981348E-2</c:v>
                </c:pt>
                <c:pt idx="6">
                  <c:v>5.732485767528913E-2</c:v>
                </c:pt>
                <c:pt idx="7">
                  <c:v>5.6172723099337803E-2</c:v>
                </c:pt>
                <c:pt idx="8">
                  <c:v>5.2077615402922529E-2</c:v>
                </c:pt>
                <c:pt idx="9">
                  <c:v>4.4894935984988615E-2</c:v>
                </c:pt>
                <c:pt idx="10">
                  <c:v>3.4502925119770642E-2</c:v>
                </c:pt>
                <c:pt idx="11">
                  <c:v>2.727337490430479E-2</c:v>
                </c:pt>
                <c:pt idx="12">
                  <c:v>1.7727241893129204E-2</c:v>
                </c:pt>
                <c:pt idx="13">
                  <c:v>1.5409383808936729E-2</c:v>
                </c:pt>
                <c:pt idx="14">
                  <c:v>1.1389420395514363E-2</c:v>
                </c:pt>
                <c:pt idx="15">
                  <c:v>1.3183464919220338E-2</c:v>
                </c:pt>
                <c:pt idx="16">
                  <c:v>1.8029466271469268E-2</c:v>
                </c:pt>
                <c:pt idx="17">
                  <c:v>2.3384504272148582E-2</c:v>
                </c:pt>
                <c:pt idx="18">
                  <c:v>2.9627081834619203E-2</c:v>
                </c:pt>
                <c:pt idx="19">
                  <c:v>2.8713748383127083E-2</c:v>
                </c:pt>
                <c:pt idx="20">
                  <c:v>2.9287708243825084E-2</c:v>
                </c:pt>
                <c:pt idx="21">
                  <c:v>2.6298078929876574E-2</c:v>
                </c:pt>
                <c:pt idx="22">
                  <c:v>3.1176270439542679E-2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125-4FC8-953C-670C84B30E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39648"/>
        <c:axId val="99341824"/>
      </c:lineChart>
      <c:catAx>
        <c:axId val="993396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r>
                  <a:rPr lang="es-ES">
                    <a:solidFill>
                      <a:sysClr val="windowText" lastClr="000000"/>
                    </a:solidFill>
                  </a:rPr>
                  <a:t>PERIOD</a:t>
                </a:r>
              </a:p>
            </c:rich>
          </c:tx>
          <c:layout>
            <c:manualLayout>
              <c:xMode val="edge"/>
              <c:yMode val="edge"/>
              <c:x val="0.47535259495368737"/>
              <c:y val="0.8677775833576358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900" b="1">
                <a:solidFill>
                  <a:sysClr val="windowText" lastClr="000000"/>
                </a:solidFill>
              </a:defRPr>
            </a:pPr>
            <a:endParaRPr lang="es-CR"/>
          </a:p>
        </c:txPr>
        <c:crossAx val="993418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934182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r>
                  <a:rPr lang="es-ES">
                    <a:solidFill>
                      <a:sysClr val="windowText" lastClr="000000"/>
                    </a:solidFill>
                  </a:rPr>
                  <a:t>PERCENT</a:t>
                </a:r>
              </a:p>
            </c:rich>
          </c:tx>
          <c:layout>
            <c:manualLayout>
              <c:xMode val="edge"/>
              <c:yMode val="edge"/>
              <c:x val="1.0729700871559391E-2"/>
              <c:y val="0.41216214639836685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>
                <a:solidFill>
                  <a:sysClr val="windowText" lastClr="000000"/>
                </a:solidFill>
              </a:defRPr>
            </a:pPr>
            <a:endParaRPr lang="es-CR"/>
          </a:p>
        </c:txPr>
        <c:crossAx val="99339648"/>
        <c:crosses val="autoZero"/>
        <c:crossBetween val="between"/>
      </c:valAx>
      <c:spPr>
        <a:solidFill>
          <a:sysClr val="window" lastClr="FFFFFF"/>
        </a:solidFill>
      </c:spPr>
    </c:plotArea>
    <c:legend>
      <c:legendPos val="r"/>
      <c:layout>
        <c:manualLayout>
          <c:xMode val="edge"/>
          <c:yMode val="edge"/>
          <c:x val="0.10821664326027403"/>
          <c:y val="0.92963312919218433"/>
          <c:w val="0.27146877398447938"/>
          <c:h val="7.0366903305603093E-2"/>
        </c:manualLayout>
      </c:layout>
      <c:overlay val="0"/>
      <c:txPr>
        <a:bodyPr/>
        <a:lstStyle/>
        <a:p>
          <a:pPr>
            <a:defRPr sz="900" b="1">
              <a:solidFill>
                <a:sysClr val="windowText" lastClr="000000"/>
              </a:solidFill>
            </a:defRPr>
          </a:pPr>
          <a:endParaRPr lang="es-CR"/>
        </a:p>
      </c:txPr>
    </c:legend>
    <c:plotVisOnly val="1"/>
    <c:dispBlanksAs val="gap"/>
    <c:showDLblsOverMax val="0"/>
  </c:chart>
  <c:spPr>
    <a:solidFill>
      <a:sysClr val="window" lastClr="FFFFFF"/>
    </a:solidFill>
  </c:sp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'EXTERNAL DEBT USD'!$A$27</c:f>
              <c:strCache>
                <c:ptCount val="1"/>
                <c:pt idx="0">
                  <c:v>INTEREST RATE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plosion val="1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BF5-470E-954A-379CEC4117BE}"/>
              </c:ext>
            </c:extLst>
          </c:dPt>
          <c:dPt>
            <c:idx val="1"/>
            <c:bubble3D val="0"/>
            <c:explosion val="4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BF5-470E-954A-379CEC4117B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>
                  <a:solidFill>
                    <a:srgbClr val="00007A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('EXTERNAL DEBT USD'!$A$28,'EXTERNAL DEBT USD'!$A$30)</c:f>
              <c:strCache>
                <c:ptCount val="2"/>
                <c:pt idx="0">
                  <c:v>   Floating Debt</c:v>
                </c:pt>
                <c:pt idx="1">
                  <c:v>   Fixed debt</c:v>
                </c:pt>
              </c:strCache>
            </c:strRef>
          </c:cat>
          <c:val>
            <c:numRef>
              <c:f>('EXTERNAL DEBT USD'!$AP$28,'EXTERNAL DEBT USD'!$AP$30)</c:f>
              <c:numCache>
                <c:formatCode>_(* #\ ##0.00_);_(* \(#\ ##0.00\);_(* "-"??_);_(@_)</c:formatCode>
                <c:ptCount val="2"/>
                <c:pt idx="0">
                  <c:v>3590.6225356921796</c:v>
                </c:pt>
                <c:pt idx="1">
                  <c:v>5766.4043994668054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BF5-470E-954A-379CEC4117B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'EXTERNAL DEBT USD'!$A$35</c:f>
              <c:strCache>
                <c:ptCount val="1"/>
                <c:pt idx="0">
                  <c:v>MATURITY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6"/>
          <c:dPt>
            <c:idx val="0"/>
            <c:bubble3D val="0"/>
            <c:explosion val="15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A1B-4583-8E37-13DF53A76659}"/>
              </c:ext>
            </c:extLst>
          </c:dPt>
          <c:dPt>
            <c:idx val="1"/>
            <c:bubble3D val="0"/>
            <c:explosion val="19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A1B-4583-8E37-13DF53A76659}"/>
              </c:ext>
            </c:extLst>
          </c:dPt>
          <c:dPt>
            <c:idx val="2"/>
            <c:bubble3D val="0"/>
            <c:explosion val="21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5A1B-4583-8E37-13DF53A76659}"/>
              </c:ext>
            </c:extLst>
          </c:dPt>
          <c:dLbls>
            <c:dLbl>
              <c:idx val="0"/>
              <c:layout>
                <c:manualLayout>
                  <c:x val="0.11937366524836569"/>
                  <c:y val="2.615271417432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1B-4583-8E37-13DF53A76659}"/>
                </c:ext>
              </c:extLst>
            </c:dLbl>
            <c:dLbl>
              <c:idx val="2"/>
              <c:layout>
                <c:manualLayout>
                  <c:x val="-0.13653673725566912"/>
                  <c:y val="-0.173101395798328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1B-4583-8E37-13DF53A7665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>
                  <a:solidFill>
                    <a:srgbClr val="00007A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('EXTERNAL DEBT USD'!$A$36,'EXTERNAL DEBT USD'!$A$38,'EXTERNAL DEBT USD'!$A$40)</c:f>
              <c:strCache>
                <c:ptCount val="3"/>
                <c:pt idx="0">
                  <c:v>   Debt &lt; 1 year</c:v>
                </c:pt>
                <c:pt idx="1">
                  <c:v>   Debt &gt; 1 and &lt; 5 years</c:v>
                </c:pt>
                <c:pt idx="2">
                  <c:v>   Debt &gt; 5 year</c:v>
                </c:pt>
              </c:strCache>
            </c:strRef>
          </c:cat>
          <c:val>
            <c:numRef>
              <c:f>('EXTERNAL DEBT USD'!$AP$36,'EXTERNAL DEBT USD'!$AP$38,'EXTERNAL DEBT USD'!$AP$40)</c:f>
              <c:numCache>
                <c:formatCode>_(* #\ ##0.00_);_(* \(#\ ##0.00\);_(* "-"??_);_(@_)</c:formatCode>
                <c:ptCount val="3"/>
                <c:pt idx="0">
                  <c:v>100.53020366723742</c:v>
                </c:pt>
                <c:pt idx="1">
                  <c:v>2635.9728591825428</c:v>
                </c:pt>
                <c:pt idx="2">
                  <c:v>6620.523872309217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A1B-4583-8E37-13DF53A7665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'EXTERNAL DEBT USD'!$A$15</c:f>
              <c:strCache>
                <c:ptCount val="1"/>
                <c:pt idx="0">
                  <c:v>CREDITOR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FAD-4CD8-853F-B82A480F6838}"/>
              </c:ext>
            </c:extLst>
          </c:dPt>
          <c:dPt>
            <c:idx val="1"/>
            <c:bubble3D val="0"/>
            <c:explosion val="2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FAD-4CD8-853F-B82A480F6838}"/>
              </c:ext>
            </c:extLst>
          </c:dPt>
          <c:dPt>
            <c:idx val="2"/>
            <c:bubble3D val="0"/>
            <c:explosion val="1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CFAD-4CD8-853F-B82A480F6838}"/>
              </c:ext>
            </c:extLst>
          </c:dPt>
          <c:dLbls>
            <c:dLbl>
              <c:idx val="1"/>
              <c:layout>
                <c:manualLayout>
                  <c:x val="3.4890596608116296E-2"/>
                  <c:y val="-0.101771955924864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FAD-4CD8-853F-B82A480F6838}"/>
                </c:ext>
              </c:extLst>
            </c:dLbl>
            <c:dLbl>
              <c:idx val="2"/>
              <c:layout>
                <c:manualLayout>
                  <c:x val="-0.1581405208964263"/>
                  <c:y val="7.724953735621757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   Multilateral
25%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FAD-4CD8-853F-B82A480F683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>
                  <a:solidFill>
                    <a:srgbClr val="00007A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('EXTERNAL DEBT USD'!$A$16,'EXTERNAL DEBT USD'!$A$20,'EXTERNAL DEBT USD'!$A$22,'EXTERNAL DEBT USD'!$A$24)</c:f>
              <c:strCache>
                <c:ptCount val="4"/>
                <c:pt idx="0">
                  <c:v>    Bilateral</c:v>
                </c:pt>
                <c:pt idx="1">
                  <c:v>    Eurobonds</c:v>
                </c:pt>
                <c:pt idx="2">
                  <c:v>    Multilateral</c:v>
                </c:pt>
                <c:pt idx="3">
                  <c:v>Suppliers / Others</c:v>
                </c:pt>
              </c:strCache>
            </c:strRef>
          </c:cat>
          <c:val>
            <c:numRef>
              <c:f>('EXTERNAL DEBT USD'!$AP$16,'EXTERNAL DEBT USD'!$AP$20,'EXTERNAL DEBT USD'!$AP$22)</c:f>
              <c:numCache>
                <c:formatCode>_(* #\ ##0.00_);_(* \(#\ ##0.00\);_(* "-"??_);_(@_)</c:formatCode>
                <c:ptCount val="3"/>
                <c:pt idx="0">
                  <c:v>423.19646687994253</c:v>
                </c:pt>
                <c:pt idx="1">
                  <c:v>5500</c:v>
                </c:pt>
                <c:pt idx="2">
                  <c:v>3433.8304682810417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FAD-4CD8-853F-B82A480F683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8860796070215994E-2"/>
          <c:y val="0.11120603075300518"/>
          <c:w val="0.90252305617761097"/>
          <c:h val="0.82629417898105195"/>
        </c:manualLayout>
      </c:layout>
      <c:ofPieChart>
        <c:ofPieType val="bar"/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3"/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A1B-491A-BC2D-7A55C6F17575}"/>
              </c:ext>
            </c:extLst>
          </c:dPt>
          <c:dPt>
            <c:idx val="1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A1B-491A-BC2D-7A55C6F17575}"/>
              </c:ext>
            </c:extLst>
          </c:dPt>
          <c:dPt>
            <c:idx val="2"/>
            <c:bubble3D val="0"/>
            <c:spPr>
              <a:solidFill>
                <a:srgbClr val="CCECFF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A1B-491A-BC2D-7A55C6F17575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A1B-491A-BC2D-7A55C6F17575}"/>
              </c:ext>
            </c:extLst>
          </c:dPt>
          <c:dPt>
            <c:idx val="4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7A1B-491A-BC2D-7A55C6F17575}"/>
              </c:ext>
            </c:extLst>
          </c:dPt>
          <c:dLbls>
            <c:dLbl>
              <c:idx val="0"/>
              <c:layout>
                <c:manualLayout>
                  <c:x val="0.18591911676178091"/>
                  <c:y val="-3.452006855307469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1B-491A-BC2D-7A55C6F17575}"/>
                </c:ext>
              </c:extLst>
            </c:dLbl>
            <c:dLbl>
              <c:idx val="1"/>
              <c:layout>
                <c:manualLayout>
                  <c:x val="2.1406727828746065E-2"/>
                  <c:y val="-5.5808589185841061E-1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A1B-491A-BC2D-7A55C6F17575}"/>
                </c:ext>
              </c:extLst>
            </c:dLbl>
            <c:dLbl>
              <c:idx val="2"/>
              <c:layout>
                <c:manualLayout>
                  <c:x val="2.7522935779816401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A1B-491A-BC2D-7A55C6F17575}"/>
                </c:ext>
              </c:extLst>
            </c:dLbl>
            <c:dLbl>
              <c:idx val="3"/>
              <c:layout>
                <c:manualLayout>
                  <c:x val="-1.1212918377705683E-16"/>
                  <c:y val="7.30593607305936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A1B-491A-BC2D-7A55C6F17575}"/>
                </c:ext>
              </c:extLst>
            </c:dLbl>
            <c:dLbl>
              <c:idx val="4"/>
              <c:layout>
                <c:manualLayout>
                  <c:x val="1.6348816489681908E-2"/>
                  <c:y val="2.009611812222158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A1B-491A-BC2D-7A55C6F17575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('GRAPHICS EXTERNAL DEBT'!$C$98,'GRAPHICS EXTERNAL DEBT'!$C$89,'GRAPHICS EXTERNAL DEBT'!$C$94,'GRAPHICS EXTERNAL DEBT'!$E$94)</c:f>
              <c:strCache>
                <c:ptCount val="4"/>
                <c:pt idx="0">
                  <c:v>US$</c:v>
                </c:pt>
                <c:pt idx="1">
                  <c:v>CNY</c:v>
                </c:pt>
                <c:pt idx="2">
                  <c:v>JPY</c:v>
                </c:pt>
                <c:pt idx="3">
                  <c:v>Other currencies</c:v>
                </c:pt>
              </c:strCache>
            </c:strRef>
          </c:cat>
          <c:val>
            <c:numRef>
              <c:f>('GRAPHICS EXTERNAL DEBT'!$B$98,'GRAPHICS EXTERNAL DEBT'!$B$89,'GRAPHICS EXTERNAL DEBT'!$B$94,'GRAPHICS EXTERNAL DEBT'!$E$95)</c:f>
              <c:numCache>
                <c:formatCode>#,##0.00</c:formatCode>
                <c:ptCount val="4"/>
                <c:pt idx="0">
                  <c:v>8478181904.8510113</c:v>
                </c:pt>
                <c:pt idx="1">
                  <c:v>96096463.729705721</c:v>
                </c:pt>
                <c:pt idx="2" formatCode="_(* #\ ##0.00_);_(* \(#\ ##0.00\);_(* &quot;-&quot;??_);_(@_)">
                  <c:v>82599659.404676452</c:v>
                </c:pt>
                <c:pt idx="3">
                  <c:v>700148907.17556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A1B-491A-BC2D-7A55C6F17575}"/>
            </c:ext>
          </c:extLst>
        </c:ser>
        <c:dLbls>
          <c:dLblPos val="bestFit"/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gapWidth val="125"/>
        <c:splitType val="cust"/>
        <c:custSplit>
          <c:secondPiePt val="1"/>
          <c:secondPiePt val="2"/>
          <c:secondPiePt val="3"/>
        </c:custSplit>
        <c:secondPieSize val="75"/>
        <c:serLines>
          <c:spPr>
            <a:ln w="3175">
              <a:solidFill>
                <a:schemeClr val="tx1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735907819111"/>
          <c:y val="6.4820136056504912E-2"/>
          <c:w val="0.81733458890157817"/>
          <c:h val="0.6984906487809758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Debt'!$D$107</c:f>
              <c:strCache>
                <c:ptCount val="1"/>
                <c:pt idx="0">
                  <c:v>2022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Debt'!$D$108:$D$119</c:f>
              <c:numCache>
                <c:formatCode>_(* #\ ##0.00_);_(* \(#\ ##0.00\);_(* "-"??_);_(@_)</c:formatCode>
                <c:ptCount val="12"/>
                <c:pt idx="0">
                  <c:v>624.02153675020008</c:v>
                </c:pt>
                <c:pt idx="1">
                  <c:v>240.41031374720001</c:v>
                </c:pt>
                <c:pt idx="2">
                  <c:v>13029.594875702207</c:v>
                </c:pt>
                <c:pt idx="3">
                  <c:v>13990.628894148</c:v>
                </c:pt>
                <c:pt idx="4">
                  <c:v>871.10503742319997</c:v>
                </c:pt>
                <c:pt idx="5">
                  <c:v>2649.4752657825002</c:v>
                </c:pt>
                <c:pt idx="6">
                  <c:v>624.02153675020008</c:v>
                </c:pt>
                <c:pt idx="7">
                  <c:v>4606.5666768238007</c:v>
                </c:pt>
                <c:pt idx="8">
                  <c:v>13029.594875702207</c:v>
                </c:pt>
                <c:pt idx="9">
                  <c:v>13991.793406265599</c:v>
                </c:pt>
                <c:pt idx="10">
                  <c:v>956.73944736719989</c:v>
                </c:pt>
                <c:pt idx="11">
                  <c:v>2169.7743695245899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02-49E7-A991-F4774EE744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9005184"/>
        <c:axId val="99006720"/>
      </c:barChart>
      <c:catAx>
        <c:axId val="9900518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9006720"/>
        <c:crosses val="autoZero"/>
        <c:auto val="1"/>
        <c:lblAlgn val="ctr"/>
        <c:lblOffset val="100"/>
        <c:noMultiLvlLbl val="0"/>
      </c:catAx>
      <c:valAx>
        <c:axId val="990067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9900518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51073716665991"/>
          <c:y val="6.8561796267794489E-2"/>
          <c:w val="0.82018834297947563"/>
          <c:h val="0.710148665759977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Debt'!$D$155</c:f>
              <c:strCache>
                <c:ptCount val="1"/>
                <c:pt idx="0">
                  <c:v>2021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Debt'!$D$156:$D$167</c:f>
              <c:numCache>
                <c:formatCode>0.0%</c:formatCode>
                <c:ptCount val="12"/>
                <c:pt idx="0">
                  <c:v>1.0830894653000992E-4</c:v>
                </c:pt>
                <c:pt idx="1">
                  <c:v>4.1727065947936682E-5</c:v>
                </c:pt>
                <c:pt idx="2">
                  <c:v>2.2614951753901452E-3</c:v>
                </c:pt>
                <c:pt idx="3">
                  <c:v>2.4282980435402441E-3</c:v>
                </c:pt>
                <c:pt idx="4">
                  <c:v>1.5119425110172112E-4</c:v>
                </c:pt>
                <c:pt idx="5">
                  <c:v>4.5985892792846562E-4</c:v>
                </c:pt>
                <c:pt idx="6">
                  <c:v>1.0830894653000992E-4</c:v>
                </c:pt>
                <c:pt idx="7">
                  <c:v>7.9954353256041612E-4</c:v>
                </c:pt>
                <c:pt idx="8">
                  <c:v>2.2614951753901452E-3</c:v>
                </c:pt>
                <c:pt idx="9">
                  <c:v>2.428500163296135E-3</c:v>
                </c:pt>
                <c:pt idx="10">
                  <c:v>1.66057476457782E-4</c:v>
                </c:pt>
                <c:pt idx="11">
                  <c:v>3.7659914334831562E-4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2B-4F79-8B30-21A9E0B789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9097984"/>
        <c:axId val="99107968"/>
      </c:barChart>
      <c:catAx>
        <c:axId val="9909798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9107968"/>
        <c:crosses val="autoZero"/>
        <c:auto val="1"/>
        <c:lblAlgn val="ctr"/>
        <c:lblOffset val="100"/>
        <c:noMultiLvlLbl val="0"/>
      </c:catAx>
      <c:valAx>
        <c:axId val="99107968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9909798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/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8117321995467"/>
          <c:y val="7.2676735080246122E-2"/>
          <c:w val="0.81596747668956426"/>
          <c:h val="0.7172405088708176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Debt'!$D$131</c:f>
              <c:strCache>
                <c:ptCount val="1"/>
                <c:pt idx="0">
                  <c:v>2022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Debt'!$D$132:$D$143</c:f>
              <c:numCache>
                <c:formatCode>_(* #\ ##0.00_);_(* \(#\ ##0.00\);_(* "-"??_);_(@_)</c:formatCode>
                <c:ptCount val="12"/>
                <c:pt idx="0">
                  <c:v>1.01344973</c:v>
                </c:pt>
                <c:pt idx="1">
                  <c:v>0.39044128</c:v>
                </c:pt>
                <c:pt idx="2">
                  <c:v>21.160871269857743</c:v>
                </c:pt>
                <c:pt idx="3">
                  <c:v>22.721650199999999</c:v>
                </c:pt>
                <c:pt idx="4">
                  <c:v>1.4147286799999998</c:v>
                </c:pt>
                <c:pt idx="5">
                  <c:v>4.302912375</c:v>
                </c:pt>
                <c:pt idx="6">
                  <c:v>1.01344973</c:v>
                </c:pt>
                <c:pt idx="7">
                  <c:v>7.4813503700000004</c:v>
                </c:pt>
                <c:pt idx="8">
                  <c:v>21.160871269857743</c:v>
                </c:pt>
                <c:pt idx="9">
                  <c:v>22.723541439999998</c:v>
                </c:pt>
                <c:pt idx="10">
                  <c:v>1.5538042799999998</c:v>
                </c:pt>
                <c:pt idx="11">
                  <c:v>3.5238483280679995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22-49A7-BCFF-5103B7F17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9121408"/>
        <c:axId val="99143680"/>
      </c:barChart>
      <c:catAx>
        <c:axId val="9912140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99143680"/>
        <c:crosses val="autoZero"/>
        <c:auto val="1"/>
        <c:lblAlgn val="ctr"/>
        <c:lblOffset val="100"/>
        <c:noMultiLvlLbl val="0"/>
      </c:catAx>
      <c:valAx>
        <c:axId val="99143680"/>
        <c:scaling>
          <c:orientation val="minMax"/>
        </c:scaling>
        <c:delete val="0"/>
        <c:axPos val="l"/>
        <c:numFmt formatCode="###,0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991214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
Datos al 30 de Septiembre del 2007
- En millones de colones-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Deuda Interna</c:v>
          </c:tx>
          <c:spPr>
            <a:gradFill rotWithShape="0">
              <a:gsLst>
                <a:gs pos="0">
                  <a:srgbClr val="FFFF99"/>
                </a:gs>
                <a:gs pos="100000">
                  <a:srgbClr val="FFFFCC"/>
                </a:gs>
              </a:gsLst>
              <a:path path="rect">
                <a:fillToRect r="100000" b="10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276610.44230673759</c:v>
              </c:pt>
              <c:pt idx="1">
                <c:v>607819.60380162543</c:v>
              </c:pt>
              <c:pt idx="2">
                <c:v>365834.87417318602</c:v>
              </c:pt>
              <c:pt idx="3">
                <c:v>315140.90774585499</c:v>
              </c:pt>
              <c:pt idx="4">
                <c:v>356519.31541266822</c:v>
              </c:pt>
              <c:pt idx="5">
                <c:v>177623.8500642358</c:v>
              </c:pt>
              <c:pt idx="6">
                <c:v>53407.972886433199</c:v>
              </c:pt>
              <c:pt idx="7">
                <c:v>91045.690173931987</c:v>
              </c:pt>
              <c:pt idx="8">
                <c:v>273607.6669798232</c:v>
              </c:pt>
              <c:pt idx="9">
                <c:v>162471.33090178511</c:v>
              </c:pt>
              <c:pt idx="10">
                <c:v>4805.8409894705464</c:v>
              </c:pt>
              <c:pt idx="11">
                <c:v>2360.4345289922512</c:v>
              </c:pt>
              <c:pt idx="12">
                <c:v>2267.14291498475</c:v>
              </c:pt>
              <c:pt idx="13">
                <c:v>1865.6589907709999</c:v>
              </c:pt>
              <c:pt idx="14">
                <c:v>216.51707237775</c:v>
              </c:pt>
            </c:numLit>
          </c:val>
          <c:extLst>
            <c:ext xmlns:c16="http://schemas.microsoft.com/office/drawing/2014/chart" uri="{C3380CC4-5D6E-409C-BE32-E72D297353CC}">
              <c16:uniqueId val="{00000000-021C-4298-B33D-7400849E91CF}"/>
            </c:ext>
          </c:extLst>
        </c:ser>
        <c:ser>
          <c:idx val="1"/>
          <c:order val="1"/>
          <c:tx>
            <c:v>Deuda Externa</c:v>
          </c:tx>
          <c:spPr>
            <a:blipFill dpi="0" rotWithShape="0">
              <a:blip xmlns:r="http://schemas.openxmlformats.org/officeDocument/2006/relationships" r:embed="rId1"/>
              <a:srcRect/>
              <a:tile tx="0" ty="0" sx="100000" sy="100000" flip="none" algn="tl"/>
            </a:blip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7373.1362790622661</c:v>
              </c:pt>
              <c:pt idx="1">
                <c:v>139418.000560566</c:v>
              </c:pt>
              <c:pt idx="2">
                <c:v>190322.08704482499</c:v>
              </c:pt>
              <c:pt idx="3">
                <c:v>33030.115724032476</c:v>
              </c:pt>
              <c:pt idx="4">
                <c:v>160103.11417900817</c:v>
              </c:pt>
              <c:pt idx="5">
                <c:v>157294.28352282598</c:v>
              </c:pt>
              <c:pt idx="6">
                <c:v>152304.83877143901</c:v>
              </c:pt>
              <c:pt idx="7">
                <c:v>146520.05012365201</c:v>
              </c:pt>
              <c:pt idx="8">
                <c:v>13604.537319320189</c:v>
              </c:pt>
              <c:pt idx="9">
                <c:v>13060.7668595346</c:v>
              </c:pt>
              <c:pt idx="10">
                <c:v>10232.73879893939</c:v>
              </c:pt>
              <c:pt idx="11">
                <c:v>5881.6793350992502</c:v>
              </c:pt>
              <c:pt idx="12">
                <c:v>4091.5481086497498</c:v>
              </c:pt>
              <c:pt idx="13">
                <c:v>133533.04715604399</c:v>
              </c:pt>
              <c:pt idx="14">
                <c:v>3031.0572263198701</c:v>
              </c:pt>
            </c:numLit>
          </c:val>
          <c:extLst>
            <c:ext xmlns:c16="http://schemas.microsoft.com/office/drawing/2014/chart" uri="{C3380CC4-5D6E-409C-BE32-E72D297353CC}">
              <c16:uniqueId val="{00000001-021C-4298-B33D-7400849E91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99055872"/>
        <c:axId val="99061760"/>
      </c:barChart>
      <c:catAx>
        <c:axId val="99055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s-ES" sz="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99061760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99061760"/>
        <c:scaling>
          <c:orientation val="minMax"/>
          <c:max val="10000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s-ES"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R"/>
          </a:p>
        </c:txPr>
        <c:crossAx val="99055872"/>
        <c:crosses val="autoZero"/>
        <c:crossBetween val="between"/>
        <c:minorUnit val="50000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lang="es-ES" sz="46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C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Central. 
Datos al 31 de Septiembre del 2007. Datos porcentuales.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379,8536612</c:v>
          </c:tx>
          <c:spPr>
            <a:gradFill rotWithShape="0">
              <a:gsLst>
                <a:gs pos="0">
                  <a:srgbClr val="FFFFCC"/>
                </a:gs>
                <a:gs pos="100000">
                  <a:srgbClr val="FFFF99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B0-4CB4-B34B-47164BA09BC9}"/>
                </c:ext>
              </c:extLst>
            </c:dLbl>
            <c:dLbl>
              <c:idx val="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B0-4CB4-B34B-47164BA09BC9}"/>
                </c:ext>
              </c:extLst>
            </c:dLbl>
            <c:dLbl>
              <c:idx val="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B0-4CB4-B34B-47164BA09BC9}"/>
                </c:ext>
              </c:extLst>
            </c:dLbl>
            <c:dLbl>
              <c:idx val="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B0-4CB4-B34B-47164BA09BC9}"/>
                </c:ext>
              </c:extLst>
            </c:dLbl>
            <c:dLbl>
              <c:idx val="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B0-4CB4-B34B-47164BA09BC9}"/>
                </c:ext>
              </c:extLst>
            </c:dLbl>
            <c:dLbl>
              <c:idx val="5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B0-4CB4-B34B-47164BA09BC9}"/>
                </c:ext>
              </c:extLst>
            </c:dLbl>
            <c:dLbl>
              <c:idx val="6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B0-4CB4-B34B-47164BA09BC9}"/>
                </c:ext>
              </c:extLst>
            </c:dLbl>
            <c:dLbl>
              <c:idx val="7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B0-4CB4-B34B-47164BA09BC9}"/>
                </c:ext>
              </c:extLst>
            </c:dLbl>
            <c:dLbl>
              <c:idx val="8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B0-4CB4-B34B-47164BA09BC9}"/>
                </c:ext>
              </c:extLst>
            </c:dLbl>
            <c:dLbl>
              <c:idx val="9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B0-4CB4-B34B-47164BA09BC9}"/>
                </c:ext>
              </c:extLst>
            </c:dLbl>
            <c:dLbl>
              <c:idx val="1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B0-4CB4-B34B-47164BA09BC9}"/>
                </c:ext>
              </c:extLst>
            </c:dLbl>
            <c:dLbl>
              <c:idx val="1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B0-4CB4-B34B-47164BA09BC9}"/>
                </c:ext>
              </c:extLst>
            </c:dLbl>
            <c:dLbl>
              <c:idx val="1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B0-4CB4-B34B-47164BA09BC9}"/>
                </c:ext>
              </c:extLst>
            </c:dLbl>
            <c:dLbl>
              <c:idx val="1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B0-4CB4-B34B-47164BA09BC9}"/>
                </c:ext>
              </c:extLst>
            </c:dLbl>
            <c:dLbl>
              <c:idx val="1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B0-4CB4-B34B-47164BA09BC9}"/>
                </c:ext>
              </c:extLst>
            </c:dLbl>
            <c:dLbl>
              <c:idx val="15"/>
              <c:numFmt formatCode="#.#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lang="es-ES"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B0-4CB4-B34B-47164BA09BC9}"/>
                </c:ext>
              </c:extLst>
            </c:dLbl>
            <c:dLbl>
              <c:idx val="16"/>
              <c:numFmt formatCode="#.#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lang="es-ES"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B0-4CB4-B34B-47164BA09BC9}"/>
                </c:ext>
              </c:extLst>
            </c:dLbl>
            <c:dLbl>
              <c:idx val="17"/>
              <c:numFmt formatCode="#.#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lang="es-ES"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B0-4CB4-B34B-47164BA09BC9}"/>
                </c:ext>
              </c:extLst>
            </c:dLbl>
            <c:numFmt formatCode="#.#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s-ES" sz="1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20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  <c:pt idx="15">
                <c:v>2022</c:v>
              </c:pt>
              <c:pt idx="16">
                <c:v>2023</c:v>
              </c:pt>
              <c:pt idx="17">
                <c:v>2024</c:v>
              </c:pt>
              <c:pt idx="18">
                <c:v>2025</c:v>
              </c:pt>
              <c:pt idx="19">
                <c:v>2026</c:v>
              </c:pt>
            </c:numLit>
          </c:cat>
          <c:val>
            <c:numLit>
              <c:formatCode>General</c:formatCode>
              <c:ptCount val="27"/>
              <c:pt idx="0">
                <c:v>144.36131855444634</c:v>
              </c:pt>
              <c:pt idx="1">
                <c:v>379.85366117943744</c:v>
              </c:pt>
              <c:pt idx="2">
                <c:v>282.71898613749403</c:v>
              </c:pt>
              <c:pt idx="3">
                <c:v>176.99060808712014</c:v>
              </c:pt>
              <c:pt idx="4">
                <c:v>262.62184903731298</c:v>
              </c:pt>
              <c:pt idx="5">
                <c:v>170.25358265663999</c:v>
              </c:pt>
              <c:pt idx="6">
                <c:v>104.57284831971714</c:v>
              </c:pt>
              <c:pt idx="7">
                <c:v>120.76508957263127</c:v>
              </c:pt>
              <c:pt idx="8">
                <c:v>146.00256558496486</c:v>
              </c:pt>
              <c:pt idx="9">
                <c:v>89.230667193275593</c:v>
              </c:pt>
              <c:pt idx="10">
                <c:v>7.6447699610117601</c:v>
              </c:pt>
              <c:pt idx="11">
                <c:v>4.1898281200732903</c:v>
              </c:pt>
              <c:pt idx="12">
                <c:v>3.2324016504736877</c:v>
              </c:pt>
              <c:pt idx="13">
                <c:v>68.829103284658103</c:v>
              </c:pt>
              <c:pt idx="14">
                <c:v>1.65088451131346</c:v>
              </c:pt>
              <c:pt idx="15">
                <c:v>5.4236824030592814</c:v>
              </c:pt>
              <c:pt idx="16">
                <c:v>1</c:v>
              </c:pt>
              <c:pt idx="17">
                <c:v>0.99174254215095659</c:v>
              </c:pt>
              <c:pt idx="18">
                <c:v>0.99174254215095659</c:v>
              </c:pt>
              <c:pt idx="19">
                <c:v>0.99174254215095659</c:v>
              </c:pt>
              <c:pt idx="20">
                <c:v>0.9234443752532</c:v>
              </c:pt>
              <c:pt idx="21">
                <c:v>0.84615951913208165</c:v>
              </c:pt>
              <c:pt idx="22">
                <c:v>0.45996719587925544</c:v>
              </c:pt>
              <c:pt idx="23">
                <c:v>8.2761530164502897E-2</c:v>
              </c:pt>
              <c:pt idx="24">
                <c:v>8.2761530164502897E-2</c:v>
              </c:pt>
              <c:pt idx="25">
                <c:v>8.2761530164502897E-2</c:v>
              </c:pt>
              <c:pt idx="26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2-0FB0-4CB4-B34B-47164BA09B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9182080"/>
        <c:axId val="99183616"/>
      </c:barChart>
      <c:catAx>
        <c:axId val="9918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s-ES" sz="1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9918361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99183616"/>
        <c:scaling>
          <c:orientation val="minMax"/>
          <c:max val="0.30000000000000032"/>
          <c:min val="0"/>
        </c:scaling>
        <c:delete val="1"/>
        <c:axPos val="l"/>
        <c:numFmt formatCode="General" sourceLinked="1"/>
        <c:majorTickMark val="out"/>
        <c:minorTickMark val="none"/>
        <c:tickLblPos val="none"/>
        <c:crossAx val="99182080"/>
        <c:crosses val="autoZero"/>
        <c:crossBetween val="between"/>
        <c:majorUnit val="0.0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218968792583"/>
          <c:y val="4.6644705126144936E-2"/>
          <c:w val="0.8435762486210967"/>
          <c:h val="0.7449949113503668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Debt'!$E$107</c:f>
              <c:strCache>
                <c:ptCount val="1"/>
                <c:pt idx="0">
                  <c:v>2023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Debt'!$E$108:$E$119</c:f>
              <c:numCache>
                <c:formatCode>_(* #\ ##0.00_);_(* \(#\ ##0.00\);_(* "-"??_);_(@_)</c:formatCode>
                <c:ptCount val="12"/>
                <c:pt idx="0">
                  <c:v>616364.02153675025</c:v>
                </c:pt>
                <c:pt idx="1">
                  <c:v>4606.5666768238007</c:v>
                </c:pt>
                <c:pt idx="2">
                  <c:v>22960.885199474607</c:v>
                </c:pt>
                <c:pt idx="3">
                  <c:v>14140.451717659798</c:v>
                </c:pt>
                <c:pt idx="4">
                  <c:v>956.73944736719989</c:v>
                </c:pt>
                <c:pt idx="5">
                  <c:v>1981.6854335840999</c:v>
                </c:pt>
                <c:pt idx="6">
                  <c:v>373.45469637880001</c:v>
                </c:pt>
                <c:pt idx="7">
                  <c:v>4606.5666768238007</c:v>
                </c:pt>
                <c:pt idx="8">
                  <c:v>22960.885199474607</c:v>
                </c:pt>
                <c:pt idx="9">
                  <c:v>50539.972304398325</c:v>
                </c:pt>
                <c:pt idx="10">
                  <c:v>956.73944736719989</c:v>
                </c:pt>
                <c:pt idx="11">
                  <c:v>1982.3565827176367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41-4A2D-A86C-4BD1EC853D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0801536"/>
        <c:axId val="100811520"/>
      </c:barChart>
      <c:catAx>
        <c:axId val="10080153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0811520"/>
        <c:crossesAt val="0"/>
        <c:auto val="1"/>
        <c:lblAlgn val="ctr"/>
        <c:lblOffset val="100"/>
        <c:noMultiLvlLbl val="0"/>
      </c:catAx>
      <c:valAx>
        <c:axId val="100811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1008015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17458384944341"/>
          <c:y val="5.8644714865187311E-2"/>
          <c:w val="0.82496456692913389"/>
          <c:h val="0.7475576664028107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Debt'!$E$155</c:f>
              <c:strCache>
                <c:ptCount val="1"/>
                <c:pt idx="0">
                  <c:v>2022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Debt'!$E$156:$E$167</c:f>
              <c:numCache>
                <c:formatCode>0.0%</c:formatCode>
                <c:ptCount val="12"/>
                <c:pt idx="0">
                  <c:v>0.10697986194404269</c:v>
                </c:pt>
                <c:pt idx="1">
                  <c:v>7.9954353256041612E-4</c:v>
                </c:pt>
                <c:pt idx="2">
                  <c:v>3.9852299013633267E-3</c:v>
                </c:pt>
                <c:pt idx="3">
                  <c:v>2.4543021976039369E-3</c:v>
                </c:pt>
                <c:pt idx="4">
                  <c:v>1.66057476457782E-4</c:v>
                </c:pt>
                <c:pt idx="5">
                  <c:v>3.4395329171351872E-4</c:v>
                </c:pt>
                <c:pt idx="6">
                  <c:v>6.4819052483543259E-5</c:v>
                </c:pt>
                <c:pt idx="7">
                  <c:v>7.9954353256041612E-4</c:v>
                </c:pt>
                <c:pt idx="8">
                  <c:v>3.9852299013633267E-3</c:v>
                </c:pt>
                <c:pt idx="9">
                  <c:v>8.7720228158351381E-3</c:v>
                </c:pt>
                <c:pt idx="10">
                  <c:v>1.66057476457782E-4</c:v>
                </c:pt>
                <c:pt idx="11">
                  <c:v>3.4406978041036151E-4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D4-4A6E-AEAC-23BE4ACFD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0837248"/>
        <c:axId val="100838784"/>
      </c:barChart>
      <c:catAx>
        <c:axId val="10083724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0838784"/>
        <c:crosses val="autoZero"/>
        <c:auto val="1"/>
        <c:lblAlgn val="ctr"/>
        <c:lblOffset val="100"/>
        <c:noMultiLvlLbl val="0"/>
      </c:catAx>
      <c:valAx>
        <c:axId val="100838784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1008372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998586715122147"/>
          <c:y val="9.0930359593375698E-2"/>
          <c:w val="0.81052289375356235"/>
          <c:h val="0.7012461059190031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Debt'!$E$131</c:f>
              <c:strCache>
                <c:ptCount val="1"/>
                <c:pt idx="0">
                  <c:v>2023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Debt'!$E$132:$E$143</c:f>
              <c:numCache>
                <c:formatCode>_(* #\ ##0.00_);_(* \(#\ ##0.00\);_(* "-"??_);_(@_)</c:formatCode>
                <c:ptCount val="12"/>
                <c:pt idx="0">
                  <c:v>1001.01344973</c:v>
                </c:pt>
                <c:pt idx="1">
                  <c:v>7.4813503700000004</c:v>
                </c:pt>
                <c:pt idx="2">
                  <c:v>37.289903529857746</c:v>
                </c:pt>
                <c:pt idx="3">
                  <c:v>22.964971769999998</c:v>
                </c:pt>
                <c:pt idx="4">
                  <c:v>1.5538042799999998</c:v>
                </c:pt>
                <c:pt idx="5">
                  <c:v>3.2183802149999998</c:v>
                </c:pt>
                <c:pt idx="6">
                  <c:v>0.60651361999999998</c:v>
                </c:pt>
                <c:pt idx="7">
                  <c:v>7.4813503700000004</c:v>
                </c:pt>
                <c:pt idx="8">
                  <c:v>37.289903529857746</c:v>
                </c:pt>
                <c:pt idx="9">
                  <c:v>82.080053763598798</c:v>
                </c:pt>
                <c:pt idx="10">
                  <c:v>1.5538042799999998</c:v>
                </c:pt>
                <c:pt idx="11">
                  <c:v>3.2194702028739997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4A-441E-9C48-09EC52BFCD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200640"/>
        <c:axId val="101202176"/>
      </c:barChart>
      <c:catAx>
        <c:axId val="10120064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202176"/>
        <c:crosses val="autoZero"/>
        <c:auto val="1"/>
        <c:lblAlgn val="ctr"/>
        <c:lblOffset val="100"/>
        <c:noMultiLvlLbl val="0"/>
      </c:catAx>
      <c:valAx>
        <c:axId val="101202176"/>
        <c:scaling>
          <c:orientation val="minMax"/>
        </c:scaling>
        <c:delete val="0"/>
        <c:axPos val="l"/>
        <c:numFmt formatCode="###,0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10120064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80074663691564"/>
          <c:y val="5.1967933356156577E-2"/>
          <c:w val="0.82860134308824474"/>
          <c:h val="0.7243067442656624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Debt'!$F$107</c:f>
              <c:strCache>
                <c:ptCount val="1"/>
                <c:pt idx="0">
                  <c:v>2024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Debt'!$F$108:$F$119</c:f>
              <c:numCache>
                <c:formatCode>_(* #\ ##0.00_);_(* \(#\ ##0.00\);_(* "-"??_);_(@_)</c:formatCode>
                <c:ptCount val="12"/>
                <c:pt idx="0">
                  <c:v>37080.84528311732</c:v>
                </c:pt>
                <c:pt idx="1">
                  <c:v>4606.5666768238007</c:v>
                </c:pt>
                <c:pt idx="2">
                  <c:v>24478.131617408009</c:v>
                </c:pt>
                <c:pt idx="3">
                  <c:v>50539.972304398325</c:v>
                </c:pt>
                <c:pt idx="4">
                  <c:v>956.73944736719989</c:v>
                </c:pt>
                <c:pt idx="5">
                  <c:v>1764.7722477501998</c:v>
                </c:pt>
                <c:pt idx="6">
                  <c:v>37080.84528311732</c:v>
                </c:pt>
                <c:pt idx="7">
                  <c:v>5306.3707281013994</c:v>
                </c:pt>
                <c:pt idx="8">
                  <c:v>24478.131617408009</c:v>
                </c:pt>
                <c:pt idx="9">
                  <c:v>50539.972304398325</c:v>
                </c:pt>
                <c:pt idx="10">
                  <c:v>956.73944736719989</c:v>
                </c:pt>
                <c:pt idx="11">
                  <c:v>1764.7722477501998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A6-49A5-BF64-C0A7220CE7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219712"/>
        <c:axId val="101233792"/>
      </c:barChart>
      <c:catAx>
        <c:axId val="10121971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233792"/>
        <c:crosses val="autoZero"/>
        <c:auto val="1"/>
        <c:lblAlgn val="ctr"/>
        <c:lblOffset val="100"/>
        <c:noMultiLvlLbl val="0"/>
      </c:catAx>
      <c:valAx>
        <c:axId val="101233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10121971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64280528728263"/>
          <c:y val="6.0730651911754266E-2"/>
          <c:w val="0.87523750461979855"/>
          <c:h val="0.7251776672212789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Debt'!$F$155</c:f>
              <c:strCache>
                <c:ptCount val="1"/>
                <c:pt idx="0">
                  <c:v>2023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Debt'!$F$156:$F$167</c:f>
              <c:numCache>
                <c:formatCode>0.0%</c:formatCode>
                <c:ptCount val="12"/>
                <c:pt idx="0">
                  <c:v>6.4359754472134998E-3</c:v>
                </c:pt>
                <c:pt idx="1">
                  <c:v>7.9954353256041612E-4</c:v>
                </c:pt>
                <c:pt idx="2">
                  <c:v>4.2485723526649406E-3</c:v>
                </c:pt>
                <c:pt idx="3">
                  <c:v>8.7720228158351381E-3</c:v>
                </c:pt>
                <c:pt idx="4">
                  <c:v>1.66057476457782E-4</c:v>
                </c:pt>
                <c:pt idx="5">
                  <c:v>3.063045291908517E-4</c:v>
                </c:pt>
                <c:pt idx="6">
                  <c:v>6.4359754472134998E-3</c:v>
                </c:pt>
                <c:pt idx="7">
                  <c:v>9.2100574998008674E-4</c:v>
                </c:pt>
                <c:pt idx="8">
                  <c:v>4.2485723526649406E-3</c:v>
                </c:pt>
                <c:pt idx="9">
                  <c:v>8.7720228158351381E-3</c:v>
                </c:pt>
                <c:pt idx="10">
                  <c:v>1.66057476457782E-4</c:v>
                </c:pt>
                <c:pt idx="11">
                  <c:v>3.063045291908517E-4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59-40FE-83E6-2A2A5FA035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009664"/>
        <c:axId val="101015552"/>
      </c:barChart>
      <c:catAx>
        <c:axId val="10100966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015552"/>
        <c:crosses val="autoZero"/>
        <c:auto val="1"/>
        <c:lblAlgn val="ctr"/>
        <c:lblOffset val="100"/>
        <c:noMultiLvlLbl val="0"/>
      </c:catAx>
      <c:valAx>
        <c:axId val="101015552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10100966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48250111242236"/>
          <c:y val="5.800920046284537E-2"/>
          <c:w val="0.82178026272514459"/>
          <c:h val="0.6999587954731465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Debt'!$F$131</c:f>
              <c:strCache>
                <c:ptCount val="1"/>
                <c:pt idx="0">
                  <c:v>2024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10D-4190-8B20-4B5A028AEABC}"/>
              </c:ext>
            </c:extLst>
          </c:dPt>
          <c:cat>
            <c:strRef>
              <c:f>'Maturity Profile External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Debt'!$F$132:$F$143</c:f>
              <c:numCache>
                <c:formatCode>_(* #\ ##0.00_);_(* \(#\ ##0.00\);_(* "-"??_);_(@_)</c:formatCode>
                <c:ptCount val="12"/>
                <c:pt idx="0">
                  <c:v>60.221595613598794</c:v>
                </c:pt>
                <c:pt idx="1">
                  <c:v>7.4813503700000004</c:v>
                </c:pt>
                <c:pt idx="2">
                  <c:v>39.754005939857748</c:v>
                </c:pt>
                <c:pt idx="3">
                  <c:v>82.080053763598798</c:v>
                </c:pt>
                <c:pt idx="4">
                  <c:v>1.5538042799999998</c:v>
                </c:pt>
                <c:pt idx="5">
                  <c:v>2.8660997299999997</c:v>
                </c:pt>
                <c:pt idx="6">
                  <c:v>60.221595613598794</c:v>
                </c:pt>
                <c:pt idx="7">
                  <c:v>8.6178756099999987</c:v>
                </c:pt>
                <c:pt idx="8">
                  <c:v>39.754005939857748</c:v>
                </c:pt>
                <c:pt idx="9">
                  <c:v>82.080053763598798</c:v>
                </c:pt>
                <c:pt idx="10">
                  <c:v>1.5538042799999998</c:v>
                </c:pt>
                <c:pt idx="11">
                  <c:v>2.8660997299999997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0D-4190-8B20-4B5A028AE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037568"/>
        <c:axId val="101039104"/>
      </c:barChart>
      <c:catAx>
        <c:axId val="10103756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039104"/>
        <c:crosses val="autoZero"/>
        <c:auto val="1"/>
        <c:lblAlgn val="ctr"/>
        <c:lblOffset val="100"/>
        <c:noMultiLvlLbl val="0"/>
      </c:catAx>
      <c:valAx>
        <c:axId val="101039104"/>
        <c:scaling>
          <c:orientation val="minMax"/>
        </c:scaling>
        <c:delete val="0"/>
        <c:axPos val="l"/>
        <c:numFmt formatCode="###,0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es-CR"/>
          </a:p>
        </c:txPr>
        <c:crossAx val="1010375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40460018833523"/>
          <c:y val="7.7527825970906183E-2"/>
          <c:w val="0.84381986602819681"/>
          <c:h val="0.68461977845990063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Debt'!$G$107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Debt'!$G$108:$G$119</c:f>
              <c:numCache>
                <c:formatCode>_(* #\ ##0.00_);_(* \(#\ ##0.00\);_(* "-"??_);_(@_)</c:formatCode>
                <c:ptCount val="12"/>
                <c:pt idx="0">
                  <c:v>37080.84528311732</c:v>
                </c:pt>
                <c:pt idx="1">
                  <c:v>5306.3707281013994</c:v>
                </c:pt>
                <c:pt idx="2">
                  <c:v>31909.476446692803</c:v>
                </c:pt>
                <c:pt idx="3">
                  <c:v>358409.97230439831</c:v>
                </c:pt>
                <c:pt idx="4">
                  <c:v>4174.8443634702107</c:v>
                </c:pt>
                <c:pt idx="5">
                  <c:v>1764.7722477501998</c:v>
                </c:pt>
                <c:pt idx="6">
                  <c:v>37080.84528311732</c:v>
                </c:pt>
                <c:pt idx="7">
                  <c:v>5306.3707281013994</c:v>
                </c:pt>
                <c:pt idx="8">
                  <c:v>31909.476446692803</c:v>
                </c:pt>
                <c:pt idx="9">
                  <c:v>50539.972339871594</c:v>
                </c:pt>
                <c:pt idx="10">
                  <c:v>9058.2995341854112</c:v>
                </c:pt>
                <c:pt idx="11">
                  <c:v>1764.7722477501998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21-4F76-86BB-23CBB5BE61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073280"/>
        <c:axId val="101074816"/>
      </c:barChart>
      <c:catAx>
        <c:axId val="10107328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074816"/>
        <c:crosses val="autoZero"/>
        <c:auto val="1"/>
        <c:lblAlgn val="ctr"/>
        <c:lblOffset val="100"/>
        <c:noMultiLvlLbl val="0"/>
      </c:catAx>
      <c:valAx>
        <c:axId val="1010748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1010732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87522655656591"/>
          <c:y val="3.2728793516195093E-2"/>
          <c:w val="0.80324586933796549"/>
          <c:h val="0.7641765091863517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Debt'!$G$131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Debt'!$G$132:$G$143</c:f>
              <c:numCache>
                <c:formatCode>_(* #\ ##0.00_);_(* \(#\ ##0.00\);_(* "-"??_);_(@_)</c:formatCode>
                <c:ptCount val="12"/>
                <c:pt idx="0">
                  <c:v>60.221595613598794</c:v>
                </c:pt>
                <c:pt idx="1">
                  <c:v>8.6178756099999987</c:v>
                </c:pt>
                <c:pt idx="2">
                  <c:v>51.822971459857733</c:v>
                </c:pt>
                <c:pt idx="3">
                  <c:v>582.08005376359881</c:v>
                </c:pt>
                <c:pt idx="4">
                  <c:v>6.7802065213729987</c:v>
                </c:pt>
                <c:pt idx="5">
                  <c:v>2.8660997299999997</c:v>
                </c:pt>
                <c:pt idx="6">
                  <c:v>60.221595613598794</c:v>
                </c:pt>
                <c:pt idx="7">
                  <c:v>8.6178756099999987</c:v>
                </c:pt>
                <c:pt idx="8">
                  <c:v>51.822971459857733</c:v>
                </c:pt>
                <c:pt idx="9">
                  <c:v>82.080053821209589</c:v>
                </c:pt>
                <c:pt idx="10">
                  <c:v>14.711241001372999</c:v>
                </c:pt>
                <c:pt idx="11">
                  <c:v>2.8660997299999997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1F-4929-BCC6-38E7B1A42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116928"/>
        <c:axId val="101118720"/>
      </c:barChart>
      <c:catAx>
        <c:axId val="10111692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118720"/>
        <c:crosses val="autoZero"/>
        <c:auto val="1"/>
        <c:lblAlgn val="ctr"/>
        <c:lblOffset val="100"/>
        <c:noMultiLvlLbl val="0"/>
      </c:catAx>
      <c:valAx>
        <c:axId val="101118720"/>
        <c:scaling>
          <c:orientation val="minMax"/>
        </c:scaling>
        <c:delete val="0"/>
        <c:axPos val="l"/>
        <c:numFmt formatCode="###,0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101116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301590822274"/>
          <c:y val="6.8575423046993489E-2"/>
          <c:w val="0.83930082683326546"/>
          <c:h val="0.7236864437196759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Debt'!$G$155</c:f>
              <c:strCache>
                <c:ptCount val="1"/>
                <c:pt idx="0">
                  <c:v>2024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Debt'!$G$156:$G$167</c:f>
              <c:numCache>
                <c:formatCode>0.0%</c:formatCode>
                <c:ptCount val="12"/>
                <c:pt idx="0">
                  <c:v>6.4359754472134998E-3</c:v>
                </c:pt>
                <c:pt idx="1">
                  <c:v>9.2100574998008674E-4</c:v>
                </c:pt>
                <c:pt idx="2">
                  <c:v>5.5384014408607725E-3</c:v>
                </c:pt>
                <c:pt idx="3">
                  <c:v>6.2207799314591472E-2</c:v>
                </c:pt>
                <c:pt idx="4">
                  <c:v>7.2461120058299553E-4</c:v>
                </c:pt>
                <c:pt idx="5">
                  <c:v>3.063045291908517E-4</c:v>
                </c:pt>
                <c:pt idx="6">
                  <c:v>6.4359754472134998E-3</c:v>
                </c:pt>
                <c:pt idx="7">
                  <c:v>9.2100574998008674E-4</c:v>
                </c:pt>
                <c:pt idx="8">
                  <c:v>5.5384014408607725E-3</c:v>
                </c:pt>
                <c:pt idx="9">
                  <c:v>8.7720228219920933E-3</c:v>
                </c:pt>
                <c:pt idx="10">
                  <c:v>1.5722131723374159E-3</c:v>
                </c:pt>
                <c:pt idx="11">
                  <c:v>3.063045291908517E-4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D6-42AF-9427-B584C4ECF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529472"/>
        <c:axId val="101531008"/>
      </c:barChart>
      <c:catAx>
        <c:axId val="10152947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531008"/>
        <c:crosses val="autoZero"/>
        <c:auto val="1"/>
        <c:lblAlgn val="ctr"/>
        <c:lblOffset val="100"/>
        <c:noMultiLvlLbl val="0"/>
      </c:catAx>
      <c:valAx>
        <c:axId val="101531008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1015294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63394230893552"/>
          <c:y val="9.0028529042565336E-2"/>
          <c:w val="0.81009347969434853"/>
          <c:h val="0.7233388013998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'Maturity Profile External Debt'!$C$155</c:f>
              <c:strCache>
                <c:ptCount val="1"/>
                <c:pt idx="0">
                  <c:v>2020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>
              <a:noFill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Debt'!$C$156:$C$167</c:f>
              <c:numCache>
                <c:formatCode>0.0%</c:formatCode>
                <c:ptCount val="12"/>
                <c:pt idx="0">
                  <c:v>1.0830894653000992E-4</c:v>
                </c:pt>
                <c:pt idx="1">
                  <c:v>3.6635597340973938E-4</c:v>
                </c:pt>
                <c:pt idx="2">
                  <c:v>1.9302055522816678E-3</c:v>
                </c:pt>
                <c:pt idx="3">
                  <c:v>2.4282980435402441E-3</c:v>
                </c:pt>
                <c:pt idx="4">
                  <c:v>3.3456853995331577E-4</c:v>
                </c:pt>
                <c:pt idx="5">
                  <c:v>4.5810841250155644E-4</c:v>
                </c:pt>
                <c:pt idx="6">
                  <c:v>1.0830894653000992E-4</c:v>
                </c:pt>
                <c:pt idx="7">
                  <c:v>4.1727065947936682E-5</c:v>
                </c:pt>
                <c:pt idx="8">
                  <c:v>1.9302055522816678E-3</c:v>
                </c:pt>
                <c:pt idx="9">
                  <c:v>2.4282980435402441E-3</c:v>
                </c:pt>
                <c:pt idx="10">
                  <c:v>1.5119425110172112E-4</c:v>
                </c:pt>
                <c:pt idx="11">
                  <c:v>4.5823966145579263E-4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F1-440F-97A0-8DFA75C70F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581568"/>
        <c:axId val="101583104"/>
      </c:barChart>
      <c:catAx>
        <c:axId val="10158156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583104"/>
        <c:crosses val="autoZero"/>
        <c:auto val="1"/>
        <c:lblAlgn val="ctr"/>
        <c:lblOffset val="100"/>
        <c:noMultiLvlLbl val="0"/>
      </c:catAx>
      <c:valAx>
        <c:axId val="101583104"/>
        <c:scaling>
          <c:orientation val="minMax"/>
        </c:scaling>
        <c:delete val="0"/>
        <c:axPos val="l"/>
        <c:numFmt formatCode="#.0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1015815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228221472316"/>
          <c:y val="4.7741400745959388E-2"/>
          <c:w val="0.85447144106986628"/>
          <c:h val="0.773325597458212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'Maturity Profile External Debt'!$C$131</c:f>
              <c:strCache>
                <c:ptCount val="1"/>
                <c:pt idx="0">
                  <c:v>2021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>
              <a:noFill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Debt'!$C$132:$C$143</c:f>
              <c:numCache>
                <c:formatCode>_(* #\ ##0.00_);_(* \(#\ ##0.00\);_(* "-"??_);_(@_)</c:formatCode>
                <c:ptCount val="12"/>
                <c:pt idx="0">
                  <c:v>1.01344973</c:v>
                </c:pt>
                <c:pt idx="1">
                  <c:v>3.4280027110513309</c:v>
                </c:pt>
                <c:pt idx="2">
                  <c:v>18.060985343093044</c:v>
                </c:pt>
                <c:pt idx="3">
                  <c:v>22.721650199999999</c:v>
                </c:pt>
                <c:pt idx="4">
                  <c:v>3.1305668399999997</c:v>
                </c:pt>
                <c:pt idx="5">
                  <c:v>4.2865327549999996</c:v>
                </c:pt>
                <c:pt idx="6">
                  <c:v>1.01344973</c:v>
                </c:pt>
                <c:pt idx="7">
                  <c:v>0.39044128</c:v>
                </c:pt>
                <c:pt idx="8">
                  <c:v>18.060985343093044</c:v>
                </c:pt>
                <c:pt idx="9">
                  <c:v>22.721650199999999</c:v>
                </c:pt>
                <c:pt idx="10">
                  <c:v>1.4147286799999998</c:v>
                </c:pt>
                <c:pt idx="11">
                  <c:v>4.2877608549999993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17-4693-9F8D-F70808EA57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12928"/>
        <c:axId val="101627008"/>
      </c:barChart>
      <c:catAx>
        <c:axId val="10161292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1627008"/>
        <c:crosses val="autoZero"/>
        <c:auto val="1"/>
        <c:lblAlgn val="ctr"/>
        <c:lblOffset val="100"/>
        <c:noMultiLvlLbl val="0"/>
      </c:catAx>
      <c:valAx>
        <c:axId val="101627008"/>
        <c:scaling>
          <c:orientation val="minMax"/>
        </c:scaling>
        <c:delete val="0"/>
        <c:axPos val="l"/>
        <c:numFmt formatCode="###,0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101612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36090884623319"/>
          <c:y val="0.1186796094932578"/>
          <c:w val="0.84471400827219434"/>
          <c:h val="0.7231562721326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'Maturity Profile External Debt'!$C$107</c:f>
              <c:strCache>
                <c:ptCount val="1"/>
                <c:pt idx="0">
                  <c:v>2021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2700000" scaled="1"/>
              <a:tileRect/>
            </a:gradFill>
            <a:ln>
              <a:noFill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Debt'!$C$108:$C$119</c:f>
              <c:numCache>
                <c:formatCode>_(* #\ ##0.00_);_(* \(#\ ##0.00\);_(* "-"??_);_(@_)</c:formatCode>
                <c:ptCount val="12"/>
                <c:pt idx="0">
                  <c:v>624.02153675020008</c:v>
                </c:pt>
                <c:pt idx="1">
                  <c:v>2110.7583893027463</c:v>
                </c:pt>
                <c:pt idx="2">
                  <c:v>11120.871115156111</c:v>
                </c:pt>
                <c:pt idx="3">
                  <c:v>13990.628894148</c:v>
                </c:pt>
                <c:pt idx="4">
                  <c:v>1927.6152260616</c:v>
                </c:pt>
                <c:pt idx="5">
                  <c:v>2639.3896785636998</c:v>
                </c:pt>
                <c:pt idx="6">
                  <c:v>624.02153675020008</c:v>
                </c:pt>
                <c:pt idx="7">
                  <c:v>240.41031374720001</c:v>
                </c:pt>
                <c:pt idx="8">
                  <c:v>11120.871115156111</c:v>
                </c:pt>
                <c:pt idx="9">
                  <c:v>13990.628894148</c:v>
                </c:pt>
                <c:pt idx="10">
                  <c:v>871.10503742319997</c:v>
                </c:pt>
                <c:pt idx="11">
                  <c:v>2640.1458688576995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A6-4F3E-A6AA-E8C60DF54B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1640448"/>
        <c:axId val="103231488"/>
      </c:barChart>
      <c:catAx>
        <c:axId val="10164044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3231488"/>
        <c:crosses val="autoZero"/>
        <c:auto val="1"/>
        <c:lblAlgn val="ctr"/>
        <c:lblOffset val="100"/>
        <c:noMultiLvlLbl val="0"/>
      </c:catAx>
      <c:valAx>
        <c:axId val="103231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es-CR"/>
          </a:p>
        </c:txPr>
        <c:crossAx val="1016404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5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'PUBLIC DEBT COLONES'!$A$9</c:f>
              <c:strCache>
                <c:ptCount val="1"/>
                <c:pt idx="0">
                  <c:v>CURRENCY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A74-4614-A12A-2063D78CEF21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A74-4614-A12A-2063D78CEF21}"/>
              </c:ext>
            </c:extLst>
          </c:dPt>
          <c:dPt>
            <c:idx val="2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A74-4614-A12A-2063D78CEF21}"/>
              </c:ext>
            </c:extLst>
          </c:dPt>
          <c:dLbls>
            <c:dLbl>
              <c:idx val="0"/>
              <c:layout>
                <c:manualLayout>
                  <c:x val="5.0658158251545571E-2"/>
                  <c:y val="-0.179352402378274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74-4614-A12A-2063D78CEF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COLONES'!$A$10,'PUBLIC DEBT COLONES'!$A$12,'PUBLIC DEBT COLONES'!$A$14)</c:f>
              <c:strCache>
                <c:ptCount val="3"/>
                <c:pt idx="0">
                  <c:v>   Debt ¢</c:v>
                </c:pt>
                <c:pt idx="1">
                  <c:v>   Debt US $</c:v>
                </c:pt>
                <c:pt idx="2">
                  <c:v>  Debt in other currency</c:v>
                </c:pt>
              </c:strCache>
            </c:strRef>
          </c:cat>
          <c:val>
            <c:numRef>
              <c:f>('PUBLIC DEBT COLONES'!$AP$10,'PUBLIC DEBT COLONES'!$AP$12,'PUBLIC DEBT COLONES'!$AP$14)</c:f>
              <c:numCache>
                <c:formatCode>_(* #\ ##0.00_);_(* \(#\ ##0.00\);_(* "-"??_);_(@_)</c:formatCode>
                <c:ptCount val="3"/>
                <c:pt idx="0">
                  <c:v>14286562.164341722</c:v>
                </c:pt>
                <c:pt idx="1">
                  <c:v>9454847.7811958957</c:v>
                </c:pt>
                <c:pt idx="2">
                  <c:v>541140.03896304383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A74-4614-A12A-2063D78CEF2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'PUBLIC DEBT COLONES'!$A$17</c:f>
              <c:strCache>
                <c:ptCount val="1"/>
                <c:pt idx="0">
                  <c:v>INTEREST RATE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8"/>
          <c:dPt>
            <c:idx val="0"/>
            <c:bubble3D val="0"/>
            <c:spPr>
              <a:solidFill>
                <a:srgbClr val="CCE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6B3-4D3B-871F-AF34B19CA7C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6B3-4D3B-871F-AF34B19CA7C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6B3-4D3B-871F-AF34B19CA7C2}"/>
              </c:ext>
            </c:extLst>
          </c:dPt>
          <c:dLbls>
            <c:dLbl>
              <c:idx val="0"/>
              <c:layout>
                <c:manualLayout>
                  <c:x val="7.030466429791514E-2"/>
                  <c:y val="-4.16194089728421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B3-4D3B-871F-AF34B19CA7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>
                  <a:solidFill>
                    <a:srgbClr val="00007A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COLONES'!$A$18,'PUBLIC DEBT COLONES'!$A$20,'PUBLIC DEBT COLONES'!$A$22)</c:f>
              <c:strCache>
                <c:ptCount val="3"/>
                <c:pt idx="0">
                  <c:v>   Floating Debt</c:v>
                </c:pt>
                <c:pt idx="1">
                  <c:v>   Fixed debt</c:v>
                </c:pt>
                <c:pt idx="2">
                  <c:v>   Indexed debt</c:v>
                </c:pt>
              </c:strCache>
            </c:strRef>
          </c:cat>
          <c:val>
            <c:numRef>
              <c:f>('PUBLIC DEBT COLONES'!$AP$18,'PUBLIC DEBT COLONES'!$AP$20,'PUBLIC DEBT COLONES'!$AP$22)</c:f>
              <c:numCache>
                <c:formatCode>_(* #\ ##0.00_);_(* \(#\ ##0.00\);_(* "-"??_);_(@_)</c:formatCode>
                <c:ptCount val="3"/>
                <c:pt idx="0">
                  <c:v>5256840.1284842826</c:v>
                </c:pt>
                <c:pt idx="1">
                  <c:v>17829426.149637893</c:v>
                </c:pt>
                <c:pt idx="2">
                  <c:v>1196283.7063784848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6B3-4D3B-871F-AF34B19CA7C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'PUBLIC DEBT COLONES'!$A$26</c:f>
              <c:strCache>
                <c:ptCount val="1"/>
                <c:pt idx="0">
                  <c:v>MATURITY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553-496C-893A-D9668F3BA5E0}"/>
              </c:ext>
            </c:extLst>
          </c:dPt>
          <c:dPt>
            <c:idx val="1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553-496C-893A-D9668F3BA5E0}"/>
              </c:ext>
            </c:extLst>
          </c:dPt>
          <c:dPt>
            <c:idx val="2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553-496C-893A-D9668F3BA5E0}"/>
              </c:ext>
            </c:extLst>
          </c:dPt>
          <c:dLbls>
            <c:dLbl>
              <c:idx val="0"/>
              <c:layout>
                <c:manualLayout>
                  <c:x val="2.4337900385402643E-2"/>
                  <c:y val="-4.36675772671273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53-496C-893A-D9668F3BA5E0}"/>
                </c:ext>
              </c:extLst>
            </c:dLbl>
            <c:dLbl>
              <c:idx val="2"/>
              <c:layout>
                <c:manualLayout>
                  <c:x val="8.4277907884465264E-2"/>
                  <c:y val="-0.20011195029192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53-496C-893A-D9668F3BA5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COLONES'!$A$27,'PUBLIC DEBT COLONES'!$A$29,'PUBLIC DEBT COLONES'!$A$31)</c:f>
              <c:strCache>
                <c:ptCount val="3"/>
                <c:pt idx="0">
                  <c:v>   Debt &lt; 1 year</c:v>
                </c:pt>
                <c:pt idx="1">
                  <c:v>   Debt &gt; 1 and &lt; 5 years</c:v>
                </c:pt>
                <c:pt idx="2">
                  <c:v>   Debt &gt; 5 year</c:v>
                </c:pt>
              </c:strCache>
            </c:strRef>
          </c:cat>
          <c:val>
            <c:numRef>
              <c:f>('PUBLIC DEBT COLONES'!$AP$27,'PUBLIC DEBT COLONES'!$AP$29,'PUBLIC DEBT COLONES'!$AP$31)</c:f>
              <c:numCache>
                <c:formatCode>_(* #\ ##0.00_);_(* \(#\ ##0.00\);_(* "-"??_);_(@_)</c:formatCode>
                <c:ptCount val="3"/>
                <c:pt idx="0">
                  <c:v>2412131.963133242</c:v>
                </c:pt>
                <c:pt idx="1">
                  <c:v>8666583.6102041155</c:v>
                </c:pt>
                <c:pt idx="2">
                  <c:v>13203834.411163315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553-496C-893A-D9668F3BA5E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v>POR TIPO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5BE-446D-954D-14F80CFB9B2A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5BE-446D-954D-14F80CFB9B2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COLONES'!$A$53,'PUBLIC DEBT COLONES'!$A$59)</c:f>
              <c:strCache>
                <c:ptCount val="2"/>
                <c:pt idx="0">
                  <c:v>Domestic Debt</c:v>
                </c:pt>
                <c:pt idx="1">
                  <c:v>External Debt</c:v>
                </c:pt>
              </c:strCache>
            </c:strRef>
          </c:cat>
          <c:val>
            <c:numRef>
              <c:f>('PUBLIC DEBT COLONES'!$AP$53,'PUBLIC DEBT COLONES'!$AP$59)</c:f>
              <c:numCache>
                <c:formatCode>_(* #\ ##0.00_);_(* \(#\ ##0.00\);_(* "-"??_);_(@_)</c:formatCode>
                <c:ptCount val="2"/>
                <c:pt idx="0">
                  <c:v>18521054.219445854</c:v>
                </c:pt>
                <c:pt idx="1">
                  <c:v>5761495.7650861247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5BE-446D-954D-14F80CFB9B2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50270000802229"/>
          <c:y val="6.1787725778642319E-2"/>
          <c:w val="0.85998304559756122"/>
          <c:h val="0.72003668098619988"/>
        </c:manualLayout>
      </c:layout>
      <c:lineChart>
        <c:grouping val="standard"/>
        <c:varyColors val="0"/>
        <c:ser>
          <c:idx val="0"/>
          <c:order val="0"/>
          <c:tx>
            <c:strRef>
              <c:f>'GRAPHICS PUBLIC DEBT'!$B$190</c:f>
              <c:strCache>
                <c:ptCount val="1"/>
                <c:pt idx="0">
                  <c:v>   %PIB</c:v>
                </c:pt>
              </c:strCache>
            </c:strRef>
          </c:tx>
          <c:spPr>
            <a:ln w="12700">
              <a:solidFill>
                <a:srgbClr val="00B0F0"/>
              </a:solidFill>
            </a:ln>
          </c:spPr>
          <c:marker>
            <c:symbol val="diamond"/>
            <c:size val="8"/>
            <c:spPr>
              <a:solidFill>
                <a:srgbClr val="00B0F0"/>
              </a:solidFill>
              <a:ln w="12700"/>
            </c:spPr>
          </c:marker>
          <c:cat>
            <c:numRef>
              <c:f>'GRAPHICS PUBLIC DEBT'!$C$189:$Y$189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PUBLIC DEBT'!$C$190:$Y$190</c:f>
              <c:numCache>
                <c:formatCode>0.00%</c:formatCode>
                <c:ptCount val="23"/>
                <c:pt idx="0">
                  <c:v>3.2004121004156866E-2</c:v>
                </c:pt>
                <c:pt idx="1">
                  <c:v>3.6391427842005365E-2</c:v>
                </c:pt>
                <c:pt idx="2">
                  <c:v>3.81249643073324E-2</c:v>
                </c:pt>
                <c:pt idx="3">
                  <c:v>4.0865338503919581E-2</c:v>
                </c:pt>
                <c:pt idx="4">
                  <c:v>4.3681979802857429E-2</c:v>
                </c:pt>
                <c:pt idx="5">
                  <c:v>4.3362718350630179E-2</c:v>
                </c:pt>
                <c:pt idx="6">
                  <c:v>4.120132452352266E-2</c:v>
                </c:pt>
                <c:pt idx="7">
                  <c:v>4.1294305579947878E-2</c:v>
                </c:pt>
                <c:pt idx="8">
                  <c:v>3.7800063408307868E-2</c:v>
                </c:pt>
                <c:pt idx="9">
                  <c:v>3.0394081378454906E-2</c:v>
                </c:pt>
                <c:pt idx="10">
                  <c:v>2.1117255871403829E-2</c:v>
                </c:pt>
                <c:pt idx="11">
                  <c:v>2.0587138905648391E-2</c:v>
                </c:pt>
                <c:pt idx="12">
                  <c:v>2.0547383680933912E-2</c:v>
                </c:pt>
                <c:pt idx="13">
                  <c:v>2.1079644974624685E-2</c:v>
                </c:pt>
                <c:pt idx="14">
                  <c:v>2.0256166298744001E-2</c:v>
                </c:pt>
                <c:pt idx="15">
                  <c:v>2.546419703236347E-2</c:v>
                </c:pt>
                <c:pt idx="16">
                  <c:v>2.5675008207117392E-2</c:v>
                </c:pt>
                <c:pt idx="17">
                  <c:v>2.7391950359842144E-2</c:v>
                </c:pt>
                <c:pt idx="18">
                  <c:v>2.8262610661706277E-2</c:v>
                </c:pt>
                <c:pt idx="19">
                  <c:v>3.1293557609412111E-2</c:v>
                </c:pt>
                <c:pt idx="20">
                  <c:v>3.5418363984483107E-2</c:v>
                </c:pt>
                <c:pt idx="21">
                  <c:v>4.1821119200911278E-2</c:v>
                </c:pt>
                <c:pt idx="22">
                  <c:v>4.6069244987859241E-2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D2-43D1-AE48-7587416BF30E}"/>
            </c:ext>
          </c:extLst>
        </c:ser>
        <c:ser>
          <c:idx val="1"/>
          <c:order val="1"/>
          <c:tx>
            <c:strRef>
              <c:f>'GRAPHICS PUBLIC DEBT'!$B$191</c:f>
              <c:strCache>
                <c:ptCount val="1"/>
                <c:pt idx="0">
                  <c:v>   %Ingresos Corrientes</c:v>
                </c:pt>
              </c:strCache>
            </c:strRef>
          </c:tx>
          <c:spPr>
            <a:ln w="12700">
              <a:solidFill>
                <a:srgbClr val="FF0000"/>
              </a:solidFill>
            </a:ln>
          </c:spPr>
          <c:marker>
            <c:symbol val="square"/>
            <c:size val="5"/>
            <c:spPr>
              <a:solidFill>
                <a:srgbClr val="FF0000"/>
              </a:solidFill>
              <a:ln w="12700"/>
            </c:spPr>
          </c:marker>
          <c:cat>
            <c:numRef>
              <c:f>'GRAPHICS PUBLIC DEBT'!$C$189:$Y$189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PUBLIC DEBT'!$C$191:$Y$191</c:f>
              <c:numCache>
                <c:formatCode>0.00%</c:formatCode>
                <c:ptCount val="23"/>
                <c:pt idx="0">
                  <c:v>0.26103361441524786</c:v>
                </c:pt>
                <c:pt idx="1">
                  <c:v>0.29999192597323077</c:v>
                </c:pt>
                <c:pt idx="2">
                  <c:v>0.29319421365864323</c:v>
                </c:pt>
                <c:pt idx="3">
                  <c:v>0.30373043171128977</c:v>
                </c:pt>
                <c:pt idx="4">
                  <c:v>0.33182049583140399</c:v>
                </c:pt>
                <c:pt idx="5">
                  <c:v>0.32120260413605195</c:v>
                </c:pt>
                <c:pt idx="6">
                  <c:v>0.30967041354266189</c:v>
                </c:pt>
                <c:pt idx="7">
                  <c:v>0.30509012312924028</c:v>
                </c:pt>
                <c:pt idx="8">
                  <c:v>0.27301601980633738</c:v>
                </c:pt>
                <c:pt idx="9">
                  <c:v>0.20443344724138421</c:v>
                </c:pt>
                <c:pt idx="10">
                  <c:v>0.13664744047412949</c:v>
                </c:pt>
                <c:pt idx="11">
                  <c:v>0.1528981977050283</c:v>
                </c:pt>
                <c:pt idx="12">
                  <c:v>0.14687118167546959</c:v>
                </c:pt>
                <c:pt idx="13">
                  <c:v>0.1491478488425067</c:v>
                </c:pt>
                <c:pt idx="14">
                  <c:v>0.14475896887354675</c:v>
                </c:pt>
                <c:pt idx="15">
                  <c:v>0.17902367911028574</c:v>
                </c:pt>
                <c:pt idx="16">
                  <c:v>0.1834775691308092</c:v>
                </c:pt>
                <c:pt idx="17">
                  <c:v>0.1909714074996344</c:v>
                </c:pt>
                <c:pt idx="18">
                  <c:v>0.19235820998646913</c:v>
                </c:pt>
                <c:pt idx="19">
                  <c:v>0.21587905241203384</c:v>
                </c:pt>
                <c:pt idx="20">
                  <c:v>0.24946985755956325</c:v>
                </c:pt>
                <c:pt idx="21">
                  <c:v>0.2886839344634104</c:v>
                </c:pt>
                <c:pt idx="22">
                  <c:v>0.35812843824255597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D2-43D1-AE48-7587416BF30E}"/>
            </c:ext>
          </c:extLst>
        </c:ser>
        <c:ser>
          <c:idx val="2"/>
          <c:order val="2"/>
          <c:tx>
            <c:strRef>
              <c:f>'GRAPHICS PUBLIC DEBT'!$B$192</c:f>
              <c:strCache>
                <c:ptCount val="1"/>
                <c:pt idx="0">
                  <c:v>   %Gastos Totales</c:v>
                </c:pt>
              </c:strCache>
            </c:strRef>
          </c:tx>
          <c:spPr>
            <a:ln w="12700">
              <a:solidFill>
                <a:srgbClr val="92D050"/>
              </a:solidFill>
            </a:ln>
          </c:spPr>
          <c:marker>
            <c:spPr>
              <a:solidFill>
                <a:schemeClr val="accent3"/>
              </a:solidFill>
              <a:ln w="12700"/>
            </c:spPr>
          </c:marker>
          <c:cat>
            <c:numRef>
              <c:f>'GRAPHICS PUBLIC DEBT'!$C$189:$Y$189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PUBLIC DEBT'!$C$192:$Y$192</c:f>
              <c:numCache>
                <c:formatCode>0.00%</c:formatCode>
                <c:ptCount val="23"/>
                <c:pt idx="0">
                  <c:v>0.21730848794586913</c:v>
                </c:pt>
                <c:pt idx="1">
                  <c:v>0.25405263753071317</c:v>
                </c:pt>
                <c:pt idx="2">
                  <c:v>0.23760194807496116</c:v>
                </c:pt>
                <c:pt idx="3">
                  <c:v>0.25208849049106652</c:v>
                </c:pt>
                <c:pt idx="4">
                  <c:v>0.25394052494389974</c:v>
                </c:pt>
                <c:pt idx="5">
                  <c:v>0.26054739941323457</c:v>
                </c:pt>
                <c:pt idx="6">
                  <c:v>0.26106927198091384</c:v>
                </c:pt>
                <c:pt idx="7">
                  <c:v>0.27313013729857849</c:v>
                </c:pt>
                <c:pt idx="8">
                  <c:v>0.2602939766745645</c:v>
                </c:pt>
                <c:pt idx="9">
                  <c:v>0.21344810815507687</c:v>
                </c:pt>
                <c:pt idx="10">
                  <c:v>0.13826466784522573</c:v>
                </c:pt>
                <c:pt idx="11">
                  <c:v>0.12284414617751484</c:v>
                </c:pt>
                <c:pt idx="12">
                  <c:v>0.10811044862496903</c:v>
                </c:pt>
                <c:pt idx="13">
                  <c:v>0.11641727454813505</c:v>
                </c:pt>
                <c:pt idx="14">
                  <c:v>0.11072762737976037</c:v>
                </c:pt>
                <c:pt idx="15">
                  <c:v>0.12993125519333804</c:v>
                </c:pt>
                <c:pt idx="16">
                  <c:v>0.12731475547399546</c:v>
                </c:pt>
                <c:pt idx="17">
                  <c:v>0.12945733370904614</c:v>
                </c:pt>
                <c:pt idx="18">
                  <c:v>0.14149098025992915</c:v>
                </c:pt>
                <c:pt idx="19">
                  <c:v>0.1511411790365205</c:v>
                </c:pt>
                <c:pt idx="20">
                  <c:v>0.1756499154619994</c:v>
                </c:pt>
                <c:pt idx="21">
                  <c:v>0.1925344860709145</c:v>
                </c:pt>
                <c:pt idx="22">
                  <c:v>0.218856354165892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D2-43D1-AE48-7587416BF3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993728"/>
        <c:axId val="103996032"/>
      </c:lineChart>
      <c:catAx>
        <c:axId val="1039937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PERÍODO</a:t>
                </a:r>
              </a:p>
            </c:rich>
          </c:tx>
          <c:layout>
            <c:manualLayout>
              <c:xMode val="edge"/>
              <c:yMode val="edge"/>
              <c:x val="0.44342045902409188"/>
              <c:y val="0.8710337874432363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noFill/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1039960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399603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PORCENTAJE</a:t>
                </a:r>
              </a:p>
            </c:rich>
          </c:tx>
          <c:layout>
            <c:manualLayout>
              <c:xMode val="edge"/>
              <c:yMode val="edge"/>
              <c:x val="1.0729625250517827E-2"/>
              <c:y val="0.41216181310669531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/>
            </a:pPr>
            <a:endParaRPr lang="es-CR"/>
          </a:p>
        </c:txPr>
        <c:crossAx val="103993728"/>
        <c:crosses val="autoZero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10862619808306716"/>
          <c:y val="0.93333633295838014"/>
          <c:w val="0.81150159744409012"/>
          <c:h val="5.7143190434528993E-2"/>
        </c:manualLayout>
      </c:layout>
      <c:overlay val="0"/>
      <c:txPr>
        <a:bodyPr/>
        <a:lstStyle/>
        <a:p>
          <a:pPr>
            <a:defRPr b="1"/>
          </a:pPr>
          <a:endParaRPr lang="es-CR"/>
        </a:p>
      </c:txPr>
    </c:legend>
    <c:plotVisOnly val="1"/>
    <c:dispBlanksAs val="gap"/>
    <c:showDLblsOverMax val="0"/>
  </c:chart>
  <c:spPr>
    <a:noFill/>
  </c:spPr>
  <c:txPr>
    <a:bodyPr/>
    <a:lstStyle/>
    <a:p>
      <a:pPr>
        <a:defRPr>
          <a:solidFill>
            <a:sysClr val="windowText" lastClr="000000"/>
          </a:solidFill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'GRAPHICS PUBLIC DEBT'!$B$199</c:f>
              <c:strCache>
                <c:ptCount val="1"/>
                <c:pt idx="0">
                  <c:v>DEUDA PÚBLICA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cat>
            <c:numRef>
              <c:f>'GRAPHICS PUBLIC DEBT'!$C$198:$Y$198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PUBLIC DEBT'!$C$199:$Y$199</c:f>
              <c:numCache>
                <c:formatCode>0.00%</c:formatCode>
                <c:ptCount val="23"/>
                <c:pt idx="0">
                  <c:v>0.39509367698940512</c:v>
                </c:pt>
                <c:pt idx="1">
                  <c:v>0.35185452957393093</c:v>
                </c:pt>
                <c:pt idx="2">
                  <c:v>0.39026294420085617</c:v>
                </c:pt>
                <c:pt idx="3">
                  <c:v>0.39809178125940697</c:v>
                </c:pt>
                <c:pt idx="4">
                  <c:v>0.41634518072513244</c:v>
                </c:pt>
                <c:pt idx="5">
                  <c:v>0.40760148969692417</c:v>
                </c:pt>
                <c:pt idx="6">
                  <c:v>0.41213096042152642</c:v>
                </c:pt>
                <c:pt idx="7">
                  <c:v>0.37519223888691128</c:v>
                </c:pt>
                <c:pt idx="8">
                  <c:v>0.33208594402619462</c:v>
                </c:pt>
                <c:pt idx="9">
                  <c:v>0.27101849007343759</c:v>
                </c:pt>
                <c:pt idx="10">
                  <c:v>0.24116100074484942</c:v>
                </c:pt>
                <c:pt idx="11">
                  <c:v>0.26150811631953597</c:v>
                </c:pt>
                <c:pt idx="12">
                  <c:v>0.28378379326893644</c:v>
                </c:pt>
                <c:pt idx="13">
                  <c:v>0.29852630275373754</c:v>
                </c:pt>
                <c:pt idx="14">
                  <c:v>0.34303977316171441</c:v>
                </c:pt>
                <c:pt idx="15">
                  <c:v>0.35940659729986518</c:v>
                </c:pt>
                <c:pt idx="16">
                  <c:v>0.38546392565043136</c:v>
                </c:pt>
                <c:pt idx="17">
                  <c:v>0.40984552274213998</c:v>
                </c:pt>
                <c:pt idx="18">
                  <c:v>0.45208774762192727</c:v>
                </c:pt>
                <c:pt idx="19">
                  <c:v>0.49180191610994989</c:v>
                </c:pt>
                <c:pt idx="20">
                  <c:v>0.53552536147973584</c:v>
                </c:pt>
                <c:pt idx="21">
                  <c:v>0.5848221333024084</c:v>
                </c:pt>
                <c:pt idx="22">
                  <c:v>0.66536200134110013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92B-4B0E-8443-E20BFB0A91A1}"/>
            </c:ext>
          </c:extLst>
        </c:ser>
        <c:ser>
          <c:idx val="1"/>
          <c:order val="1"/>
          <c:tx>
            <c:strRef>
              <c:f>'GRAPHICS PUBLIC DEBT'!$B$200</c:f>
              <c:strCache>
                <c:ptCount val="1"/>
                <c:pt idx="0">
                  <c:v>Deuda Interna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9900"/>
              </a:solidFill>
              <a:ln>
                <a:solidFill>
                  <a:srgbClr val="FFC000"/>
                </a:solidFill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cat>
            <c:numRef>
              <c:f>'GRAPHICS PUBLIC DEBT'!$C$198:$Y$198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PUBLIC DEBT'!$C$200:$Y$200</c:f>
              <c:numCache>
                <c:formatCode>0.00%</c:formatCode>
                <c:ptCount val="23"/>
                <c:pt idx="0">
                  <c:v>0.31398824382883767</c:v>
                </c:pt>
                <c:pt idx="1">
                  <c:v>0.26597036454360462</c:v>
                </c:pt>
                <c:pt idx="2">
                  <c:v>0.28209475513202414</c:v>
                </c:pt>
                <c:pt idx="3">
                  <c:v>0.28561166929545079</c:v>
                </c:pt>
                <c:pt idx="4">
                  <c:v>0.2918070992041259</c:v>
                </c:pt>
                <c:pt idx="5">
                  <c:v>0.27425514653269445</c:v>
                </c:pt>
                <c:pt idx="6">
                  <c:v>0.27611140017606672</c:v>
                </c:pt>
                <c:pt idx="7">
                  <c:v>0.25159115568414459</c:v>
                </c:pt>
                <c:pt idx="8">
                  <c:v>0.22801000441389196</c:v>
                </c:pt>
                <c:pt idx="9">
                  <c:v>0.18903790050773786</c:v>
                </c:pt>
                <c:pt idx="10">
                  <c:v>0.17088111201236955</c:v>
                </c:pt>
                <c:pt idx="11">
                  <c:v>0.20610537014586677</c:v>
                </c:pt>
                <c:pt idx="12">
                  <c:v>0.22554808504619792</c:v>
                </c:pt>
                <c:pt idx="13">
                  <c:v>0.25056239573867395</c:v>
                </c:pt>
                <c:pt idx="14">
                  <c:v>0.28376407146003363</c:v>
                </c:pt>
                <c:pt idx="15">
                  <c:v>0.28834990326012072</c:v>
                </c:pt>
                <c:pt idx="16">
                  <c:v>0.29815112357386836</c:v>
                </c:pt>
                <c:pt idx="17">
                  <c:v>0.30871855884786326</c:v>
                </c:pt>
                <c:pt idx="18">
                  <c:v>0.34820432491839287</c:v>
                </c:pt>
                <c:pt idx="19">
                  <c:v>0.38852520315939981</c:v>
                </c:pt>
                <c:pt idx="20">
                  <c:v>0.42753995841551506</c:v>
                </c:pt>
                <c:pt idx="21">
                  <c:v>0.45703871921272499</c:v>
                </c:pt>
                <c:pt idx="22">
                  <c:v>0.50749224073449539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92B-4B0E-8443-E20BFB0A91A1}"/>
            </c:ext>
          </c:extLst>
        </c:ser>
        <c:ser>
          <c:idx val="2"/>
          <c:order val="2"/>
          <c:tx>
            <c:strRef>
              <c:f>'GRAPHICS PUBLIC DEBT'!$B$201</c:f>
              <c:strCache>
                <c:ptCount val="1"/>
                <c:pt idx="0">
                  <c:v>Deuda Externa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cat>
            <c:numRef>
              <c:f>'GRAPHICS PUBLIC DEBT'!$C$198:$Y$198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cat>
          <c:val>
            <c:numRef>
              <c:f>'GRAPHICS PUBLIC DEBT'!$C$201:$Y$201</c:f>
              <c:numCache>
                <c:formatCode>0.00%</c:formatCode>
                <c:ptCount val="23"/>
                <c:pt idx="0">
                  <c:v>8.1105433160567453E-2</c:v>
                </c:pt>
                <c:pt idx="1">
                  <c:v>8.5884165030326323E-2</c:v>
                </c:pt>
                <c:pt idx="2">
                  <c:v>0.10816818906883198</c:v>
                </c:pt>
                <c:pt idx="3">
                  <c:v>0.11248011196395617</c:v>
                </c:pt>
                <c:pt idx="4">
                  <c:v>0.12453808152100659</c:v>
                </c:pt>
                <c:pt idx="5">
                  <c:v>0.13334634316422969</c:v>
                </c:pt>
                <c:pt idx="6">
                  <c:v>0.13601956024545966</c:v>
                </c:pt>
                <c:pt idx="7">
                  <c:v>0.12360108320276669</c:v>
                </c:pt>
                <c:pt idx="8">
                  <c:v>0.10407593961230265</c:v>
                </c:pt>
                <c:pt idx="9">
                  <c:v>8.1980589565699716E-2</c:v>
                </c:pt>
                <c:pt idx="10">
                  <c:v>7.0279888732479839E-2</c:v>
                </c:pt>
                <c:pt idx="11">
                  <c:v>5.54027461736692E-2</c:v>
                </c:pt>
                <c:pt idx="12">
                  <c:v>5.8235708222738498E-2</c:v>
                </c:pt>
                <c:pt idx="13">
                  <c:v>4.7963907015063603E-2</c:v>
                </c:pt>
                <c:pt idx="14">
                  <c:v>5.9275701701680776E-2</c:v>
                </c:pt>
                <c:pt idx="15">
                  <c:v>7.1056694039744461E-2</c:v>
                </c:pt>
                <c:pt idx="16">
                  <c:v>8.7312802076562973E-2</c:v>
                </c:pt>
                <c:pt idx="17">
                  <c:v>0.10112696389427672</c:v>
                </c:pt>
                <c:pt idx="18">
                  <c:v>0.10388342270353441</c:v>
                </c:pt>
                <c:pt idx="19">
                  <c:v>0.1032767129505501</c:v>
                </c:pt>
                <c:pt idx="20">
                  <c:v>0.10798540306422089</c:v>
                </c:pt>
                <c:pt idx="21">
                  <c:v>0.12778341408968341</c:v>
                </c:pt>
                <c:pt idx="22">
                  <c:v>0.15786976060660471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92B-4B0E-8443-E20BFB0A91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043648"/>
        <c:axId val="104045952"/>
      </c:lineChart>
      <c:catAx>
        <c:axId val="1040436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1"/>
                </a:pPr>
                <a:r>
                  <a:rPr lang="es-CR" sz="900" b="1"/>
                  <a:t>Años</a:t>
                </a:r>
              </a:p>
            </c:rich>
          </c:tx>
          <c:layout>
            <c:manualLayout>
              <c:xMode val="edge"/>
              <c:yMode val="edge"/>
              <c:x val="0.50184741400078614"/>
              <c:y val="0.83245461181257663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1">
                <a:latin typeface="+mn-lt"/>
              </a:defRPr>
            </a:pPr>
            <a:endParaRPr lang="es-CR"/>
          </a:p>
        </c:txPr>
        <c:crossAx val="104045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4045952"/>
        <c:scaling>
          <c:orientation val="minMax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solid"/>
            </a:ln>
          </c:spPr>
        </c:majorGridlines>
        <c:title>
          <c:tx>
            <c:rich>
              <a:bodyPr rot="0" vert="wordArtVert"/>
              <a:lstStyle/>
              <a:p>
                <a:pPr>
                  <a:defRPr sz="1000" b="1"/>
                </a:pPr>
                <a:r>
                  <a:rPr lang="es-CR" sz="1000" b="1"/>
                  <a:t>Porcentaje</a:t>
                </a:r>
              </a:p>
            </c:rich>
          </c:tx>
          <c:layout>
            <c:manualLayout>
              <c:xMode val="edge"/>
              <c:yMode val="edge"/>
              <c:x val="1.0735373054213635E-2"/>
              <c:y val="0.14752084983459907"/>
            </c:manualLayout>
          </c:layout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1">
                <a:latin typeface="+mn-lt"/>
              </a:defRPr>
            </a:pPr>
            <a:endParaRPr lang="es-CR"/>
          </a:p>
        </c:txPr>
        <c:crossAx val="104043648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b"/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27"/>
    </mc:Choice>
    <mc:Fallback>
      <c:style val="27"/>
    </mc:Fallback>
  </mc:AlternateContent>
  <c:chart>
    <c:autoTitleDeleted val="0"/>
    <c:view3D>
      <c:rotX val="15"/>
      <c:hPercent val="56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0412113870381585E-2"/>
          <c:y val="3.8884604941623685E-2"/>
          <c:w val="0.92175667272360184"/>
          <c:h val="0.72606796518856198"/>
        </c:manualLayout>
      </c:layout>
      <c:bar3DChart>
        <c:barDir val="col"/>
        <c:grouping val="stacked"/>
        <c:varyColors val="0"/>
        <c:ser>
          <c:idx val="1"/>
          <c:order val="0"/>
          <c:tx>
            <c:strRef>
              <c:f>'GRAPHICS PUBLIC DEBT'!$L$255</c:f>
              <c:strCache>
                <c:ptCount val="1"/>
                <c:pt idx="0">
                  <c:v>Deuda Interna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'GRAPHICS PUBLIC DEBT'!$K$257:$K$275</c:f>
              <c:strCache>
                <c:ptCount val="19"/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  <c:pt idx="6">
                  <c:v>2026</c:v>
                </c:pt>
                <c:pt idx="7">
                  <c:v>2027</c:v>
                </c:pt>
                <c:pt idx="8">
                  <c:v>2028</c:v>
                </c:pt>
                <c:pt idx="9">
                  <c:v>2029</c:v>
                </c:pt>
                <c:pt idx="10">
                  <c:v>2030</c:v>
                </c:pt>
                <c:pt idx="11">
                  <c:v>2031</c:v>
                </c:pt>
                <c:pt idx="12">
                  <c:v>2032</c:v>
                </c:pt>
                <c:pt idx="13">
                  <c:v>2033</c:v>
                </c:pt>
                <c:pt idx="14">
                  <c:v>2034</c:v>
                </c:pt>
                <c:pt idx="15">
                  <c:v>2035</c:v>
                </c:pt>
                <c:pt idx="16">
                  <c:v>2036</c:v>
                </c:pt>
                <c:pt idx="17">
                  <c:v>2037-2041</c:v>
                </c:pt>
                <c:pt idx="18">
                  <c:v>2042-2051</c:v>
                </c:pt>
              </c:strCache>
            </c:strRef>
          </c:cat>
          <c:val>
            <c:numRef>
              <c:f>'GRAPHICS PUBLIC DEBT'!$L$257:$L$275</c:f>
              <c:numCache>
                <c:formatCode>#\ ##0.00;[Red]#\ ##0.00</c:formatCode>
                <c:ptCount val="19"/>
                <c:pt idx="1">
                  <c:v>3816.9219078298902</c:v>
                </c:pt>
                <c:pt idx="2">
                  <c:v>3318.4875025983979</c:v>
                </c:pt>
                <c:pt idx="3">
                  <c:v>2731.4044938002698</c:v>
                </c:pt>
                <c:pt idx="4">
                  <c:v>3048.3988097144143</c:v>
                </c:pt>
                <c:pt idx="5">
                  <c:v>2340.8063483531782</c:v>
                </c:pt>
                <c:pt idx="6">
                  <c:v>2769.4953728544642</c:v>
                </c:pt>
                <c:pt idx="7">
                  <c:v>2162.424020511527</c:v>
                </c:pt>
                <c:pt idx="8">
                  <c:v>1809.1108692881021</c:v>
                </c:pt>
                <c:pt idx="9">
                  <c:v>2213.486889260937</c:v>
                </c:pt>
                <c:pt idx="10">
                  <c:v>1720.4970722789178</c:v>
                </c:pt>
                <c:pt idx="11">
                  <c:v>1099.8881835380603</c:v>
                </c:pt>
                <c:pt idx="12">
                  <c:v>158.62878681639913</c:v>
                </c:pt>
                <c:pt idx="13">
                  <c:v>332.81096533674531</c:v>
                </c:pt>
                <c:pt idx="14">
                  <c:v>301.31529644962535</c:v>
                </c:pt>
                <c:pt idx="15">
                  <c:v>428.47736258251956</c:v>
                </c:pt>
                <c:pt idx="16">
                  <c:v>458.33316718095296</c:v>
                </c:pt>
                <c:pt idx="17">
                  <c:v>477.65839445220382</c:v>
                </c:pt>
                <c:pt idx="18">
                  <c:v>891.19684358251868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B-4583-A6A4-384B558D368E}"/>
            </c:ext>
          </c:extLst>
        </c:ser>
        <c:ser>
          <c:idx val="2"/>
          <c:order val="1"/>
          <c:tx>
            <c:strRef>
              <c:f>'GRAPHICS PUBLIC DEBT'!$M$255</c:f>
              <c:strCache>
                <c:ptCount val="1"/>
                <c:pt idx="0">
                  <c:v>Deuda Externa</c:v>
                </c:pt>
              </c:strCache>
            </c:strRef>
          </c:tx>
          <c:invertIfNegative val="0"/>
          <c:cat>
            <c:strRef>
              <c:f>'GRAPHICS PUBLIC DEBT'!$K$257:$K$275</c:f>
              <c:strCache>
                <c:ptCount val="19"/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  <c:pt idx="6">
                  <c:v>2026</c:v>
                </c:pt>
                <c:pt idx="7">
                  <c:v>2027</c:v>
                </c:pt>
                <c:pt idx="8">
                  <c:v>2028</c:v>
                </c:pt>
                <c:pt idx="9">
                  <c:v>2029</c:v>
                </c:pt>
                <c:pt idx="10">
                  <c:v>2030</c:v>
                </c:pt>
                <c:pt idx="11">
                  <c:v>2031</c:v>
                </c:pt>
                <c:pt idx="12">
                  <c:v>2032</c:v>
                </c:pt>
                <c:pt idx="13">
                  <c:v>2033</c:v>
                </c:pt>
                <c:pt idx="14">
                  <c:v>2034</c:v>
                </c:pt>
                <c:pt idx="15">
                  <c:v>2035</c:v>
                </c:pt>
                <c:pt idx="16">
                  <c:v>2036</c:v>
                </c:pt>
                <c:pt idx="17">
                  <c:v>2037-2041</c:v>
                </c:pt>
                <c:pt idx="18">
                  <c:v>2042-2051</c:v>
                </c:pt>
              </c:strCache>
            </c:strRef>
          </c:cat>
          <c:val>
            <c:numRef>
              <c:f>'GRAPHICS PUBLIC DEBT'!$M$257:$M$275</c:f>
              <c:numCache>
                <c:formatCode>#\ ##0.00;[Red]#\ ##0.00</c:formatCode>
                <c:ptCount val="19"/>
                <c:pt idx="1">
                  <c:v>100.53020366723742</c:v>
                </c:pt>
                <c:pt idx="2">
                  <c:v>108.46091895278347</c:v>
                </c:pt>
                <c:pt idx="3">
                  <c:v>1205.752955661188</c:v>
                </c:pt>
                <c:pt idx="4">
                  <c:v>389.05034463411067</c:v>
                </c:pt>
                <c:pt idx="5">
                  <c:v>932.70863993446733</c:v>
                </c:pt>
                <c:pt idx="6">
                  <c:v>203.39846382246145</c:v>
                </c:pt>
                <c:pt idx="7">
                  <c:v>202.79195082246147</c:v>
                </c:pt>
                <c:pt idx="8">
                  <c:v>199.36939489246149</c:v>
                </c:pt>
                <c:pt idx="9">
                  <c:v>593.64323141246143</c:v>
                </c:pt>
                <c:pt idx="10">
                  <c:v>591.08031730246148</c:v>
                </c:pt>
                <c:pt idx="11">
                  <c:v>587.14699911909099</c:v>
                </c:pt>
                <c:pt idx="12">
                  <c:v>183.21450302776938</c:v>
                </c:pt>
                <c:pt idx="13">
                  <c:v>182.5480527762754</c:v>
                </c:pt>
                <c:pt idx="14">
                  <c:v>182.5480527762754</c:v>
                </c:pt>
                <c:pt idx="15">
                  <c:v>166.71961731627542</c:v>
                </c:pt>
                <c:pt idx="16">
                  <c:v>161.7938299242964</c:v>
                </c:pt>
                <c:pt idx="17">
                  <c:v>435.35236735693667</c:v>
                </c:pt>
                <c:pt idx="18">
                  <c:v>2930.917091759999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B-4583-A6A4-384B558D36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4098816"/>
        <c:axId val="104100992"/>
        <c:axId val="0"/>
      </c:bar3DChart>
      <c:catAx>
        <c:axId val="1040988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Años</a:t>
                </a:r>
              </a:p>
            </c:rich>
          </c:tx>
          <c:layout>
            <c:manualLayout>
              <c:xMode val="edge"/>
              <c:yMode val="edge"/>
              <c:x val="0.47013921889154747"/>
              <c:y val="0.86065064235391631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b="1"/>
            </a:pPr>
            <a:endParaRPr lang="es-CR"/>
          </a:p>
        </c:txPr>
        <c:crossAx val="104100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4100992"/>
        <c:scaling>
          <c:orientation val="minMax"/>
        </c:scaling>
        <c:delete val="0"/>
        <c:axPos val="l"/>
        <c:majorGridlines/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US"/>
                  <a:t>Monto</a:t>
                </a:r>
              </a:p>
            </c:rich>
          </c:tx>
          <c:layout>
            <c:manualLayout>
              <c:xMode val="edge"/>
              <c:yMode val="edge"/>
              <c:x val="6.3243932969917219E-2"/>
              <c:y val="0.2960750815239004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/>
            </a:pPr>
            <a:endParaRPr lang="es-CR"/>
          </a:p>
        </c:txPr>
        <c:crossAx val="104098816"/>
        <c:crosses val="autoZero"/>
        <c:crossBetween val="between"/>
      </c:valAx>
      <c:spPr>
        <a:ln>
          <a:noFill/>
        </a:ln>
      </c:spPr>
    </c:plotArea>
    <c:legend>
      <c:legendPos val="b"/>
      <c:layout>
        <c:manualLayout>
          <c:xMode val="edge"/>
          <c:yMode val="edge"/>
          <c:x val="0.34300965013230139"/>
          <c:y val="0.92748307777317296"/>
          <c:w val="0.30997805579806914"/>
          <c:h val="5.49730625777041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27"/>
    </mc:Choice>
    <mc:Fallback>
      <c:style val="27"/>
    </mc:Fallback>
  </mc:AlternateContent>
  <c:chart>
    <c:autoTitleDeleted val="0"/>
    <c:view3D>
      <c:rotX val="15"/>
      <c:hPercent val="56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0412113870381585E-2"/>
          <c:y val="3.8884604941623685E-2"/>
          <c:w val="0.92175667272360184"/>
          <c:h val="0.72606796518856198"/>
        </c:manualLayout>
      </c:layout>
      <c:bar3DChart>
        <c:barDir val="col"/>
        <c:grouping val="stacked"/>
        <c:varyColors val="0"/>
        <c:ser>
          <c:idx val="1"/>
          <c:order val="0"/>
          <c:tx>
            <c:strRef>
              <c:f>'GRAPHICS PUBLIC DEBT'!$L$211</c:f>
              <c:strCache>
                <c:ptCount val="1"/>
                <c:pt idx="0">
                  <c:v>Deuda Interna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'GRAPHICS PUBLIC DEBT'!$K$212:$K$230</c:f>
              <c:strCache>
                <c:ptCount val="19"/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  <c:pt idx="6">
                  <c:v>2026</c:v>
                </c:pt>
                <c:pt idx="7">
                  <c:v>2027</c:v>
                </c:pt>
                <c:pt idx="8">
                  <c:v>2028</c:v>
                </c:pt>
                <c:pt idx="9">
                  <c:v>2029</c:v>
                </c:pt>
                <c:pt idx="10">
                  <c:v>2030</c:v>
                </c:pt>
                <c:pt idx="11">
                  <c:v>2031</c:v>
                </c:pt>
                <c:pt idx="12">
                  <c:v>2032</c:v>
                </c:pt>
                <c:pt idx="13">
                  <c:v>2033</c:v>
                </c:pt>
                <c:pt idx="14">
                  <c:v>2034</c:v>
                </c:pt>
                <c:pt idx="15">
                  <c:v>2035</c:v>
                </c:pt>
                <c:pt idx="16">
                  <c:v>2036</c:v>
                </c:pt>
                <c:pt idx="17">
                  <c:v>2037-2041</c:v>
                </c:pt>
                <c:pt idx="18">
                  <c:v>2042-2051</c:v>
                </c:pt>
              </c:strCache>
            </c:strRef>
          </c:cat>
          <c:val>
            <c:numRef>
              <c:f>'GRAPHICS PUBLIC DEBT'!$L$212:$L$230</c:f>
              <c:numCache>
                <c:formatCode>#\ ##0.00;[Red]#\ ##0.00</c:formatCode>
                <c:ptCount val="19"/>
                <c:pt idx="1">
                  <c:v>2350231.4955271767</c:v>
                </c:pt>
                <c:pt idx="2">
                  <c:v>2043325.4948499375</c:v>
                </c:pt>
                <c:pt idx="3">
                  <c:v>1681835.0030125782</c:v>
                </c:pt>
                <c:pt idx="4">
                  <c:v>1877021.0830935535</c:v>
                </c:pt>
                <c:pt idx="5">
                  <c:v>1441328.100934986</c:v>
                </c:pt>
                <c:pt idx="6">
                  <c:v>1705289.080881408</c:v>
                </c:pt>
                <c:pt idx="7">
                  <c:v>1331490.9663897676</c:v>
                </c:pt>
                <c:pt idx="8">
                  <c:v>1113941.926655456</c:v>
                </c:pt>
                <c:pt idx="9">
                  <c:v>1362932.4171935294</c:v>
                </c:pt>
                <c:pt idx="10">
                  <c:v>1059378.8672850209</c:v>
                </c:pt>
                <c:pt idx="11">
                  <c:v>677245.15013172524</c:v>
                </c:pt>
                <c:pt idx="12">
                  <c:v>97674.089194329601</c:v>
                </c:pt>
                <c:pt idx="13">
                  <c:v>204925.02379644755</c:v>
                </c:pt>
                <c:pt idx="14">
                  <c:v>185531.8806358923</c:v>
                </c:pt>
                <c:pt idx="15">
                  <c:v>263830.6512365606</c:v>
                </c:pt>
                <c:pt idx="16">
                  <c:v>282214.06435999996</c:v>
                </c:pt>
                <c:pt idx="17">
                  <c:v>294113.3798</c:v>
                </c:pt>
                <c:pt idx="18">
                  <c:v>548745.54446749995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04-4407-B811-70D16E747FB8}"/>
            </c:ext>
          </c:extLst>
        </c:ser>
        <c:ser>
          <c:idx val="2"/>
          <c:order val="1"/>
          <c:tx>
            <c:strRef>
              <c:f>'GRAPHICS PUBLIC DEBT'!$M$211</c:f>
              <c:strCache>
                <c:ptCount val="1"/>
                <c:pt idx="0">
                  <c:v>Deuda Externa</c:v>
                </c:pt>
              </c:strCache>
            </c:strRef>
          </c:tx>
          <c:invertIfNegative val="0"/>
          <c:cat>
            <c:strRef>
              <c:f>'GRAPHICS PUBLIC DEBT'!$K$212:$K$230</c:f>
              <c:strCache>
                <c:ptCount val="19"/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  <c:pt idx="6">
                  <c:v>2026</c:v>
                </c:pt>
                <c:pt idx="7">
                  <c:v>2027</c:v>
                </c:pt>
                <c:pt idx="8">
                  <c:v>2028</c:v>
                </c:pt>
                <c:pt idx="9">
                  <c:v>2029</c:v>
                </c:pt>
                <c:pt idx="10">
                  <c:v>2030</c:v>
                </c:pt>
                <c:pt idx="11">
                  <c:v>2031</c:v>
                </c:pt>
                <c:pt idx="12">
                  <c:v>2032</c:v>
                </c:pt>
                <c:pt idx="13">
                  <c:v>2033</c:v>
                </c:pt>
                <c:pt idx="14">
                  <c:v>2034</c:v>
                </c:pt>
                <c:pt idx="15">
                  <c:v>2035</c:v>
                </c:pt>
                <c:pt idx="16">
                  <c:v>2036</c:v>
                </c:pt>
                <c:pt idx="17">
                  <c:v>2037-2041</c:v>
                </c:pt>
                <c:pt idx="18">
                  <c:v>2042-2051</c:v>
                </c:pt>
              </c:strCache>
            </c:strRef>
          </c:cat>
          <c:val>
            <c:numRef>
              <c:f>'GRAPHICS PUBLIC DEBT'!$M$212:$M$230</c:f>
              <c:numCache>
                <c:formatCode>#\ ##0.00;[Red]#\ ##0.00</c:formatCode>
                <c:ptCount val="19"/>
                <c:pt idx="1">
                  <c:v>61900.467606064769</c:v>
                </c:pt>
                <c:pt idx="2">
                  <c:v>66783.726235986891</c:v>
                </c:pt>
                <c:pt idx="3">
                  <c:v>742430.32491881994</c:v>
                </c:pt>
                <c:pt idx="4">
                  <c:v>239553.85920500732</c:v>
                </c:pt>
                <c:pt idx="5">
                  <c:v>574306.01795324893</c:v>
                </c:pt>
                <c:pt idx="6">
                  <c:v>125240.57011404242</c:v>
                </c:pt>
                <c:pt idx="7">
                  <c:v>124867.11579942243</c:v>
                </c:pt>
                <c:pt idx="8">
                  <c:v>122759.71121108424</c:v>
                </c:pt>
                <c:pt idx="9">
                  <c:v>365529.88330990903</c:v>
                </c:pt>
                <c:pt idx="10">
                  <c:v>363951.79457581765</c:v>
                </c:pt>
                <c:pt idx="11">
                  <c:v>361529.8932375891</c:v>
                </c:pt>
                <c:pt idx="12">
                  <c:v>112812.49809431873</c:v>
                </c:pt>
                <c:pt idx="13">
                  <c:v>112402.13801646381</c:v>
                </c:pt>
                <c:pt idx="14">
                  <c:v>112402.13801646381</c:v>
                </c:pt>
                <c:pt idx="15">
                  <c:v>102655.93716632343</c:v>
                </c:pt>
                <c:pt idx="16">
                  <c:v>99622.932837586268</c:v>
                </c:pt>
                <c:pt idx="17">
                  <c:v>268063.86667636019</c:v>
                </c:pt>
                <c:pt idx="18">
                  <c:v>1804682.8900803025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04-4407-B811-70D16E747F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4135680"/>
        <c:axId val="104141952"/>
        <c:axId val="0"/>
      </c:bar3DChart>
      <c:catAx>
        <c:axId val="1041356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Años</a:t>
                </a:r>
              </a:p>
            </c:rich>
          </c:tx>
          <c:layout>
            <c:manualLayout>
              <c:xMode val="edge"/>
              <c:yMode val="edge"/>
              <c:x val="0.47013921889154747"/>
              <c:y val="0.86065064235391631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b="1"/>
            </a:pPr>
            <a:endParaRPr lang="es-CR"/>
          </a:p>
        </c:txPr>
        <c:crossAx val="104141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4141952"/>
        <c:scaling>
          <c:orientation val="minMax"/>
        </c:scaling>
        <c:delete val="0"/>
        <c:axPos val="l"/>
        <c:majorGridlines/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US"/>
                  <a:t>Monto</a:t>
                </a:r>
              </a:p>
            </c:rich>
          </c:tx>
          <c:layout>
            <c:manualLayout>
              <c:xMode val="edge"/>
              <c:yMode val="edge"/>
              <c:x val="6.3243932969917219E-2"/>
              <c:y val="0.2960750815239004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/>
            </a:pPr>
            <a:endParaRPr lang="es-CR"/>
          </a:p>
        </c:txPr>
        <c:crossAx val="104135680"/>
        <c:crosses val="autoZero"/>
        <c:crossBetween val="between"/>
      </c:valAx>
      <c:spPr>
        <a:ln>
          <a:noFill/>
        </a:ln>
      </c:spPr>
    </c:plotArea>
    <c:legend>
      <c:legendPos val="b"/>
      <c:layout>
        <c:manualLayout>
          <c:xMode val="edge"/>
          <c:yMode val="edge"/>
          <c:x val="0.34300965013230139"/>
          <c:y val="0.92748307777317296"/>
          <c:w val="0.30997805579806914"/>
          <c:h val="5.49730625777041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31"/>
    </mc:Choice>
    <mc:Fallback>
      <c:style val="31"/>
    </mc:Fallback>
  </mc:AlternateContent>
  <c:chart>
    <c:autoTitleDeleted val="1"/>
    <c:view3D>
      <c:rotX val="15"/>
      <c:hPercent val="5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5797876897435296E-2"/>
          <c:y val="2.2171672985321283E-2"/>
          <c:w val="0.94301853177443729"/>
          <c:h val="0.84694327249208468"/>
        </c:manualLayout>
      </c:layout>
      <c:bar3DChart>
        <c:barDir val="col"/>
        <c:grouping val="stacked"/>
        <c:varyColors val="0"/>
        <c:ser>
          <c:idx val="1"/>
          <c:order val="0"/>
          <c:tx>
            <c:strRef>
              <c:f>'GRAPHICS PUBLIC DEBT'!$N$211</c:f>
              <c:strCache>
                <c:ptCount val="1"/>
                <c:pt idx="0">
                  <c:v>Total</c:v>
                </c:pt>
              </c:strCache>
            </c:strRef>
          </c:tx>
          <c:spPr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numFmt formatCode="#.#00%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'GRAPHICS PUBLIC DEBT'!$P$212:$P$230</c:f>
              <c:strCache>
                <c:ptCount val="19"/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  <c:pt idx="6">
                  <c:v>2026</c:v>
                </c:pt>
                <c:pt idx="7">
                  <c:v>2027</c:v>
                </c:pt>
                <c:pt idx="8">
                  <c:v>2028</c:v>
                </c:pt>
                <c:pt idx="9">
                  <c:v>2029</c:v>
                </c:pt>
                <c:pt idx="10">
                  <c:v>2030</c:v>
                </c:pt>
                <c:pt idx="11">
                  <c:v>2031</c:v>
                </c:pt>
                <c:pt idx="12">
                  <c:v>2032</c:v>
                </c:pt>
                <c:pt idx="13">
                  <c:v>2033</c:v>
                </c:pt>
                <c:pt idx="14">
                  <c:v>2034</c:v>
                </c:pt>
                <c:pt idx="15">
                  <c:v>2035</c:v>
                </c:pt>
                <c:pt idx="16">
                  <c:v>2036</c:v>
                </c:pt>
                <c:pt idx="17">
                  <c:v>2037-2041</c:v>
                </c:pt>
                <c:pt idx="18">
                  <c:v>2042-2052</c:v>
                </c:pt>
              </c:strCache>
            </c:strRef>
          </c:cat>
          <c:val>
            <c:numRef>
              <c:f>'GRAPHICS PUBLIC DEBT'!$Q$212:$Q$230</c:f>
              <c:numCache>
                <c:formatCode>0.00%</c:formatCode>
                <c:ptCount val="19"/>
                <c:pt idx="1">
                  <c:v>9.9336023797866477E-2</c:v>
                </c:pt>
                <c:pt idx="2">
                  <c:v>8.6898172656199091E-2</c:v>
                </c:pt>
                <c:pt idx="3">
                  <c:v>9.9835698041547696E-2</c:v>
                </c:pt>
                <c:pt idx="4">
                  <c:v>8.7164442929163158E-2</c:v>
                </c:pt>
                <c:pt idx="5">
                  <c:v>8.3007514456875223E-2</c:v>
                </c:pt>
                <c:pt idx="6">
                  <c:v>7.5384572549582321E-2</c:v>
                </c:pt>
                <c:pt idx="7">
                  <c:v>5.997550023036171E-2</c:v>
                </c:pt>
                <c:pt idx="8">
                  <c:v>5.0929644483627759E-2</c:v>
                </c:pt>
                <c:pt idx="9">
                  <c:v>7.1181251623355021E-2</c:v>
                </c:pt>
                <c:pt idx="10">
                  <c:v>5.8615370410823292E-2</c:v>
                </c:pt>
                <c:pt idx="11">
                  <c:v>4.2778663856652403E-2</c:v>
                </c:pt>
                <c:pt idx="12">
                  <c:v>8.6682241948642103E-3</c:v>
                </c:pt>
                <c:pt idx="13">
                  <c:v>1.3068115252123782E-2</c:v>
                </c:pt>
                <c:pt idx="14">
                  <c:v>1.2269470003872105E-2</c:v>
                </c:pt>
                <c:pt idx="15">
                  <c:v>1.5092590713776312E-2</c:v>
                </c:pt>
                <c:pt idx="16">
                  <c:v>1.5724748736904041E-2</c:v>
                </c:pt>
                <c:pt idx="17">
                  <c:v>2.3151491372825038E-2</c:v>
                </c:pt>
                <c:pt idx="18">
                  <c:v>9.691850468958052E-2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31-4E0A-87BF-23BA7B0B0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4175872"/>
        <c:axId val="104186240"/>
        <c:axId val="0"/>
      </c:bar3DChart>
      <c:catAx>
        <c:axId val="1041758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/>
                </a:pPr>
                <a:r>
                  <a:rPr lang="es-ES" sz="1100"/>
                  <a:t>Años</a:t>
                </a:r>
              </a:p>
            </c:rich>
          </c:tx>
          <c:layout>
            <c:manualLayout>
              <c:xMode val="edge"/>
              <c:yMode val="edge"/>
              <c:x val="0.47656576435019338"/>
              <c:y val="0.94416460905349808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R"/>
          </a:p>
        </c:txPr>
        <c:crossAx val="104186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4186240"/>
        <c:scaling>
          <c:orientation val="minMax"/>
        </c:scaling>
        <c:delete val="0"/>
        <c:axPos val="l"/>
        <c:majorGridlines/>
        <c:title>
          <c:tx>
            <c:rich>
              <a:bodyPr rot="0" vert="wordArtVert"/>
              <a:lstStyle/>
              <a:p>
                <a:pPr>
                  <a:defRPr sz="1050"/>
                </a:pPr>
                <a:r>
                  <a:rPr lang="es-ES" sz="1050"/>
                  <a:t>Porcentaje</a:t>
                </a:r>
              </a:p>
            </c:rich>
          </c:tx>
          <c:layout>
            <c:manualLayout>
              <c:xMode val="edge"/>
              <c:yMode val="edge"/>
              <c:x val="1.2569941092809296E-2"/>
              <c:y val="0.22628871391076119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R"/>
          </a:p>
        </c:txPr>
        <c:crossAx val="104175872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/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3683850726926"/>
          <c:y val="4.6682332247736047E-2"/>
          <c:w val="0.85731678039846382"/>
          <c:h val="0.7925393426240130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Debt'!$D$122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Debt'!$B$123:$B$134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Debt'!$D$123:$D$134</c:f>
              <c:numCache>
                <c:formatCode>_(* #\ ##0.00_);_(* \(#\ ##0.00\);_(* "-"??_);_(@_)</c:formatCode>
                <c:ptCount val="12"/>
                <c:pt idx="0">
                  <c:v>252891.06087085881</c:v>
                </c:pt>
                <c:pt idx="1">
                  <c:v>220961.88492684718</c:v>
                </c:pt>
                <c:pt idx="2">
                  <c:v>15301.293090915406</c:v>
                </c:pt>
                <c:pt idx="3">
                  <c:v>17559.469123948598</c:v>
                </c:pt>
                <c:pt idx="4">
                  <c:v>259651.57568675492</c:v>
                </c:pt>
                <c:pt idx="5">
                  <c:v>241795.70902717768</c:v>
                </c:pt>
                <c:pt idx="6">
                  <c:v>367279.35670276795</c:v>
                </c:pt>
                <c:pt idx="7">
                  <c:v>291947.384372517</c:v>
                </c:pt>
                <c:pt idx="8">
                  <c:v>218254.830040289</c:v>
                </c:pt>
                <c:pt idx="9">
                  <c:v>16186.267756121199</c:v>
                </c:pt>
                <c:pt idx="10">
                  <c:v>3094.9812669747998</c:v>
                </c:pt>
                <c:pt idx="11">
                  <c:v>205185.40822075182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48-4BA1-978B-AFB2FCA244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4330752"/>
        <c:axId val="104332288"/>
      </c:barChart>
      <c:catAx>
        <c:axId val="10433075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4332288"/>
        <c:crosses val="autoZero"/>
        <c:auto val="1"/>
        <c:lblAlgn val="ctr"/>
        <c:lblOffset val="100"/>
        <c:noMultiLvlLbl val="0"/>
      </c:catAx>
      <c:valAx>
        <c:axId val="104332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>
                <a:solidFill>
                  <a:sysClr val="windowText" lastClr="000000"/>
                </a:solidFill>
              </a:defRPr>
            </a:pPr>
            <a:endParaRPr lang="es-CR"/>
          </a:p>
        </c:txPr>
        <c:crossAx val="10433075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97910237467349"/>
          <c:y val="6.0467876298071446E-2"/>
          <c:w val="0.81875825350892051"/>
          <c:h val="0.7790071893187263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Debt'!$D$170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Debt'!$B$171:$B$182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Debt'!$D$171:$D$182</c:f>
              <c:numCache>
                <c:formatCode>0.0%</c:formatCode>
                <c:ptCount val="12"/>
                <c:pt idx="0">
                  <c:v>1.0414518287094098E-2</c:v>
                </c:pt>
                <c:pt idx="1">
                  <c:v>9.0996161880809497E-3</c:v>
                </c:pt>
                <c:pt idx="2">
                  <c:v>6.3013534825140187E-4</c:v>
                </c:pt>
                <c:pt idx="3">
                  <c:v>7.2313118412838204E-4</c:v>
                </c:pt>
                <c:pt idx="4">
                  <c:v>1.0692928701989209E-2</c:v>
                </c:pt>
                <c:pt idx="5">
                  <c:v>9.9575913230494171E-3</c:v>
                </c:pt>
                <c:pt idx="6">
                  <c:v>1.5125238368177927E-2</c:v>
                </c:pt>
                <c:pt idx="7">
                  <c:v>1.2022929410579378E-2</c:v>
                </c:pt>
                <c:pt idx="8">
                  <c:v>8.988134696710148E-3</c:v>
                </c:pt>
                <c:pt idx="9">
                  <c:v>6.6658023010156438E-4</c:v>
                </c:pt>
                <c:pt idx="10">
                  <c:v>1.2745701209099938E-4</c:v>
                </c:pt>
                <c:pt idx="11">
                  <c:v>8.4499119059456163E-3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12-4A39-AD28-4E62774C17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3793024"/>
        <c:axId val="103794560"/>
      </c:barChart>
      <c:catAx>
        <c:axId val="10379302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3794560"/>
        <c:crosses val="autoZero"/>
        <c:auto val="1"/>
        <c:lblAlgn val="ctr"/>
        <c:lblOffset val="100"/>
        <c:noMultiLvlLbl val="0"/>
      </c:catAx>
      <c:valAx>
        <c:axId val="103794560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0379302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039189843758802"/>
          <c:y val="9.3029734919498702E-2"/>
          <c:w val="0.8349157564981976"/>
          <c:h val="0.7676672234152548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Debt'!$D$146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Debt'!$D$147:$D$158</c:f>
              <c:numCache>
                <c:formatCode>_(* #\ ##0.00_);_(* \(#\ ##0.00\);_(* "-"??_);_(@_)</c:formatCode>
                <c:ptCount val="12"/>
                <c:pt idx="0">
                  <c:v>410.71078843482456</c:v>
                </c:pt>
                <c:pt idx="1">
                  <c:v>358.85582376790069</c:v>
                </c:pt>
                <c:pt idx="2">
                  <c:v>24.850250253216302</c:v>
                </c:pt>
                <c:pt idx="3">
                  <c:v>28.517668372931105</c:v>
                </c:pt>
                <c:pt idx="4">
                  <c:v>421.69028435176358</c:v>
                </c:pt>
                <c:pt idx="5">
                  <c:v>392.69124797345904</c:v>
                </c:pt>
                <c:pt idx="6">
                  <c:v>596.48448485199594</c:v>
                </c:pt>
                <c:pt idx="7">
                  <c:v>474.1406833606992</c:v>
                </c:pt>
                <c:pt idx="8">
                  <c:v>354.4593985128285</c:v>
                </c:pt>
                <c:pt idx="9">
                  <c:v>26.287504070096468</c:v>
                </c:pt>
                <c:pt idx="10">
                  <c:v>5.0264417887010735</c:v>
                </c:pt>
                <c:pt idx="11">
                  <c:v>333.23384581276486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8F-4D1D-89CD-23AD65E556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3824384"/>
        <c:axId val="103826176"/>
      </c:barChart>
      <c:catAx>
        <c:axId val="10382438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3826176"/>
        <c:crosses val="autoZero"/>
        <c:auto val="1"/>
        <c:lblAlgn val="ctr"/>
        <c:lblOffset val="100"/>
        <c:noMultiLvlLbl val="0"/>
      </c:catAx>
      <c:valAx>
        <c:axId val="103826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10382438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2165899800422"/>
          <c:y val="3.2885844426397373E-2"/>
          <c:w val="0.83613790106302077"/>
          <c:h val="0.7709798382825465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Debt'!$F$122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Debt'!$B$123:$B$134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Debt'!$F$123:$F$134</c:f>
              <c:numCache>
                <c:formatCode>_(* #\ ##0.00_);_(* \(#\ ##0.00\);_(* "-"??_);_(@_)</c:formatCode>
                <c:ptCount val="12"/>
                <c:pt idx="0">
                  <c:v>458665.63742345193</c:v>
                </c:pt>
                <c:pt idx="1">
                  <c:v>287778.67194861255</c:v>
                </c:pt>
                <c:pt idx="2">
                  <c:v>315047.55267535866</c:v>
                </c:pt>
                <c:pt idx="3">
                  <c:v>54672.724393724326</c:v>
                </c:pt>
                <c:pt idx="4">
                  <c:v>164056.32641858322</c:v>
                </c:pt>
                <c:pt idx="5">
                  <c:v>109235.55863809811</c:v>
                </c:pt>
                <c:pt idx="6">
                  <c:v>313529.94414565375</c:v>
                </c:pt>
                <c:pt idx="7">
                  <c:v>5732.2315669443997</c:v>
                </c:pt>
                <c:pt idx="8">
                  <c:v>257650.81682740379</c:v>
                </c:pt>
                <c:pt idx="9">
                  <c:v>51265.868233500121</c:v>
                </c:pt>
                <c:pt idx="10">
                  <c:v>96690.025276865985</c:v>
                </c:pt>
                <c:pt idx="11">
                  <c:v>2249.5847503637997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29-461A-B045-8A25A6FF64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3847808"/>
        <c:axId val="103849344"/>
      </c:barChart>
      <c:catAx>
        <c:axId val="10384780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3849344"/>
        <c:crosses val="autoZero"/>
        <c:auto val="1"/>
        <c:lblAlgn val="ctr"/>
        <c:lblOffset val="100"/>
        <c:noMultiLvlLbl val="0"/>
      </c:catAx>
      <c:valAx>
        <c:axId val="1038493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b="1">
                <a:solidFill>
                  <a:sysClr val="windowText" lastClr="000000"/>
                </a:solidFill>
              </a:defRPr>
            </a:pPr>
            <a:endParaRPr lang="es-CR"/>
          </a:p>
        </c:txPr>
        <c:crossAx val="1038478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b="1">
                <a:solidFill>
                  <a:sysClr val="windowText" lastClr="000000"/>
                </a:solidFill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chemeClr val="bg1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37229512977545"/>
          <c:y val="5.6520403829189401E-2"/>
          <c:w val="0.84165062700495774"/>
          <c:h val="0.76552858278607305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Debt'!$F$170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Debt'!$B$171:$B$182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Debt'!$F$171:$F$182</c:f>
              <c:numCache>
                <c:formatCode>0.0%</c:formatCode>
                <c:ptCount val="12"/>
                <c:pt idx="0">
                  <c:v>1.8888693226873369E-2</c:v>
                </c:pt>
                <c:pt idx="1">
                  <c:v>1.1851254177683108E-2</c:v>
                </c:pt>
                <c:pt idx="2">
                  <c:v>1.2974236761643672E-2</c:v>
                </c:pt>
                <c:pt idx="3">
                  <c:v>2.2515231896411791E-3</c:v>
                </c:pt>
                <c:pt idx="4">
                  <c:v>6.7561407893033821E-3</c:v>
                </c:pt>
                <c:pt idx="5">
                  <c:v>4.498520901133618E-3</c:v>
                </c:pt>
                <c:pt idx="6">
                  <c:v>1.2911738855506401E-2</c:v>
                </c:pt>
                <c:pt idx="7">
                  <c:v>2.360638223993456E-4</c:v>
                </c:pt>
                <c:pt idx="8">
                  <c:v>1.0610533778036486E-2</c:v>
                </c:pt>
                <c:pt idx="9">
                  <c:v>2.1112225967298594E-3</c:v>
                </c:pt>
                <c:pt idx="10">
                  <c:v>3.981872799132806E-3</c:v>
                </c:pt>
                <c:pt idx="11">
                  <c:v>9.2642031079919059E-5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7A-4054-8AD4-6FF73D8978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4428288"/>
        <c:axId val="104429824"/>
      </c:barChart>
      <c:catAx>
        <c:axId val="10442828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4429824"/>
        <c:crosses val="autoZero"/>
        <c:auto val="1"/>
        <c:lblAlgn val="ctr"/>
        <c:lblOffset val="100"/>
        <c:noMultiLvlLbl val="0"/>
      </c:catAx>
      <c:valAx>
        <c:axId val="104429824"/>
        <c:scaling>
          <c:orientation val="minMax"/>
          <c:max val="3.0000000000000006E-2"/>
          <c:min val="0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04428288"/>
        <c:crosses val="autoZero"/>
        <c:crossBetween val="between"/>
        <c:majorUnit val="1.0000000000000005E-2"/>
        <c:minorUnit val="1.0000000000000221E-4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17912613864444"/>
          <c:y val="4.3836412878669052E-2"/>
          <c:w val="0.84901223980665785"/>
          <c:h val="0.7785373524344698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Debt'!$F$146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Debt'!$F$147:$F$158</c:f>
              <c:numCache>
                <c:formatCode>_(* #\ ##0.00_);_(* \(#\ ##0.00\);_(* "-"??_);_(@_)</c:formatCode>
                <c:ptCount val="12"/>
                <c:pt idx="0">
                  <c:v>744.90148020828894</c:v>
                </c:pt>
                <c:pt idx="1">
                  <c:v>467.37043548999992</c:v>
                </c:pt>
                <c:pt idx="2">
                  <c:v>511.65679130048153</c:v>
                </c:pt>
                <c:pt idx="3">
                  <c:v>88.791899817657324</c:v>
                </c:pt>
                <c:pt idx="4">
                  <c:v>266.43766268000002</c:v>
                </c:pt>
                <c:pt idx="5">
                  <c:v>177.40533120813669</c:v>
                </c:pt>
                <c:pt idx="6">
                  <c:v>509.1921007984763</c:v>
                </c:pt>
                <c:pt idx="7">
                  <c:v>9.3095000599999977</c:v>
                </c:pt>
                <c:pt idx="8">
                  <c:v>418.44092770877933</c:v>
                </c:pt>
                <c:pt idx="9">
                  <c:v>83.258953833598795</c:v>
                </c:pt>
                <c:pt idx="10">
                  <c:v>157.03060590000004</c:v>
                </c:pt>
                <c:pt idx="11">
                  <c:v>3.6534653431055313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71-40D1-AC49-04200734B5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4459648"/>
        <c:axId val="104461440"/>
      </c:barChart>
      <c:catAx>
        <c:axId val="10445964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4461440"/>
        <c:crosses val="autoZero"/>
        <c:auto val="1"/>
        <c:lblAlgn val="ctr"/>
        <c:lblOffset val="100"/>
        <c:noMultiLvlLbl val="0"/>
      </c:catAx>
      <c:valAx>
        <c:axId val="104461440"/>
        <c:scaling>
          <c:orientation val="minMax"/>
          <c:max val="450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04459648"/>
        <c:crosses val="autoZero"/>
        <c:crossBetween val="between"/>
        <c:majorUnit val="50"/>
        <c:minorUnit val="10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  <a:scene3d>
          <a:camera prst="orthographicFront"/>
          <a:lightRig rig="threePt" dir="t"/>
        </a:scene3d>
        <a:sp3d>
          <a:bevelT/>
        </a:sp3d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08449914634456"/>
          <c:y val="5.8694227393567951E-2"/>
          <c:w val="0.83533206076513167"/>
          <c:h val="0.75609901703463533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Debt'!$C$170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Debt'!$B$171:$B$182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Debt'!$C$171:$C$182</c:f>
              <c:numCache>
                <c:formatCode>0.0%</c:formatCode>
                <c:ptCount val="12"/>
                <c:pt idx="0">
                  <c:v>9.3846649136154325E-3</c:v>
                </c:pt>
                <c:pt idx="1">
                  <c:v>6.0766059136164955E-3</c:v>
                </c:pt>
                <c:pt idx="2">
                  <c:v>1.0119582632959701E-2</c:v>
                </c:pt>
                <c:pt idx="3">
                  <c:v>9.0526719304208029E-3</c:v>
                </c:pt>
                <c:pt idx="4">
                  <c:v>8.8475379997995703E-3</c:v>
                </c:pt>
                <c:pt idx="5">
                  <c:v>5.021209760571548E-3</c:v>
                </c:pt>
                <c:pt idx="6">
                  <c:v>7.6255792413120298E-3</c:v>
                </c:pt>
                <c:pt idx="7">
                  <c:v>1.0779475894515615E-3</c:v>
                </c:pt>
                <c:pt idx="8">
                  <c:v>2.927431906939326E-3</c:v>
                </c:pt>
                <c:pt idx="9">
                  <c:v>7.2395038305843214E-3</c:v>
                </c:pt>
                <c:pt idx="10">
                  <c:v>1.879715008284823E-2</c:v>
                </c:pt>
                <c:pt idx="11">
                  <c:v>1.3166137995747442E-2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D1-4945-A013-FE7BFE2D4C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4474880"/>
        <c:axId val="104497152"/>
      </c:barChart>
      <c:catAx>
        <c:axId val="10447488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04497152"/>
        <c:crosses val="autoZero"/>
        <c:auto val="1"/>
        <c:lblAlgn val="ctr"/>
        <c:lblOffset val="100"/>
        <c:noMultiLvlLbl val="0"/>
      </c:catAx>
      <c:valAx>
        <c:axId val="104497152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1044748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5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216770562363"/>
          <c:y val="5.3350387039183558E-2"/>
          <c:w val="0.85103280869683862"/>
          <c:h val="0.7674220925430007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Debt'!$C$146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Debt'!$C$147:$C$158</c:f>
              <c:numCache>
                <c:formatCode>_(* #\ ##0.00_);_(* \(#\ ##0.00\);_(* "-"??_);_(@_)</c:formatCode>
                <c:ptCount val="12"/>
                <c:pt idx="0">
                  <c:v>370.09711055422156</c:v>
                </c:pt>
                <c:pt idx="1">
                  <c:v>239.63927442346596</c:v>
                </c:pt>
                <c:pt idx="2">
                  <c:v>399.07959708176969</c:v>
                </c:pt>
                <c:pt idx="3">
                  <c:v>357.00451268998177</c:v>
                </c:pt>
                <c:pt idx="4">
                  <c:v>348.91477526212736</c:v>
                </c:pt>
                <c:pt idx="5">
                  <c:v>198.01828205694176</c:v>
                </c:pt>
                <c:pt idx="6">
                  <c:v>300.72515848885922</c:v>
                </c:pt>
                <c:pt idx="7">
                  <c:v>42.510339139132675</c:v>
                </c:pt>
                <c:pt idx="8">
                  <c:v>115.44728555311707</c:v>
                </c:pt>
                <c:pt idx="9">
                  <c:v>285.49974604402502</c:v>
                </c:pt>
                <c:pt idx="10">
                  <c:v>741.29135098080883</c:v>
                </c:pt>
                <c:pt idx="11">
                  <c:v>519.22467922267663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E7-4146-A5C6-2B357C7EC1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044288"/>
        <c:axId val="110045824"/>
      </c:barChart>
      <c:catAx>
        <c:axId val="11004428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0045824"/>
        <c:crosses val="autoZero"/>
        <c:auto val="1"/>
        <c:lblAlgn val="ctr"/>
        <c:lblOffset val="100"/>
        <c:noMultiLvlLbl val="0"/>
      </c:catAx>
      <c:valAx>
        <c:axId val="110045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1004428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30351599451084"/>
          <c:y val="9.13745292707977E-2"/>
          <c:w val="0.86276246719160099"/>
          <c:h val="0.69058313363003543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Debt'!$C$122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ysClr val="windowText" lastClr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Debt'!$B$123:$B$134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Debt'!$C$123:$C$134</c:f>
              <c:numCache>
                <c:formatCode>_(* #\ ##0.00_);_(* \(#\ ##0.00\);_(* "-"??_);_(@_)</c:formatCode>
                <c:ptCount val="12"/>
                <c:pt idx="0">
                  <c:v>227883.59485265648</c:v>
                </c:pt>
                <c:pt idx="1">
                  <c:v>147555.48683350495</c:v>
                </c:pt>
                <c:pt idx="2">
                  <c:v>245729.27110712891</c:v>
                </c:pt>
                <c:pt idx="3">
                  <c:v>219821.95864372939</c:v>
                </c:pt>
                <c:pt idx="4">
                  <c:v>214840.78371990222</c:v>
                </c:pt>
                <c:pt idx="5">
                  <c:v>121927.77699374128</c:v>
                </c:pt>
                <c:pt idx="6">
                  <c:v>185168.50908793011</c:v>
                </c:pt>
                <c:pt idx="7">
                  <c:v>26175.316221529552</c:v>
                </c:pt>
                <c:pt idx="8">
                  <c:v>71085.511606476313</c:v>
                </c:pt>
                <c:pt idx="9">
                  <c:v>175793.61362914791</c:v>
                </c:pt>
                <c:pt idx="10">
                  <c:v>456442.73645292321</c:v>
                </c:pt>
                <c:pt idx="11">
                  <c:v>319707.40398457082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70-4743-A25F-C28B069171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0075904"/>
        <c:axId val="110077440"/>
      </c:barChart>
      <c:catAx>
        <c:axId val="11007590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0077440"/>
        <c:crosses val="autoZero"/>
        <c:auto val="1"/>
        <c:lblAlgn val="ctr"/>
        <c:lblOffset val="100"/>
        <c:noMultiLvlLbl val="0"/>
      </c:catAx>
      <c:valAx>
        <c:axId val="110077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chemeClr val="bg2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es-CR"/>
          </a:p>
        </c:txPr>
        <c:crossAx val="11007590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7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8919170063814"/>
          <c:y val="4.2215660542432198E-2"/>
          <c:w val="0.85999214525651957"/>
          <c:h val="0.77706605424321951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Debt'!$G$122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Debt'!$B$123:$B$134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Debt'!$G$123:$G$134</c:f>
              <c:numCache>
                <c:formatCode>_(* #\ ##0.00_);_(* \(#\ ##0.00\);_(* "-"??_);_(@_)</c:formatCode>
                <c:ptCount val="12"/>
                <c:pt idx="0">
                  <c:v>37529.637437645717</c:v>
                </c:pt>
                <c:pt idx="1">
                  <c:v>502014.15086003474</c:v>
                </c:pt>
                <c:pt idx="2">
                  <c:v>41531.09093511325</c:v>
                </c:pt>
                <c:pt idx="3">
                  <c:v>359141.59233110474</c:v>
                </c:pt>
                <c:pt idx="4">
                  <c:v>4607.796846143011</c:v>
                </c:pt>
                <c:pt idx="5">
                  <c:v>152375.61134468816</c:v>
                </c:pt>
                <c:pt idx="6">
                  <c:v>124438.9625243153</c:v>
                </c:pt>
                <c:pt idx="7">
                  <c:v>141607.69821649781</c:v>
                </c:pt>
                <c:pt idx="8">
                  <c:v>341969.98081816698</c:v>
                </c:pt>
                <c:pt idx="9">
                  <c:v>51273.292252310792</c:v>
                </c:pt>
                <c:pt idx="10">
                  <c:v>253548.28978706285</c:v>
                </c:pt>
                <c:pt idx="11">
                  <c:v>5596.0155351516496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A-4DB4-8FB8-4034B7D8DE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0099072"/>
        <c:axId val="110178688"/>
      </c:barChart>
      <c:catAx>
        <c:axId val="11009907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0178688"/>
        <c:crosses val="autoZero"/>
        <c:auto val="1"/>
        <c:lblAlgn val="ctr"/>
        <c:lblOffset val="100"/>
        <c:noMultiLvlLbl val="0"/>
      </c:catAx>
      <c:valAx>
        <c:axId val="110178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100990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34783770226196"/>
          <c:y val="4.4072873243785705E-2"/>
          <c:w val="0.84861249118302218"/>
          <c:h val="0.7907258651492091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Debt'!$G$146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Debt'!$G$147:$G$158</c:f>
              <c:numCache>
                <c:formatCode>_(* #\ ##0.00_);_(* \(#\ ##0.00\);_(* "-"??_);_(@_)</c:formatCode>
                <c:ptCount val="12"/>
                <c:pt idx="0">
                  <c:v>60.950461944401404</c:v>
                </c:pt>
                <c:pt idx="1">
                  <c:v>815.30215815122415</c:v>
                </c:pt>
                <c:pt idx="2">
                  <c:v>67.44907093109633</c:v>
                </c:pt>
                <c:pt idx="3">
                  <c:v>583.26825012359882</c:v>
                </c:pt>
                <c:pt idx="4">
                  <c:v>7.4833482413729984</c:v>
                </c:pt>
                <c:pt idx="5">
                  <c:v>247.46745597929018</c:v>
                </c:pt>
                <c:pt idx="6">
                  <c:v>202.09660331359876</c:v>
                </c:pt>
                <c:pt idx="7">
                  <c:v>229.97969632717999</c:v>
                </c:pt>
                <c:pt idx="8">
                  <c:v>555.38048659851074</c:v>
                </c:pt>
                <c:pt idx="9">
                  <c:v>83.271010901209593</c:v>
                </c:pt>
                <c:pt idx="10">
                  <c:v>411.778169011373</c:v>
                </c:pt>
                <c:pt idx="11">
                  <c:v>9.0882767647897644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8E-41BA-A3B7-6660C1675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0208512"/>
        <c:axId val="110210048"/>
      </c:barChart>
      <c:catAx>
        <c:axId val="11020851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0210048"/>
        <c:crosses val="autoZero"/>
        <c:auto val="1"/>
        <c:lblAlgn val="ctr"/>
        <c:lblOffset val="100"/>
        <c:noMultiLvlLbl val="0"/>
      </c:catAx>
      <c:valAx>
        <c:axId val="110210048"/>
        <c:scaling>
          <c:orientation val="minMax"/>
          <c:max val="45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10208512"/>
        <c:crosses val="autoZero"/>
        <c:crossBetween val="between"/>
        <c:majorUnit val="50"/>
        <c:minorUnit val="10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995049305927"/>
          <c:y val="3.6360006281266122E-2"/>
          <c:w val="0.8529485346060407"/>
          <c:h val="0.7860493079390716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Debt'!$G$170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Debt'!$B$171:$B$182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Debt'!$G$171:$G$182</c:f>
              <c:numCache>
                <c:formatCode>0.0%</c:formatCode>
                <c:ptCount val="12"/>
                <c:pt idx="0">
                  <c:v>1.5455393878155521E-3</c:v>
                </c:pt>
                <c:pt idx="1">
                  <c:v>2.0673864613908573E-2</c:v>
                </c:pt>
                <c:pt idx="2">
                  <c:v>1.7103265909726184E-3</c:v>
                </c:pt>
                <c:pt idx="3">
                  <c:v>1.4790110287442688E-2</c:v>
                </c:pt>
                <c:pt idx="4">
                  <c:v>1.897575357235597E-4</c:v>
                </c:pt>
                <c:pt idx="5">
                  <c:v>6.2751074924976202E-3</c:v>
                </c:pt>
                <c:pt idx="6">
                  <c:v>5.1246249921751844E-3</c:v>
                </c:pt>
                <c:pt idx="7">
                  <c:v>5.8316650560540258E-3</c:v>
                </c:pt>
                <c:pt idx="8">
                  <c:v>1.4082951791984087E-2</c:v>
                </c:pt>
                <c:pt idx="9">
                  <c:v>2.1115283314576952E-3</c:v>
                </c:pt>
                <c:pt idx="10">
                  <c:v>1.0441584180775921E-2</c:v>
                </c:pt>
                <c:pt idx="11">
                  <c:v>2.3045419606769198E-4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3E-4611-9E40-17441763D2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3914240"/>
        <c:axId val="113915776"/>
      </c:barChart>
      <c:catAx>
        <c:axId val="11391424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3915776"/>
        <c:crosses val="autoZero"/>
        <c:auto val="1"/>
        <c:lblAlgn val="ctr"/>
        <c:lblOffset val="100"/>
        <c:noMultiLvlLbl val="0"/>
      </c:catAx>
      <c:valAx>
        <c:axId val="113915776"/>
        <c:scaling>
          <c:orientation val="minMax"/>
          <c:max val="3.0000000000000006E-2"/>
          <c:min val="0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13914240"/>
        <c:crosses val="autoZero"/>
        <c:crossBetween val="between"/>
        <c:majorUnit val="1.0000000000000005E-2"/>
        <c:minorUnit val="1.0000000000000221E-4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22180097858139"/>
          <c:y val="5.7114591445300109E-2"/>
          <c:w val="0.84186485558484803"/>
          <c:h val="0.770394138232720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Debt'!$E$122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Debt'!$B$123:$B$134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Debt'!$E$123:$E$134</c:f>
              <c:numCache>
                <c:formatCode>_(* #\ ##0.00_);_(* \(#\ ##0.00\);_(* "-"??_);_(@_)</c:formatCode>
                <c:ptCount val="12"/>
                <c:pt idx="0">
                  <c:v>616890.5293767699</c:v>
                </c:pt>
                <c:pt idx="1">
                  <c:v>433748.7691379413</c:v>
                </c:pt>
                <c:pt idx="2">
                  <c:v>208212.71687553785</c:v>
                </c:pt>
                <c:pt idx="3">
                  <c:v>36164.563432335504</c:v>
                </c:pt>
                <c:pt idx="4">
                  <c:v>46339.278969115257</c:v>
                </c:pt>
                <c:pt idx="5">
                  <c:v>295288.83468572702</c:v>
                </c:pt>
                <c:pt idx="6">
                  <c:v>255352.31254459938</c:v>
                </c:pt>
                <c:pt idx="7">
                  <c:v>225531.54966639398</c:v>
                </c:pt>
                <c:pt idx="8">
                  <c:v>250988.9519942652</c:v>
                </c:pt>
                <c:pt idx="9">
                  <c:v>51559.469111618528</c:v>
                </c:pt>
                <c:pt idx="10">
                  <c:v>1678.6091856295998</c:v>
                </c:pt>
                <c:pt idx="11">
                  <c:v>2509.7429514649366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8D-4946-8FD0-EA30F2FDE8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3925120"/>
        <c:axId val="113955584"/>
      </c:barChart>
      <c:catAx>
        <c:axId val="11392512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3955584"/>
        <c:crossesAt val="0"/>
        <c:auto val="1"/>
        <c:lblAlgn val="ctr"/>
        <c:lblOffset val="100"/>
        <c:noMultiLvlLbl val="0"/>
      </c:catAx>
      <c:valAx>
        <c:axId val="113955584"/>
        <c:scaling>
          <c:orientation val="minMax"/>
          <c:max val="320000"/>
          <c:min val="5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113925120"/>
        <c:crosses val="autoZero"/>
        <c:crossBetween val="between"/>
        <c:minorUnit val="5000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55434066002414"/>
          <c:y val="7.7536576301771951E-2"/>
          <c:w val="0.8520404025326217"/>
          <c:h val="0.7791448529612021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Debt'!$E$170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Debt'!$B$171:$B$182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Debt'!$E$171:$E$182</c:f>
              <c:numCache>
                <c:formatCode>0.0%</c:formatCode>
                <c:ptCount val="12"/>
                <c:pt idx="0">
                  <c:v>2.5404684836251766E-2</c:v>
                </c:pt>
                <c:pt idx="1">
                  <c:v>1.7862570834397504E-2</c:v>
                </c:pt>
                <c:pt idx="2">
                  <c:v>8.5745820355950294E-3</c:v>
                </c:pt>
                <c:pt idx="3">
                  <c:v>1.4893231335020005E-3</c:v>
                </c:pt>
                <c:pt idx="4">
                  <c:v>1.9083366038036855E-3</c:v>
                </c:pt>
                <c:pt idx="5">
                  <c:v>1.2160536470601609E-2</c:v>
                </c:pt>
                <c:pt idx="6">
                  <c:v>1.051587715077652E-2</c:v>
                </c:pt>
                <c:pt idx="7">
                  <c:v>9.2878033736303912E-3</c:v>
                </c:pt>
                <c:pt idx="8">
                  <c:v>1.033618595058876E-2</c:v>
                </c:pt>
                <c:pt idx="9">
                  <c:v>2.1233136200493135E-3</c:v>
                </c:pt>
                <c:pt idx="10">
                  <c:v>6.9128208804307631E-5</c:v>
                </c:pt>
                <c:pt idx="11">
                  <c:v>1.0335582354682198E-4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8B-45BC-9ED5-B396396C9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3985408"/>
        <c:axId val="113986944"/>
      </c:barChart>
      <c:catAx>
        <c:axId val="11398540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3986944"/>
        <c:crosses val="autoZero"/>
        <c:auto val="1"/>
        <c:lblAlgn val="ctr"/>
        <c:lblOffset val="100"/>
        <c:noMultiLvlLbl val="0"/>
      </c:catAx>
      <c:valAx>
        <c:axId val="113986944"/>
        <c:scaling>
          <c:orientation val="minMax"/>
        </c:scaling>
        <c:delete val="0"/>
        <c:axPos val="l"/>
        <c:numFmt formatCode="#.#0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139854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04003736821033"/>
          <c:y val="0.11606434971490633"/>
          <c:w val="0.87931022196886022"/>
          <c:h val="0.73397140012670825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Debt'!$E$146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tx2"/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Debt'!$E$147:$E$158</c:f>
              <c:numCache>
                <c:formatCode>_(* #\ ##0.00_);_(* \(#\ ##0.00\);_(* "-"??_);_(@_)</c:formatCode>
                <c:ptCount val="12"/>
                <c:pt idx="0">
                  <c:v>1001.8685311605059</c:v>
                </c:pt>
                <c:pt idx="1">
                  <c:v>704.43493867207144</c:v>
                </c:pt>
                <c:pt idx="2">
                  <c:v>338.15038307652219</c:v>
                </c:pt>
                <c:pt idx="3">
                  <c:v>58.73349698303749</c:v>
                </c:pt>
                <c:pt idx="4">
                  <c:v>75.257866906673684</c:v>
                </c:pt>
                <c:pt idx="5">
                  <c:v>479.56740618723359</c:v>
                </c:pt>
                <c:pt idx="6">
                  <c:v>414.70801400688498</c:v>
                </c:pt>
                <c:pt idx="7">
                  <c:v>366.27724309999985</c:v>
                </c:pt>
                <c:pt idx="8">
                  <c:v>407.62164549041017</c:v>
                </c:pt>
                <c:pt idx="9">
                  <c:v>83.73577989349161</c:v>
                </c:pt>
                <c:pt idx="10">
                  <c:v>2.7261655660337154</c:v>
                </c:pt>
                <c:pt idx="11">
                  <c:v>4.0759784185937837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73-4413-A633-86906E362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4017024"/>
        <c:axId val="114018560"/>
      </c:barChart>
      <c:catAx>
        <c:axId val="11401702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one"/>
        <c:crossAx val="114018560"/>
        <c:crosses val="autoZero"/>
        <c:auto val="1"/>
        <c:lblAlgn val="ctr"/>
        <c:lblOffset val="100"/>
        <c:noMultiLvlLbl val="0"/>
      </c:catAx>
      <c:valAx>
        <c:axId val="114018560"/>
        <c:scaling>
          <c:orientation val="minMax"/>
          <c:max val="7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  <c:crossAx val="114017024"/>
        <c:crosses val="autoZero"/>
        <c:crossBetween val="between"/>
        <c:majorUnit val="70"/>
        <c:minorUnit val="30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lang="es-ES" sz="800" b="1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13" Type="http://schemas.openxmlformats.org/officeDocument/2006/relationships/chart" Target="../charts/chart18.xml"/><Relationship Id="rId3" Type="http://schemas.openxmlformats.org/officeDocument/2006/relationships/chart" Target="../charts/chart8.xml"/><Relationship Id="rId7" Type="http://schemas.openxmlformats.org/officeDocument/2006/relationships/chart" Target="../charts/chart12.xml"/><Relationship Id="rId12" Type="http://schemas.openxmlformats.org/officeDocument/2006/relationships/chart" Target="../charts/chart17.xml"/><Relationship Id="rId17" Type="http://schemas.openxmlformats.org/officeDocument/2006/relationships/chart" Target="../charts/chart22.xml"/><Relationship Id="rId2" Type="http://schemas.openxmlformats.org/officeDocument/2006/relationships/chart" Target="../charts/chart7.xml"/><Relationship Id="rId16" Type="http://schemas.openxmlformats.org/officeDocument/2006/relationships/chart" Target="../charts/chart21.xml"/><Relationship Id="rId1" Type="http://schemas.openxmlformats.org/officeDocument/2006/relationships/chart" Target="../charts/chart6.xml"/><Relationship Id="rId6" Type="http://schemas.openxmlformats.org/officeDocument/2006/relationships/chart" Target="../charts/chart11.xml"/><Relationship Id="rId11" Type="http://schemas.openxmlformats.org/officeDocument/2006/relationships/chart" Target="../charts/chart16.xml"/><Relationship Id="rId5" Type="http://schemas.openxmlformats.org/officeDocument/2006/relationships/chart" Target="../charts/chart10.xml"/><Relationship Id="rId15" Type="http://schemas.openxmlformats.org/officeDocument/2006/relationships/chart" Target="../charts/chart20.xml"/><Relationship Id="rId10" Type="http://schemas.openxmlformats.org/officeDocument/2006/relationships/chart" Target="../charts/chart15.xml"/><Relationship Id="rId4" Type="http://schemas.openxmlformats.org/officeDocument/2006/relationships/chart" Target="../charts/chart9.xml"/><Relationship Id="rId9" Type="http://schemas.openxmlformats.org/officeDocument/2006/relationships/chart" Target="../charts/chart14.xml"/><Relationship Id="rId14" Type="http://schemas.openxmlformats.org/officeDocument/2006/relationships/chart" Target="../charts/chart1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6" Type="http://schemas.openxmlformats.org/officeDocument/2006/relationships/image" Target="../media/image1.png"/><Relationship Id="rId5" Type="http://schemas.openxmlformats.org/officeDocument/2006/relationships/chart" Target="../charts/chart27.xml"/><Relationship Id="rId4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chart" Target="../charts/chart40.xml"/><Relationship Id="rId3" Type="http://schemas.openxmlformats.org/officeDocument/2006/relationships/chart" Target="../charts/chart30.xml"/><Relationship Id="rId7" Type="http://schemas.openxmlformats.org/officeDocument/2006/relationships/chart" Target="../charts/chart34.xml"/><Relationship Id="rId12" Type="http://schemas.openxmlformats.org/officeDocument/2006/relationships/chart" Target="../charts/chart39.xml"/><Relationship Id="rId17" Type="http://schemas.openxmlformats.org/officeDocument/2006/relationships/chart" Target="../charts/chart44.xml"/><Relationship Id="rId2" Type="http://schemas.openxmlformats.org/officeDocument/2006/relationships/chart" Target="../charts/chart29.xml"/><Relationship Id="rId16" Type="http://schemas.openxmlformats.org/officeDocument/2006/relationships/chart" Target="../charts/chart43.xml"/><Relationship Id="rId1" Type="http://schemas.openxmlformats.org/officeDocument/2006/relationships/chart" Target="../charts/chart28.xml"/><Relationship Id="rId6" Type="http://schemas.openxmlformats.org/officeDocument/2006/relationships/chart" Target="../charts/chart33.xml"/><Relationship Id="rId11" Type="http://schemas.openxmlformats.org/officeDocument/2006/relationships/chart" Target="../charts/chart38.xml"/><Relationship Id="rId5" Type="http://schemas.openxmlformats.org/officeDocument/2006/relationships/chart" Target="../charts/chart32.xml"/><Relationship Id="rId15" Type="http://schemas.openxmlformats.org/officeDocument/2006/relationships/chart" Target="../charts/chart42.xml"/><Relationship Id="rId10" Type="http://schemas.openxmlformats.org/officeDocument/2006/relationships/chart" Target="../charts/chart37.xml"/><Relationship Id="rId4" Type="http://schemas.openxmlformats.org/officeDocument/2006/relationships/chart" Target="../charts/chart31.xml"/><Relationship Id="rId9" Type="http://schemas.openxmlformats.org/officeDocument/2006/relationships/chart" Target="../charts/chart36.xml"/><Relationship Id="rId14" Type="http://schemas.openxmlformats.org/officeDocument/2006/relationships/chart" Target="../charts/chart41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chart" Target="../charts/chart47.xml"/><Relationship Id="rId7" Type="http://schemas.openxmlformats.org/officeDocument/2006/relationships/chart" Target="../charts/chart51.xml"/><Relationship Id="rId2" Type="http://schemas.openxmlformats.org/officeDocument/2006/relationships/chart" Target="../charts/chart46.xml"/><Relationship Id="rId1" Type="http://schemas.openxmlformats.org/officeDocument/2006/relationships/chart" Target="../charts/chart45.xml"/><Relationship Id="rId6" Type="http://schemas.openxmlformats.org/officeDocument/2006/relationships/chart" Target="../charts/chart50.xml"/><Relationship Id="rId5" Type="http://schemas.openxmlformats.org/officeDocument/2006/relationships/chart" Target="../charts/chart49.xml"/><Relationship Id="rId10" Type="http://schemas.openxmlformats.org/officeDocument/2006/relationships/image" Target="../media/image1.png"/><Relationship Id="rId4" Type="http://schemas.openxmlformats.org/officeDocument/2006/relationships/chart" Target="../charts/chart48.xml"/><Relationship Id="rId9" Type="http://schemas.openxmlformats.org/officeDocument/2006/relationships/chart" Target="../charts/chart53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13" Type="http://schemas.openxmlformats.org/officeDocument/2006/relationships/chart" Target="../charts/chart66.xml"/><Relationship Id="rId3" Type="http://schemas.openxmlformats.org/officeDocument/2006/relationships/chart" Target="../charts/chart56.xml"/><Relationship Id="rId7" Type="http://schemas.openxmlformats.org/officeDocument/2006/relationships/chart" Target="../charts/chart60.xml"/><Relationship Id="rId12" Type="http://schemas.openxmlformats.org/officeDocument/2006/relationships/chart" Target="../charts/chart65.xml"/><Relationship Id="rId2" Type="http://schemas.openxmlformats.org/officeDocument/2006/relationships/chart" Target="../charts/chart55.xml"/><Relationship Id="rId1" Type="http://schemas.openxmlformats.org/officeDocument/2006/relationships/chart" Target="../charts/chart54.xml"/><Relationship Id="rId6" Type="http://schemas.openxmlformats.org/officeDocument/2006/relationships/chart" Target="../charts/chart59.xml"/><Relationship Id="rId11" Type="http://schemas.openxmlformats.org/officeDocument/2006/relationships/chart" Target="../charts/chart64.xml"/><Relationship Id="rId5" Type="http://schemas.openxmlformats.org/officeDocument/2006/relationships/chart" Target="../charts/chart58.xml"/><Relationship Id="rId15" Type="http://schemas.openxmlformats.org/officeDocument/2006/relationships/chart" Target="../charts/chart68.xml"/><Relationship Id="rId10" Type="http://schemas.openxmlformats.org/officeDocument/2006/relationships/chart" Target="../charts/chart63.xml"/><Relationship Id="rId4" Type="http://schemas.openxmlformats.org/officeDocument/2006/relationships/chart" Target="../charts/chart57.xml"/><Relationship Id="rId9" Type="http://schemas.openxmlformats.org/officeDocument/2006/relationships/chart" Target="../charts/chart62.xml"/><Relationship Id="rId14" Type="http://schemas.openxmlformats.org/officeDocument/2006/relationships/chart" Target="../charts/chart6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1</xdr:row>
      <xdr:rowOff>129540</xdr:rowOff>
    </xdr:from>
    <xdr:to>
      <xdr:col>3</xdr:col>
      <xdr:colOff>765137</xdr:colOff>
      <xdr:row>4</xdr:row>
      <xdr:rowOff>140254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612E2D6-67AB-4F09-B0EE-ED46D79B1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7680" y="304800"/>
          <a:ext cx="1024217" cy="53649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236220</xdr:colOff>
      <xdr:row>0</xdr:row>
      <xdr:rowOff>152400</xdr:rowOff>
    </xdr:from>
    <xdr:to>
      <xdr:col>0</xdr:col>
      <xdr:colOff>1260437</xdr:colOff>
      <xdr:row>2</xdr:row>
      <xdr:rowOff>125014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093D399-D664-4CB1-8326-B74FC70F11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6220" y="152400"/>
          <a:ext cx="1024217" cy="53649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1</xdr:row>
      <xdr:rowOff>83820</xdr:rowOff>
    </xdr:from>
    <xdr:to>
      <xdr:col>0</xdr:col>
      <xdr:colOff>1329017</xdr:colOff>
      <xdr:row>3</xdr:row>
      <xdr:rowOff>140254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43D0B15-9B03-4AE5-967B-83143D2E2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" y="251460"/>
          <a:ext cx="1024217" cy="5364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9</xdr:row>
      <xdr:rowOff>76200</xdr:rowOff>
    </xdr:from>
    <xdr:to>
      <xdr:col>5</xdr:col>
      <xdr:colOff>323850</xdr:colOff>
      <xdr:row>21</xdr:row>
      <xdr:rowOff>133350</xdr:rowOff>
    </xdr:to>
    <xdr:graphicFrame macro="">
      <xdr:nvGraphicFramePr>
        <xdr:cNvPr id="46093" name="Chart 1">
          <a:extLst>
            <a:ext uri="{FF2B5EF4-FFF2-40B4-BE49-F238E27FC236}">
              <a16:creationId xmlns:a16="http://schemas.microsoft.com/office/drawing/2014/main" id="{00000000-0008-0000-0300-00000DB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495300</xdr:colOff>
      <xdr:row>9</xdr:row>
      <xdr:rowOff>38100</xdr:rowOff>
    </xdr:from>
    <xdr:to>
      <xdr:col>12</xdr:col>
      <xdr:colOff>247650</xdr:colOff>
      <xdr:row>22</xdr:row>
      <xdr:rowOff>19050</xdr:rowOff>
    </xdr:to>
    <xdr:graphicFrame macro="">
      <xdr:nvGraphicFramePr>
        <xdr:cNvPr id="46094" name="Chart 2">
          <a:extLst>
            <a:ext uri="{FF2B5EF4-FFF2-40B4-BE49-F238E27FC236}">
              <a16:creationId xmlns:a16="http://schemas.microsoft.com/office/drawing/2014/main" id="{00000000-0008-0000-0300-00000EB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371475</xdr:colOff>
      <xdr:row>32</xdr:row>
      <xdr:rowOff>133350</xdr:rowOff>
    </xdr:from>
    <xdr:to>
      <xdr:col>5</xdr:col>
      <xdr:colOff>352425</xdr:colOff>
      <xdr:row>45</xdr:row>
      <xdr:rowOff>95250</xdr:rowOff>
    </xdr:to>
    <xdr:graphicFrame macro="">
      <xdr:nvGraphicFramePr>
        <xdr:cNvPr id="46095" name="Chart 3">
          <a:extLst>
            <a:ext uri="{FF2B5EF4-FFF2-40B4-BE49-F238E27FC236}">
              <a16:creationId xmlns:a16="http://schemas.microsoft.com/office/drawing/2014/main" id="{00000000-0008-0000-0300-00000FB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438150</xdr:colOff>
      <xdr:row>31</xdr:row>
      <xdr:rowOff>114300</xdr:rowOff>
    </xdr:from>
    <xdr:to>
      <xdr:col>12</xdr:col>
      <xdr:colOff>447675</xdr:colOff>
      <xdr:row>46</xdr:row>
      <xdr:rowOff>95250</xdr:rowOff>
    </xdr:to>
    <xdr:graphicFrame macro="">
      <xdr:nvGraphicFramePr>
        <xdr:cNvPr id="46096" name="Chart 9">
          <a:extLst>
            <a:ext uri="{FF2B5EF4-FFF2-40B4-BE49-F238E27FC236}">
              <a16:creationId xmlns:a16="http://schemas.microsoft.com/office/drawing/2014/main" id="{00000000-0008-0000-0300-000010B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809625</xdr:colOff>
      <xdr:row>52</xdr:row>
      <xdr:rowOff>123824</xdr:rowOff>
    </xdr:from>
    <xdr:to>
      <xdr:col>10</xdr:col>
      <xdr:colOff>19050</xdr:colOff>
      <xdr:row>75</xdr:row>
      <xdr:rowOff>85725</xdr:rowOff>
    </xdr:to>
    <xdr:graphicFrame macro="">
      <xdr:nvGraphicFramePr>
        <xdr:cNvPr id="46097" name="Chart 15">
          <a:extLst>
            <a:ext uri="{FF2B5EF4-FFF2-40B4-BE49-F238E27FC236}">
              <a16:creationId xmlns:a16="http://schemas.microsoft.com/office/drawing/2014/main" id="{00000000-0008-0000-0300-000011B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83820</xdr:colOff>
      <xdr:row>1</xdr:row>
      <xdr:rowOff>53340</xdr:rowOff>
    </xdr:from>
    <xdr:to>
      <xdr:col>1</xdr:col>
      <xdr:colOff>1108037</xdr:colOff>
      <xdr:row>4</xdr:row>
      <xdr:rowOff>25954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18628C2-09CD-4858-B709-8F4EFDE49B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97180" y="220980"/>
          <a:ext cx="1024217" cy="53649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104775</xdr:rowOff>
    </xdr:from>
    <xdr:to>
      <xdr:col>6</xdr:col>
      <xdr:colOff>476250</xdr:colOff>
      <xdr:row>42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28574</xdr:colOff>
      <xdr:row>28</xdr:row>
      <xdr:rowOff>28575</xdr:rowOff>
    </xdr:from>
    <xdr:to>
      <xdr:col>19</xdr:col>
      <xdr:colOff>57150</xdr:colOff>
      <xdr:row>41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133350</xdr:colOff>
      <xdr:row>30</xdr:row>
      <xdr:rowOff>66676</xdr:rowOff>
    </xdr:from>
    <xdr:to>
      <xdr:col>12</xdr:col>
      <xdr:colOff>381000</xdr:colOff>
      <xdr:row>41</xdr:row>
      <xdr:rowOff>123826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0</xdr:colOff>
      <xdr:row>135</xdr:row>
      <xdr:rowOff>57150</xdr:rowOff>
    </xdr:from>
    <xdr:to>
      <xdr:col>6</xdr:col>
      <xdr:colOff>0</xdr:colOff>
      <xdr:row>149</xdr:row>
      <xdr:rowOff>123825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0</xdr:colOff>
      <xdr:row>135</xdr:row>
      <xdr:rowOff>95250</xdr:rowOff>
    </xdr:from>
    <xdr:to>
      <xdr:col>6</xdr:col>
      <xdr:colOff>0</xdr:colOff>
      <xdr:row>149</xdr:row>
      <xdr:rowOff>123825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114300</xdr:colOff>
      <xdr:row>50</xdr:row>
      <xdr:rowOff>104775</xdr:rowOff>
    </xdr:from>
    <xdr:to>
      <xdr:col>6</xdr:col>
      <xdr:colOff>533400</xdr:colOff>
      <xdr:row>63</xdr:row>
      <xdr:rowOff>123825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13</xdr:col>
      <xdr:colOff>304800</xdr:colOff>
      <xdr:row>50</xdr:row>
      <xdr:rowOff>57150</xdr:rowOff>
    </xdr:from>
    <xdr:to>
      <xdr:col>18</xdr:col>
      <xdr:colOff>885825</xdr:colOff>
      <xdr:row>64</xdr:row>
      <xdr:rowOff>38099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609601</xdr:colOff>
      <xdr:row>50</xdr:row>
      <xdr:rowOff>104775</xdr:rowOff>
    </xdr:from>
    <xdr:to>
      <xdr:col>12</xdr:col>
      <xdr:colOff>257176</xdr:colOff>
      <xdr:row>63</xdr:row>
      <xdr:rowOff>114300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75</xdr:row>
      <xdr:rowOff>142875</xdr:rowOff>
    </xdr:from>
    <xdr:to>
      <xdr:col>6</xdr:col>
      <xdr:colOff>104775</xdr:colOff>
      <xdr:row>88</xdr:row>
      <xdr:rowOff>85725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13</xdr:col>
      <xdr:colOff>361950</xdr:colOff>
      <xdr:row>75</xdr:row>
      <xdr:rowOff>28575</xdr:rowOff>
    </xdr:from>
    <xdr:to>
      <xdr:col>18</xdr:col>
      <xdr:colOff>800100</xdr:colOff>
      <xdr:row>88</xdr:row>
      <xdr:rowOff>19050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600075</xdr:colOff>
      <xdr:row>75</xdr:row>
      <xdr:rowOff>152399</xdr:rowOff>
    </xdr:from>
    <xdr:to>
      <xdr:col>12</xdr:col>
      <xdr:colOff>266699</xdr:colOff>
      <xdr:row>88</xdr:row>
      <xdr:rowOff>85724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76199</xdr:colOff>
      <xdr:row>96</xdr:row>
      <xdr:rowOff>76200</xdr:rowOff>
    </xdr:from>
    <xdr:to>
      <xdr:col>6</xdr:col>
      <xdr:colOff>390525</xdr:colOff>
      <xdr:row>109</xdr:row>
      <xdr:rowOff>9525</xdr:rowOff>
    </xdr:to>
    <xdr:graphicFrame macro="">
      <xdr:nvGraphicFramePr>
        <xdr:cNvPr id="13" name="Chart 21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6</xdr:col>
      <xdr:colOff>571501</xdr:colOff>
      <xdr:row>96</xdr:row>
      <xdr:rowOff>95250</xdr:rowOff>
    </xdr:from>
    <xdr:to>
      <xdr:col>12</xdr:col>
      <xdr:colOff>209550</xdr:colOff>
      <xdr:row>109</xdr:row>
      <xdr:rowOff>104775</xdr:rowOff>
    </xdr:to>
    <xdr:graphicFrame macro="">
      <xdr:nvGraphicFramePr>
        <xdr:cNvPr id="14" name="Chart 22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13</xdr:col>
      <xdr:colOff>285750</xdr:colOff>
      <xdr:row>96</xdr:row>
      <xdr:rowOff>114300</xdr:rowOff>
    </xdr:from>
    <xdr:to>
      <xdr:col>18</xdr:col>
      <xdr:colOff>876300</xdr:colOff>
      <xdr:row>109</xdr:row>
      <xdr:rowOff>9525</xdr:rowOff>
    </xdr:to>
    <xdr:graphicFrame macro="">
      <xdr:nvGraphicFramePr>
        <xdr:cNvPr id="15" name="Chart 23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absolute">
    <xdr:from>
      <xdr:col>13</xdr:col>
      <xdr:colOff>628651</xdr:colOff>
      <xdr:row>11</xdr:row>
      <xdr:rowOff>60325</xdr:rowOff>
    </xdr:from>
    <xdr:to>
      <xdr:col>20</xdr:col>
      <xdr:colOff>104776</xdr:colOff>
      <xdr:row>22</xdr:row>
      <xdr:rowOff>3175</xdr:rowOff>
    </xdr:to>
    <xdr:graphicFrame macro="">
      <xdr:nvGraphicFramePr>
        <xdr:cNvPr id="16" name="Chart 14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absolute">
    <xdr:from>
      <xdr:col>6</xdr:col>
      <xdr:colOff>561975</xdr:colOff>
      <xdr:row>10</xdr:row>
      <xdr:rowOff>66675</xdr:rowOff>
    </xdr:from>
    <xdr:to>
      <xdr:col>13</xdr:col>
      <xdr:colOff>409574</xdr:colOff>
      <xdr:row>21</xdr:row>
      <xdr:rowOff>98425</xdr:rowOff>
    </xdr:to>
    <xdr:graphicFrame macro="">
      <xdr:nvGraphicFramePr>
        <xdr:cNvPr id="17" name="Chart 15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absolute">
    <xdr:from>
      <xdr:col>0</xdr:col>
      <xdr:colOff>161925</xdr:colOff>
      <xdr:row>10</xdr:row>
      <xdr:rowOff>123825</xdr:rowOff>
    </xdr:from>
    <xdr:to>
      <xdr:col>6</xdr:col>
      <xdr:colOff>600074</xdr:colOff>
      <xdr:row>21</xdr:row>
      <xdr:rowOff>69850</xdr:rowOff>
    </xdr:to>
    <xdr:graphicFrame macro="">
      <xdr:nvGraphicFramePr>
        <xdr:cNvPr id="18" name="Chart 16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243840</xdr:colOff>
      <xdr:row>0</xdr:row>
      <xdr:rowOff>91440</xdr:rowOff>
    </xdr:from>
    <xdr:to>
      <xdr:col>0</xdr:col>
      <xdr:colOff>1268057</xdr:colOff>
      <xdr:row>2</xdr:row>
      <xdr:rowOff>71674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794ACAF-7E52-43CA-9893-FFB3DEC74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" y="91440"/>
          <a:ext cx="1024217" cy="53649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152400</xdr:rowOff>
    </xdr:from>
    <xdr:to>
      <xdr:col>0</xdr:col>
      <xdr:colOff>1176617</xdr:colOff>
      <xdr:row>2</xdr:row>
      <xdr:rowOff>48814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4183EA2-CABF-4FA7-B50F-BBFE0E0067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152400"/>
          <a:ext cx="1024217" cy="53649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409574</xdr:colOff>
      <xdr:row>47</xdr:row>
      <xdr:rowOff>85724</xdr:rowOff>
    </xdr:from>
    <xdr:to>
      <xdr:col>9</xdr:col>
      <xdr:colOff>304799</xdr:colOff>
      <xdr:row>67</xdr:row>
      <xdr:rowOff>152400</xdr:rowOff>
    </xdr:to>
    <xdr:graphicFrame macro="">
      <xdr:nvGraphicFramePr>
        <xdr:cNvPr id="44046" name="Chart 15">
          <a:extLst>
            <a:ext uri="{FF2B5EF4-FFF2-40B4-BE49-F238E27FC236}">
              <a16:creationId xmlns:a16="http://schemas.microsoft.com/office/drawing/2014/main" id="{00000000-0008-0000-0700-00000EA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438150</xdr:colOff>
      <xdr:row>8</xdr:row>
      <xdr:rowOff>104775</xdr:rowOff>
    </xdr:from>
    <xdr:to>
      <xdr:col>11</xdr:col>
      <xdr:colOff>447675</xdr:colOff>
      <xdr:row>20</xdr:row>
      <xdr:rowOff>19050</xdr:rowOff>
    </xdr:to>
    <xdr:graphicFrame macro="">
      <xdr:nvGraphicFramePr>
        <xdr:cNvPr id="44048" name="Chart 2">
          <a:extLst>
            <a:ext uri="{FF2B5EF4-FFF2-40B4-BE49-F238E27FC236}">
              <a16:creationId xmlns:a16="http://schemas.microsoft.com/office/drawing/2014/main" id="{00000000-0008-0000-0700-000010A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9525</xdr:colOff>
      <xdr:row>26</xdr:row>
      <xdr:rowOff>123824</xdr:rowOff>
    </xdr:from>
    <xdr:to>
      <xdr:col>6</xdr:col>
      <xdr:colOff>38100</xdr:colOff>
      <xdr:row>40</xdr:row>
      <xdr:rowOff>104774</xdr:rowOff>
    </xdr:to>
    <xdr:graphicFrame macro="">
      <xdr:nvGraphicFramePr>
        <xdr:cNvPr id="44049" name="Chart 3">
          <a:extLst>
            <a:ext uri="{FF2B5EF4-FFF2-40B4-BE49-F238E27FC236}">
              <a16:creationId xmlns:a16="http://schemas.microsoft.com/office/drawing/2014/main" id="{00000000-0008-0000-0700-000011A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314325</xdr:colOff>
      <xdr:row>26</xdr:row>
      <xdr:rowOff>95250</xdr:rowOff>
    </xdr:from>
    <xdr:to>
      <xdr:col>11</xdr:col>
      <xdr:colOff>695325</xdr:colOff>
      <xdr:row>39</xdr:row>
      <xdr:rowOff>28575</xdr:rowOff>
    </xdr:to>
    <xdr:graphicFrame macro="">
      <xdr:nvGraphicFramePr>
        <xdr:cNvPr id="44050" name="Chart 6">
          <a:extLst>
            <a:ext uri="{FF2B5EF4-FFF2-40B4-BE49-F238E27FC236}">
              <a16:creationId xmlns:a16="http://schemas.microsoft.com/office/drawing/2014/main" id="{00000000-0008-0000-0700-000012A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114300</xdr:colOff>
      <xdr:row>8</xdr:row>
      <xdr:rowOff>76199</xdr:rowOff>
    </xdr:from>
    <xdr:to>
      <xdr:col>5</xdr:col>
      <xdr:colOff>457200</xdr:colOff>
      <xdr:row>21</xdr:row>
      <xdr:rowOff>28574</xdr:rowOff>
    </xdr:to>
    <xdr:graphicFrame macro="">
      <xdr:nvGraphicFramePr>
        <xdr:cNvPr id="8" name="Chart 20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144780</xdr:colOff>
      <xdr:row>1</xdr:row>
      <xdr:rowOff>53340</xdr:rowOff>
    </xdr:from>
    <xdr:to>
      <xdr:col>1</xdr:col>
      <xdr:colOff>1168997</xdr:colOff>
      <xdr:row>3</xdr:row>
      <xdr:rowOff>25954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CDA9014-6040-4ED3-B89C-7B9244E96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88620" y="220980"/>
          <a:ext cx="1024217" cy="53649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27</xdr:row>
      <xdr:rowOff>28575</xdr:rowOff>
    </xdr:from>
    <xdr:to>
      <xdr:col>5</xdr:col>
      <xdr:colOff>723900</xdr:colOff>
      <xdr:row>38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152400</xdr:colOff>
      <xdr:row>27</xdr:row>
      <xdr:rowOff>9525</xdr:rowOff>
    </xdr:from>
    <xdr:to>
      <xdr:col>17</xdr:col>
      <xdr:colOff>600075</xdr:colOff>
      <xdr:row>38</xdr:row>
      <xdr:rowOff>47625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114300</xdr:colOff>
      <xdr:row>27</xdr:row>
      <xdr:rowOff>76200</xdr:rowOff>
    </xdr:from>
    <xdr:to>
      <xdr:col>11</xdr:col>
      <xdr:colOff>714375</xdr:colOff>
      <xdr:row>38</xdr:row>
      <xdr:rowOff>76200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0</xdr:colOff>
      <xdr:row>124</xdr:row>
      <xdr:rowOff>57150</xdr:rowOff>
    </xdr:from>
    <xdr:to>
      <xdr:col>6</xdr:col>
      <xdr:colOff>0</xdr:colOff>
      <xdr:row>139</xdr:row>
      <xdr:rowOff>114300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0</xdr:colOff>
      <xdr:row>124</xdr:row>
      <xdr:rowOff>95250</xdr:rowOff>
    </xdr:from>
    <xdr:to>
      <xdr:col>6</xdr:col>
      <xdr:colOff>0</xdr:colOff>
      <xdr:row>139</xdr:row>
      <xdr:rowOff>114300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76199</xdr:colOff>
      <xdr:row>45</xdr:row>
      <xdr:rowOff>47625</xdr:rowOff>
    </xdr:from>
    <xdr:to>
      <xdr:col>5</xdr:col>
      <xdr:colOff>723899</xdr:colOff>
      <xdr:row>56</xdr:row>
      <xdr:rowOff>133350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13</xdr:col>
      <xdr:colOff>238125</xdr:colOff>
      <xdr:row>45</xdr:row>
      <xdr:rowOff>28575</xdr:rowOff>
    </xdr:from>
    <xdr:to>
      <xdr:col>17</xdr:col>
      <xdr:colOff>714375</xdr:colOff>
      <xdr:row>56</xdr:row>
      <xdr:rowOff>47625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180975</xdr:colOff>
      <xdr:row>45</xdr:row>
      <xdr:rowOff>57150</xdr:rowOff>
    </xdr:from>
    <xdr:to>
      <xdr:col>11</xdr:col>
      <xdr:colOff>685800</xdr:colOff>
      <xdr:row>56</xdr:row>
      <xdr:rowOff>152400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142875</xdr:colOff>
      <xdr:row>67</xdr:row>
      <xdr:rowOff>57150</xdr:rowOff>
    </xdr:from>
    <xdr:to>
      <xdr:col>5</xdr:col>
      <xdr:colOff>561975</xdr:colOff>
      <xdr:row>78</xdr:row>
      <xdr:rowOff>28575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13</xdr:col>
      <xdr:colOff>152399</xdr:colOff>
      <xdr:row>66</xdr:row>
      <xdr:rowOff>66675</xdr:rowOff>
    </xdr:from>
    <xdr:to>
      <xdr:col>18</xdr:col>
      <xdr:colOff>104775</xdr:colOff>
      <xdr:row>78</xdr:row>
      <xdr:rowOff>66674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114299</xdr:colOff>
      <xdr:row>67</xdr:row>
      <xdr:rowOff>57150</xdr:rowOff>
    </xdr:from>
    <xdr:to>
      <xdr:col>12</xdr:col>
      <xdr:colOff>133349</xdr:colOff>
      <xdr:row>78</xdr:row>
      <xdr:rowOff>47625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190499</xdr:colOff>
      <xdr:row>85</xdr:row>
      <xdr:rowOff>66675</xdr:rowOff>
    </xdr:from>
    <xdr:to>
      <xdr:col>6</xdr:col>
      <xdr:colOff>85724</xdr:colOff>
      <xdr:row>97</xdr:row>
      <xdr:rowOff>57150</xdr:rowOff>
    </xdr:to>
    <xdr:graphicFrame macro="">
      <xdr:nvGraphicFramePr>
        <xdr:cNvPr id="13" name="Chart 21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0</xdr:colOff>
      <xdr:row>85</xdr:row>
      <xdr:rowOff>38100</xdr:rowOff>
    </xdr:from>
    <xdr:to>
      <xdr:col>12</xdr:col>
      <xdr:colOff>28575</xdr:colOff>
      <xdr:row>96</xdr:row>
      <xdr:rowOff>85725</xdr:rowOff>
    </xdr:to>
    <xdr:graphicFrame macro="">
      <xdr:nvGraphicFramePr>
        <xdr:cNvPr id="14" name="Chart 22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13</xdr:col>
      <xdr:colOff>152400</xdr:colOff>
      <xdr:row>85</xdr:row>
      <xdr:rowOff>47624</xdr:rowOff>
    </xdr:from>
    <xdr:to>
      <xdr:col>18</xdr:col>
      <xdr:colOff>19050</xdr:colOff>
      <xdr:row>96</xdr:row>
      <xdr:rowOff>161924</xdr:rowOff>
    </xdr:to>
    <xdr:graphicFrame macro="">
      <xdr:nvGraphicFramePr>
        <xdr:cNvPr id="15" name="Chart 23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absolute">
    <xdr:from>
      <xdr:col>13</xdr:col>
      <xdr:colOff>466725</xdr:colOff>
      <xdr:row>8</xdr:row>
      <xdr:rowOff>19050</xdr:rowOff>
    </xdr:from>
    <xdr:to>
      <xdr:col>18</xdr:col>
      <xdr:colOff>142875</xdr:colOff>
      <xdr:row>20</xdr:row>
      <xdr:rowOff>47625</xdr:rowOff>
    </xdr:to>
    <xdr:graphicFrame macro="">
      <xdr:nvGraphicFramePr>
        <xdr:cNvPr id="16" name="Chart 14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absolute">
    <xdr:from>
      <xdr:col>7</xdr:col>
      <xdr:colOff>47625</xdr:colOff>
      <xdr:row>8</xdr:row>
      <xdr:rowOff>104775</xdr:rowOff>
    </xdr:from>
    <xdr:to>
      <xdr:col>12</xdr:col>
      <xdr:colOff>190500</xdr:colOff>
      <xdr:row>20</xdr:row>
      <xdr:rowOff>47625</xdr:rowOff>
    </xdr:to>
    <xdr:graphicFrame macro="">
      <xdr:nvGraphicFramePr>
        <xdr:cNvPr id="17" name="Chart 15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absolute">
    <xdr:from>
      <xdr:col>1</xdr:col>
      <xdr:colOff>19051</xdr:colOff>
      <xdr:row>8</xdr:row>
      <xdr:rowOff>152400</xdr:rowOff>
    </xdr:from>
    <xdr:to>
      <xdr:col>5</xdr:col>
      <xdr:colOff>762000</xdr:colOff>
      <xdr:row>20</xdr:row>
      <xdr:rowOff>9525</xdr:rowOff>
    </xdr:to>
    <xdr:graphicFrame macro="">
      <xdr:nvGraphicFramePr>
        <xdr:cNvPr id="18" name="Chart 16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175260</xdr:colOff>
      <xdr:row>1</xdr:row>
      <xdr:rowOff>0</xdr:rowOff>
    </xdr:from>
    <xdr:to>
      <xdr:col>0</xdr:col>
      <xdr:colOff>1199477</xdr:colOff>
      <xdr:row>3</xdr:row>
      <xdr:rowOff>64054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91329D1-0D25-47CF-85D6-C73DC56C2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5260" y="167640"/>
          <a:ext cx="1024217" cy="53649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167640</xdr:colOff>
      <xdr:row>0</xdr:row>
      <xdr:rowOff>160020</xdr:rowOff>
    </xdr:from>
    <xdr:to>
      <xdr:col>0</xdr:col>
      <xdr:colOff>1191857</xdr:colOff>
      <xdr:row>3</xdr:row>
      <xdr:rowOff>25954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13A8A4E-6086-4583-9047-6D7B706AF8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40" y="160020"/>
          <a:ext cx="1024217" cy="53649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209550</xdr:colOff>
      <xdr:row>9</xdr:row>
      <xdr:rowOff>114300</xdr:rowOff>
    </xdr:from>
    <xdr:to>
      <xdr:col>12</xdr:col>
      <xdr:colOff>638175</xdr:colOff>
      <xdr:row>21</xdr:row>
      <xdr:rowOff>38100</xdr:rowOff>
    </xdr:to>
    <xdr:graphicFrame macro="">
      <xdr:nvGraphicFramePr>
        <xdr:cNvPr id="48149" name="Chart 1">
          <a:extLst>
            <a:ext uri="{FF2B5EF4-FFF2-40B4-BE49-F238E27FC236}">
              <a16:creationId xmlns:a16="http://schemas.microsoft.com/office/drawing/2014/main" id="{00000000-0008-0000-0B00-000015B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180975</xdr:colOff>
      <xdr:row>9</xdr:row>
      <xdr:rowOff>104775</xdr:rowOff>
    </xdr:from>
    <xdr:to>
      <xdr:col>6</xdr:col>
      <xdr:colOff>628650</xdr:colOff>
      <xdr:row>21</xdr:row>
      <xdr:rowOff>0</xdr:rowOff>
    </xdr:to>
    <xdr:graphicFrame macro="">
      <xdr:nvGraphicFramePr>
        <xdr:cNvPr id="48150" name="Chart 2">
          <a:extLst>
            <a:ext uri="{FF2B5EF4-FFF2-40B4-BE49-F238E27FC236}">
              <a16:creationId xmlns:a16="http://schemas.microsoft.com/office/drawing/2014/main" id="{00000000-0008-0000-0B00-000016B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228600</xdr:colOff>
      <xdr:row>27</xdr:row>
      <xdr:rowOff>123825</xdr:rowOff>
    </xdr:from>
    <xdr:to>
      <xdr:col>6</xdr:col>
      <xdr:colOff>542925</xdr:colOff>
      <xdr:row>39</xdr:row>
      <xdr:rowOff>47625</xdr:rowOff>
    </xdr:to>
    <xdr:graphicFrame macro="">
      <xdr:nvGraphicFramePr>
        <xdr:cNvPr id="48151" name="Chart 3">
          <a:extLst>
            <a:ext uri="{FF2B5EF4-FFF2-40B4-BE49-F238E27FC236}">
              <a16:creationId xmlns:a16="http://schemas.microsoft.com/office/drawing/2014/main" id="{00000000-0008-0000-0B00-000017B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285750</xdr:colOff>
      <xdr:row>27</xdr:row>
      <xdr:rowOff>142875</xdr:rowOff>
    </xdr:from>
    <xdr:to>
      <xdr:col>12</xdr:col>
      <xdr:colOff>676275</xdr:colOff>
      <xdr:row>39</xdr:row>
      <xdr:rowOff>47625</xdr:rowOff>
    </xdr:to>
    <xdr:graphicFrame macro="">
      <xdr:nvGraphicFramePr>
        <xdr:cNvPr id="48152" name="Chart 4">
          <a:extLst>
            <a:ext uri="{FF2B5EF4-FFF2-40B4-BE49-F238E27FC236}">
              <a16:creationId xmlns:a16="http://schemas.microsoft.com/office/drawing/2014/main" id="{00000000-0008-0000-0B00-000018B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276225</xdr:colOff>
      <xdr:row>162</xdr:row>
      <xdr:rowOff>95250</xdr:rowOff>
    </xdr:from>
    <xdr:to>
      <xdr:col>11</xdr:col>
      <xdr:colOff>9525</xdr:colOff>
      <xdr:row>181</xdr:row>
      <xdr:rowOff>19050</xdr:rowOff>
    </xdr:to>
    <xdr:graphicFrame macro="">
      <xdr:nvGraphicFramePr>
        <xdr:cNvPr id="48157" name="Chart 15">
          <a:extLst>
            <a:ext uri="{FF2B5EF4-FFF2-40B4-BE49-F238E27FC236}">
              <a16:creationId xmlns:a16="http://schemas.microsoft.com/office/drawing/2014/main" id="{00000000-0008-0000-0B00-00001DB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476250</xdr:colOff>
      <xdr:row>46</xdr:row>
      <xdr:rowOff>28575</xdr:rowOff>
    </xdr:from>
    <xdr:to>
      <xdr:col>10</xdr:col>
      <xdr:colOff>133350</xdr:colOff>
      <xdr:row>66</xdr:row>
      <xdr:rowOff>123825</xdr:rowOff>
    </xdr:to>
    <xdr:graphicFrame macro="">
      <xdr:nvGraphicFramePr>
        <xdr:cNvPr id="13" name="Chart 26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1047750</xdr:colOff>
      <xdr:row>74</xdr:row>
      <xdr:rowOff>66675</xdr:rowOff>
    </xdr:from>
    <xdr:to>
      <xdr:col>11</xdr:col>
      <xdr:colOff>152399</xdr:colOff>
      <xdr:row>96</xdr:row>
      <xdr:rowOff>133350</xdr:rowOff>
    </xdr:to>
    <xdr:graphicFrame macro="">
      <xdr:nvGraphicFramePr>
        <xdr:cNvPr id="14" name="Chart 17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923925</xdr:colOff>
      <xdr:row>104</xdr:row>
      <xdr:rowOff>171450</xdr:rowOff>
    </xdr:from>
    <xdr:to>
      <xdr:col>11</xdr:col>
      <xdr:colOff>28574</xdr:colOff>
      <xdr:row>127</xdr:row>
      <xdr:rowOff>47625</xdr:rowOff>
    </xdr:to>
    <xdr:graphicFrame macro="">
      <xdr:nvGraphicFramePr>
        <xdr:cNvPr id="15" name="Chart 17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295275</xdr:colOff>
      <xdr:row>133</xdr:row>
      <xdr:rowOff>66674</xdr:rowOff>
    </xdr:from>
    <xdr:to>
      <xdr:col>10</xdr:col>
      <xdr:colOff>342900</xdr:colOff>
      <xdr:row>157</xdr:row>
      <xdr:rowOff>198119</xdr:rowOff>
    </xdr:to>
    <xdr:graphicFrame macro="">
      <xdr:nvGraphicFramePr>
        <xdr:cNvPr id="12" name="Chart 10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289560</xdr:colOff>
      <xdr:row>1</xdr:row>
      <xdr:rowOff>7619</xdr:rowOff>
    </xdr:from>
    <xdr:to>
      <xdr:col>1</xdr:col>
      <xdr:colOff>1645920</xdr:colOff>
      <xdr:row>4</xdr:row>
      <xdr:rowOff>1812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7546AA3-7B38-40B1-8257-C9F0D286A5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32460" y="175259"/>
          <a:ext cx="1356360" cy="7104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30</xdr:row>
      <xdr:rowOff>47624</xdr:rowOff>
    </xdr:from>
    <xdr:to>
      <xdr:col>6</xdr:col>
      <xdr:colOff>257174</xdr:colOff>
      <xdr:row>45</xdr:row>
      <xdr:rowOff>38099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85725</xdr:colOff>
      <xdr:row>29</xdr:row>
      <xdr:rowOff>66675</xdr:rowOff>
    </xdr:from>
    <xdr:to>
      <xdr:col>18</xdr:col>
      <xdr:colOff>285750</xdr:colOff>
      <xdr:row>45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400050</xdr:colOff>
      <xdr:row>30</xdr:row>
      <xdr:rowOff>47625</xdr:rowOff>
    </xdr:from>
    <xdr:to>
      <xdr:col>12</xdr:col>
      <xdr:colOff>371475</xdr:colOff>
      <xdr:row>44</xdr:row>
      <xdr:rowOff>114300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76</xdr:row>
      <xdr:rowOff>95250</xdr:rowOff>
    </xdr:from>
    <xdr:to>
      <xdr:col>6</xdr:col>
      <xdr:colOff>419100</xdr:colOff>
      <xdr:row>90</xdr:row>
      <xdr:rowOff>76200</xdr:rowOff>
    </xdr:to>
    <xdr:graphicFrame macro="">
      <xdr:nvGraphicFramePr>
        <xdr:cNvPr id="5" name="Chart 9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12</xdr:col>
      <xdr:colOff>304800</xdr:colOff>
      <xdr:row>75</xdr:row>
      <xdr:rowOff>47625</xdr:rowOff>
    </xdr:from>
    <xdr:to>
      <xdr:col>18</xdr:col>
      <xdr:colOff>123825</xdr:colOff>
      <xdr:row>90</xdr:row>
      <xdr:rowOff>38100</xdr:rowOff>
    </xdr:to>
    <xdr:graphicFrame macro="">
      <xdr:nvGraphicFramePr>
        <xdr:cNvPr id="6" name="Chart 10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581024</xdr:colOff>
      <xdr:row>74</xdr:row>
      <xdr:rowOff>142875</xdr:rowOff>
    </xdr:from>
    <xdr:to>
      <xdr:col>12</xdr:col>
      <xdr:colOff>161924</xdr:colOff>
      <xdr:row>90</xdr:row>
      <xdr:rowOff>66675</xdr:rowOff>
    </xdr:to>
    <xdr:graphicFrame macro="">
      <xdr:nvGraphicFramePr>
        <xdr:cNvPr id="7" name="Chart 11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absolute">
    <xdr:from>
      <xdr:col>13</xdr:col>
      <xdr:colOff>76200</xdr:colOff>
      <xdr:row>8</xdr:row>
      <xdr:rowOff>95249</xdr:rowOff>
    </xdr:from>
    <xdr:to>
      <xdr:col>18</xdr:col>
      <xdr:colOff>190500</xdr:colOff>
      <xdr:row>23</xdr:row>
      <xdr:rowOff>47625</xdr:rowOff>
    </xdr:to>
    <xdr:graphicFrame macro="">
      <xdr:nvGraphicFramePr>
        <xdr:cNvPr id="8" name="Chart 14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absolute">
    <xdr:from>
      <xdr:col>6</xdr:col>
      <xdr:colOff>571501</xdr:colOff>
      <xdr:row>9</xdr:row>
      <xdr:rowOff>66674</xdr:rowOff>
    </xdr:from>
    <xdr:to>
      <xdr:col>12</xdr:col>
      <xdr:colOff>561975</xdr:colOff>
      <xdr:row>23</xdr:row>
      <xdr:rowOff>114300</xdr:rowOff>
    </xdr:to>
    <xdr:graphicFrame macro="">
      <xdr:nvGraphicFramePr>
        <xdr:cNvPr id="9" name="Chart 15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absolute">
    <xdr:from>
      <xdr:col>0</xdr:col>
      <xdr:colOff>9525</xdr:colOff>
      <xdr:row>9</xdr:row>
      <xdr:rowOff>28575</xdr:rowOff>
    </xdr:from>
    <xdr:to>
      <xdr:col>6</xdr:col>
      <xdr:colOff>371475</xdr:colOff>
      <xdr:row>23</xdr:row>
      <xdr:rowOff>19050</xdr:rowOff>
    </xdr:to>
    <xdr:graphicFrame macro="">
      <xdr:nvGraphicFramePr>
        <xdr:cNvPr id="10" name="Chart 16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47626</xdr:colOff>
      <xdr:row>97</xdr:row>
      <xdr:rowOff>66675</xdr:rowOff>
    </xdr:from>
    <xdr:to>
      <xdr:col>6</xdr:col>
      <xdr:colOff>400050</xdr:colOff>
      <xdr:row>112</xdr:row>
      <xdr:rowOff>66675</xdr:rowOff>
    </xdr:to>
    <xdr:graphicFrame macro="">
      <xdr:nvGraphicFramePr>
        <xdr:cNvPr id="11" name="Chart 21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504826</xdr:colOff>
      <xdr:row>97</xdr:row>
      <xdr:rowOff>47625</xdr:rowOff>
    </xdr:from>
    <xdr:to>
      <xdr:col>12</xdr:col>
      <xdr:colOff>200025</xdr:colOff>
      <xdr:row>112</xdr:row>
      <xdr:rowOff>28575</xdr:rowOff>
    </xdr:to>
    <xdr:graphicFrame macro="">
      <xdr:nvGraphicFramePr>
        <xdr:cNvPr id="12" name="Chart 22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12</xdr:col>
      <xdr:colOff>419100</xdr:colOff>
      <xdr:row>97</xdr:row>
      <xdr:rowOff>142875</xdr:rowOff>
    </xdr:from>
    <xdr:to>
      <xdr:col>18</xdr:col>
      <xdr:colOff>304800</xdr:colOff>
      <xdr:row>112</xdr:row>
      <xdr:rowOff>85725</xdr:rowOff>
    </xdr:to>
    <xdr:graphicFrame macro="">
      <xdr:nvGraphicFramePr>
        <xdr:cNvPr id="13" name="Chart 23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19050</xdr:colOff>
      <xdr:row>52</xdr:row>
      <xdr:rowOff>47625</xdr:rowOff>
    </xdr:from>
    <xdr:to>
      <xdr:col>6</xdr:col>
      <xdr:colOff>257175</xdr:colOff>
      <xdr:row>66</xdr:row>
      <xdr:rowOff>114300</xdr:rowOff>
    </xdr:to>
    <xdr:graphicFrame macro="">
      <xdr:nvGraphicFramePr>
        <xdr:cNvPr id="15" name="Chart 6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13</xdr:col>
      <xdr:colOff>19050</xdr:colOff>
      <xdr:row>51</xdr:row>
      <xdr:rowOff>123826</xdr:rowOff>
    </xdr:from>
    <xdr:to>
      <xdr:col>18</xdr:col>
      <xdr:colOff>228600</xdr:colOff>
      <xdr:row>66</xdr:row>
      <xdr:rowOff>19050</xdr:rowOff>
    </xdr:to>
    <xdr:graphicFrame macro="">
      <xdr:nvGraphicFramePr>
        <xdr:cNvPr id="16" name="Chart 7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6</xdr:col>
      <xdr:colOff>476250</xdr:colOff>
      <xdr:row>52</xdr:row>
      <xdr:rowOff>38100</xdr:rowOff>
    </xdr:from>
    <xdr:to>
      <xdr:col>12</xdr:col>
      <xdr:colOff>504825</xdr:colOff>
      <xdr:row>66</xdr:row>
      <xdr:rowOff>28575</xdr:rowOff>
    </xdr:to>
    <xdr:graphicFrame macro="">
      <xdr:nvGraphicFramePr>
        <xdr:cNvPr id="17" name="Chart 8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hacienda.go.cr/Mis%20documentos/Datos%20TN/Asignaciones/Perfil%20DEUDA/Febrero%202005/Saldos%20Vigentes%20menos%20cancelaciones%20Febrero%2005-Hoja%20Trabaj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Mis%20documentos\Datos%20TN\Asignaciones\Perfil%20DEUDA\Febrero%202005\Saldos%20Vigentes%20menos%20cancelaciones%20Febrero%2005-Hoja%20Trabaj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erfil%20Deuda\2005\Marzo%202005\Vigentes%20menos%20cancelaciones%20-%20Marzo%202005-Hoja%20Trabajo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Perfil%20Deuda\2005\Marzo%202005\Vigentes%20menos%20cancelaciones%20-%20Marzo%202005-Hoja%20Trabaj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LARES"/>
      <sheetName val="COLONES"/>
      <sheetName val="AÑO"/>
      <sheetName val="TABLA PARA RESUMEN"/>
      <sheetName val="RESUMEN "/>
      <sheetName val="DEUDA POR PLAZO"/>
      <sheetName val="DEUDA RANGOS"/>
      <sheetName val="Saldos Vigentes febrero 05"/>
      <sheetName val="TCambio"/>
      <sheetName val="D. Terceros y Extern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LARES"/>
      <sheetName val="COLONES"/>
      <sheetName val="AÑO"/>
      <sheetName val="TABLA PARA RESUMEN"/>
      <sheetName val="RESUMEN "/>
      <sheetName val="DEUDA POR PLAZO"/>
      <sheetName val="DEUDA RANGOS"/>
      <sheetName val="Saldos Vigentes febrero 05"/>
      <sheetName val="TCambio"/>
      <sheetName val="D. Terceros y Externa"/>
    </sheetNames>
    <sheetDataSet>
      <sheetData sheetId="0"/>
      <sheetData sheetId="1"/>
      <sheetData sheetId="2">
        <row r="3">
          <cell r="H3" t="str">
            <v>COLONES</v>
          </cell>
          <cell r="I3" t="str">
            <v>TIPO DEUDA</v>
          </cell>
        </row>
        <row r="4">
          <cell r="H4" t="str">
            <v>Año</v>
          </cell>
          <cell r="I4" t="str">
            <v>Externa</v>
          </cell>
          <cell r="J4" t="str">
            <v>Interna</v>
          </cell>
          <cell r="K4" t="str">
            <v>Total general</v>
          </cell>
        </row>
        <row r="5">
          <cell r="H5">
            <v>2005</v>
          </cell>
          <cell r="I5">
            <v>45604</v>
          </cell>
          <cell r="J5">
            <v>591321</v>
          </cell>
          <cell r="K5">
            <v>636925</v>
          </cell>
        </row>
        <row r="6">
          <cell r="H6">
            <v>2006</v>
          </cell>
          <cell r="I6">
            <v>46666</v>
          </cell>
          <cell r="J6">
            <v>461337</v>
          </cell>
          <cell r="K6">
            <v>508003</v>
          </cell>
        </row>
        <row r="7">
          <cell r="H7">
            <v>2007</v>
          </cell>
          <cell r="I7">
            <v>30731</v>
          </cell>
          <cell r="J7">
            <v>189913</v>
          </cell>
          <cell r="K7">
            <v>220644</v>
          </cell>
        </row>
        <row r="8">
          <cell r="H8">
            <v>2008</v>
          </cell>
          <cell r="I8">
            <v>121547</v>
          </cell>
          <cell r="J8">
            <v>105115</v>
          </cell>
          <cell r="K8">
            <v>226663</v>
          </cell>
        </row>
        <row r="9">
          <cell r="H9">
            <v>2009</v>
          </cell>
          <cell r="I9">
            <v>165150</v>
          </cell>
          <cell r="J9">
            <v>82478</v>
          </cell>
          <cell r="K9">
            <v>247629</v>
          </cell>
        </row>
        <row r="10">
          <cell r="H10">
            <v>2010</v>
          </cell>
          <cell r="I10">
            <v>23833</v>
          </cell>
          <cell r="J10">
            <v>66937</v>
          </cell>
          <cell r="K10">
            <v>90771</v>
          </cell>
        </row>
        <row r="11">
          <cell r="H11">
            <v>2011</v>
          </cell>
          <cell r="I11">
            <v>137526</v>
          </cell>
          <cell r="J11">
            <v>244278</v>
          </cell>
          <cell r="K11">
            <v>381805</v>
          </cell>
        </row>
        <row r="12">
          <cell r="H12">
            <v>2012</v>
          </cell>
          <cell r="I12">
            <v>135470</v>
          </cell>
          <cell r="J12">
            <v>80307</v>
          </cell>
          <cell r="K12">
            <v>215777</v>
          </cell>
        </row>
        <row r="13">
          <cell r="H13">
            <v>2013</v>
          </cell>
          <cell r="I13">
            <v>130803</v>
          </cell>
          <cell r="J13">
            <v>48242</v>
          </cell>
          <cell r="K13">
            <v>179045</v>
          </cell>
        </row>
        <row r="14">
          <cell r="H14">
            <v>2014</v>
          </cell>
          <cell r="I14">
            <v>125730</v>
          </cell>
          <cell r="J14">
            <v>83130</v>
          </cell>
          <cell r="K14">
            <v>208861</v>
          </cell>
        </row>
        <row r="15">
          <cell r="H15">
            <v>2015</v>
          </cell>
          <cell r="I15">
            <v>6237</v>
          </cell>
          <cell r="J15">
            <v>264816</v>
          </cell>
          <cell r="K15">
            <v>271053</v>
          </cell>
        </row>
        <row r="16">
          <cell r="H16">
            <v>2016</v>
          </cell>
          <cell r="I16">
            <v>5846</v>
          </cell>
          <cell r="J16">
            <v>16130</v>
          </cell>
          <cell r="K16">
            <v>21976</v>
          </cell>
        </row>
        <row r="17">
          <cell r="H17">
            <v>2017</v>
          </cell>
          <cell r="I17">
            <v>5323</v>
          </cell>
          <cell r="J17">
            <v>3754</v>
          </cell>
          <cell r="K17">
            <v>9078</v>
          </cell>
        </row>
        <row r="18">
          <cell r="H18">
            <v>2018</v>
          </cell>
          <cell r="I18">
            <v>2519</v>
          </cell>
          <cell r="J18">
            <v>1805</v>
          </cell>
          <cell r="K18">
            <v>4324</v>
          </cell>
        </row>
        <row r="19">
          <cell r="H19">
            <v>2019</v>
          </cell>
          <cell r="I19">
            <v>1582</v>
          </cell>
          <cell r="J19">
            <v>1732</v>
          </cell>
          <cell r="K19">
            <v>3314</v>
          </cell>
        </row>
        <row r="20">
          <cell r="H20">
            <v>2020</v>
          </cell>
          <cell r="I20">
            <v>124642</v>
          </cell>
          <cell r="J20">
            <v>1485</v>
          </cell>
          <cell r="K20">
            <v>126128</v>
          </cell>
        </row>
        <row r="21">
          <cell r="H21" t="str">
            <v>Total general</v>
          </cell>
          <cell r="I21">
            <v>1109216</v>
          </cell>
          <cell r="J21">
            <v>2242787</v>
          </cell>
          <cell r="K21">
            <v>3352003</v>
          </cell>
        </row>
        <row r="30">
          <cell r="H30" t="str">
            <v>DÓLARES</v>
          </cell>
          <cell r="I30" t="str">
            <v>TIPO DEUDA</v>
          </cell>
        </row>
        <row r="31">
          <cell r="H31" t="str">
            <v>Año</v>
          </cell>
          <cell r="I31" t="str">
            <v>Externa</v>
          </cell>
          <cell r="J31" t="str">
            <v>Interna</v>
          </cell>
          <cell r="K31" t="str">
            <v>Total general</v>
          </cell>
        </row>
        <row r="32">
          <cell r="H32">
            <v>2005</v>
          </cell>
          <cell r="I32">
            <v>97</v>
          </cell>
          <cell r="J32">
            <v>1269</v>
          </cell>
          <cell r="K32">
            <v>1367</v>
          </cell>
        </row>
        <row r="33">
          <cell r="H33">
            <v>2006</v>
          </cell>
          <cell r="I33">
            <v>100</v>
          </cell>
          <cell r="J33">
            <v>990</v>
          </cell>
          <cell r="K33">
            <v>1090</v>
          </cell>
        </row>
        <row r="34">
          <cell r="H34">
            <v>2007</v>
          </cell>
          <cell r="I34">
            <v>65</v>
          </cell>
          <cell r="J34">
            <v>407</v>
          </cell>
          <cell r="K34">
            <v>473</v>
          </cell>
        </row>
        <row r="35">
          <cell r="H35">
            <v>2008</v>
          </cell>
          <cell r="I35">
            <v>260</v>
          </cell>
          <cell r="J35">
            <v>225</v>
          </cell>
          <cell r="K35">
            <v>486</v>
          </cell>
        </row>
        <row r="36">
          <cell r="H36">
            <v>2009</v>
          </cell>
          <cell r="I36">
            <v>354</v>
          </cell>
          <cell r="J36">
            <v>177</v>
          </cell>
          <cell r="K36">
            <v>531</v>
          </cell>
        </row>
        <row r="37">
          <cell r="H37">
            <v>2010</v>
          </cell>
          <cell r="I37">
            <v>51</v>
          </cell>
          <cell r="J37">
            <v>143</v>
          </cell>
          <cell r="K37">
            <v>194</v>
          </cell>
        </row>
        <row r="38">
          <cell r="H38">
            <v>2011</v>
          </cell>
          <cell r="I38">
            <v>295</v>
          </cell>
          <cell r="J38">
            <v>524</v>
          </cell>
          <cell r="K38">
            <v>819</v>
          </cell>
        </row>
        <row r="39">
          <cell r="H39">
            <v>2012</v>
          </cell>
          <cell r="I39">
            <v>290</v>
          </cell>
          <cell r="J39">
            <v>172</v>
          </cell>
          <cell r="K39">
            <v>463</v>
          </cell>
        </row>
        <row r="40">
          <cell r="H40">
            <v>2013</v>
          </cell>
          <cell r="I40">
            <v>280</v>
          </cell>
          <cell r="J40">
            <v>103</v>
          </cell>
          <cell r="K40">
            <v>384</v>
          </cell>
        </row>
        <row r="41">
          <cell r="H41">
            <v>2014</v>
          </cell>
          <cell r="I41">
            <v>269</v>
          </cell>
          <cell r="J41">
            <v>178</v>
          </cell>
          <cell r="K41">
            <v>448</v>
          </cell>
        </row>
        <row r="42">
          <cell r="H42">
            <v>2015</v>
          </cell>
          <cell r="I42">
            <v>13</v>
          </cell>
          <cell r="J42">
            <v>568</v>
          </cell>
          <cell r="K42">
            <v>581</v>
          </cell>
        </row>
        <row r="43">
          <cell r="H43">
            <v>2016</v>
          </cell>
          <cell r="I43">
            <v>12</v>
          </cell>
          <cell r="J43">
            <v>34</v>
          </cell>
          <cell r="K43">
            <v>47</v>
          </cell>
        </row>
        <row r="44">
          <cell r="H44">
            <v>2017</v>
          </cell>
          <cell r="I44">
            <v>11</v>
          </cell>
          <cell r="J44">
            <v>8</v>
          </cell>
          <cell r="K44">
            <v>19</v>
          </cell>
        </row>
        <row r="45">
          <cell r="H45">
            <v>2018</v>
          </cell>
          <cell r="I45">
            <v>5</v>
          </cell>
          <cell r="J45">
            <v>3</v>
          </cell>
          <cell r="K45">
            <v>9</v>
          </cell>
        </row>
        <row r="46">
          <cell r="H46">
            <v>2019</v>
          </cell>
          <cell r="I46">
            <v>3</v>
          </cell>
          <cell r="J46">
            <v>3</v>
          </cell>
          <cell r="K46">
            <v>7</v>
          </cell>
        </row>
        <row r="47">
          <cell r="H47">
            <v>2020</v>
          </cell>
          <cell r="I47">
            <v>267</v>
          </cell>
          <cell r="J47">
            <v>3.19</v>
          </cell>
          <cell r="K47">
            <v>270</v>
          </cell>
        </row>
        <row r="48">
          <cell r="H48" t="str">
            <v>Total general</v>
          </cell>
          <cell r="I48">
            <v>2381</v>
          </cell>
          <cell r="J48">
            <v>4814</v>
          </cell>
          <cell r="K48">
            <v>7195</v>
          </cell>
        </row>
      </sheetData>
      <sheetData sheetId="3"/>
      <sheetData sheetId="4"/>
      <sheetData sheetId="5"/>
      <sheetData sheetId="6"/>
      <sheetData sheetId="7">
        <row r="1">
          <cell r="AY1" t="str">
            <v>Tipo de cambio</v>
          </cell>
          <cell r="BA1" t="str">
            <v>Fecha corte</v>
          </cell>
        </row>
        <row r="3">
          <cell r="AY3" t="str">
            <v>Dólar</v>
          </cell>
          <cell r="AZ3">
            <v>465.83</v>
          </cell>
          <cell r="BA3">
            <v>38411</v>
          </cell>
        </row>
        <row r="4">
          <cell r="AY4" t="str">
            <v>U.D.</v>
          </cell>
          <cell r="AZ4">
            <v>422</v>
          </cell>
        </row>
      </sheetData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LONES"/>
      <sheetName val="DOLARES"/>
      <sheetName val="POR INSTR."/>
      <sheetName val="RESUMEN ANUAL"/>
      <sheetName val="RESUMEN"/>
      <sheetName val="Vigentes menos cancelaciones - "/>
      <sheetName val="Deuda Terceros y Externa"/>
    </sheetNames>
    <sheetDataSet>
      <sheetData sheetId="0"/>
      <sheetData sheetId="1"/>
      <sheetData sheetId="2"/>
      <sheetData sheetId="3"/>
      <sheetData sheetId="4"/>
      <sheetData sheetId="5" refreshError="1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LONES"/>
      <sheetName val="DOLARES"/>
      <sheetName val="POR INSTR."/>
      <sheetName val="RESUMEN ANUAL"/>
      <sheetName val="RESUMEN"/>
      <sheetName val="Vigentes menos cancelaciones - "/>
      <sheetName val="Deuda Terceros y Externa"/>
    </sheetNames>
    <sheetDataSet>
      <sheetData sheetId="0"/>
      <sheetData sheetId="1"/>
      <sheetData sheetId="2"/>
      <sheetData sheetId="3"/>
      <sheetData sheetId="4"/>
      <sheetData sheetId="5" refreshError="1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2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CC"/>
  </sheetPr>
  <dimension ref="A1:P60"/>
  <sheetViews>
    <sheetView showGridLines="0" zoomScaleNormal="100" workbookViewId="0">
      <selection activeCell="O11" sqref="O11"/>
    </sheetView>
  </sheetViews>
  <sheetFormatPr baseColWidth="10" defaultColWidth="11.44140625" defaultRowHeight="13.8" x14ac:dyDescent="0.25"/>
  <cols>
    <col min="1" max="1" width="4.88671875" style="402" customWidth="1"/>
    <col min="2" max="2" width="3" style="402" customWidth="1"/>
    <col min="3" max="3" width="3" style="410" customWidth="1"/>
    <col min="4" max="14" width="11.44140625" style="402"/>
    <col min="15" max="15" width="11.44140625" style="403"/>
    <col min="16" max="16384" width="11.44140625" style="402"/>
  </cols>
  <sheetData>
    <row r="1" spans="1:16" x14ac:dyDescent="0.25">
      <c r="B1" s="765"/>
      <c r="C1" s="765"/>
      <c r="D1" s="765"/>
      <c r="E1" s="765"/>
      <c r="F1" s="765"/>
      <c r="G1" s="765"/>
      <c r="H1" s="765"/>
      <c r="I1" s="765"/>
      <c r="J1" s="765"/>
      <c r="K1" s="765"/>
      <c r="L1" s="765"/>
      <c r="M1" s="765"/>
      <c r="N1" s="765"/>
      <c r="O1" s="765"/>
    </row>
    <row r="2" spans="1:16" x14ac:dyDescent="0.25">
      <c r="A2" s="765" t="s">
        <v>0</v>
      </c>
      <c r="B2" s="765"/>
      <c r="C2" s="765"/>
      <c r="D2" s="765"/>
      <c r="E2" s="765"/>
      <c r="F2" s="765"/>
      <c r="G2" s="765"/>
      <c r="H2" s="765"/>
      <c r="I2" s="765"/>
      <c r="J2" s="765"/>
      <c r="K2" s="765"/>
      <c r="L2" s="765"/>
      <c r="M2" s="765"/>
      <c r="N2" s="765"/>
      <c r="O2" s="741"/>
    </row>
    <row r="3" spans="1:16" x14ac:dyDescent="0.25">
      <c r="A3" s="765" t="s">
        <v>1</v>
      </c>
      <c r="B3" s="765"/>
      <c r="C3" s="765"/>
      <c r="D3" s="765"/>
      <c r="E3" s="765"/>
      <c r="F3" s="765"/>
      <c r="G3" s="765"/>
      <c r="H3" s="765"/>
      <c r="I3" s="765"/>
      <c r="J3" s="765"/>
      <c r="K3" s="765"/>
      <c r="L3" s="765"/>
      <c r="M3" s="765"/>
      <c r="N3" s="765"/>
      <c r="O3" s="741"/>
    </row>
    <row r="4" spans="1:16" x14ac:dyDescent="0.25">
      <c r="A4" s="765" t="s">
        <v>2</v>
      </c>
      <c r="B4" s="765"/>
      <c r="C4" s="765"/>
      <c r="D4" s="765"/>
      <c r="E4" s="765"/>
      <c r="F4" s="765"/>
      <c r="G4" s="765"/>
      <c r="H4" s="765"/>
      <c r="I4" s="765"/>
      <c r="J4" s="765"/>
      <c r="K4" s="765"/>
      <c r="L4" s="765"/>
      <c r="M4" s="765"/>
      <c r="N4" s="765"/>
      <c r="O4" s="741"/>
    </row>
    <row r="5" spans="1:16" x14ac:dyDescent="0.25">
      <c r="A5" s="765" t="s">
        <v>3</v>
      </c>
      <c r="B5" s="765"/>
      <c r="C5" s="765"/>
      <c r="D5" s="765"/>
      <c r="E5" s="765"/>
      <c r="F5" s="765"/>
      <c r="G5" s="765"/>
      <c r="H5" s="765"/>
      <c r="I5" s="765"/>
      <c r="J5" s="765"/>
      <c r="K5" s="765"/>
      <c r="L5" s="765"/>
      <c r="M5" s="765"/>
      <c r="N5" s="765"/>
      <c r="O5" s="741"/>
      <c r="P5" s="741"/>
    </row>
    <row r="6" spans="1:16" x14ac:dyDescent="0.25">
      <c r="C6" s="741"/>
      <c r="D6" s="741"/>
      <c r="E6" s="741"/>
      <c r="F6" s="741"/>
      <c r="G6" s="741"/>
      <c r="H6" s="741"/>
      <c r="I6" s="741"/>
      <c r="J6" s="741"/>
      <c r="K6" s="741"/>
      <c r="L6" s="741"/>
      <c r="M6" s="741"/>
      <c r="N6" s="741"/>
      <c r="O6" s="741"/>
      <c r="P6" s="741"/>
    </row>
    <row r="7" spans="1:16" x14ac:dyDescent="0.25">
      <c r="B7" s="765" t="s">
        <v>4</v>
      </c>
      <c r="C7" s="765"/>
      <c r="D7" s="765"/>
      <c r="E7" s="765"/>
      <c r="F7" s="765"/>
      <c r="G7" s="765"/>
      <c r="H7" s="765"/>
      <c r="I7" s="765"/>
      <c r="J7" s="765"/>
      <c r="K7" s="765"/>
      <c r="L7" s="765"/>
      <c r="M7" s="765"/>
      <c r="N7" s="765"/>
    </row>
    <row r="8" spans="1:16" x14ac:dyDescent="0.25">
      <c r="B8" s="765"/>
      <c r="C8" s="765"/>
      <c r="D8" s="765"/>
      <c r="E8" s="765"/>
      <c r="F8" s="765"/>
      <c r="G8" s="765"/>
      <c r="H8" s="765"/>
      <c r="I8" s="765"/>
      <c r="J8" s="765"/>
      <c r="K8" s="765"/>
      <c r="L8" s="765"/>
      <c r="M8" s="765"/>
      <c r="N8" s="765"/>
    </row>
    <row r="9" spans="1:16" s="405" customFormat="1" ht="16.5" customHeight="1" x14ac:dyDescent="0.3">
      <c r="B9" s="767" t="s">
        <v>5</v>
      </c>
      <c r="C9" s="767"/>
      <c r="D9" s="767"/>
      <c r="E9" s="767"/>
      <c r="F9" s="767"/>
      <c r="G9" s="767"/>
      <c r="H9" s="767"/>
      <c r="I9" s="767"/>
      <c r="J9" s="767"/>
      <c r="K9" s="767"/>
      <c r="L9" s="767"/>
      <c r="M9" s="767"/>
      <c r="N9" s="767"/>
      <c r="O9" s="404"/>
    </row>
    <row r="10" spans="1:16" x14ac:dyDescent="0.25">
      <c r="B10" s="406"/>
      <c r="C10" s="407"/>
    </row>
    <row r="11" spans="1:16" ht="17.399999999999999" x14ac:dyDescent="0.3">
      <c r="B11" s="408" t="s">
        <v>6</v>
      </c>
      <c r="C11" s="409"/>
      <c r="D11" s="742" t="s">
        <v>7</v>
      </c>
      <c r="E11" s="742"/>
      <c r="F11" s="742"/>
      <c r="G11" s="742"/>
      <c r="H11" s="742"/>
      <c r="I11" s="742"/>
      <c r="J11" s="742"/>
      <c r="K11" s="742"/>
      <c r="L11" s="742"/>
      <c r="M11" s="742"/>
      <c r="N11" s="742"/>
    </row>
    <row r="12" spans="1:16" ht="17.399999999999999" x14ac:dyDescent="0.3">
      <c r="B12" s="408" t="s">
        <v>6</v>
      </c>
      <c r="C12" s="409"/>
      <c r="D12" s="742" t="s">
        <v>8</v>
      </c>
      <c r="E12" s="742"/>
      <c r="F12" s="742"/>
      <c r="G12" s="742"/>
      <c r="H12" s="742"/>
      <c r="I12" s="742"/>
      <c r="J12" s="742"/>
      <c r="K12" s="742"/>
      <c r="L12" s="742"/>
      <c r="M12" s="742"/>
      <c r="N12" s="742"/>
    </row>
    <row r="13" spans="1:16" ht="17.399999999999999" x14ac:dyDescent="0.3">
      <c r="B13" s="408" t="s">
        <v>6</v>
      </c>
      <c r="C13" s="409"/>
      <c r="D13" s="580" t="s">
        <v>9</v>
      </c>
      <c r="E13" s="580"/>
      <c r="F13" s="580"/>
      <c r="G13" s="580"/>
      <c r="H13" s="580"/>
      <c r="I13" s="580"/>
      <c r="J13" s="580"/>
      <c r="K13" s="580"/>
      <c r="L13" s="580"/>
      <c r="M13" s="580"/>
      <c r="N13" s="580"/>
    </row>
    <row r="14" spans="1:16" ht="17.399999999999999" x14ac:dyDescent="0.3">
      <c r="B14" s="408" t="s">
        <v>6</v>
      </c>
      <c r="C14" s="409"/>
      <c r="D14" s="580" t="s">
        <v>10</v>
      </c>
      <c r="E14" s="580"/>
      <c r="F14" s="580"/>
      <c r="G14" s="580"/>
      <c r="H14" s="580"/>
      <c r="I14" s="580"/>
      <c r="J14" s="580"/>
      <c r="K14" s="580"/>
      <c r="L14" s="580"/>
      <c r="M14" s="580"/>
      <c r="N14" s="580"/>
    </row>
    <row r="15" spans="1:16" ht="17.399999999999999" x14ac:dyDescent="0.3">
      <c r="B15" s="408" t="s">
        <v>6</v>
      </c>
      <c r="C15" s="409"/>
      <c r="D15" s="580" t="s">
        <v>11</v>
      </c>
      <c r="E15" s="580"/>
      <c r="F15" s="580"/>
      <c r="G15" s="580"/>
      <c r="H15" s="580"/>
      <c r="I15" s="580"/>
      <c r="J15" s="580"/>
      <c r="K15" s="580"/>
      <c r="L15" s="580"/>
      <c r="M15" s="580"/>
      <c r="N15" s="580"/>
    </row>
    <row r="16" spans="1:16" ht="17.399999999999999" x14ac:dyDescent="0.3">
      <c r="B16" s="408" t="s">
        <v>6</v>
      </c>
      <c r="C16" s="409"/>
      <c r="D16" s="580" t="s">
        <v>12</v>
      </c>
      <c r="E16" s="580"/>
      <c r="F16" s="580"/>
      <c r="G16" s="580"/>
      <c r="H16" s="580"/>
      <c r="I16" s="580"/>
      <c r="J16" s="580"/>
      <c r="K16" s="580"/>
      <c r="L16" s="580"/>
      <c r="M16" s="580"/>
      <c r="N16" s="580"/>
    </row>
    <row r="17" spans="1:15" ht="17.399999999999999" x14ac:dyDescent="0.3">
      <c r="B17" s="408" t="s">
        <v>6</v>
      </c>
      <c r="C17" s="409"/>
      <c r="D17" s="580" t="s">
        <v>13</v>
      </c>
      <c r="E17" s="580"/>
      <c r="F17" s="580"/>
      <c r="G17" s="580"/>
      <c r="H17" s="580"/>
      <c r="I17" s="580"/>
      <c r="J17" s="580"/>
      <c r="K17" s="580"/>
      <c r="L17" s="580"/>
      <c r="M17" s="580"/>
      <c r="N17" s="580"/>
    </row>
    <row r="18" spans="1:15" s="411" customFormat="1" ht="17.399999999999999" x14ac:dyDescent="0.3">
      <c r="A18" s="402"/>
      <c r="B18" s="408" t="s">
        <v>6</v>
      </c>
      <c r="C18" s="409"/>
      <c r="D18" s="581" t="s">
        <v>14</v>
      </c>
      <c r="E18" s="581"/>
      <c r="F18" s="581"/>
      <c r="G18" s="581"/>
      <c r="H18" s="581"/>
      <c r="I18" s="581"/>
      <c r="J18" s="581"/>
      <c r="K18" s="581"/>
      <c r="L18" s="581"/>
      <c r="M18" s="581"/>
      <c r="N18" s="581"/>
      <c r="O18" s="403"/>
    </row>
    <row r="19" spans="1:15" ht="17.399999999999999" x14ac:dyDescent="0.3">
      <c r="A19" s="581"/>
      <c r="B19" s="408" t="s">
        <v>6</v>
      </c>
      <c r="C19" s="409"/>
      <c r="D19" s="581" t="s">
        <v>15</v>
      </c>
      <c r="E19" s="581"/>
      <c r="F19" s="581"/>
      <c r="G19" s="581"/>
      <c r="H19" s="581"/>
      <c r="I19" s="581"/>
      <c r="J19" s="581"/>
      <c r="K19" s="581"/>
      <c r="L19" s="581"/>
      <c r="M19" s="581"/>
      <c r="N19" s="581"/>
      <c r="O19" s="581"/>
    </row>
    <row r="20" spans="1:15" ht="17.399999999999999" x14ac:dyDescent="0.3">
      <c r="B20" s="408" t="s">
        <v>6</v>
      </c>
      <c r="C20" s="409"/>
      <c r="D20" s="581" t="s">
        <v>16</v>
      </c>
      <c r="E20" s="581"/>
      <c r="F20" s="581"/>
      <c r="G20" s="581"/>
      <c r="H20" s="581"/>
      <c r="I20" s="581"/>
      <c r="J20" s="581"/>
      <c r="K20" s="581"/>
      <c r="L20" s="581"/>
      <c r="M20" s="581"/>
      <c r="N20" s="581"/>
    </row>
    <row r="21" spans="1:15" ht="17.399999999999999" x14ac:dyDescent="0.3">
      <c r="B21" s="408" t="s">
        <v>6</v>
      </c>
      <c r="C21" s="409"/>
      <c r="D21" s="581" t="s">
        <v>17</v>
      </c>
      <c r="E21" s="581"/>
      <c r="F21" s="581"/>
      <c r="G21" s="581"/>
      <c r="H21" s="581"/>
      <c r="I21" s="581"/>
      <c r="J21" s="581"/>
      <c r="K21" s="581"/>
      <c r="L21" s="581"/>
      <c r="M21" s="581"/>
      <c r="N21" s="581"/>
    </row>
    <row r="22" spans="1:15" ht="14.4" x14ac:dyDescent="0.3">
      <c r="D22" s="581"/>
      <c r="E22" s="581"/>
      <c r="F22" s="581"/>
      <c r="G22" s="581"/>
      <c r="H22" s="581"/>
      <c r="I22" s="581"/>
      <c r="J22" s="581"/>
      <c r="K22" s="581"/>
      <c r="L22" s="581"/>
      <c r="M22" s="581"/>
      <c r="N22" s="581"/>
    </row>
    <row r="23" spans="1:15" s="405" customFormat="1" ht="15.6" x14ac:dyDescent="0.3">
      <c r="B23" s="767" t="s">
        <v>18</v>
      </c>
      <c r="C23" s="767"/>
      <c r="D23" s="767"/>
      <c r="E23" s="767"/>
      <c r="F23" s="767"/>
      <c r="G23" s="767"/>
      <c r="H23" s="767"/>
      <c r="I23" s="767"/>
      <c r="J23" s="767"/>
      <c r="K23" s="767"/>
      <c r="L23" s="767"/>
      <c r="M23" s="767"/>
      <c r="N23" s="767"/>
      <c r="O23" s="404"/>
    </row>
    <row r="24" spans="1:15" x14ac:dyDescent="0.25">
      <c r="B24" s="406"/>
      <c r="C24" s="407"/>
      <c r="D24" s="406"/>
      <c r="E24" s="406"/>
      <c r="F24" s="406"/>
      <c r="G24" s="406"/>
      <c r="H24" s="406"/>
      <c r="I24" s="406"/>
      <c r="J24" s="406"/>
      <c r="K24" s="406"/>
      <c r="L24" s="406"/>
      <c r="M24" s="406"/>
      <c r="N24" s="406"/>
    </row>
    <row r="25" spans="1:15" ht="17.399999999999999" x14ac:dyDescent="0.3">
      <c r="B25" s="408" t="s">
        <v>6</v>
      </c>
      <c r="C25" s="409"/>
      <c r="D25" s="768" t="s">
        <v>19</v>
      </c>
      <c r="E25" s="768"/>
      <c r="F25" s="768"/>
      <c r="G25" s="768"/>
      <c r="H25" s="768"/>
      <c r="I25" s="768"/>
      <c r="J25" s="768"/>
      <c r="K25" s="768"/>
      <c r="L25" s="768"/>
      <c r="M25" s="768"/>
      <c r="N25" s="768"/>
    </row>
    <row r="26" spans="1:15" ht="17.399999999999999" x14ac:dyDescent="0.3">
      <c r="B26" s="408" t="s">
        <v>6</v>
      </c>
      <c r="C26" s="409"/>
      <c r="D26" s="768" t="s">
        <v>20</v>
      </c>
      <c r="E26" s="768"/>
      <c r="F26" s="768"/>
      <c r="G26" s="768"/>
      <c r="H26" s="768"/>
      <c r="I26" s="768"/>
      <c r="J26" s="768"/>
      <c r="K26" s="768"/>
      <c r="L26" s="768"/>
      <c r="M26" s="768"/>
      <c r="N26" s="768"/>
    </row>
    <row r="27" spans="1:15" ht="17.399999999999999" x14ac:dyDescent="0.3">
      <c r="B27" s="408" t="s">
        <v>6</v>
      </c>
      <c r="C27" s="409"/>
      <c r="D27" s="766" t="s">
        <v>9</v>
      </c>
      <c r="E27" s="766"/>
      <c r="F27" s="766"/>
      <c r="G27" s="766"/>
      <c r="H27" s="766"/>
      <c r="I27" s="766"/>
      <c r="J27" s="766"/>
      <c r="K27" s="766"/>
      <c r="L27" s="766"/>
      <c r="M27" s="766"/>
      <c r="N27" s="766"/>
    </row>
    <row r="28" spans="1:15" ht="17.399999999999999" x14ac:dyDescent="0.3">
      <c r="B28" s="408" t="s">
        <v>6</v>
      </c>
      <c r="C28" s="409"/>
      <c r="D28" s="766" t="s">
        <v>10</v>
      </c>
      <c r="E28" s="766"/>
      <c r="F28" s="766"/>
      <c r="G28" s="766"/>
      <c r="H28" s="766"/>
      <c r="I28" s="766"/>
      <c r="J28" s="766"/>
      <c r="K28" s="766"/>
      <c r="L28" s="766"/>
      <c r="M28" s="766"/>
      <c r="N28" s="766"/>
    </row>
    <row r="29" spans="1:15" ht="17.399999999999999" x14ac:dyDescent="0.3">
      <c r="B29" s="408" t="s">
        <v>6</v>
      </c>
      <c r="C29" s="409"/>
      <c r="D29" s="766" t="s">
        <v>11</v>
      </c>
      <c r="E29" s="766"/>
      <c r="F29" s="766"/>
      <c r="G29" s="766"/>
      <c r="H29" s="766"/>
      <c r="I29" s="766"/>
      <c r="J29" s="766"/>
      <c r="K29" s="766"/>
      <c r="L29" s="766"/>
      <c r="M29" s="766"/>
      <c r="N29" s="766"/>
    </row>
    <row r="30" spans="1:15" ht="17.399999999999999" x14ac:dyDescent="0.3">
      <c r="B30" s="408" t="s">
        <v>6</v>
      </c>
      <c r="C30" s="409"/>
      <c r="D30" s="766" t="s">
        <v>21</v>
      </c>
      <c r="E30" s="766"/>
      <c r="F30" s="766"/>
      <c r="G30" s="766"/>
      <c r="H30" s="766"/>
      <c r="I30" s="766"/>
      <c r="J30" s="766"/>
      <c r="K30" s="766"/>
      <c r="L30" s="766"/>
      <c r="M30" s="766"/>
      <c r="N30" s="766"/>
    </row>
    <row r="31" spans="1:15" ht="17.399999999999999" x14ac:dyDescent="0.3">
      <c r="B31" s="408" t="s">
        <v>6</v>
      </c>
      <c r="C31" s="409"/>
      <c r="D31" s="766" t="s">
        <v>22</v>
      </c>
      <c r="E31" s="766"/>
      <c r="F31" s="766"/>
      <c r="G31" s="766"/>
      <c r="H31" s="766"/>
      <c r="I31" s="766"/>
      <c r="J31" s="766"/>
      <c r="K31" s="766"/>
      <c r="L31" s="766"/>
      <c r="M31" s="766"/>
      <c r="N31" s="766"/>
    </row>
    <row r="32" spans="1:15" ht="17.399999999999999" x14ac:dyDescent="0.3">
      <c r="B32" s="408" t="s">
        <v>6</v>
      </c>
      <c r="C32" s="409"/>
      <c r="D32" s="768" t="s">
        <v>23</v>
      </c>
      <c r="E32" s="768"/>
      <c r="F32" s="768"/>
      <c r="G32" s="768"/>
      <c r="H32" s="768"/>
      <c r="I32" s="768"/>
      <c r="J32" s="768"/>
      <c r="K32" s="768"/>
      <c r="L32" s="768"/>
      <c r="M32" s="768"/>
      <c r="N32" s="768"/>
    </row>
    <row r="33" spans="2:15" ht="17.399999999999999" x14ac:dyDescent="0.3">
      <c r="B33" s="408" t="s">
        <v>6</v>
      </c>
      <c r="C33" s="409"/>
      <c r="D33" s="768" t="s">
        <v>24</v>
      </c>
      <c r="E33" s="768"/>
      <c r="F33" s="768"/>
      <c r="G33" s="768"/>
      <c r="H33" s="768"/>
      <c r="I33" s="768"/>
      <c r="J33" s="768"/>
      <c r="K33" s="768"/>
      <c r="L33" s="768"/>
      <c r="M33" s="768"/>
      <c r="N33" s="768"/>
    </row>
    <row r="34" spans="2:15" ht="17.399999999999999" x14ac:dyDescent="0.3">
      <c r="B34" s="408" t="s">
        <v>6</v>
      </c>
      <c r="C34" s="409"/>
      <c r="D34" s="766" t="s">
        <v>25</v>
      </c>
      <c r="E34" s="766"/>
      <c r="F34" s="766"/>
      <c r="G34" s="766"/>
      <c r="H34" s="766"/>
      <c r="I34" s="766"/>
      <c r="J34" s="766"/>
      <c r="K34" s="766"/>
      <c r="L34" s="766"/>
      <c r="M34" s="766"/>
      <c r="N34" s="766"/>
    </row>
    <row r="35" spans="2:15" ht="17.399999999999999" x14ac:dyDescent="0.3">
      <c r="B35" s="408" t="s">
        <v>6</v>
      </c>
      <c r="C35" s="409"/>
      <c r="D35" s="766" t="s">
        <v>26</v>
      </c>
      <c r="E35" s="766"/>
      <c r="F35" s="766"/>
      <c r="G35" s="766"/>
      <c r="H35" s="766"/>
      <c r="I35" s="766"/>
      <c r="J35" s="766"/>
      <c r="K35" s="766"/>
      <c r="L35" s="766"/>
      <c r="M35" s="766"/>
      <c r="N35" s="766"/>
    </row>
    <row r="36" spans="2:15" ht="14.4" x14ac:dyDescent="0.3">
      <c r="D36" s="581"/>
      <c r="E36" s="581"/>
      <c r="F36" s="581"/>
      <c r="G36" s="581"/>
      <c r="H36" s="581"/>
      <c r="I36" s="581"/>
      <c r="J36" s="581"/>
      <c r="K36" s="581"/>
      <c r="L36" s="581"/>
      <c r="M36" s="581"/>
      <c r="N36" s="581"/>
    </row>
    <row r="37" spans="2:15" s="405" customFormat="1" ht="15.6" x14ac:dyDescent="0.3">
      <c r="B37" s="767" t="s">
        <v>27</v>
      </c>
      <c r="C37" s="767"/>
      <c r="D37" s="767"/>
      <c r="E37" s="767"/>
      <c r="F37" s="767"/>
      <c r="G37" s="767"/>
      <c r="H37" s="767"/>
      <c r="I37" s="767"/>
      <c r="J37" s="767"/>
      <c r="K37" s="767"/>
      <c r="L37" s="767"/>
      <c r="M37" s="767"/>
      <c r="N37" s="767"/>
      <c r="O37" s="404"/>
    </row>
    <row r="38" spans="2:15" x14ac:dyDescent="0.25">
      <c r="B38" s="406"/>
      <c r="C38" s="407"/>
      <c r="D38" s="412"/>
      <c r="E38" s="412"/>
      <c r="F38" s="412"/>
      <c r="G38" s="412"/>
      <c r="H38" s="412"/>
      <c r="I38" s="412"/>
      <c r="J38" s="412"/>
      <c r="K38" s="412"/>
      <c r="L38" s="412"/>
      <c r="M38" s="412"/>
      <c r="N38" s="412"/>
      <c r="O38" s="413"/>
    </row>
    <row r="39" spans="2:15" ht="17.399999999999999" x14ac:dyDescent="0.3">
      <c r="B39" s="408" t="s">
        <v>6</v>
      </c>
      <c r="C39" s="409"/>
      <c r="D39" s="768" t="s">
        <v>28</v>
      </c>
      <c r="E39" s="768"/>
      <c r="F39" s="768"/>
      <c r="G39" s="768"/>
      <c r="H39" s="768"/>
      <c r="I39" s="768"/>
      <c r="J39" s="768"/>
      <c r="K39" s="768"/>
      <c r="L39" s="768"/>
      <c r="M39" s="768"/>
      <c r="N39" s="769"/>
      <c r="O39" s="413"/>
    </row>
    <row r="40" spans="2:15" ht="17.399999999999999" x14ac:dyDescent="0.3">
      <c r="B40" s="408" t="s">
        <v>6</v>
      </c>
      <c r="C40" s="409"/>
      <c r="D40" s="768" t="s">
        <v>29</v>
      </c>
      <c r="E40" s="768"/>
      <c r="F40" s="768"/>
      <c r="G40" s="768"/>
      <c r="H40" s="768"/>
      <c r="I40" s="768"/>
      <c r="J40" s="768"/>
      <c r="K40" s="768"/>
      <c r="L40" s="768"/>
      <c r="M40" s="768"/>
      <c r="N40" s="769"/>
      <c r="O40" s="413"/>
    </row>
    <row r="41" spans="2:15" ht="17.399999999999999" x14ac:dyDescent="0.3">
      <c r="B41" s="408" t="s">
        <v>6</v>
      </c>
      <c r="C41" s="409"/>
      <c r="D41" s="768" t="s">
        <v>30</v>
      </c>
      <c r="E41" s="768"/>
      <c r="F41" s="768"/>
      <c r="G41" s="768"/>
      <c r="H41" s="768"/>
      <c r="I41" s="768"/>
      <c r="J41" s="768"/>
      <c r="K41" s="768"/>
      <c r="L41" s="768"/>
      <c r="M41" s="768"/>
      <c r="N41" s="768"/>
    </row>
    <row r="42" spans="2:15" ht="17.399999999999999" x14ac:dyDescent="0.3">
      <c r="B42" s="408" t="s">
        <v>6</v>
      </c>
      <c r="C42" s="409"/>
      <c r="D42" s="768" t="s">
        <v>31</v>
      </c>
      <c r="E42" s="768"/>
      <c r="F42" s="768"/>
      <c r="G42" s="768"/>
      <c r="H42" s="768"/>
      <c r="I42" s="768"/>
      <c r="J42" s="768"/>
      <c r="K42" s="768"/>
      <c r="L42" s="768"/>
      <c r="M42" s="768"/>
      <c r="N42" s="768"/>
    </row>
    <row r="43" spans="2:15" ht="17.399999999999999" x14ac:dyDescent="0.3">
      <c r="B43" s="408" t="s">
        <v>6</v>
      </c>
      <c r="C43" s="409"/>
      <c r="D43" s="768" t="s">
        <v>11</v>
      </c>
      <c r="E43" s="768"/>
      <c r="F43" s="768"/>
      <c r="G43" s="768"/>
      <c r="H43" s="768"/>
      <c r="I43" s="768"/>
      <c r="J43" s="768"/>
      <c r="K43" s="768"/>
      <c r="L43" s="768"/>
      <c r="M43" s="768"/>
      <c r="N43" s="768"/>
    </row>
    <row r="44" spans="2:15" ht="17.399999999999999" x14ac:dyDescent="0.3">
      <c r="B44" s="408" t="s">
        <v>6</v>
      </c>
      <c r="C44" s="409"/>
      <c r="D44" s="768" t="s">
        <v>32</v>
      </c>
      <c r="E44" s="768"/>
      <c r="F44" s="768"/>
      <c r="G44" s="768"/>
      <c r="H44" s="768"/>
      <c r="I44" s="768"/>
      <c r="J44" s="768"/>
      <c r="K44" s="768"/>
      <c r="L44" s="768"/>
      <c r="M44" s="768"/>
      <c r="N44" s="768"/>
    </row>
    <row r="45" spans="2:15" ht="17.399999999999999" x14ac:dyDescent="0.3">
      <c r="B45" s="408" t="s">
        <v>6</v>
      </c>
      <c r="C45" s="409"/>
      <c r="D45" s="766" t="s">
        <v>33</v>
      </c>
      <c r="E45" s="766"/>
      <c r="F45" s="766"/>
      <c r="G45" s="766"/>
      <c r="H45" s="766"/>
      <c r="I45" s="766"/>
      <c r="J45" s="766"/>
      <c r="K45" s="766"/>
      <c r="L45" s="766"/>
      <c r="M45" s="766"/>
      <c r="N45" s="766"/>
    </row>
    <row r="46" spans="2:15" ht="17.399999999999999" x14ac:dyDescent="0.3">
      <c r="B46" s="408" t="s">
        <v>6</v>
      </c>
      <c r="C46" s="409"/>
      <c r="D46" s="766" t="s">
        <v>34</v>
      </c>
      <c r="E46" s="766"/>
      <c r="F46" s="766"/>
      <c r="G46" s="766"/>
      <c r="H46" s="766"/>
      <c r="I46" s="766"/>
      <c r="J46" s="766"/>
      <c r="K46" s="766"/>
      <c r="L46" s="766"/>
      <c r="M46" s="766"/>
      <c r="N46" s="766"/>
    </row>
    <row r="47" spans="2:15" ht="17.399999999999999" x14ac:dyDescent="0.3">
      <c r="B47" s="408" t="s">
        <v>6</v>
      </c>
      <c r="C47" s="409"/>
      <c r="D47" s="766" t="s">
        <v>35</v>
      </c>
      <c r="E47" s="766"/>
      <c r="F47" s="766"/>
      <c r="G47" s="766"/>
      <c r="H47" s="766"/>
      <c r="I47" s="766"/>
      <c r="J47" s="766"/>
      <c r="K47" s="766"/>
      <c r="L47" s="766"/>
      <c r="M47" s="766"/>
      <c r="N47" s="766"/>
    </row>
    <row r="48" spans="2:15" ht="17.399999999999999" x14ac:dyDescent="0.3">
      <c r="B48" s="408" t="s">
        <v>6</v>
      </c>
      <c r="C48" s="409"/>
      <c r="D48" s="766" t="s">
        <v>36</v>
      </c>
      <c r="E48" s="766"/>
      <c r="F48" s="766"/>
      <c r="G48" s="766"/>
      <c r="H48" s="766"/>
      <c r="I48" s="766"/>
      <c r="J48" s="766"/>
      <c r="K48" s="766"/>
      <c r="L48" s="766"/>
      <c r="M48" s="766"/>
      <c r="N48" s="766"/>
    </row>
    <row r="49" spans="2:15" ht="17.399999999999999" x14ac:dyDescent="0.3">
      <c r="B49" s="408" t="s">
        <v>6</v>
      </c>
      <c r="C49" s="409"/>
      <c r="D49" s="768" t="s">
        <v>37</v>
      </c>
      <c r="E49" s="768"/>
      <c r="F49" s="768"/>
      <c r="G49" s="768"/>
      <c r="H49" s="768"/>
      <c r="I49" s="768"/>
      <c r="J49" s="768"/>
      <c r="K49" s="768"/>
      <c r="L49" s="768"/>
      <c r="M49" s="768"/>
      <c r="N49" s="768"/>
    </row>
    <row r="50" spans="2:15" ht="17.399999999999999" x14ac:dyDescent="0.3">
      <c r="B50" s="408" t="s">
        <v>6</v>
      </c>
      <c r="C50" s="409"/>
      <c r="D50" s="768" t="s">
        <v>38</v>
      </c>
      <c r="E50" s="768"/>
      <c r="F50" s="768"/>
      <c r="G50" s="768"/>
      <c r="H50" s="768"/>
      <c r="I50" s="768"/>
      <c r="J50" s="768"/>
      <c r="K50" s="768"/>
      <c r="L50" s="768"/>
      <c r="M50" s="768"/>
      <c r="N50" s="768"/>
    </row>
    <row r="51" spans="2:15" ht="17.399999999999999" x14ac:dyDescent="0.3">
      <c r="B51" s="408" t="s">
        <v>6</v>
      </c>
      <c r="C51" s="409"/>
      <c r="D51" s="768" t="s">
        <v>39</v>
      </c>
      <c r="E51" s="768"/>
      <c r="F51" s="768"/>
      <c r="G51" s="768"/>
      <c r="H51" s="768"/>
      <c r="I51" s="768"/>
      <c r="J51" s="768"/>
      <c r="K51" s="768"/>
      <c r="L51" s="768"/>
      <c r="M51" s="768"/>
      <c r="N51" s="768"/>
    </row>
    <row r="52" spans="2:15" ht="17.399999999999999" x14ac:dyDescent="0.3">
      <c r="B52" s="408" t="s">
        <v>6</v>
      </c>
      <c r="C52" s="409"/>
      <c r="D52" s="768" t="s">
        <v>40</v>
      </c>
      <c r="E52" s="768"/>
      <c r="F52" s="768"/>
      <c r="G52" s="768"/>
      <c r="H52" s="768"/>
      <c r="I52" s="768"/>
      <c r="J52" s="768"/>
      <c r="K52" s="768"/>
      <c r="L52" s="768"/>
      <c r="M52" s="768"/>
      <c r="N52" s="768"/>
    </row>
    <row r="53" spans="2:15" ht="17.399999999999999" x14ac:dyDescent="0.3">
      <c r="B53" s="408" t="s">
        <v>6</v>
      </c>
      <c r="C53" s="409"/>
      <c r="D53" s="768" t="s">
        <v>41</v>
      </c>
      <c r="E53" s="768"/>
      <c r="F53" s="768"/>
      <c r="G53" s="768"/>
      <c r="H53" s="768"/>
      <c r="I53" s="768"/>
      <c r="J53" s="768"/>
      <c r="K53" s="768"/>
      <c r="L53" s="768"/>
      <c r="M53" s="768"/>
      <c r="N53" s="768"/>
    </row>
    <row r="55" spans="2:15" x14ac:dyDescent="0.25">
      <c r="F55" s="403"/>
      <c r="O55" s="402"/>
    </row>
    <row r="56" spans="2:15" x14ac:dyDescent="0.25">
      <c r="F56" s="403"/>
      <c r="O56" s="402"/>
    </row>
    <row r="57" spans="2:15" x14ac:dyDescent="0.25">
      <c r="F57" s="403"/>
      <c r="O57" s="402"/>
    </row>
    <row r="58" spans="2:15" x14ac:dyDescent="0.25">
      <c r="F58" s="403"/>
      <c r="O58" s="402"/>
    </row>
    <row r="59" spans="2:15" x14ac:dyDescent="0.25">
      <c r="F59" s="403"/>
      <c r="O59" s="402"/>
    </row>
    <row r="60" spans="2:15" x14ac:dyDescent="0.25">
      <c r="F60" s="403"/>
      <c r="O60" s="402"/>
    </row>
  </sheetData>
  <mergeCells count="36">
    <mergeCell ref="D53:N53"/>
    <mergeCell ref="D42:N42"/>
    <mergeCell ref="D43:N43"/>
    <mergeCell ref="D44:N44"/>
    <mergeCell ref="D45:N45"/>
    <mergeCell ref="D46:N46"/>
    <mergeCell ref="D47:N47"/>
    <mergeCell ref="D48:N48"/>
    <mergeCell ref="D49:N49"/>
    <mergeCell ref="D50:N50"/>
    <mergeCell ref="D51:N51"/>
    <mergeCell ref="D52:N52"/>
    <mergeCell ref="D41:N41"/>
    <mergeCell ref="D28:N28"/>
    <mergeCell ref="D29:N29"/>
    <mergeCell ref="D30:N30"/>
    <mergeCell ref="D31:N31"/>
    <mergeCell ref="D32:N32"/>
    <mergeCell ref="D33:N33"/>
    <mergeCell ref="D34:N34"/>
    <mergeCell ref="D35:N35"/>
    <mergeCell ref="B37:N37"/>
    <mergeCell ref="D39:N39"/>
    <mergeCell ref="D40:N40"/>
    <mergeCell ref="D27:N27"/>
    <mergeCell ref="B9:N9"/>
    <mergeCell ref="B23:N23"/>
    <mergeCell ref="D25:N25"/>
    <mergeCell ref="D26:N26"/>
    <mergeCell ref="B8:N8"/>
    <mergeCell ref="B1:O1"/>
    <mergeCell ref="B7:N7"/>
    <mergeCell ref="A2:N2"/>
    <mergeCell ref="A3:N3"/>
    <mergeCell ref="A4:N4"/>
    <mergeCell ref="A5:N5"/>
  </mergeCells>
  <hyperlinks>
    <hyperlink ref="B11" location="'DOMESTIC DEBT COLONES'!A1" display="Æ" xr:uid="{00000000-0004-0000-0000-000000000000}"/>
    <hyperlink ref="B12" location="'DOMESTIC DEBT USD'!A1" display="Æ" xr:uid="{00000000-0004-0000-0000-000001000000}"/>
    <hyperlink ref="B13" location="'GRAPHICS DOMESTIC DEBT'!B8" display="Æ" xr:uid="{00000000-0004-0000-0000-000002000000}"/>
    <hyperlink ref="B15" location="'GRAPHICS DOMESTIC DEBT'!B29" display="Æ" xr:uid="{00000000-0004-0000-0000-000003000000}"/>
    <hyperlink ref="B16" location="'GRAPHICS DOMESTIC DEBT'!H29" display="Æ" xr:uid="{00000000-0004-0000-0000-000004000000}"/>
    <hyperlink ref="B17" location="'GRAPHICS DOMESTIC DEBT'!D50" display="Æ" xr:uid="{00000000-0004-0000-0000-000005000000}"/>
    <hyperlink ref="B19" location="'Maturity Profile Domestic Debt'!B111" display="Æ" xr:uid="{00000000-0004-0000-0000-000006000000}"/>
    <hyperlink ref="B20:B21" location="'P. Vencimiento D. Interna'!Q7" display="Ir" xr:uid="{00000000-0004-0000-0000-000007000000}"/>
    <hyperlink ref="B20" location="'Maturity Profile Domestic Debt'!B135" display="Æ" xr:uid="{00000000-0004-0000-0000-000008000000}"/>
    <hyperlink ref="B21" location="'Maturity Profile Domestic Debt'!B158" display="Æ" xr:uid="{00000000-0004-0000-0000-000009000000}"/>
    <hyperlink ref="B18" location="'Maturity Profile Domestic Debt'!B1" display="Æ" xr:uid="{00000000-0004-0000-0000-00000A000000}"/>
    <hyperlink ref="B14" location="'GRAPHICS DOMESTIC DEBT'!H8" display="Æ" xr:uid="{00000000-0004-0000-0000-00000B000000}"/>
    <hyperlink ref="B26" location="'EXTERNAL DEBT COLONES'!A1" display="Æ" xr:uid="{00000000-0004-0000-0000-00000C000000}"/>
    <hyperlink ref="B25" location="'EXTERNAL DEBT USD'!A1" display="Æ" xr:uid="{00000000-0004-0000-0000-00000D000000}"/>
    <hyperlink ref="B27" location="'GRAPHICS EXTERNAL DEBT'!B7" display="Æ" xr:uid="{00000000-0004-0000-0000-00000E000000}"/>
    <hyperlink ref="B28:B31" location="'Gráficos Deuda Externa'!B7" display="Ir" xr:uid="{00000000-0004-0000-0000-00000F000000}"/>
    <hyperlink ref="B28" location="'GRAPHICS EXTERNAL DEBT'!H7" display="Æ" xr:uid="{00000000-0004-0000-0000-000010000000}"/>
    <hyperlink ref="B29" location="'GRAPHICS EXTERNAL DEBT'!B25" display="Æ" xr:uid="{00000000-0004-0000-0000-000011000000}"/>
    <hyperlink ref="B30" location="'GRAPHICS EXTERNAL DEBT'!H25" display="Æ" xr:uid="{00000000-0004-0000-0000-000012000000}"/>
    <hyperlink ref="B31" location="'GRAPHICS EXTERNAL DEBT'!H43" display="Æ" xr:uid="{00000000-0004-0000-0000-000013000000}"/>
    <hyperlink ref="B33" location="'Maturity Profile External Debt'!B103" display="Æ" xr:uid="{00000000-0004-0000-0000-000014000000}"/>
    <hyperlink ref="B34:B35" location="'P. Vencimiento D. Externa'!T6" display="Ir" xr:uid="{00000000-0004-0000-0000-000015000000}"/>
    <hyperlink ref="B34" location="'Maturity Profile External Debt'!B126" display="Æ" xr:uid="{00000000-0004-0000-0000-000016000000}"/>
    <hyperlink ref="B35" location="'Maturity Profile External Debt'!B149" display="Æ" xr:uid="{00000000-0004-0000-0000-000017000000}"/>
    <hyperlink ref="B32" location="'Maturity Profile External Debt'!B2" display="Æ" xr:uid="{00000000-0004-0000-0000-000018000000}"/>
    <hyperlink ref="B39" location="'PUBLIC DEBT COLONES'!A1" display="Æ" xr:uid="{00000000-0004-0000-0000-000019000000}"/>
    <hyperlink ref="B40" location="'PUBLIC DEBT USD'!A1" display="Æ" xr:uid="{00000000-0004-0000-0000-00001A000000}"/>
    <hyperlink ref="B50" location="'Maturity Profile Public Debt'!A2" display="Æ" xr:uid="{00000000-0004-0000-0000-00001B000000}"/>
    <hyperlink ref="B41" location="'GRAPHICS PUBLIC DEBT'!C8" display="Æ" xr:uid="{00000000-0004-0000-0000-00001C000000}"/>
    <hyperlink ref="B42:B49" location="'Gráficos Deuda Pública'!C8" display="Ir" xr:uid="{00000000-0004-0000-0000-00001D000000}"/>
    <hyperlink ref="B42" location="'GRAPHICS PUBLIC DEBT'!I8" display="Æ" xr:uid="{00000000-0004-0000-0000-00001E000000}"/>
    <hyperlink ref="B43" location="'GRAPHICS PUBLIC DEBT'!C26" display="Æ" xr:uid="{00000000-0004-0000-0000-00001F000000}"/>
    <hyperlink ref="B44" location="'GRAPHICS PUBLIC DEBT'!I26" display="Æ" xr:uid="{00000000-0004-0000-0000-000020000000}"/>
    <hyperlink ref="B45" location="'GRAPHICS PUBLIC DEBT'!I44" display="Æ" xr:uid="{00000000-0004-0000-0000-000021000000}"/>
    <hyperlink ref="B46" location="'GRAPHICS PUBLIC DEBT'!I70" display="Æ" xr:uid="{00000000-0004-0000-0000-000022000000}"/>
    <hyperlink ref="B47" location="'GRAPHICS PUBLIC DEBT'!H100" display="Æ" xr:uid="{00000000-0004-0000-0000-000023000000}"/>
    <hyperlink ref="B48" location="'GRAPHICS PUBLIC DEBT'!H129" display="Æ" xr:uid="{00000000-0004-0000-0000-000024000000}"/>
    <hyperlink ref="B49" location="'GRAPHICS PUBLIC DEBT'!H159" display="Æ" xr:uid="{00000000-0004-0000-0000-000025000000}"/>
    <hyperlink ref="B51" location="'Maturity Profile Public Debt'!H117" display="Æ" xr:uid="{00000000-0004-0000-0000-000026000000}"/>
    <hyperlink ref="B52" location="'Maturity Profile Public Debt'!H141" display="Æ" xr:uid="{00000000-0004-0000-0000-000027000000}"/>
    <hyperlink ref="B53" location="'Maturity Profile Public Debt'!H165" display="Æ" xr:uid="{00000000-0004-0000-0000-000028000000}"/>
  </hyperlinks>
  <pageMargins left="0.70866141732283472" right="0.70866141732283472" top="0.74803149606299213" bottom="0.74803149606299213" header="0.31496062992125984" footer="0.31496062992125984"/>
  <pageSetup scale="59" orientation="portrait" r:id="rId1"/>
  <colBreaks count="1" manualBreakCount="1">
    <brk id="15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  <pageSetUpPr fitToPage="1"/>
  </sheetPr>
  <dimension ref="A1:AU102"/>
  <sheetViews>
    <sheetView showGridLines="0" tabSelected="1" zoomScaleNormal="100" zoomScaleSheetLayoutView="100" workbookViewId="0">
      <pane xSplit="1" ySplit="7" topLeftCell="AL63" activePane="bottomRight" state="frozen"/>
      <selection pane="topRight" activeCell="A3" sqref="A3:M3"/>
      <selection pane="bottomLeft" activeCell="A3" sqref="A3:M3"/>
      <selection pane="bottomRight" activeCell="AL70" sqref="AL70"/>
    </sheetView>
  </sheetViews>
  <sheetFormatPr baseColWidth="10" defaultColWidth="11.44140625" defaultRowHeight="13.2" outlineLevelCol="1" x14ac:dyDescent="0.25"/>
  <cols>
    <col min="1" max="1" width="25.109375" style="68" customWidth="1"/>
    <col min="2" max="2" width="13.88671875" customWidth="1" outlineLevel="1"/>
    <col min="3" max="3" width="9" customWidth="1" outlineLevel="1"/>
    <col min="4" max="4" width="13.88671875" customWidth="1" outlineLevel="1"/>
    <col min="5" max="5" width="9" customWidth="1" outlineLevel="1"/>
    <col min="6" max="6" width="13.88671875" customWidth="1" outlineLevel="1"/>
    <col min="7" max="7" width="9" customWidth="1" outlineLevel="1"/>
    <col min="8" max="8" width="13.88671875" customWidth="1" outlineLevel="1"/>
    <col min="9" max="9" width="9" customWidth="1" outlineLevel="1"/>
    <col min="10" max="10" width="13.88671875" customWidth="1" outlineLevel="1"/>
    <col min="11" max="11" width="8.33203125" customWidth="1" outlineLevel="1"/>
    <col min="12" max="12" width="13.88671875" customWidth="1" outlineLevel="1"/>
    <col min="13" max="13" width="8.33203125" customWidth="1" outlineLevel="1"/>
    <col min="14" max="14" width="14.88671875" customWidth="1" outlineLevel="1"/>
    <col min="15" max="15" width="8.33203125" customWidth="1" outlineLevel="1"/>
    <col min="16" max="16" width="14.88671875" customWidth="1" outlineLevel="1"/>
    <col min="17" max="17" width="8.33203125" customWidth="1" outlineLevel="1"/>
    <col min="18" max="18" width="15.109375" customWidth="1" outlineLevel="1"/>
    <col min="19" max="19" width="8.6640625" customWidth="1" outlineLevel="1"/>
    <col min="20" max="20" width="14.5546875" customWidth="1" outlineLevel="1"/>
    <col min="21" max="21" width="11.44140625" customWidth="1" outlineLevel="1"/>
    <col min="22" max="22" width="14.6640625" bestFit="1" customWidth="1"/>
    <col min="23" max="23" width="11.5546875" bestFit="1" customWidth="1"/>
    <col min="24" max="24" width="16.33203125" bestFit="1" customWidth="1"/>
    <col min="25" max="25" width="11.5546875" bestFit="1" customWidth="1"/>
    <col min="26" max="26" width="14.88671875" style="4" bestFit="1" customWidth="1"/>
    <col min="27" max="27" width="12.33203125" style="4" bestFit="1" customWidth="1"/>
    <col min="28" max="28" width="15.5546875" style="4" customWidth="1"/>
    <col min="29" max="29" width="11.5546875" style="4" bestFit="1" customWidth="1"/>
    <col min="30" max="30" width="15.5546875" style="4" customWidth="1"/>
    <col min="31" max="31" width="11.5546875" style="4" bestFit="1" customWidth="1"/>
    <col min="32" max="32" width="15.5546875" style="30" customWidth="1"/>
    <col min="33" max="33" width="11.5546875" style="30" bestFit="1" customWidth="1"/>
    <col min="34" max="34" width="14.88671875" style="30" bestFit="1" customWidth="1"/>
    <col min="35" max="35" width="9.109375" style="30" bestFit="1" customWidth="1"/>
    <col min="36" max="36" width="13.88671875" style="30" bestFit="1" customWidth="1"/>
    <col min="37" max="37" width="9.109375" style="30" customWidth="1"/>
    <col min="38" max="38" width="15.5546875" style="4" customWidth="1"/>
    <col min="39" max="39" width="11.5546875" style="4" bestFit="1" customWidth="1"/>
    <col min="40" max="40" width="15.5546875" customWidth="1"/>
    <col min="41" max="41" width="11.5546875" bestFit="1" customWidth="1"/>
    <col min="42" max="42" width="15.5546875" customWidth="1"/>
    <col min="43" max="43" width="11.5546875" bestFit="1" customWidth="1"/>
    <col min="44" max="44" width="13.33203125" style="4" customWidth="1"/>
    <col min="46" max="46" width="12.88671875" bestFit="1" customWidth="1"/>
  </cols>
  <sheetData>
    <row r="1" spans="1:47" x14ac:dyDescent="0.25">
      <c r="A1" s="438"/>
      <c r="N1" s="14"/>
      <c r="O1" s="14"/>
      <c r="P1" s="14"/>
      <c r="Q1" s="14"/>
      <c r="R1" s="111"/>
      <c r="S1" s="111"/>
    </row>
    <row r="2" spans="1:47" ht="31.5" customHeight="1" x14ac:dyDescent="0.3">
      <c r="A2" s="770" t="s">
        <v>42</v>
      </c>
      <c r="B2" s="770"/>
      <c r="C2" s="770"/>
      <c r="D2" s="770"/>
      <c r="E2" s="770"/>
      <c r="F2" s="770"/>
      <c r="G2" s="770"/>
      <c r="H2" s="770"/>
      <c r="I2" s="770"/>
      <c r="J2" s="770"/>
      <c r="K2" s="770"/>
      <c r="L2" s="770"/>
      <c r="M2" s="770"/>
      <c r="N2" s="770"/>
      <c r="O2" s="770"/>
      <c r="P2" s="770"/>
      <c r="Q2" s="770"/>
      <c r="R2" s="770"/>
      <c r="S2" s="770"/>
      <c r="T2" s="770"/>
      <c r="U2" s="770"/>
      <c r="V2" s="770"/>
      <c r="W2" s="770"/>
      <c r="X2" s="770"/>
      <c r="Y2" s="770"/>
      <c r="Z2" s="770"/>
      <c r="AA2" s="770"/>
      <c r="AB2" s="770"/>
      <c r="AC2" s="770"/>
      <c r="AD2" s="770"/>
      <c r="AE2" s="770"/>
      <c r="AF2" s="770"/>
      <c r="AG2" s="770"/>
      <c r="AH2" s="770"/>
      <c r="AI2" s="770"/>
      <c r="AJ2" s="770"/>
      <c r="AK2" s="770"/>
      <c r="AL2" s="770"/>
      <c r="AM2" s="770"/>
      <c r="AN2" s="770"/>
      <c r="AO2" s="770"/>
      <c r="AP2" s="743"/>
      <c r="AQ2" s="316" t="s">
        <v>43</v>
      </c>
      <c r="AR2" s="531"/>
    </row>
    <row r="3" spans="1:47" x14ac:dyDescent="0.25">
      <c r="A3" s="771" t="s">
        <v>44</v>
      </c>
      <c r="B3" s="771"/>
      <c r="C3" s="771"/>
      <c r="D3" s="771"/>
      <c r="E3" s="771"/>
      <c r="F3" s="771"/>
      <c r="G3" s="771"/>
      <c r="H3" s="771"/>
      <c r="I3" s="771"/>
      <c r="J3" s="771"/>
      <c r="K3" s="771"/>
      <c r="L3" s="771"/>
      <c r="M3" s="771"/>
      <c r="N3" s="771"/>
      <c r="O3" s="771"/>
      <c r="P3" s="771"/>
      <c r="Q3" s="771"/>
      <c r="R3" s="771"/>
      <c r="S3" s="771"/>
      <c r="T3" s="771"/>
      <c r="U3" s="771"/>
      <c r="V3" s="771"/>
      <c r="W3" s="771"/>
      <c r="X3" s="771"/>
      <c r="Y3" s="771"/>
      <c r="Z3" s="771"/>
      <c r="AA3" s="771"/>
      <c r="AB3" s="771"/>
      <c r="AC3" s="771"/>
      <c r="AD3" s="771"/>
      <c r="AE3" s="771"/>
      <c r="AF3" s="771"/>
      <c r="AG3" s="771"/>
      <c r="AH3" s="771"/>
      <c r="AI3" s="771"/>
      <c r="AJ3" s="771"/>
      <c r="AK3" s="771"/>
      <c r="AL3" s="771"/>
      <c r="AM3" s="771"/>
      <c r="AN3" s="771"/>
      <c r="AO3" s="771"/>
      <c r="AP3" s="744"/>
      <c r="AQ3" s="744"/>
      <c r="AR3" s="744"/>
    </row>
    <row r="4" spans="1:47" ht="13.8" thickBot="1" x14ac:dyDescent="0.3">
      <c r="A4" s="585"/>
    </row>
    <row r="5" spans="1:47" ht="12.75" customHeight="1" x14ac:dyDescent="0.25">
      <c r="A5" s="774" t="s">
        <v>45</v>
      </c>
      <c r="B5" s="772" t="s">
        <v>46</v>
      </c>
      <c r="C5" s="773"/>
      <c r="D5" s="772" t="s">
        <v>47</v>
      </c>
      <c r="E5" s="773"/>
      <c r="F5" s="772" t="s">
        <v>48</v>
      </c>
      <c r="G5" s="773"/>
      <c r="H5" s="772" t="s">
        <v>49</v>
      </c>
      <c r="I5" s="773"/>
      <c r="J5" s="772" t="s">
        <v>50</v>
      </c>
      <c r="K5" s="773"/>
      <c r="L5" s="772" t="s">
        <v>51</v>
      </c>
      <c r="M5" s="773"/>
      <c r="N5" s="772" t="s">
        <v>52</v>
      </c>
      <c r="O5" s="773"/>
      <c r="P5" s="772" t="s">
        <v>53</v>
      </c>
      <c r="Q5" s="773"/>
      <c r="R5" s="772" t="s">
        <v>54</v>
      </c>
      <c r="S5" s="773"/>
      <c r="T5" s="772" t="s">
        <v>55</v>
      </c>
      <c r="U5" s="773"/>
      <c r="V5" s="772" t="s">
        <v>56</v>
      </c>
      <c r="W5" s="773"/>
      <c r="X5" s="772" t="s">
        <v>57</v>
      </c>
      <c r="Y5" s="773"/>
      <c r="Z5" s="772" t="s">
        <v>58</v>
      </c>
      <c r="AA5" s="773"/>
      <c r="AB5" s="772" t="s">
        <v>59</v>
      </c>
      <c r="AC5" s="773"/>
      <c r="AD5" s="772" t="s">
        <v>60</v>
      </c>
      <c r="AE5" s="773"/>
      <c r="AF5" s="772" t="s">
        <v>61</v>
      </c>
      <c r="AG5" s="773"/>
      <c r="AH5" s="772" t="s">
        <v>62</v>
      </c>
      <c r="AI5" s="773"/>
      <c r="AJ5" s="772" t="s">
        <v>63</v>
      </c>
      <c r="AK5" s="773"/>
      <c r="AL5" s="772" t="s">
        <v>64</v>
      </c>
      <c r="AM5" s="773"/>
      <c r="AN5" s="781" t="s">
        <v>65</v>
      </c>
      <c r="AO5" s="782"/>
      <c r="AP5" s="777" t="s">
        <v>66</v>
      </c>
      <c r="AQ5" s="778"/>
      <c r="AR5" s="532"/>
    </row>
    <row r="6" spans="1:47" ht="12.75" customHeight="1" x14ac:dyDescent="0.25">
      <c r="A6" s="775"/>
      <c r="B6" s="83" t="s">
        <v>67</v>
      </c>
      <c r="C6" s="83" t="s">
        <v>68</v>
      </c>
      <c r="D6" s="83" t="s">
        <v>67</v>
      </c>
      <c r="E6" s="421" t="s">
        <v>68</v>
      </c>
      <c r="F6" s="83" t="s">
        <v>67</v>
      </c>
      <c r="G6" s="421" t="s">
        <v>68</v>
      </c>
      <c r="H6" s="83" t="s">
        <v>67</v>
      </c>
      <c r="I6" s="421" t="s">
        <v>68</v>
      </c>
      <c r="J6" s="83" t="s">
        <v>67</v>
      </c>
      <c r="K6" s="421" t="s">
        <v>68</v>
      </c>
      <c r="L6" s="83" t="s">
        <v>67</v>
      </c>
      <c r="M6" s="421" t="s">
        <v>68</v>
      </c>
      <c r="N6" s="83" t="s">
        <v>67</v>
      </c>
      <c r="O6" s="421" t="s">
        <v>68</v>
      </c>
      <c r="P6" s="83" t="s">
        <v>67</v>
      </c>
      <c r="Q6" s="421" t="s">
        <v>68</v>
      </c>
      <c r="R6" s="83" t="s">
        <v>67</v>
      </c>
      <c r="S6" s="421" t="s">
        <v>68</v>
      </c>
      <c r="T6" s="83" t="s">
        <v>67</v>
      </c>
      <c r="U6" s="421" t="s">
        <v>68</v>
      </c>
      <c r="V6" s="43" t="s">
        <v>67</v>
      </c>
      <c r="W6" s="422" t="s">
        <v>68</v>
      </c>
      <c r="X6" s="43" t="s">
        <v>67</v>
      </c>
      <c r="Y6" s="423" t="s">
        <v>68</v>
      </c>
      <c r="Z6" s="83" t="s">
        <v>67</v>
      </c>
      <c r="AA6" s="437" t="s">
        <v>68</v>
      </c>
      <c r="AB6" s="83" t="s">
        <v>67</v>
      </c>
      <c r="AC6" s="421" t="s">
        <v>68</v>
      </c>
      <c r="AD6" s="83" t="s">
        <v>67</v>
      </c>
      <c r="AE6" s="421" t="s">
        <v>68</v>
      </c>
      <c r="AF6" s="43" t="s">
        <v>67</v>
      </c>
      <c r="AG6" s="422" t="s">
        <v>68</v>
      </c>
      <c r="AH6" s="83" t="s">
        <v>67</v>
      </c>
      <c r="AI6" s="421" t="s">
        <v>68</v>
      </c>
      <c r="AJ6" s="83" t="s">
        <v>67</v>
      </c>
      <c r="AK6" s="421" t="s">
        <v>68</v>
      </c>
      <c r="AL6" s="83" t="s">
        <v>67</v>
      </c>
      <c r="AM6" s="421" t="s">
        <v>68</v>
      </c>
      <c r="AN6" s="43" t="s">
        <v>67</v>
      </c>
      <c r="AO6" s="422" t="s">
        <v>68</v>
      </c>
      <c r="AP6" s="457" t="s">
        <v>67</v>
      </c>
      <c r="AQ6" s="458" t="s">
        <v>68</v>
      </c>
      <c r="AR6" s="437"/>
    </row>
    <row r="7" spans="1:47" s="1" customFormat="1" ht="13.5" customHeight="1" thickBot="1" x14ac:dyDescent="0.3">
      <c r="A7" s="776"/>
      <c r="B7" s="85">
        <v>1299692.5900000001</v>
      </c>
      <c r="C7" s="86">
        <v>1</v>
      </c>
      <c r="D7" s="85">
        <v>1494728.06</v>
      </c>
      <c r="E7" s="86">
        <v>1</v>
      </c>
      <c r="F7" s="85">
        <v>1732971.03</v>
      </c>
      <c r="G7" s="86">
        <v>1</v>
      </c>
      <c r="H7" s="85">
        <v>1880118.11</v>
      </c>
      <c r="I7" s="86">
        <v>1</v>
      </c>
      <c r="J7" s="85">
        <v>2240474.34</v>
      </c>
      <c r="K7" s="86">
        <v>1</v>
      </c>
      <c r="L7" s="85">
        <v>2398387.04</v>
      </c>
      <c r="M7" s="86">
        <v>1</v>
      </c>
      <c r="N7" s="85">
        <v>2634801.87</v>
      </c>
      <c r="O7" s="86">
        <v>1</v>
      </c>
      <c r="P7" s="85">
        <v>2611813.94</v>
      </c>
      <c r="Q7" s="86">
        <v>1</v>
      </c>
      <c r="R7" s="85">
        <f>+R10+R12</f>
        <v>2752828.4192530001</v>
      </c>
      <c r="S7" s="86">
        <v>1</v>
      </c>
      <c r="T7" s="85">
        <v>3611179.38</v>
      </c>
      <c r="U7" s="86">
        <v>1</v>
      </c>
      <c r="V7" s="44">
        <v>4420051.5405248804</v>
      </c>
      <c r="W7" s="45">
        <v>1</v>
      </c>
      <c r="X7" s="44">
        <v>5354702.1326660756</v>
      </c>
      <c r="Y7" s="113">
        <v>1</v>
      </c>
      <c r="Z7" s="85">
        <v>6631965.3008675929</v>
      </c>
      <c r="AA7" s="593">
        <v>1.0000000000000002</v>
      </c>
      <c r="AB7" s="167">
        <v>7168650.6535445713</v>
      </c>
      <c r="AC7" s="168">
        <v>1.0000000000000002</v>
      </c>
      <c r="AD7" s="188">
        <v>8117725.8890507501</v>
      </c>
      <c r="AE7" s="168">
        <v>1.0000000000000002</v>
      </c>
      <c r="AF7" s="200">
        <v>9039699.8221732471</v>
      </c>
      <c r="AG7" s="201">
        <v>1.0000000000000002</v>
      </c>
      <c r="AH7" s="442">
        <v>10809706.653715998</v>
      </c>
      <c r="AI7" s="443">
        <v>1.0000000000000002</v>
      </c>
      <c r="AJ7" s="200">
        <v>12692640.182747636</v>
      </c>
      <c r="AK7" s="201">
        <v>1.0000000000000002</v>
      </c>
      <c r="AL7" s="85">
        <v>14831813.152678255</v>
      </c>
      <c r="AM7" s="443">
        <v>1.0000000000000002</v>
      </c>
      <c r="AN7" s="44">
        <v>16581137.964136351</v>
      </c>
      <c r="AO7" s="201">
        <v>1.0000000000000002</v>
      </c>
      <c r="AP7" s="459">
        <v>18521054.219445854</v>
      </c>
      <c r="AQ7" s="482">
        <v>1.0000000000000002</v>
      </c>
      <c r="AR7" s="557"/>
      <c r="AS7" s="147"/>
    </row>
    <row r="8" spans="1:47" s="1" customFormat="1" ht="13.5" customHeight="1" x14ac:dyDescent="0.25">
      <c r="A8" s="395"/>
      <c r="B8" s="87"/>
      <c r="C8" s="88"/>
      <c r="D8" s="87"/>
      <c r="E8" s="88"/>
      <c r="F8" s="87"/>
      <c r="G8" s="88"/>
      <c r="H8" s="87"/>
      <c r="I8" s="88"/>
      <c r="J8" s="87"/>
      <c r="K8" s="88"/>
      <c r="L8" s="87"/>
      <c r="M8" s="88"/>
      <c r="N8" s="87"/>
      <c r="O8" s="88"/>
      <c r="P8" s="87"/>
      <c r="Q8" s="88"/>
      <c r="R8" s="87"/>
      <c r="S8" s="88"/>
      <c r="T8" s="87"/>
      <c r="U8" s="88"/>
      <c r="V8" s="46"/>
      <c r="W8" s="47"/>
      <c r="X8" s="46"/>
      <c r="Y8" s="47"/>
      <c r="Z8" s="87"/>
      <c r="AA8" s="88"/>
      <c r="AB8" s="83"/>
      <c r="AC8" s="84"/>
      <c r="AD8" s="189"/>
      <c r="AE8" s="84"/>
      <c r="AF8" s="202"/>
      <c r="AG8" s="112"/>
      <c r="AH8" s="444"/>
      <c r="AI8" s="445"/>
      <c r="AJ8" s="603"/>
      <c r="AK8" s="604"/>
      <c r="AL8" s="444"/>
      <c r="AM8" s="445"/>
      <c r="AN8" s="603"/>
      <c r="AO8" s="604"/>
      <c r="AP8" s="483"/>
      <c r="AQ8" s="484"/>
      <c r="AR8" s="558"/>
      <c r="AS8" s="147"/>
    </row>
    <row r="9" spans="1:47" s="1" customFormat="1" x14ac:dyDescent="0.25">
      <c r="A9" s="396" t="s">
        <v>69</v>
      </c>
      <c r="B9" s="89"/>
      <c r="C9" s="90"/>
      <c r="D9" s="89"/>
      <c r="E9" s="90"/>
      <c r="F9" s="89"/>
      <c r="G9" s="90"/>
      <c r="H9" s="89"/>
      <c r="I9" s="90"/>
      <c r="J9" s="89"/>
      <c r="K9" s="90"/>
      <c r="L9" s="89"/>
      <c r="M9" s="90"/>
      <c r="N9" s="89"/>
      <c r="O9" s="90"/>
      <c r="P9" s="89"/>
      <c r="Q9" s="90"/>
      <c r="R9" s="89"/>
      <c r="S9" s="90"/>
      <c r="T9" s="89"/>
      <c r="U9" s="90"/>
      <c r="V9" s="41"/>
      <c r="W9" s="40"/>
      <c r="X9" s="41"/>
      <c r="Y9" s="40"/>
      <c r="Z9" s="89"/>
      <c r="AA9" s="90"/>
      <c r="AB9" s="83"/>
      <c r="AC9" s="84"/>
      <c r="AD9" s="189"/>
      <c r="AE9" s="84"/>
      <c r="AF9" s="202"/>
      <c r="AG9" s="112"/>
      <c r="AH9" s="446"/>
      <c r="AI9" s="84"/>
      <c r="AJ9" s="202"/>
      <c r="AK9" s="605"/>
      <c r="AL9" s="446"/>
      <c r="AM9" s="84"/>
      <c r="AN9" s="202"/>
      <c r="AO9" s="605"/>
      <c r="AP9" s="485"/>
      <c r="AQ9" s="486"/>
      <c r="AR9" s="558"/>
      <c r="AS9" s="147"/>
    </row>
    <row r="10" spans="1:47" ht="15" customHeight="1" x14ac:dyDescent="0.25">
      <c r="A10" s="5" t="s">
        <v>70</v>
      </c>
      <c r="B10" s="134">
        <v>1150528.7900000003</v>
      </c>
      <c r="C10" s="174">
        <f>+B10/B7</f>
        <v>0.88523147616006659</v>
      </c>
      <c r="D10" s="134">
        <v>1304241.8900000001</v>
      </c>
      <c r="E10" s="174">
        <f>+D10/D7</f>
        <v>0.87256132061908309</v>
      </c>
      <c r="F10" s="134">
        <f>538615.69+441214.88+50666.42+3.76+17915.36+1063.6+14865.97+F26</f>
        <v>1434608.63</v>
      </c>
      <c r="G10" s="174">
        <f>+F10/F7</f>
        <v>0.82783185937043613</v>
      </c>
      <c r="H10" s="134">
        <f>483313.39+288789.86+304182.02+4.19+11943.57+1008.57+13379.12+H26</f>
        <v>1530521.7900000003</v>
      </c>
      <c r="I10" s="174">
        <f>+H10/H7</f>
        <v>0.81405619245910044</v>
      </c>
      <c r="J10" s="134">
        <f>466205.08+374248.4+496049.09+5971.78+962.15+11892.78+J26</f>
        <v>1827130.87</v>
      </c>
      <c r="K10" s="174">
        <f>+J10/J7</f>
        <v>0.81551073242820549</v>
      </c>
      <c r="L10" s="134">
        <f>460883.38+289053.89+800904.98+905.94+10158.41+L26</f>
        <v>2038062.93</v>
      </c>
      <c r="M10" s="174">
        <f>+L10/L7</f>
        <v>0.84976398554922139</v>
      </c>
      <c r="N10" s="134">
        <f>457894.21+411517.37+1025324.97+837.94+8671.82+N26</f>
        <v>2224645.23</v>
      </c>
      <c r="O10" s="174">
        <f>+N10/N7</f>
        <v>0.84433112611993089</v>
      </c>
      <c r="P10" s="134">
        <f>1768054.56+P26</f>
        <v>2308716.42</v>
      </c>
      <c r="Q10" s="174">
        <f>+P10/P7</f>
        <v>0.88395133536962434</v>
      </c>
      <c r="R10" s="134">
        <v>2354983.2449516617</v>
      </c>
      <c r="S10" s="174">
        <f>+R10/R7</f>
        <v>0.85547767106774619</v>
      </c>
      <c r="T10" s="134">
        <v>2958161.8721536472</v>
      </c>
      <c r="U10" s="174">
        <v>0.81916780111699883</v>
      </c>
      <c r="V10" s="134">
        <v>3674905.8661507997</v>
      </c>
      <c r="W10" s="211">
        <v>0.83141697160264449</v>
      </c>
      <c r="X10" s="74">
        <v>4490261.3070254503</v>
      </c>
      <c r="Y10" s="211">
        <f>+X10/X7</f>
        <v>0.83856416207221873</v>
      </c>
      <c r="Z10" s="134">
        <v>5556611.7715603448</v>
      </c>
      <c r="AA10" s="174">
        <f>+Z10/Z7</f>
        <v>0.83785296205235416</v>
      </c>
      <c r="AB10" s="190">
        <v>6183183.2722279783</v>
      </c>
      <c r="AC10" s="217">
        <f>+AB10/AB7</f>
        <v>0.86253097982542581</v>
      </c>
      <c r="AD10" s="190">
        <v>6690662.604569654</v>
      </c>
      <c r="AE10" s="217">
        <f>+AD10/AD7</f>
        <v>0.82420405616233849</v>
      </c>
      <c r="AF10" s="203">
        <v>7567074.1850728486</v>
      </c>
      <c r="AG10" s="300">
        <f>+AF10/AF7</f>
        <v>0.8370935245561768</v>
      </c>
      <c r="AH10" s="190">
        <v>8727534.9208405707</v>
      </c>
      <c r="AI10" s="447">
        <f>+AH10/AH7</f>
        <v>0.80737944149856744</v>
      </c>
      <c r="AJ10" s="203">
        <v>9635267.3872537427</v>
      </c>
      <c r="AK10" s="606">
        <f>+AJ10/AJ7</f>
        <v>0.75912239286121086</v>
      </c>
      <c r="AL10" s="523">
        <v>10892057.858522119</v>
      </c>
      <c r="AM10" s="447">
        <f>+AL10/AL7</f>
        <v>0.73437129677940183</v>
      </c>
      <c r="AN10" s="631">
        <v>12343482.44493456</v>
      </c>
      <c r="AO10" s="606">
        <f>+AN10/AN7</f>
        <v>0.7444291502569067</v>
      </c>
      <c r="AP10" s="525">
        <v>14286562.164341722</v>
      </c>
      <c r="AQ10" s="488">
        <f>+AP10/AP7</f>
        <v>0.7713687350119518</v>
      </c>
      <c r="AR10" s="559"/>
      <c r="AS10" s="147"/>
      <c r="AT10" s="77"/>
      <c r="AU10" s="77"/>
    </row>
    <row r="11" spans="1:47" x14ac:dyDescent="0.25">
      <c r="A11" s="397" t="s">
        <v>71</v>
      </c>
      <c r="B11" s="251">
        <f>+B10/B70</f>
        <v>0.24865273977764463</v>
      </c>
      <c r="C11" s="295"/>
      <c r="D11" s="251">
        <f>+D10/D70</f>
        <v>0.24823390285462368</v>
      </c>
      <c r="E11" s="295"/>
      <c r="F11" s="251">
        <f>+F10/F70</f>
        <v>0.24048860628765475</v>
      </c>
      <c r="G11" s="295"/>
      <c r="H11" s="251">
        <f>+H10/H70</f>
        <v>0.22227992788938861</v>
      </c>
      <c r="I11" s="295"/>
      <c r="J11" s="251">
        <f>+J10/J70</f>
        <v>0.2241840462827519</v>
      </c>
      <c r="K11" s="295"/>
      <c r="L11" s="251">
        <f>+L10/L70</f>
        <v>0.21280758065736746</v>
      </c>
      <c r="M11" s="295"/>
      <c r="N11" s="251">
        <f>+N10/N70</f>
        <v>0.19155979786669106</v>
      </c>
      <c r="O11" s="295"/>
      <c r="P11" s="251">
        <f>+P10/P70</f>
        <v>0.16622561918162626</v>
      </c>
      <c r="Q11" s="295"/>
      <c r="R11" s="251">
        <f>+R10/R70</f>
        <v>0.14528884699707709</v>
      </c>
      <c r="S11" s="295"/>
      <c r="T11" s="251">
        <v>0.17620646513520538</v>
      </c>
      <c r="U11" s="295"/>
      <c r="V11" s="251">
        <v>0.19527521487390587</v>
      </c>
      <c r="W11" s="296"/>
      <c r="X11" s="251">
        <f>+X10/X70</f>
        <v>0.20765630946503916</v>
      </c>
      <c r="Y11" s="296"/>
      <c r="Z11" s="251">
        <f>+Z10/Z70</f>
        <v>0.23393434588124601</v>
      </c>
      <c r="AA11" s="295"/>
      <c r="AB11" s="251">
        <f>+AB10/AB70</f>
        <v>0.24283054970658982</v>
      </c>
      <c r="AC11" s="291"/>
      <c r="AD11" s="251">
        <f>+AD10/AD70</f>
        <v>0.23894090649038707</v>
      </c>
      <c r="AE11" s="291"/>
      <c r="AF11" s="252">
        <f>+AF10/AF70</f>
        <v>0.2507985726480334</v>
      </c>
      <c r="AG11" s="301"/>
      <c r="AH11" s="251">
        <f>+AH10/AH70</f>
        <v>0.27225656517401858</v>
      </c>
      <c r="AI11" s="447"/>
      <c r="AJ11" s="252">
        <f>+AJ10/AJ70</f>
        <v>0.2805545738240417</v>
      </c>
      <c r="AK11" s="606"/>
      <c r="AL11" s="251">
        <f>+AL10/AL70</f>
        <v>0.30243351195526952</v>
      </c>
      <c r="AM11" s="447"/>
      <c r="AN11" s="252">
        <f>+AN10/AN70</f>
        <v>0.32626965451840545</v>
      </c>
      <c r="AO11" s="606"/>
      <c r="AP11" s="489">
        <f>+AP10/AP70</f>
        <v>0.39146364776374865</v>
      </c>
      <c r="AQ11" s="488"/>
      <c r="AR11" s="559"/>
      <c r="AS11" s="147"/>
    </row>
    <row r="12" spans="1:47" x14ac:dyDescent="0.25">
      <c r="A12" s="5" t="s">
        <v>72</v>
      </c>
      <c r="B12" s="134">
        <v>149163.79999999981</v>
      </c>
      <c r="C12" s="258">
        <f>+B12/B7</f>
        <v>0.11476852383993341</v>
      </c>
      <c r="D12" s="134">
        <v>190486.16999999993</v>
      </c>
      <c r="E12" s="258">
        <f>+D12/D7</f>
        <v>0.12743867938091691</v>
      </c>
      <c r="F12" s="134">
        <f>+F7-F10</f>
        <v>298362.40000000014</v>
      </c>
      <c r="G12" s="258">
        <f>+F12/F7</f>
        <v>0.17216814062956387</v>
      </c>
      <c r="H12" s="134">
        <f>+H7-H10</f>
        <v>349596.31999999983</v>
      </c>
      <c r="I12" s="258">
        <f>+H12/H7</f>
        <v>0.18594380754089956</v>
      </c>
      <c r="J12" s="134">
        <f>+J7-J10</f>
        <v>413343.46999999974</v>
      </c>
      <c r="K12" s="258">
        <f>+J12/J7</f>
        <v>0.18448926757179454</v>
      </c>
      <c r="L12" s="134">
        <f>+L7-L10</f>
        <v>360324.1100000001</v>
      </c>
      <c r="M12" s="258">
        <f>+L12/L7</f>
        <v>0.15023601445077858</v>
      </c>
      <c r="N12" s="134">
        <f>+N7-N10</f>
        <v>410156.64000000013</v>
      </c>
      <c r="O12" s="258">
        <f>+N12/N7</f>
        <v>0.15566887388006906</v>
      </c>
      <c r="P12" s="134">
        <f>+P7-P10</f>
        <v>303097.52</v>
      </c>
      <c r="Q12" s="258">
        <f>+P12/P7</f>
        <v>0.11604866463037564</v>
      </c>
      <c r="R12" s="134">
        <v>397845.17430133844</v>
      </c>
      <c r="S12" s="258">
        <f>+R12/R7</f>
        <v>0.14452232893225384</v>
      </c>
      <c r="T12" s="134">
        <v>653017.50784635264</v>
      </c>
      <c r="U12" s="258">
        <v>0.18083219888300112</v>
      </c>
      <c r="V12" s="134">
        <v>745145.67437408073</v>
      </c>
      <c r="W12" s="259">
        <v>0.16858302839735548</v>
      </c>
      <c r="X12" s="74">
        <f>+X7-X10</f>
        <v>864440.82564062532</v>
      </c>
      <c r="Y12" s="259">
        <f>+X12/X7</f>
        <v>0.16143583792778127</v>
      </c>
      <c r="Z12" s="134">
        <v>1075353.5293072471</v>
      </c>
      <c r="AA12" s="258">
        <f>+Z12/Z7</f>
        <v>0.16214703794764571</v>
      </c>
      <c r="AB12" s="190">
        <v>985467.38131659303</v>
      </c>
      <c r="AC12" s="217">
        <f>+AB12/AB7</f>
        <v>0.13746902017457419</v>
      </c>
      <c r="AD12" s="190">
        <v>1427063.2844810954</v>
      </c>
      <c r="AE12" s="217">
        <f>+AD12/AD7</f>
        <v>0.17579594383766137</v>
      </c>
      <c r="AF12" s="203">
        <v>1472625.6371003985</v>
      </c>
      <c r="AG12" s="300">
        <f>+AF12/AF7</f>
        <v>0.16290647544382314</v>
      </c>
      <c r="AH12" s="190">
        <v>2082171.7328754265</v>
      </c>
      <c r="AI12" s="447">
        <f>+AH12/AH7</f>
        <v>0.1926205585014325</v>
      </c>
      <c r="AJ12" s="203">
        <v>3057372.7954938947</v>
      </c>
      <c r="AK12" s="606">
        <f>+AJ12/AJ7</f>
        <v>0.2408776071387892</v>
      </c>
      <c r="AL12" s="523">
        <v>3939755.2941561383</v>
      </c>
      <c r="AM12" s="447">
        <f>+AL12/AL7</f>
        <v>0.26562870322059828</v>
      </c>
      <c r="AN12" s="631">
        <v>4237655.5192017918</v>
      </c>
      <c r="AO12" s="606">
        <f>+AN12/AN7</f>
        <v>0.25557084974309335</v>
      </c>
      <c r="AP12" s="525">
        <v>4234492.0551041476</v>
      </c>
      <c r="AQ12" s="488">
        <f>+AP12/AP7</f>
        <v>0.22863126498804898</v>
      </c>
      <c r="AR12" s="559"/>
      <c r="AS12" s="147"/>
    </row>
    <row r="13" spans="1:47" s="30" customFormat="1" x14ac:dyDescent="0.25">
      <c r="A13" s="397" t="s">
        <v>71</v>
      </c>
      <c r="B13" s="229">
        <f>+B12/B70</f>
        <v>3.2237339793682672E-2</v>
      </c>
      <c r="C13" s="257"/>
      <c r="D13" s="229">
        <f>+D12/D70</f>
        <v>3.6254874024119338E-2</v>
      </c>
      <c r="E13" s="257"/>
      <c r="F13" s="229">
        <f>+F12/F70</f>
        <v>5.0015562603049304E-2</v>
      </c>
      <c r="G13" s="257"/>
      <c r="H13" s="229">
        <f>+H12/H70</f>
        <v>5.077238710857921E-2</v>
      </c>
      <c r="I13" s="257"/>
      <c r="J13" s="229">
        <f>+J12/J70</f>
        <v>5.0716132670427273E-2</v>
      </c>
      <c r="K13" s="257"/>
      <c r="L13" s="223">
        <f>+L12/L70</f>
        <v>3.7623814737466996E-2</v>
      </c>
      <c r="M13" s="260"/>
      <c r="N13" s="223">
        <f>+N12/N70</f>
        <v>3.5317776512204239E-2</v>
      </c>
      <c r="O13" s="260"/>
      <c r="P13" s="223">
        <f>+P12/P70</f>
        <v>2.1822763721849974E-2</v>
      </c>
      <c r="Q13" s="260"/>
      <c r="R13" s="223">
        <f>+R12/R70</f>
        <v>2.4544746456902744E-2</v>
      </c>
      <c r="S13" s="260"/>
      <c r="T13" s="223">
        <v>3.8897772232198695E-2</v>
      </c>
      <c r="U13" s="260"/>
      <c r="V13" s="223">
        <v>3.9595158889925472E-2</v>
      </c>
      <c r="W13" s="260"/>
      <c r="X13" s="223">
        <f>+X12/X70</f>
        <v>3.9976869792096095E-2</v>
      </c>
      <c r="Y13" s="260"/>
      <c r="Z13" s="226">
        <f>+Z12/Z70</f>
        <v>4.5272575233187354E-2</v>
      </c>
      <c r="AA13" s="594"/>
      <c r="AB13" s="223">
        <f>+AB12/AB70</f>
        <v>3.8702004353947383E-2</v>
      </c>
      <c r="AC13" s="291"/>
      <c r="AD13" s="223">
        <f>+AD12/AD70</f>
        <v>5.0964129409271607E-2</v>
      </c>
      <c r="AE13" s="291"/>
      <c r="AF13" s="223">
        <f>+AF12/AF70</f>
        <v>4.880782172827676E-2</v>
      </c>
      <c r="AG13" s="301"/>
      <c r="AH13" s="251">
        <f>+AH12/AH70</f>
        <v>6.4953612816996867E-2</v>
      </c>
      <c r="AI13" s="447"/>
      <c r="AJ13" s="252">
        <f>+AJ12/AJ70</f>
        <v>8.9022949461238413E-2</v>
      </c>
      <c r="AK13" s="606"/>
      <c r="AL13" s="251">
        <f>+AL12/AL70</f>
        <v>0.10939292146008454</v>
      </c>
      <c r="AM13" s="447"/>
      <c r="AN13" s="252">
        <f>+AN12/AN70</f>
        <v>0.11201201997782828</v>
      </c>
      <c r="AO13" s="606"/>
      <c r="AP13" s="489">
        <f>+AP12/AP70</f>
        <v>0.11602859297074715</v>
      </c>
      <c r="AQ13" s="488"/>
      <c r="AR13" s="559"/>
      <c r="AS13" s="147"/>
    </row>
    <row r="14" spans="1:47" s="30" customFormat="1" ht="12.75" customHeight="1" x14ac:dyDescent="0.25">
      <c r="A14" s="397"/>
      <c r="B14" s="29"/>
      <c r="C14" s="261"/>
      <c r="D14" s="29"/>
      <c r="E14" s="261"/>
      <c r="F14" s="29"/>
      <c r="G14" s="261"/>
      <c r="H14" s="29"/>
      <c r="I14" s="261"/>
      <c r="J14" s="29"/>
      <c r="K14" s="261"/>
      <c r="L14" s="29"/>
      <c r="M14" s="261"/>
      <c r="N14" s="29"/>
      <c r="O14" s="261"/>
      <c r="P14" s="29"/>
      <c r="Q14" s="261"/>
      <c r="R14" s="29"/>
      <c r="S14" s="261"/>
      <c r="T14" s="29"/>
      <c r="U14" s="261"/>
      <c r="V14" s="29"/>
      <c r="W14" s="262"/>
      <c r="X14" s="29"/>
      <c r="Y14" s="261"/>
      <c r="Z14" s="91"/>
      <c r="AA14" s="269"/>
      <c r="AB14" s="189"/>
      <c r="AC14" s="217"/>
      <c r="AD14" s="189"/>
      <c r="AE14" s="217"/>
      <c r="AF14" s="205"/>
      <c r="AG14" s="300"/>
      <c r="AH14" s="189"/>
      <c r="AI14" s="447"/>
      <c r="AJ14" s="205"/>
      <c r="AK14" s="606"/>
      <c r="AL14" s="189"/>
      <c r="AM14" s="447"/>
      <c r="AN14" s="205"/>
      <c r="AO14" s="606"/>
      <c r="AP14" s="490"/>
      <c r="AQ14" s="488"/>
      <c r="AR14" s="559"/>
      <c r="AS14" s="147"/>
    </row>
    <row r="15" spans="1:47" s="30" customFormat="1" ht="12.75" hidden="1" customHeight="1" x14ac:dyDescent="0.25">
      <c r="A15" s="31" t="s">
        <v>73</v>
      </c>
      <c r="B15" s="29"/>
      <c r="C15" s="261"/>
      <c r="D15" s="29"/>
      <c r="E15" s="261"/>
      <c r="F15" s="29"/>
      <c r="G15" s="261"/>
      <c r="H15" s="29"/>
      <c r="I15" s="261"/>
      <c r="J15" s="29"/>
      <c r="K15" s="261"/>
      <c r="L15" s="29"/>
      <c r="M15" s="261"/>
      <c r="N15" s="29"/>
      <c r="O15" s="261"/>
      <c r="P15" s="29"/>
      <c r="Q15" s="261"/>
      <c r="R15" s="29"/>
      <c r="S15" s="261"/>
      <c r="T15" s="29"/>
      <c r="U15" s="261"/>
      <c r="V15" s="29"/>
      <c r="W15" s="262"/>
      <c r="X15" s="29"/>
      <c r="Y15" s="261"/>
      <c r="Z15" s="91"/>
      <c r="AA15" s="269"/>
      <c r="AB15" s="189"/>
      <c r="AC15" s="217"/>
      <c r="AD15" s="189"/>
      <c r="AE15" s="217"/>
      <c r="AF15" s="205"/>
      <c r="AG15" s="300"/>
      <c r="AH15" s="189"/>
      <c r="AI15" s="447"/>
      <c r="AJ15" s="205"/>
      <c r="AK15" s="606"/>
      <c r="AL15" s="189"/>
      <c r="AM15" s="447"/>
      <c r="AN15" s="205"/>
      <c r="AO15" s="606"/>
      <c r="AP15" s="490"/>
      <c r="AQ15" s="488"/>
      <c r="AR15" s="559"/>
      <c r="AS15" s="147"/>
    </row>
    <row r="16" spans="1:47" s="30" customFormat="1" ht="12.75" hidden="1" customHeight="1" x14ac:dyDescent="0.25">
      <c r="A16" s="30" t="s">
        <v>74</v>
      </c>
      <c r="B16" s="74">
        <v>1075655.1200000001</v>
      </c>
      <c r="C16" s="259">
        <f>+B16/B57</f>
        <v>0.82762272269321779</v>
      </c>
      <c r="D16" s="74">
        <v>1172559.8799999999</v>
      </c>
      <c r="E16" s="259">
        <f>+D16/D57</f>
        <v>0.78446368364824826</v>
      </c>
      <c r="F16" s="74">
        <v>1075655.1200000001</v>
      </c>
      <c r="G16" s="259">
        <f>+F16/F57</f>
        <v>0.62070000096885636</v>
      </c>
      <c r="H16" s="74">
        <v>1172559.8799999999</v>
      </c>
      <c r="I16" s="259">
        <f>+H16/H57</f>
        <v>0.62366288254092705</v>
      </c>
      <c r="J16" s="74">
        <v>1487569.15</v>
      </c>
      <c r="K16" s="259">
        <f>+J16/J57</f>
        <v>0.66395277260796481</v>
      </c>
      <c r="L16" s="74">
        <v>1621442.2</v>
      </c>
      <c r="M16" s="259">
        <f>+L16/L57</f>
        <v>0.67605527087904871</v>
      </c>
      <c r="N16" s="74">
        <v>1961394.46</v>
      </c>
      <c r="O16" s="259">
        <f>+N16/N57</f>
        <v>0.74441819794214725</v>
      </c>
      <c r="P16" s="74">
        <v>1867436.21</v>
      </c>
      <c r="Q16" s="259">
        <v>0.71499588136818049</v>
      </c>
      <c r="R16" s="74">
        <v>1867436.21</v>
      </c>
      <c r="S16" s="259">
        <f>+R16/R57</f>
        <v>0.67836999826772437</v>
      </c>
      <c r="T16" s="74">
        <v>1867436.21</v>
      </c>
      <c r="U16" s="259">
        <v>0.51712640483674899</v>
      </c>
      <c r="V16" s="74">
        <v>1867437.21</v>
      </c>
      <c r="W16" s="263">
        <v>0.42249217975821207</v>
      </c>
      <c r="X16" s="74">
        <v>1867438.21</v>
      </c>
      <c r="Y16" s="259">
        <f>+X16/X57</f>
        <v>0.34874735582541416</v>
      </c>
      <c r="Z16" s="134"/>
      <c r="AA16" s="258">
        <f>+Z16/Z57</f>
        <v>0</v>
      </c>
      <c r="AB16" s="189"/>
      <c r="AC16" s="217">
        <f>+AB16/AB57</f>
        <v>0</v>
      </c>
      <c r="AD16" s="189"/>
      <c r="AE16" s="217">
        <f>+AD16/AD57</f>
        <v>0</v>
      </c>
      <c r="AF16" s="205"/>
      <c r="AG16" s="300">
        <f>+AF16/AF57</f>
        <v>0</v>
      </c>
      <c r="AH16" s="189"/>
      <c r="AI16" s="447">
        <f>+AH16/AH57</f>
        <v>0</v>
      </c>
      <c r="AJ16" s="205"/>
      <c r="AK16" s="606">
        <f>+AJ16/AJ57</f>
        <v>0</v>
      </c>
      <c r="AL16" s="189"/>
      <c r="AM16" s="447">
        <f>+AL16/AL57</f>
        <v>0</v>
      </c>
      <c r="AN16" s="205"/>
      <c r="AO16" s="606">
        <f>+AN16/AN57</f>
        <v>0</v>
      </c>
      <c r="AP16" s="490"/>
      <c r="AQ16" s="488">
        <f>+AP16/AP57</f>
        <v>0</v>
      </c>
      <c r="AR16" s="559"/>
      <c r="AS16" s="147"/>
    </row>
    <row r="17" spans="1:45" s="30" customFormat="1" ht="12.75" hidden="1" customHeight="1" x14ac:dyDescent="0.25">
      <c r="A17" s="30" t="s">
        <v>75</v>
      </c>
      <c r="B17" s="29">
        <f>+B16/B70</f>
        <v>0.2324710124323365</v>
      </c>
      <c r="C17" s="264"/>
      <c r="D17" s="29">
        <f>+D16/D70</f>
        <v>0.22317111386688335</v>
      </c>
      <c r="E17" s="264"/>
      <c r="F17" s="29">
        <f>+F16/F70</f>
        <v>0.18031593791191683</v>
      </c>
      <c r="G17" s="264"/>
      <c r="H17" s="29">
        <f>+H16/H70</f>
        <v>0.17029259385610582</v>
      </c>
      <c r="I17" s="264"/>
      <c r="J17" s="29">
        <f>+J16/J70</f>
        <v>0.18252073600638902</v>
      </c>
      <c r="K17" s="264"/>
      <c r="L17" s="29">
        <f>+L16/L70</f>
        <v>0.16930546485027298</v>
      </c>
      <c r="M17" s="264"/>
      <c r="N17" s="29">
        <f>+N16/N70</f>
        <v>0.16889179507262272</v>
      </c>
      <c r="O17" s="264"/>
      <c r="P17" s="29">
        <v>0.13947342148877484</v>
      </c>
      <c r="Q17" s="264"/>
      <c r="R17" s="29">
        <f>+R16/R70</f>
        <v>0.11521001449717769</v>
      </c>
      <c r="S17" s="264"/>
      <c r="T17" s="29">
        <v>0.11123608093495635</v>
      </c>
      <c r="U17" s="264"/>
      <c r="V17" s="29">
        <v>9.9230896172107078E-2</v>
      </c>
      <c r="W17" s="265"/>
      <c r="X17" s="29">
        <f>+X16/X70</f>
        <v>8.6361416480566722E-2</v>
      </c>
      <c r="Y17" s="264"/>
      <c r="Z17" s="91"/>
      <c r="AA17" s="273"/>
      <c r="AB17" s="189"/>
      <c r="AC17" s="217"/>
      <c r="AD17" s="189"/>
      <c r="AE17" s="217"/>
      <c r="AF17" s="205"/>
      <c r="AG17" s="300"/>
      <c r="AH17" s="189"/>
      <c r="AI17" s="447"/>
      <c r="AJ17" s="205"/>
      <c r="AK17" s="606"/>
      <c r="AL17" s="189"/>
      <c r="AM17" s="447"/>
      <c r="AN17" s="205"/>
      <c r="AO17" s="606"/>
      <c r="AP17" s="490"/>
      <c r="AQ17" s="488"/>
      <c r="AR17" s="559"/>
      <c r="AS17" s="147"/>
    </row>
    <row r="18" spans="1:45" s="30" customFormat="1" ht="12.75" hidden="1" customHeight="1" x14ac:dyDescent="0.25">
      <c r="A18" s="30" t="s">
        <v>76</v>
      </c>
      <c r="B18" s="75">
        <f>+B7-B16</f>
        <v>224037.46999999997</v>
      </c>
      <c r="C18" s="259">
        <f>+B18/B57</f>
        <v>0.17237727730678218</v>
      </c>
      <c r="D18" s="75">
        <f>+D7-D16</f>
        <v>322168.18000000017</v>
      </c>
      <c r="E18" s="259">
        <f>+D18/D57</f>
        <v>0.21553631635175174</v>
      </c>
      <c r="F18" s="75">
        <f>+F7-F16</f>
        <v>657315.90999999992</v>
      </c>
      <c r="G18" s="259">
        <f>+F18/F57</f>
        <v>0.37929999903114359</v>
      </c>
      <c r="H18" s="75">
        <f>+H7-H16</f>
        <v>707558.23000000021</v>
      </c>
      <c r="I18" s="259">
        <f>+H18/H57</f>
        <v>0.37633711745907289</v>
      </c>
      <c r="J18" s="75">
        <f>+J7-J16</f>
        <v>752905.19</v>
      </c>
      <c r="K18" s="259">
        <f>+J18/J57</f>
        <v>0.33604722739203519</v>
      </c>
      <c r="L18" s="75">
        <f>+L7-L16</f>
        <v>776944.84000000008</v>
      </c>
      <c r="M18" s="259">
        <f>+L18/L57</f>
        <v>0.32394472912095124</v>
      </c>
      <c r="N18" s="75">
        <f>+N7-N16</f>
        <v>673407.41000000015</v>
      </c>
      <c r="O18" s="259">
        <f>+N18/N57</f>
        <v>0.25558180205785269</v>
      </c>
      <c r="P18" s="75">
        <v>744377.73</v>
      </c>
      <c r="Q18" s="259">
        <v>0.28500411863181951</v>
      </c>
      <c r="R18" s="75">
        <f>+R7-R16</f>
        <v>885392.2092530001</v>
      </c>
      <c r="S18" s="259">
        <f>+R18/R57</f>
        <v>0.32163000173227568</v>
      </c>
      <c r="T18" s="75">
        <v>1743743.17</v>
      </c>
      <c r="U18" s="259">
        <v>0.48287359516325107</v>
      </c>
      <c r="V18" s="75">
        <v>2552614.3305248804</v>
      </c>
      <c r="W18" s="263">
        <v>0.57750782024178793</v>
      </c>
      <c r="X18" s="75">
        <f>+X7-X16</f>
        <v>3487263.9226660756</v>
      </c>
      <c r="Y18" s="259">
        <f>+X18/X57</f>
        <v>0.65125264417458584</v>
      </c>
      <c r="Z18" s="153"/>
      <c r="AA18" s="258">
        <f>+Z18/Z57</f>
        <v>0</v>
      </c>
      <c r="AB18" s="189"/>
      <c r="AC18" s="217">
        <f>+AB18/AB57</f>
        <v>0</v>
      </c>
      <c r="AD18" s="189"/>
      <c r="AE18" s="217">
        <f>+AD18/AD57</f>
        <v>0</v>
      </c>
      <c r="AF18" s="205"/>
      <c r="AG18" s="300">
        <f>+AF18/AF57</f>
        <v>0</v>
      </c>
      <c r="AH18" s="189"/>
      <c r="AI18" s="447">
        <f>+AH18/AH57</f>
        <v>0</v>
      </c>
      <c r="AJ18" s="205"/>
      <c r="AK18" s="606">
        <f>+AJ18/AJ57</f>
        <v>0</v>
      </c>
      <c r="AL18" s="189"/>
      <c r="AM18" s="447">
        <f>+AL18/AL57</f>
        <v>0</v>
      </c>
      <c r="AN18" s="205"/>
      <c r="AO18" s="606">
        <f>+AN18/AN57</f>
        <v>0</v>
      </c>
      <c r="AP18" s="490"/>
      <c r="AQ18" s="488">
        <f>+AP18/AP57</f>
        <v>0</v>
      </c>
      <c r="AR18" s="559"/>
      <c r="AS18" s="147"/>
    </row>
    <row r="19" spans="1:45" s="30" customFormat="1" ht="12.75" hidden="1" customHeight="1" x14ac:dyDescent="0.25">
      <c r="A19" s="30" t="s">
        <v>75</v>
      </c>
      <c r="B19" s="29">
        <f>+B18/B70</f>
        <v>4.8419067138990801E-2</v>
      </c>
      <c r="C19" s="35"/>
      <c r="D19" s="29">
        <f>+D18/D70</f>
        <v>6.1317663011859667E-2</v>
      </c>
      <c r="E19" s="35"/>
      <c r="F19" s="29">
        <f>+F18/F70</f>
        <v>0.11018823097878722</v>
      </c>
      <c r="G19" s="35"/>
      <c r="H19" s="29">
        <f>+H18/H70</f>
        <v>0.10275972114186199</v>
      </c>
      <c r="I19" s="35"/>
      <c r="J19" s="29">
        <f>+J18/J70</f>
        <v>9.2379442946790166E-2</v>
      </c>
      <c r="K19" s="35"/>
      <c r="L19" s="29">
        <f>+L18/L70</f>
        <v>8.1125930544561492E-2</v>
      </c>
      <c r="M19" s="35"/>
      <c r="N19" s="29">
        <f>+N18/N70</f>
        <v>5.7985779306272571E-2</v>
      </c>
      <c r="O19" s="35"/>
      <c r="P19" s="29">
        <v>5.5595424532946934E-2</v>
      </c>
      <c r="Q19" s="35"/>
      <c r="R19" s="29">
        <f>+R18/R70</f>
        <v>5.462357895680213E-2</v>
      </c>
      <c r="S19" s="35"/>
      <c r="T19" s="29">
        <v>0.10386815643244775</v>
      </c>
      <c r="U19" s="35"/>
      <c r="V19" s="29">
        <v>0.13563947759172423</v>
      </c>
      <c r="W19" s="71"/>
      <c r="X19" s="29">
        <f>+X18/X70</f>
        <v>0.16127176277656852</v>
      </c>
      <c r="Y19" s="35"/>
      <c r="Z19" s="91"/>
      <c r="AA19" s="92"/>
      <c r="AB19" s="189"/>
      <c r="AC19" s="217"/>
      <c r="AD19" s="189"/>
      <c r="AE19" s="217"/>
      <c r="AF19" s="205"/>
      <c r="AG19" s="300"/>
      <c r="AH19" s="189"/>
      <c r="AI19" s="447"/>
      <c r="AJ19" s="205"/>
      <c r="AK19" s="606"/>
      <c r="AL19" s="189"/>
      <c r="AM19" s="447"/>
      <c r="AN19" s="205"/>
      <c r="AO19" s="606"/>
      <c r="AP19" s="490"/>
      <c r="AQ19" s="488"/>
      <c r="AR19" s="559"/>
      <c r="AS19" s="147"/>
    </row>
    <row r="20" spans="1:45" s="30" customFormat="1" ht="12.75" hidden="1" customHeight="1" x14ac:dyDescent="0.25">
      <c r="B20" s="29"/>
      <c r="C20" s="35"/>
      <c r="D20" s="29"/>
      <c r="E20" s="35"/>
      <c r="F20" s="29"/>
      <c r="G20" s="35"/>
      <c r="H20" s="29"/>
      <c r="I20" s="35"/>
      <c r="J20" s="29"/>
      <c r="K20" s="35"/>
      <c r="L20" s="29"/>
      <c r="M20" s="35"/>
      <c r="N20" s="29"/>
      <c r="O20" s="35"/>
      <c r="P20" s="29"/>
      <c r="Q20" s="35"/>
      <c r="R20" s="29"/>
      <c r="S20" s="35"/>
      <c r="T20" s="29"/>
      <c r="U20" s="35"/>
      <c r="V20" s="29"/>
      <c r="W20" s="35"/>
      <c r="X20" s="29"/>
      <c r="Y20" s="35"/>
      <c r="Z20" s="91"/>
      <c r="AA20" s="92"/>
      <c r="AB20" s="189"/>
      <c r="AC20" s="217"/>
      <c r="AD20" s="189"/>
      <c r="AE20" s="217"/>
      <c r="AF20" s="205"/>
      <c r="AG20" s="300"/>
      <c r="AH20" s="189"/>
      <c r="AI20" s="447"/>
      <c r="AJ20" s="205"/>
      <c r="AK20" s="606"/>
      <c r="AL20" s="189"/>
      <c r="AM20" s="447"/>
      <c r="AN20" s="205"/>
      <c r="AO20" s="606"/>
      <c r="AP20" s="490"/>
      <c r="AQ20" s="488"/>
      <c r="AR20" s="559"/>
      <c r="AS20" s="147"/>
    </row>
    <row r="21" spans="1:45" s="30" customFormat="1" x14ac:dyDescent="0.25">
      <c r="A21" s="398" t="s">
        <v>77</v>
      </c>
      <c r="B21" s="74"/>
      <c r="C21" s="261"/>
      <c r="D21" s="74"/>
      <c r="E21" s="261"/>
      <c r="F21" s="74"/>
      <c r="G21" s="261"/>
      <c r="H21" s="74"/>
      <c r="I21" s="261"/>
      <c r="J21" s="74"/>
      <c r="K21" s="261"/>
      <c r="L21" s="74"/>
      <c r="M21" s="261"/>
      <c r="N21" s="74"/>
      <c r="O21" s="261"/>
      <c r="P21" s="74"/>
      <c r="Q21" s="261"/>
      <c r="R21" s="74"/>
      <c r="S21" s="261"/>
      <c r="T21" s="74"/>
      <c r="U21" s="261"/>
      <c r="V21" s="74"/>
      <c r="W21" s="261"/>
      <c r="X21" s="74"/>
      <c r="Y21" s="261"/>
      <c r="Z21" s="134"/>
      <c r="AA21" s="269"/>
      <c r="AB21" s="189"/>
      <c r="AC21" s="217"/>
      <c r="AD21" s="189"/>
      <c r="AE21" s="217"/>
      <c r="AF21" s="205"/>
      <c r="AG21" s="300"/>
      <c r="AH21" s="189"/>
      <c r="AI21" s="447"/>
      <c r="AJ21" s="205"/>
      <c r="AK21" s="606"/>
      <c r="AL21" s="189"/>
      <c r="AM21" s="447"/>
      <c r="AN21" s="205"/>
      <c r="AO21" s="606"/>
      <c r="AP21" s="490"/>
      <c r="AQ21" s="488"/>
      <c r="AR21" s="559"/>
      <c r="AS21" s="147"/>
    </row>
    <row r="22" spans="1:45" s="30" customFormat="1" x14ac:dyDescent="0.25">
      <c r="A22" s="5" t="s">
        <v>78</v>
      </c>
      <c r="B22" s="134">
        <f>514510.4+80694.8+1+639.5+161217.1</f>
        <v>757062.8</v>
      </c>
      <c r="C22" s="259">
        <f>+B22/B7</f>
        <v>0.58249374184706249</v>
      </c>
      <c r="D22" s="134">
        <f>562421.16+92369.46+3.42+23.4</f>
        <v>654817.44000000006</v>
      </c>
      <c r="E22" s="259">
        <f>+D22/D7</f>
        <v>0.43808466404250151</v>
      </c>
      <c r="F22" s="74">
        <f>538615.69+82688.5+3.76+25.94+14865.97</f>
        <v>636199.85999999987</v>
      </c>
      <c r="G22" s="259">
        <f>+F22/F7</f>
        <v>0.36711511559428656</v>
      </c>
      <c r="H22" s="74">
        <f>483313.39+67893.47+4.19+28.67+13379.12</f>
        <v>564618.84</v>
      </c>
      <c r="I22" s="259">
        <f>+H22/H7</f>
        <v>0.30031030337769576</v>
      </c>
      <c r="J22" s="74">
        <f>466205.08+38632.28+31.45+11892.78</f>
        <v>516761.59</v>
      </c>
      <c r="K22" s="259">
        <f>+J22/J7</f>
        <v>0.23064829655670149</v>
      </c>
      <c r="L22" s="74">
        <f>460883.38+31785.75+10158.41</f>
        <v>502827.54</v>
      </c>
      <c r="M22" s="259">
        <f>+L22/L7</f>
        <v>0.20965237537307571</v>
      </c>
      <c r="N22" s="74">
        <f>457894.21+33093.01+8671.82</f>
        <v>499659.04000000004</v>
      </c>
      <c r="O22" s="259">
        <f>+N22/N7</f>
        <v>0.18963818330673951</v>
      </c>
      <c r="P22" s="74">
        <v>491165.4</v>
      </c>
      <c r="Q22" s="259">
        <f>+P22/P7</f>
        <v>0.18805527931289012</v>
      </c>
      <c r="R22" s="74">
        <v>480592.19618895004</v>
      </c>
      <c r="S22" s="259">
        <f>+R22/R7</f>
        <v>0.17458123900049036</v>
      </c>
      <c r="T22" s="74">
        <v>472247.26996370999</v>
      </c>
      <c r="U22" s="259">
        <v>0.13077369475999556</v>
      </c>
      <c r="V22" s="74">
        <v>454067.81423960003</v>
      </c>
      <c r="W22" s="259">
        <v>0.10272907681652951</v>
      </c>
      <c r="X22" s="74">
        <v>381078.40767805988</v>
      </c>
      <c r="Y22" s="259">
        <f>+X22/X7</f>
        <v>7.1167059947800149E-2</v>
      </c>
      <c r="Z22" s="134">
        <v>445950.08402894996</v>
      </c>
      <c r="AA22" s="258">
        <f>+Z22/Z7</f>
        <v>6.7242523716252084E-2</v>
      </c>
      <c r="AB22" s="190">
        <v>678003.22437005001</v>
      </c>
      <c r="AC22" s="217">
        <f>+AB22/AB7</f>
        <v>9.4578918284267108E-2</v>
      </c>
      <c r="AD22" s="190">
        <v>839844.40340880002</v>
      </c>
      <c r="AE22" s="217">
        <f>+AD22/AD7</f>
        <v>0.10345808849515213</v>
      </c>
      <c r="AF22" s="203">
        <v>719776.05927102</v>
      </c>
      <c r="AG22" s="300">
        <f>+AF22/AF7</f>
        <v>7.9623889446583149E-2</v>
      </c>
      <c r="AH22" s="190">
        <v>1329004.6874649399</v>
      </c>
      <c r="AI22" s="447">
        <f>+AH22/AH7</f>
        <v>0.12294549057055815</v>
      </c>
      <c r="AJ22" s="203">
        <v>2545754.1583571797</v>
      </c>
      <c r="AK22" s="606">
        <f>+AJ22/AJ7</f>
        <v>0.20056931589516533</v>
      </c>
      <c r="AL22" s="523">
        <v>3057599.3583571799</v>
      </c>
      <c r="AM22" s="447">
        <f>+AL22/AL7</f>
        <v>0.20615142106243792</v>
      </c>
      <c r="AN22" s="631">
        <v>3021990.70835718</v>
      </c>
      <c r="AO22" s="606">
        <f>+AN22/AN7</f>
        <v>0.18225472310124308</v>
      </c>
      <c r="AP22" s="525">
        <v>3045950.20835718</v>
      </c>
      <c r="AQ22" s="488">
        <f>+AP22/AP7</f>
        <v>0.16445879226243712</v>
      </c>
      <c r="AR22" s="559"/>
      <c r="AS22" s="147"/>
    </row>
    <row r="23" spans="1:45" s="187" customFormat="1" x14ac:dyDescent="0.25">
      <c r="A23" s="397" t="s">
        <v>71</v>
      </c>
      <c r="B23" s="228">
        <f>+B22/B70</f>
        <v>0.16361671349722157</v>
      </c>
      <c r="C23" s="292"/>
      <c r="D23" s="293">
        <f>+D22/D70</f>
        <v>0.1246301702427863</v>
      </c>
      <c r="E23" s="292"/>
      <c r="F23" s="228">
        <f>+F22/F70</f>
        <v>0.10664847154293297</v>
      </c>
      <c r="G23" s="292"/>
      <c r="H23" s="228">
        <f>+H22/H70</f>
        <v>8.2000423555021851E-2</v>
      </c>
      <c r="I23" s="292"/>
      <c r="J23" s="228">
        <f>+J22/J70</f>
        <v>6.3405257998683184E-2</v>
      </c>
      <c r="K23" s="292"/>
      <c r="L23" s="228">
        <f>+L22/L70</f>
        <v>5.2503536912520979E-2</v>
      </c>
      <c r="M23" s="292"/>
      <c r="N23" s="228">
        <f>+N22/N70</f>
        <v>4.3024651038253377E-2</v>
      </c>
      <c r="O23" s="292"/>
      <c r="P23" s="228">
        <f>+P22/P70</f>
        <v>3.5363491171250531E-2</v>
      </c>
      <c r="Q23" s="292"/>
      <c r="R23" s="228">
        <f>+R22/R70</f>
        <v>2.9649759169101363E-2</v>
      </c>
      <c r="S23" s="292"/>
      <c r="T23" s="228">
        <v>2.8129975879066533E-2</v>
      </c>
      <c r="U23" s="292"/>
      <c r="V23" s="228">
        <v>2.4128016668311627E-2</v>
      </c>
      <c r="W23" s="292"/>
      <c r="X23" s="228">
        <f>+X22/X70</f>
        <v>1.7623325313256884E-2</v>
      </c>
      <c r="Y23" s="292"/>
      <c r="Z23" s="293">
        <f>+Z22/Z70</f>
        <v>1.8774578014779011E-2</v>
      </c>
      <c r="AA23" s="595"/>
      <c r="AB23" s="245">
        <f>+AB22/AB70</f>
        <v>2.6627044424852562E-2</v>
      </c>
      <c r="AC23" s="294"/>
      <c r="AD23" s="245">
        <f>+AD22/AD70</f>
        <v>2.9993020859297146E-2</v>
      </c>
      <c r="AE23" s="294"/>
      <c r="AF23" s="246">
        <f>+AF22/AF70</f>
        <v>2.3855826423308711E-2</v>
      </c>
      <c r="AG23" s="302"/>
      <c r="AH23" s="251">
        <f>+AH22/AH70</f>
        <v>4.1458470758490629E-2</v>
      </c>
      <c r="AI23" s="291"/>
      <c r="AJ23" s="252">
        <f>+AJ22/AJ70</f>
        <v>7.4125911015558169E-2</v>
      </c>
      <c r="AK23" s="607"/>
      <c r="AL23" s="251">
        <f>+AL22/AL70</f>
        <v>8.4898604479650697E-2</v>
      </c>
      <c r="AM23" s="291"/>
      <c r="AN23" s="252">
        <f>+AN22/AN70</f>
        <v>7.9878905225660227E-2</v>
      </c>
      <c r="AO23" s="607"/>
      <c r="AP23" s="489">
        <f>+AP22/AP70</f>
        <v>8.3461560993753098E-2</v>
      </c>
      <c r="AQ23" s="491"/>
      <c r="AR23" s="560"/>
      <c r="AS23" s="147"/>
    </row>
    <row r="24" spans="1:45" s="30" customFormat="1" x14ac:dyDescent="0.25">
      <c r="A24" s="5" t="s">
        <v>79</v>
      </c>
      <c r="B24" s="153">
        <v>308642.09000000008</v>
      </c>
      <c r="C24" s="259">
        <f>+B24/B7</f>
        <v>0.23747314740018644</v>
      </c>
      <c r="D24" s="153">
        <f>+D7-(D22+D26)</f>
        <v>442240.33999999985</v>
      </c>
      <c r="E24" s="259">
        <f>+D24/D7</f>
        <v>0.29586675451854422</v>
      </c>
      <c r="F24" s="75">
        <f>+F7-(F22+F26)</f>
        <v>726508.2200000002</v>
      </c>
      <c r="G24" s="259">
        <f>+F24/F7</f>
        <v>0.41922698500043604</v>
      </c>
      <c r="H24" s="75">
        <f>+H7-(H22+H26)</f>
        <v>887598.20000000019</v>
      </c>
      <c r="I24" s="259">
        <f>+H24/H7</f>
        <v>0.47209704288205601</v>
      </c>
      <c r="J24" s="75">
        <f>+J7-(J22+J26)</f>
        <v>1251911.1599999997</v>
      </c>
      <c r="K24" s="259">
        <f>+J24/J7</f>
        <v>0.5587705860536657</v>
      </c>
      <c r="L24" s="75">
        <f>+L7-(L22+L26)</f>
        <v>1419403.17</v>
      </c>
      <c r="M24" s="259">
        <f>+L24/L7</f>
        <v>0.59181572712300845</v>
      </c>
      <c r="N24" s="75">
        <f>+N7-(N22+N26)</f>
        <v>1814743.9100000001</v>
      </c>
      <c r="O24" s="259">
        <f>+N24/N7</f>
        <v>0.68875915516182629</v>
      </c>
      <c r="P24" s="74">
        <f>+P7-(P22+P26)</f>
        <v>1579986.68</v>
      </c>
      <c r="Q24" s="259">
        <f>+P24/P7</f>
        <v>0.604938451320158</v>
      </c>
      <c r="R24" s="74">
        <v>1449724.4891254639</v>
      </c>
      <c r="S24" s="259">
        <f>+R24/R7</f>
        <v>0.5266308931520175</v>
      </c>
      <c r="T24" s="74">
        <v>2274142.5157880038</v>
      </c>
      <c r="U24" s="259">
        <v>0.62975063725247671</v>
      </c>
      <c r="V24" s="74">
        <v>2962133.6560573727</v>
      </c>
      <c r="W24" s="259">
        <v>0.6701581709849519</v>
      </c>
      <c r="X24" s="74">
        <v>3692971.9837967884</v>
      </c>
      <c r="Y24" s="259">
        <f>+X24/X7</f>
        <v>0.68966898481019312</v>
      </c>
      <c r="Z24" s="134">
        <v>4833157.1981554739</v>
      </c>
      <c r="AA24" s="258">
        <f>+Z24/Z7</f>
        <v>0.72876696105801408</v>
      </c>
      <c r="AB24" s="190">
        <v>4956120.9016612517</v>
      </c>
      <c r="AC24" s="217">
        <f>+AB24/AB7</f>
        <v>0.69136036071316653</v>
      </c>
      <c r="AD24" s="190">
        <v>5672175.0527211204</v>
      </c>
      <c r="AE24" s="217">
        <f>+AD24/AD7</f>
        <v>0.69873941670927731</v>
      </c>
      <c r="AF24" s="203">
        <v>6841525.2724102791</v>
      </c>
      <c r="AG24" s="300">
        <f>+AF24/AF7</f>
        <v>0.75683102392724122</v>
      </c>
      <c r="AH24" s="190">
        <v>8244609.989448769</v>
      </c>
      <c r="AI24" s="447">
        <f>+AH24/AH7</f>
        <v>0.76270432247248465</v>
      </c>
      <c r="AJ24" s="203">
        <v>8905779.9967295974</v>
      </c>
      <c r="AK24" s="606">
        <f>+AJ24/AJ7</f>
        <v>0.70164913434123055</v>
      </c>
      <c r="AL24" s="523">
        <v>10579730.565067904</v>
      </c>
      <c r="AM24" s="447">
        <f>+AL24/AL7</f>
        <v>0.71331336608413709</v>
      </c>
      <c r="AN24" s="631">
        <v>12315751.910607312</v>
      </c>
      <c r="AO24" s="606">
        <f>+AN24/AN7</f>
        <v>0.74275673583111601</v>
      </c>
      <c r="AP24" s="525">
        <v>14278820.304710202</v>
      </c>
      <c r="AQ24" s="488">
        <f>+AP24/AP7</f>
        <v>0.77095073182812701</v>
      </c>
      <c r="AR24" s="559"/>
      <c r="AS24" s="147"/>
    </row>
    <row r="25" spans="1:45" s="187" customFormat="1" x14ac:dyDescent="0.25">
      <c r="A25" s="397" t="s">
        <v>71</v>
      </c>
      <c r="B25" s="223">
        <f>+B24/B70</f>
        <v>6.6703851269291903E-2</v>
      </c>
      <c r="C25" s="232"/>
      <c r="D25" s="226">
        <f>+D24/D70</f>
        <v>8.4170771112063961E-2</v>
      </c>
      <c r="E25" s="232"/>
      <c r="F25" s="223">
        <f>+F24/F70</f>
        <v>0.12178718685410733</v>
      </c>
      <c r="G25" s="232"/>
      <c r="H25" s="223">
        <f>+H24/H70</f>
        <v>0.12890719046264029</v>
      </c>
      <c r="I25" s="232"/>
      <c r="J25" s="223">
        <f>+J24/J70</f>
        <v>0.15360613409992549</v>
      </c>
      <c r="K25" s="232"/>
      <c r="L25" s="223">
        <f>+L24/L70</f>
        <v>0.14820923836002359</v>
      </c>
      <c r="M25" s="232"/>
      <c r="N25" s="223">
        <f>+N24/N70</f>
        <v>0.15626400645437233</v>
      </c>
      <c r="O25" s="232"/>
      <c r="P25" s="223">
        <f>+P24/P70</f>
        <v>0.11375769752688898</v>
      </c>
      <c r="Q25" s="232"/>
      <c r="R25" s="223">
        <f>+R24/R70</f>
        <v>8.9439617007886024E-2</v>
      </c>
      <c r="S25" s="232"/>
      <c r="T25" s="223">
        <v>0.13546203055783074</v>
      </c>
      <c r="U25" s="232"/>
      <c r="V25" s="223">
        <v>0.15740030010012124</v>
      </c>
      <c r="W25" s="232"/>
      <c r="X25" s="223">
        <f>+X24/X70</f>
        <v>0.17078492334358905</v>
      </c>
      <c r="Y25" s="232"/>
      <c r="Z25" s="226">
        <f>+Z24/Z70</f>
        <v>0.20347677940693032</v>
      </c>
      <c r="AA25" s="596"/>
      <c r="AB25" s="251">
        <f>+AB24/AB70</f>
        <v>0.19464044812779205</v>
      </c>
      <c r="AC25" s="291"/>
      <c r="AD25" s="251">
        <f>+AD24/AD70</f>
        <v>0.20256807568560961</v>
      </c>
      <c r="AE25" s="291"/>
      <c r="AF25" s="252">
        <f>+AF24/AF70</f>
        <v>0.22675141423097167</v>
      </c>
      <c r="AG25" s="303"/>
      <c r="AH25" s="251">
        <f>+AH24/AH70</f>
        <v>0.25719166033546342</v>
      </c>
      <c r="AI25" s="448"/>
      <c r="AJ25" s="252">
        <f>+AJ24/AJ70</f>
        <v>0.25931374928509277</v>
      </c>
      <c r="AK25" s="608"/>
      <c r="AL25" s="251">
        <f>+AL24/AL70</f>
        <v>0.29376129946193091</v>
      </c>
      <c r="AM25" s="448"/>
      <c r="AN25" s="252">
        <f>+AN24/AN70</f>
        <v>0.32553666592341818</v>
      </c>
      <c r="AO25" s="608"/>
      <c r="AP25" s="489">
        <f>+AP24/AP70</f>
        <v>0.39125151439135525</v>
      </c>
      <c r="AQ25" s="492"/>
      <c r="AR25" s="561"/>
      <c r="AS25" s="147"/>
    </row>
    <row r="26" spans="1:45" s="30" customFormat="1" x14ac:dyDescent="0.25">
      <c r="A26" s="5" t="s">
        <v>80</v>
      </c>
      <c r="B26" s="74">
        <v>233987.7</v>
      </c>
      <c r="C26" s="259">
        <f>+B26/B7</f>
        <v>0.18003311075275116</v>
      </c>
      <c r="D26" s="134">
        <v>397670.28</v>
      </c>
      <c r="E26" s="259">
        <f>+D26/D7</f>
        <v>0.26604858143895421</v>
      </c>
      <c r="F26" s="74">
        <v>370262.95</v>
      </c>
      <c r="G26" s="259">
        <f>+F26/F7</f>
        <v>0.21365789940527743</v>
      </c>
      <c r="H26" s="74">
        <v>427901.07</v>
      </c>
      <c r="I26" s="259">
        <f>+H26/H7</f>
        <v>0.22759265374024826</v>
      </c>
      <c r="J26" s="74">
        <v>471801.59</v>
      </c>
      <c r="K26" s="259">
        <f>+J26/J7</f>
        <v>0.21058111738963278</v>
      </c>
      <c r="L26" s="74">
        <v>476156.33</v>
      </c>
      <c r="M26" s="259">
        <f>+L26/L7</f>
        <v>0.19853189750391581</v>
      </c>
      <c r="N26" s="74">
        <v>320398.92</v>
      </c>
      <c r="O26" s="259">
        <f>+N26/N7</f>
        <v>0.12160266153143423</v>
      </c>
      <c r="P26" s="74">
        <v>540661.86</v>
      </c>
      <c r="Q26" s="259">
        <f>+P26/P7</f>
        <v>0.20700626936695191</v>
      </c>
      <c r="R26" s="74">
        <v>822511.73393858667</v>
      </c>
      <c r="S26" s="259">
        <f>+R26/R7</f>
        <v>0.29878786784749234</v>
      </c>
      <c r="T26" s="74">
        <v>864789.59734492598</v>
      </c>
      <c r="U26" s="259">
        <v>0.23947566884504254</v>
      </c>
      <c r="V26" s="74">
        <v>1003850.0702279077</v>
      </c>
      <c r="W26" s="259">
        <v>0.22711275219851865</v>
      </c>
      <c r="X26" s="74">
        <v>1280651.7411912277</v>
      </c>
      <c r="Y26" s="259">
        <f>+X26/X7</f>
        <v>0.23916395524200681</v>
      </c>
      <c r="Z26" s="134">
        <v>1352858.0186831674</v>
      </c>
      <c r="AA26" s="258">
        <f>+Z26/Z7</f>
        <v>0.20399051522573355</v>
      </c>
      <c r="AB26" s="190">
        <v>1534526.5275132698</v>
      </c>
      <c r="AC26" s="217">
        <f>+AB26/AB7</f>
        <v>0.2140607210025664</v>
      </c>
      <c r="AD26" s="190">
        <v>1605706.4329208287</v>
      </c>
      <c r="AE26" s="217">
        <f>+AD26/AD7</f>
        <v>0.19780249479557047</v>
      </c>
      <c r="AF26" s="203">
        <v>1478398.4904919483</v>
      </c>
      <c r="AG26" s="300">
        <f>+AF26/AF7</f>
        <v>0.16354508662617565</v>
      </c>
      <c r="AH26" s="190">
        <v>1236091.9768022886</v>
      </c>
      <c r="AI26" s="447">
        <f>+AH26/AH7</f>
        <v>0.1143501869569572</v>
      </c>
      <c r="AJ26" s="203">
        <v>1241106.0276608595</v>
      </c>
      <c r="AK26" s="606">
        <f>+AJ26/AJ7</f>
        <v>9.7781549763604134E-2</v>
      </c>
      <c r="AL26" s="523">
        <v>1194483.2292531708</v>
      </c>
      <c r="AM26" s="447">
        <f>+AL26/AL7</f>
        <v>8.0535212853424937E-2</v>
      </c>
      <c r="AN26" s="631">
        <v>1243395.3451718611</v>
      </c>
      <c r="AO26" s="606">
        <f>+AN26/AN7</f>
        <v>7.4988541067641065E-2</v>
      </c>
      <c r="AP26" s="525">
        <v>1196283.7063784848</v>
      </c>
      <c r="AQ26" s="488">
        <f>+AP26/AP7</f>
        <v>6.4590475909436507E-2</v>
      </c>
      <c r="AR26" s="559"/>
      <c r="AS26" s="147"/>
    </row>
    <row r="27" spans="1:45" s="187" customFormat="1" x14ac:dyDescent="0.25">
      <c r="A27" s="397" t="s">
        <v>71</v>
      </c>
      <c r="B27" s="223">
        <f>+B26/B70</f>
        <v>5.056951480481385E-2</v>
      </c>
      <c r="C27" s="232"/>
      <c r="D27" s="223">
        <f>+D26/D70</f>
        <v>7.568783552389273E-2</v>
      </c>
      <c r="E27" s="232"/>
      <c r="F27" s="223">
        <f>+F26/F70</f>
        <v>6.206851049366377E-2</v>
      </c>
      <c r="G27" s="232"/>
      <c r="H27" s="223">
        <f>+H26/H70</f>
        <v>6.2144700980305688E-2</v>
      </c>
      <c r="I27" s="232"/>
      <c r="J27" s="223">
        <f>+J26/J70</f>
        <v>5.7888786854570488E-2</v>
      </c>
      <c r="K27" s="232"/>
      <c r="L27" s="223">
        <f>+L26/L70</f>
        <v>4.9718620122289885E-2</v>
      </c>
      <c r="M27" s="232"/>
      <c r="N27" s="223">
        <f>+N26/N70</f>
        <v>2.7588916886269601E-2</v>
      </c>
      <c r="O27" s="232"/>
      <c r="P27" s="223">
        <f>+P26/P70</f>
        <v>3.8927194205336718E-2</v>
      </c>
      <c r="Q27" s="232"/>
      <c r="R27" s="223">
        <f>+R26/R70</f>
        <v>5.0744217276992465E-2</v>
      </c>
      <c r="S27" s="232"/>
      <c r="T27" s="223">
        <v>5.1512231114961886E-2</v>
      </c>
      <c r="U27" s="232"/>
      <c r="V27" s="223">
        <v>5.3342056995398478E-2</v>
      </c>
      <c r="W27" s="232"/>
      <c r="X27" s="223">
        <f>+X26/X70</f>
        <v>5.9224930600289341E-2</v>
      </c>
      <c r="Y27" s="232"/>
      <c r="Z27" s="226">
        <f>+Z26/Z70</f>
        <v>5.6955563692724018E-2</v>
      </c>
      <c r="AA27" s="596"/>
      <c r="AB27" s="251">
        <f>+AB26/AB70</f>
        <v>6.0265061507892598E-2</v>
      </c>
      <c r="AC27" s="291"/>
      <c r="AD27" s="251">
        <f>+AD26/AD70</f>
        <v>5.7343939354751912E-2</v>
      </c>
      <c r="AE27" s="291"/>
      <c r="AF27" s="252">
        <f>+AF26/AF70</f>
        <v>4.8999153722029787E-2</v>
      </c>
      <c r="AG27" s="303"/>
      <c r="AH27" s="251">
        <f>+AH26/AH70</f>
        <v>3.8560046897061433E-2</v>
      </c>
      <c r="AI27" s="448"/>
      <c r="AJ27" s="252">
        <f>+AJ26/AJ70</f>
        <v>3.6137862984629184E-2</v>
      </c>
      <c r="AK27" s="608"/>
      <c r="AL27" s="251">
        <f>+AL26/AL70</f>
        <v>3.3166529473772362E-2</v>
      </c>
      <c r="AM27" s="448"/>
      <c r="AN27" s="252">
        <f>+AN26/AN70</f>
        <v>3.2866103347155312E-2</v>
      </c>
      <c r="AO27" s="608"/>
      <c r="AP27" s="489">
        <f>+AP26/AP70</f>
        <v>3.2779165349387379E-2</v>
      </c>
      <c r="AQ27" s="492"/>
      <c r="AR27" s="561"/>
      <c r="AS27" s="147"/>
    </row>
    <row r="28" spans="1:45" s="30" customFormat="1" x14ac:dyDescent="0.25">
      <c r="A28" s="397"/>
      <c r="B28" s="114"/>
      <c r="C28" s="35"/>
      <c r="D28" s="114"/>
      <c r="E28" s="35"/>
      <c r="F28" s="114"/>
      <c r="G28" s="35"/>
      <c r="H28" s="114"/>
      <c r="I28" s="35"/>
      <c r="J28" s="114"/>
      <c r="K28" s="35"/>
      <c r="L28" s="114"/>
      <c r="M28" s="35"/>
      <c r="N28" s="114"/>
      <c r="O28" s="35"/>
      <c r="P28" s="225"/>
      <c r="Q28" s="35"/>
      <c r="R28" s="225"/>
      <c r="S28" s="35"/>
      <c r="T28" s="225"/>
      <c r="U28" s="35"/>
      <c r="V28" s="225"/>
      <c r="W28" s="35"/>
      <c r="X28" s="225"/>
      <c r="Y28" s="35"/>
      <c r="Z28" s="227"/>
      <c r="AA28" s="92"/>
      <c r="AB28" s="191"/>
      <c r="AC28" s="217"/>
      <c r="AD28" s="191"/>
      <c r="AE28" s="217"/>
      <c r="AF28" s="204"/>
      <c r="AG28" s="300"/>
      <c r="AH28" s="191"/>
      <c r="AI28" s="447"/>
      <c r="AJ28" s="204"/>
      <c r="AK28" s="606"/>
      <c r="AL28" s="191"/>
      <c r="AM28" s="447"/>
      <c r="AN28" s="204"/>
      <c r="AO28" s="606"/>
      <c r="AP28" s="493"/>
      <c r="AQ28" s="488"/>
      <c r="AR28" s="559"/>
      <c r="AS28" s="147"/>
    </row>
    <row r="29" spans="1:45" s="30" customFormat="1" x14ac:dyDescent="0.25">
      <c r="A29" s="648" t="s">
        <v>81</v>
      </c>
      <c r="B29" s="649" t="s">
        <v>82</v>
      </c>
      <c r="C29" s="35"/>
      <c r="D29" s="644">
        <v>0.163325</v>
      </c>
      <c r="E29" s="35"/>
      <c r="F29" s="645">
        <v>0.172537</v>
      </c>
      <c r="G29" s="35"/>
      <c r="H29" s="645">
        <v>0.15896399999999999</v>
      </c>
      <c r="I29" s="35"/>
      <c r="J29" s="645">
        <v>0.167515</v>
      </c>
      <c r="K29" s="35"/>
      <c r="L29" s="645">
        <v>0.173014</v>
      </c>
      <c r="M29" s="35"/>
      <c r="N29" s="645">
        <v>0.157002</v>
      </c>
      <c r="O29" s="35"/>
      <c r="P29" s="645">
        <v>0.11755599999999999</v>
      </c>
      <c r="Q29" s="35"/>
      <c r="R29" s="645">
        <v>0.14577699999999999</v>
      </c>
      <c r="S29" s="35"/>
      <c r="T29" s="645">
        <v>0.14577699999999999</v>
      </c>
      <c r="U29" s="35"/>
      <c r="V29" s="645">
        <v>7.2770515641495517E-2</v>
      </c>
      <c r="W29" s="35"/>
      <c r="X29" s="645">
        <v>8.0460078465696722E-2</v>
      </c>
      <c r="Y29" s="35"/>
      <c r="Z29" s="644">
        <v>8.3784691621636653E-2</v>
      </c>
      <c r="AA29" s="92"/>
      <c r="AB29" s="646">
        <v>7.5852257308793233E-2</v>
      </c>
      <c r="AC29" s="217"/>
      <c r="AD29" s="646">
        <v>9.6680914782792782E-2</v>
      </c>
      <c r="AE29" s="217"/>
      <c r="AF29" s="647">
        <v>6.6085979246566354E-2</v>
      </c>
      <c r="AG29" s="300"/>
      <c r="AH29" s="646">
        <v>7.4496541819836753E-2</v>
      </c>
      <c r="AI29" s="447"/>
      <c r="AJ29" s="643">
        <v>7.9292316402886559E-2</v>
      </c>
      <c r="AK29" s="606"/>
      <c r="AL29" s="643">
        <v>9.5892215609437309E-2</v>
      </c>
      <c r="AM29" s="447"/>
      <c r="AN29" s="681">
        <v>8.6389087935863154E-2</v>
      </c>
      <c r="AO29" s="606"/>
      <c r="AP29" s="696">
        <v>7.5917915946438805E-2</v>
      </c>
      <c r="AQ29" s="488"/>
      <c r="AR29" s="559"/>
      <c r="AS29" s="147"/>
    </row>
    <row r="30" spans="1:45" s="30" customFormat="1" x14ac:dyDescent="0.25">
      <c r="A30" s="397"/>
      <c r="B30" s="29"/>
      <c r="C30" s="35"/>
      <c r="D30" s="29"/>
      <c r="E30" s="35"/>
      <c r="F30" s="29"/>
      <c r="G30" s="35"/>
      <c r="H30" s="29"/>
      <c r="I30" s="35"/>
      <c r="J30" s="29"/>
      <c r="K30" s="35"/>
      <c r="L30" s="29"/>
      <c r="M30" s="35"/>
      <c r="N30" s="29"/>
      <c r="O30" s="35"/>
      <c r="P30" s="29"/>
      <c r="Q30" s="35"/>
      <c r="R30" s="29"/>
      <c r="S30" s="35"/>
      <c r="T30" s="29"/>
      <c r="U30" s="35"/>
      <c r="V30" s="29"/>
      <c r="W30" s="35"/>
      <c r="X30" s="29"/>
      <c r="Y30" s="35"/>
      <c r="Z30" s="91"/>
      <c r="AA30" s="92"/>
      <c r="AB30" s="189"/>
      <c r="AC30" s="217"/>
      <c r="AD30" s="189"/>
      <c r="AE30" s="217"/>
      <c r="AF30" s="205"/>
      <c r="AG30" s="300"/>
      <c r="AH30" s="189"/>
      <c r="AI30" s="447"/>
      <c r="AJ30" s="205"/>
      <c r="AK30" s="606"/>
      <c r="AL30" s="189"/>
      <c r="AM30" s="447"/>
      <c r="AN30" s="205"/>
      <c r="AO30" s="606"/>
      <c r="AP30" s="490"/>
      <c r="AQ30" s="488"/>
      <c r="AR30" s="559"/>
      <c r="AS30" s="147"/>
    </row>
    <row r="31" spans="1:45" s="30" customFormat="1" x14ac:dyDescent="0.25">
      <c r="A31" s="398" t="s">
        <v>83</v>
      </c>
      <c r="B31" s="29"/>
      <c r="C31" s="35"/>
      <c r="D31" s="29"/>
      <c r="E31" s="35"/>
      <c r="F31" s="29"/>
      <c r="G31" s="35"/>
      <c r="H31" s="29"/>
      <c r="I31" s="35"/>
      <c r="J31" s="29"/>
      <c r="K31" s="35"/>
      <c r="L31" s="29"/>
      <c r="M31" s="35"/>
      <c r="N31" s="29"/>
      <c r="O31" s="35"/>
      <c r="P31" s="29"/>
      <c r="Q31" s="35"/>
      <c r="R31" s="29"/>
      <c r="S31" s="35"/>
      <c r="T31" s="29"/>
      <c r="U31" s="35"/>
      <c r="V31" s="29"/>
      <c r="W31" s="35"/>
      <c r="X31" s="29"/>
      <c r="Y31" s="35"/>
      <c r="Z31" s="91"/>
      <c r="AA31" s="92"/>
      <c r="AB31" s="189"/>
      <c r="AC31" s="217"/>
      <c r="AD31" s="189"/>
      <c r="AE31" s="217"/>
      <c r="AF31" s="205"/>
      <c r="AG31" s="300"/>
      <c r="AH31" s="189"/>
      <c r="AI31" s="447"/>
      <c r="AJ31" s="205"/>
      <c r="AK31" s="606"/>
      <c r="AL31" s="189"/>
      <c r="AM31" s="447"/>
      <c r="AN31" s="205"/>
      <c r="AO31" s="606"/>
      <c r="AP31" s="490"/>
      <c r="AQ31" s="488"/>
      <c r="AR31" s="559"/>
      <c r="AS31" s="147"/>
    </row>
    <row r="32" spans="1:45" s="30" customFormat="1" x14ac:dyDescent="0.25">
      <c r="A32" s="133" t="s">
        <v>84</v>
      </c>
      <c r="B32" s="134">
        <v>535542.79</v>
      </c>
      <c r="C32" s="259">
        <f>+B32/B57</f>
        <v>0.41205343026538299</v>
      </c>
      <c r="D32" s="134">
        <v>410692.78</v>
      </c>
      <c r="E32" s="259">
        <f>+D32/D57</f>
        <v>0.27476086854220161</v>
      </c>
      <c r="F32" s="74">
        <v>544548.42000000004</v>
      </c>
      <c r="G32" s="259">
        <f>+F32/F57</f>
        <v>0.31422823034727826</v>
      </c>
      <c r="H32" s="74">
        <v>505238.47</v>
      </c>
      <c r="I32" s="259">
        <f>+H32/H57</f>
        <v>0.26872698439142206</v>
      </c>
      <c r="J32" s="74">
        <v>652762.64</v>
      </c>
      <c r="K32" s="259">
        <f>+J32/J57</f>
        <v>0.2913501968516185</v>
      </c>
      <c r="L32" s="74">
        <v>938762.16</v>
      </c>
      <c r="M32" s="259">
        <f>+L32/L57</f>
        <v>0.39141395627287912</v>
      </c>
      <c r="N32" s="74">
        <v>805174.25</v>
      </c>
      <c r="O32" s="259">
        <f>+N32/N57</f>
        <v>0.30559195329552424</v>
      </c>
      <c r="P32" s="74">
        <v>687491.26</v>
      </c>
      <c r="Q32" s="259">
        <f>+P32/P57</f>
        <v>0.26322367358220011</v>
      </c>
      <c r="R32" s="74">
        <v>687212.26</v>
      </c>
      <c r="S32" s="259">
        <f>+R32/R57</f>
        <v>0.24963860994521411</v>
      </c>
      <c r="T32" s="74">
        <v>822070.35699999996</v>
      </c>
      <c r="U32" s="259">
        <v>0.22764594900849261</v>
      </c>
      <c r="V32" s="74">
        <v>1130568.1081033419</v>
      </c>
      <c r="W32" s="259">
        <v>0.25578165723585367</v>
      </c>
      <c r="X32" s="74">
        <v>1099101.7779234631</v>
      </c>
      <c r="Y32" s="259">
        <f>+X32/X57</f>
        <v>0.20525918168602716</v>
      </c>
      <c r="Z32" s="134">
        <v>1080119.2661489702</v>
      </c>
      <c r="AA32" s="258">
        <f>+Z32/Z57</f>
        <v>0.16286563893928532</v>
      </c>
      <c r="AB32" s="193">
        <v>1078166.4791042001</v>
      </c>
      <c r="AC32" s="217">
        <f>+AB32/AB57</f>
        <v>0.15040019819784298</v>
      </c>
      <c r="AD32" s="193">
        <v>1636838.8398245492</v>
      </c>
      <c r="AE32" s="217">
        <f>+AD32/AD57</f>
        <v>0.20163760912798617</v>
      </c>
      <c r="AF32" s="207">
        <v>1780038.9726696261</v>
      </c>
      <c r="AG32" s="300">
        <f>+AF32/AF57</f>
        <v>0.19691350461698012</v>
      </c>
      <c r="AH32" s="193">
        <v>1625999.3653402531</v>
      </c>
      <c r="AI32" s="447">
        <f>+AH32/AH57</f>
        <v>0.15042030440125695</v>
      </c>
      <c r="AJ32" s="207">
        <v>2289467.9453493692</v>
      </c>
      <c r="AK32" s="606">
        <f>+AJ32/AJ57</f>
        <v>0.18037759775632095</v>
      </c>
      <c r="AL32" s="523">
        <v>2359556.133592918</v>
      </c>
      <c r="AM32" s="447">
        <f>+AL32/AL57</f>
        <v>0.15908750395543117</v>
      </c>
      <c r="AN32" s="631">
        <v>1440588.4571575567</v>
      </c>
      <c r="AO32" s="606">
        <f>+AN32/AN57</f>
        <v>8.6881157389404273E-2</v>
      </c>
      <c r="AP32" s="525">
        <v>2350231.4955271771</v>
      </c>
      <c r="AQ32" s="488">
        <f>+AP32/AP57</f>
        <v>0.1268951252817776</v>
      </c>
      <c r="AR32" s="559"/>
      <c r="AS32" s="147"/>
    </row>
    <row r="33" spans="1:45" s="187" customFormat="1" x14ac:dyDescent="0.25">
      <c r="A33" s="397" t="s">
        <v>85</v>
      </c>
      <c r="B33" s="223">
        <f>+B32/B70</f>
        <v>0.11574172081488179</v>
      </c>
      <c r="C33" s="260"/>
      <c r="D33" s="223">
        <f>+D32/D70</f>
        <v>7.8166383425712027E-2</v>
      </c>
      <c r="E33" s="260"/>
      <c r="F33" s="223">
        <f>+F32/F70</f>
        <v>9.1284610899032781E-2</v>
      </c>
      <c r="G33" s="260"/>
      <c r="H33" s="223">
        <f>+H32/H70</f>
        <v>7.3376525190500558E-2</v>
      </c>
      <c r="I33" s="260"/>
      <c r="J33" s="223">
        <f>+J32/J70</f>
        <v>8.0092221252553913E-2</v>
      </c>
      <c r="K33" s="260"/>
      <c r="L33" s="223">
        <f>+L32/L70</f>
        <v>9.8022343246429847E-2</v>
      </c>
      <c r="M33" s="260"/>
      <c r="N33" s="223">
        <f>+N32/N70</f>
        <v>6.9331961113397206E-2</v>
      </c>
      <c r="O33" s="260"/>
      <c r="P33" s="223">
        <f>+P32/P70</f>
        <v>4.9498786159045211E-2</v>
      </c>
      <c r="Q33" s="260"/>
      <c r="R33" s="223">
        <f>+R32/R70</f>
        <v>4.2397022191852138E-2</v>
      </c>
      <c r="S33" s="260"/>
      <c r="T33" s="223">
        <v>4.8967608251250766E-2</v>
      </c>
      <c r="U33" s="260"/>
      <c r="V33" s="223">
        <v>6.0075533436917142E-2</v>
      </c>
      <c r="W33" s="260"/>
      <c r="X33" s="223">
        <f>+X32/X70</f>
        <v>5.0828983732628855E-2</v>
      </c>
      <c r="Y33" s="260"/>
      <c r="Z33" s="226">
        <f>+Z32/Z70</f>
        <v>4.5473213603572836E-2</v>
      </c>
      <c r="AA33" s="597"/>
      <c r="AB33" s="251">
        <f>+AB32/AB70</f>
        <v>4.2342551929849738E-2</v>
      </c>
      <c r="AC33" s="291"/>
      <c r="AD33" s="251">
        <f>+AD32/AD70</f>
        <v>5.8455758312970181E-2</v>
      </c>
      <c r="AE33" s="291"/>
      <c r="AF33" s="252">
        <f>+AF32/AF70</f>
        <v>5.8996545122296316E-2</v>
      </c>
      <c r="AG33" s="303"/>
      <c r="AH33" s="251">
        <f>+AH32/AH70</f>
        <v>5.0723257620610585E-2</v>
      </c>
      <c r="AI33" s="291"/>
      <c r="AJ33" s="252">
        <f>+AJ32/AJ70</f>
        <v>6.6663505834929596E-2</v>
      </c>
      <c r="AK33" s="607"/>
      <c r="AL33" s="251">
        <f>+AL32/AL70</f>
        <v>6.5516439354916245E-2</v>
      </c>
      <c r="AM33" s="291"/>
      <c r="AN33" s="252">
        <f>+AN32/AN70</f>
        <v>3.8078419142798935E-2</v>
      </c>
      <c r="AO33" s="607"/>
      <c r="AP33" s="489">
        <f>+AP32/AP70</f>
        <v>6.4398291467533827E-2</v>
      </c>
      <c r="AQ33" s="491"/>
      <c r="AR33" s="560"/>
      <c r="AS33" s="147"/>
    </row>
    <row r="34" spans="1:45" s="30" customFormat="1" x14ac:dyDescent="0.25">
      <c r="A34" s="133" t="s">
        <v>86</v>
      </c>
      <c r="B34" s="134">
        <v>215651.35</v>
      </c>
      <c r="C34" s="259">
        <f>+B34/B57</f>
        <v>0.16592488997725224</v>
      </c>
      <c r="D34" s="134">
        <v>366521.28</v>
      </c>
      <c r="E34" s="259">
        <f>+D34/D57</f>
        <v>0.2452093392827589</v>
      </c>
      <c r="F34" s="74">
        <v>493363.99</v>
      </c>
      <c r="G34" s="259">
        <f>+F34/F57</f>
        <v>0.28469257792497543</v>
      </c>
      <c r="H34" s="74">
        <v>634419.01</v>
      </c>
      <c r="I34" s="259">
        <f>+H34/H57</f>
        <v>0.33743572099308167</v>
      </c>
      <c r="J34" s="74">
        <v>787840.88</v>
      </c>
      <c r="K34" s="259">
        <f>+J34/J57</f>
        <v>0.35164021561612707</v>
      </c>
      <c r="L34" s="74">
        <v>687549.18</v>
      </c>
      <c r="M34" s="259">
        <f>+L34/L57</f>
        <v>0.28667148735093234</v>
      </c>
      <c r="N34" s="74">
        <v>1219395.06</v>
      </c>
      <c r="O34" s="259">
        <f>+N34/N57</f>
        <v>0.46280332266501695</v>
      </c>
      <c r="P34" s="74">
        <v>1217960.03</v>
      </c>
      <c r="Q34" s="259">
        <f>+P34/P57</f>
        <v>0.46632725683361659</v>
      </c>
      <c r="R34" s="74">
        <v>1038517.3</v>
      </c>
      <c r="S34" s="259">
        <f>+R34/R57</f>
        <v>0.37725464207529841</v>
      </c>
      <c r="T34" s="74">
        <v>1661315.362</v>
      </c>
      <c r="U34" s="259">
        <v>0.4600478644735726</v>
      </c>
      <c r="V34" s="74">
        <v>1883570.0573458883</v>
      </c>
      <c r="W34" s="259">
        <v>0.42614210266023611</v>
      </c>
      <c r="X34" s="74">
        <v>2458748.347402771</v>
      </c>
      <c r="Y34" s="259">
        <f>+X34/X57</f>
        <v>0.45917555944023619</v>
      </c>
      <c r="Z34" s="134">
        <v>2797666.1121397135</v>
      </c>
      <c r="AA34" s="258">
        <f>+Z34/Z57</f>
        <v>0.42184571016584227</v>
      </c>
      <c r="AB34" s="193">
        <v>3132132.2293509939</v>
      </c>
      <c r="AC34" s="217">
        <f>+AB34/AB57</f>
        <v>0.4369207512995904</v>
      </c>
      <c r="AD34" s="193">
        <v>2941670.9455045871</v>
      </c>
      <c r="AE34" s="217">
        <f>+AD34/AD57</f>
        <v>0.36237623513160688</v>
      </c>
      <c r="AF34" s="207">
        <v>3364140.0237221783</v>
      </c>
      <c r="AG34" s="300">
        <f>+AF34/AF57</f>
        <v>0.37215174064412687</v>
      </c>
      <c r="AH34" s="193">
        <v>4173052.6352141355</v>
      </c>
      <c r="AI34" s="447">
        <f>+AH34/AH57</f>
        <v>0.38604679746601511</v>
      </c>
      <c r="AJ34" s="207">
        <v>4771011.8521599136</v>
      </c>
      <c r="AK34" s="606">
        <f>+AJ34/AJ57</f>
        <v>0.3758880566586037</v>
      </c>
      <c r="AL34" s="523">
        <v>6396786.751100895</v>
      </c>
      <c r="AM34" s="447">
        <f>+AL34/AL57</f>
        <v>0.43128825081954292</v>
      </c>
      <c r="AN34" s="631">
        <v>6770621.8390979841</v>
      </c>
      <c r="AO34" s="606">
        <f>+AN34/AN57</f>
        <v>0.40833276061886026</v>
      </c>
      <c r="AP34" s="525">
        <v>7043509.6818910558</v>
      </c>
      <c r="AQ34" s="488">
        <f>+AP34/AP57</f>
        <v>0.38029744950996619</v>
      </c>
      <c r="AR34" s="559"/>
      <c r="AS34" s="147"/>
    </row>
    <row r="35" spans="1:45" s="187" customFormat="1" x14ac:dyDescent="0.25">
      <c r="A35" s="397" t="s">
        <v>85</v>
      </c>
      <c r="B35" s="223">
        <f>+B34/B70</f>
        <v>4.6606655548574107E-2</v>
      </c>
      <c r="C35" s="260"/>
      <c r="D35" s="223">
        <f>+D34/D70</f>
        <v>6.9759305011796793E-2</v>
      </c>
      <c r="E35" s="260"/>
      <c r="F35" s="223">
        <f>+F34/F70</f>
        <v>8.2704380739446998E-2</v>
      </c>
      <c r="G35" s="260"/>
      <c r="H35" s="223">
        <f>+H34/H70</f>
        <v>9.2137604780169316E-2</v>
      </c>
      <c r="I35" s="260"/>
      <c r="J35" s="223">
        <f>+J34/J70</f>
        <v>9.6665958200007854E-2</v>
      </c>
      <c r="K35" s="260"/>
      <c r="L35" s="223">
        <f>+L34/L70</f>
        <v>7.1791540597206618E-2</v>
      </c>
      <c r="M35" s="260"/>
      <c r="N35" s="223">
        <f>+N34/N70</f>
        <v>0.10499969526073226</v>
      </c>
      <c r="O35" s="260"/>
      <c r="P35" s="223">
        <f>+P34/P70</f>
        <v>8.7692086551375628E-2</v>
      </c>
      <c r="Q35" s="260"/>
      <c r="R35" s="223">
        <f>+R34/R70</f>
        <v>6.4070511510842906E-2</v>
      </c>
      <c r="S35" s="260"/>
      <c r="T35" s="223">
        <v>9.8958245040090709E-2</v>
      </c>
      <c r="U35" s="260"/>
      <c r="V35" s="223">
        <v>0.10008815492831463</v>
      </c>
      <c r="W35" s="260"/>
      <c r="X35" s="223">
        <f>+X34/X70</f>
        <v>0.11370710362135937</v>
      </c>
      <c r="Y35" s="260"/>
      <c r="Z35" s="226">
        <f>+Z34/Z70</f>
        <v>0.11778224192073646</v>
      </c>
      <c r="AA35" s="597"/>
      <c r="AB35" s="251">
        <f>+AB34/AB70</f>
        <v>0.12300741503542247</v>
      </c>
      <c r="AC35" s="291"/>
      <c r="AD35" s="251">
        <f>+AD34/AD70</f>
        <v>0.10505469545501166</v>
      </c>
      <c r="AE35" s="291"/>
      <c r="AF35" s="252">
        <f>+AF34/AF70</f>
        <v>0.11149904117525458</v>
      </c>
      <c r="AG35" s="303"/>
      <c r="AH35" s="251">
        <f>+AH34/AH70</f>
        <v>0.13017890928637646</v>
      </c>
      <c r="AI35" s="448"/>
      <c r="AJ35" s="252">
        <f>+AJ34/AJ70</f>
        <v>0.13891977701240379</v>
      </c>
      <c r="AK35" s="608"/>
      <c r="AL35" s="251">
        <f>+AL34/AL70</f>
        <v>0.17761590210895897</v>
      </c>
      <c r="AM35" s="448"/>
      <c r="AN35" s="252">
        <f>+AN34/AN70</f>
        <v>0.1789647660757038</v>
      </c>
      <c r="AO35" s="608"/>
      <c r="AP35" s="489">
        <f>+AP34/AP70</f>
        <v>0.19299800479742635</v>
      </c>
      <c r="AQ35" s="492"/>
      <c r="AR35" s="561"/>
      <c r="AS35" s="147"/>
    </row>
    <row r="36" spans="1:45" s="30" customFormat="1" x14ac:dyDescent="0.25">
      <c r="A36" s="133" t="s">
        <v>87</v>
      </c>
      <c r="B36" s="134">
        <f>+B57-B34-B32</f>
        <v>548498.44999999995</v>
      </c>
      <c r="C36" s="259">
        <f>+B36/B57</f>
        <v>0.42202167975736471</v>
      </c>
      <c r="D36" s="74">
        <f>+D7-D34-D32</f>
        <v>717514</v>
      </c>
      <c r="E36" s="259">
        <f>+D36/D57</f>
        <v>0.48002979217503949</v>
      </c>
      <c r="F36" s="74">
        <f>+F7-F34-F32</f>
        <v>695058.62</v>
      </c>
      <c r="G36" s="259">
        <f>+F36/F57</f>
        <v>0.40107919172774631</v>
      </c>
      <c r="H36" s="74">
        <f>+H7-H34-H32</f>
        <v>740460.63000000012</v>
      </c>
      <c r="I36" s="259">
        <f>+H36/H57</f>
        <v>0.39383729461549633</v>
      </c>
      <c r="J36" s="74">
        <f>+J7-J34-J32</f>
        <v>799870.82</v>
      </c>
      <c r="K36" s="259">
        <f>+J36/J57</f>
        <v>0.35700958753225442</v>
      </c>
      <c r="L36" s="74">
        <f>+L7-L34-L32</f>
        <v>772075.69999999984</v>
      </c>
      <c r="M36" s="259">
        <f>+L36/L57</f>
        <v>0.32191455637618849</v>
      </c>
      <c r="N36" s="74">
        <f>+N7-N34-N32</f>
        <v>610232.56000000006</v>
      </c>
      <c r="O36" s="259">
        <f>+N36/N57</f>
        <v>0.23160472403945881</v>
      </c>
      <c r="P36" s="74">
        <f>+P7-P34-P32</f>
        <v>706362.64999999991</v>
      </c>
      <c r="Q36" s="259">
        <f>+P36/P57</f>
        <v>0.2704490695841833</v>
      </c>
      <c r="R36" s="74">
        <f>+R7-R34-R32</f>
        <v>1027098.859253</v>
      </c>
      <c r="S36" s="259">
        <f>+R36/R57</f>
        <v>0.37310674797948751</v>
      </c>
      <c r="T36" s="74">
        <v>1127793.662</v>
      </c>
      <c r="U36" s="259">
        <v>0.31230618679485261</v>
      </c>
      <c r="V36" s="74">
        <v>1405913.3750756527</v>
      </c>
      <c r="W36" s="259">
        <v>0.31807624010391083</v>
      </c>
      <c r="X36" s="74">
        <v>1796852.0073398422</v>
      </c>
      <c r="Y36" s="259">
        <f>+X36/X57</f>
        <v>0.33556525887373678</v>
      </c>
      <c r="Z36" s="134">
        <v>2754179.922578908</v>
      </c>
      <c r="AA36" s="258">
        <f>+Z36/Z57</f>
        <v>0.41528865089487221</v>
      </c>
      <c r="AB36" s="193">
        <v>2958351.9450893775</v>
      </c>
      <c r="AC36" s="217">
        <f>+AB36/AB57</f>
        <v>0.41267905050256665</v>
      </c>
      <c r="AD36" s="193">
        <v>3539216.1037216131</v>
      </c>
      <c r="AE36" s="217">
        <f>+AD36/AD57</f>
        <v>0.43598615574040689</v>
      </c>
      <c r="AF36" s="207">
        <v>3895520.8257814432</v>
      </c>
      <c r="AG36" s="300">
        <f>+AF36/AF57</f>
        <v>0.43093475473889303</v>
      </c>
      <c r="AH36" s="193">
        <v>5010654.6531616095</v>
      </c>
      <c r="AI36" s="447">
        <f>+AH36/AH57</f>
        <v>0.46353289813272797</v>
      </c>
      <c r="AJ36" s="207">
        <v>5632160.385238355</v>
      </c>
      <c r="AK36" s="606">
        <f>+AJ36/AJ57</f>
        <v>0.44373434558507546</v>
      </c>
      <c r="AL36" s="523">
        <v>6075470.2679844443</v>
      </c>
      <c r="AM36" s="447">
        <f>+AL36/AL57</f>
        <v>0.40962424522502605</v>
      </c>
      <c r="AN36" s="631">
        <v>8369927.668052908</v>
      </c>
      <c r="AO36" s="606">
        <f>+AN36/AN57</f>
        <v>0.50478608200211461</v>
      </c>
      <c r="AP36" s="525">
        <v>9127313.0420276374</v>
      </c>
      <c r="AQ36" s="488">
        <f>+AP36/AP57</f>
        <v>0.4928074252082571</v>
      </c>
      <c r="AR36" s="559"/>
      <c r="AS36" s="147"/>
    </row>
    <row r="37" spans="1:45" s="187" customFormat="1" x14ac:dyDescent="0.25">
      <c r="A37" s="397" t="s">
        <v>85</v>
      </c>
      <c r="B37" s="223">
        <f>+B36/B70</f>
        <v>0.11854170320787139</v>
      </c>
      <c r="C37" s="260"/>
      <c r="D37" s="223">
        <f>+D36/D70</f>
        <v>0.13656308844123419</v>
      </c>
      <c r="E37" s="260"/>
      <c r="F37" s="223">
        <f>+F36/F70</f>
        <v>0.11651517725222428</v>
      </c>
      <c r="G37" s="260"/>
      <c r="H37" s="223">
        <f>+H36/H70</f>
        <v>0.10753818502729795</v>
      </c>
      <c r="I37" s="260"/>
      <c r="J37" s="223">
        <f>+J36/J70</f>
        <v>9.814199950061743E-2</v>
      </c>
      <c r="K37" s="260"/>
      <c r="L37" s="223">
        <f>+L36/L70</f>
        <v>8.0617511551197993E-2</v>
      </c>
      <c r="M37" s="260"/>
      <c r="N37" s="223">
        <f>+N36/N70</f>
        <v>5.2545918004765838E-2</v>
      </c>
      <c r="O37" s="260"/>
      <c r="P37" s="223">
        <f>+P36/P70</f>
        <v>5.0857510193055386E-2</v>
      </c>
      <c r="Q37" s="260"/>
      <c r="R37" s="223">
        <f>+R36/R70</f>
        <v>6.3366059751284787E-2</v>
      </c>
      <c r="S37" s="260"/>
      <c r="T37" s="223">
        <v>6.7178384135628821E-2</v>
      </c>
      <c r="U37" s="260"/>
      <c r="V37" s="223">
        <v>7.470668539859969E-2</v>
      </c>
      <c r="W37" s="260"/>
      <c r="X37" s="223">
        <f>+X36/X70</f>
        <v>8.3097091903147055E-2</v>
      </c>
      <c r="Y37" s="260"/>
      <c r="Z37" s="226">
        <f>+Z36/Z70</f>
        <v>0.11595146559012406</v>
      </c>
      <c r="AA37" s="597"/>
      <c r="AB37" s="251">
        <f>+AB36/AB70</f>
        <v>0.11618258709526501</v>
      </c>
      <c r="AC37" s="291"/>
      <c r="AD37" s="251">
        <f>+AD36/AD70</f>
        <v>0.12639458213167684</v>
      </c>
      <c r="AE37" s="291"/>
      <c r="AF37" s="252">
        <f>+AF36/AF70</f>
        <v>0.12911080807875927</v>
      </c>
      <c r="AG37" s="303"/>
      <c r="AH37" s="251">
        <f>+AH36/AH70</f>
        <v>0.15630801108402845</v>
      </c>
      <c r="AI37" s="449"/>
      <c r="AJ37" s="252">
        <f>+AJ36/AJ70</f>
        <v>0.16399424043794675</v>
      </c>
      <c r="AK37" s="609"/>
      <c r="AL37" s="251">
        <f>+AL36/AL70</f>
        <v>0.16869409195147883</v>
      </c>
      <c r="AM37" s="449"/>
      <c r="AN37" s="252">
        <f>+AN36/AN70</f>
        <v>0.22123848928227993</v>
      </c>
      <c r="AO37" s="609"/>
      <c r="AP37" s="489">
        <f>+AP36/AP70</f>
        <v>0.25009594446953565</v>
      </c>
      <c r="AQ37" s="494"/>
      <c r="AR37" s="561"/>
      <c r="AS37" s="147"/>
    </row>
    <row r="38" spans="1:45" s="30" customFormat="1" ht="12.75" customHeight="1" x14ac:dyDescent="0.25">
      <c r="A38" s="5"/>
      <c r="B38" s="239"/>
      <c r="C38" s="234"/>
      <c r="D38" s="239"/>
      <c r="E38" s="234"/>
      <c r="F38" s="239"/>
      <c r="G38" s="234"/>
      <c r="H38" s="239"/>
      <c r="I38" s="234"/>
      <c r="J38" s="239"/>
      <c r="K38" s="234"/>
      <c r="L38" s="239"/>
      <c r="M38" s="234"/>
      <c r="N38" s="239"/>
      <c r="O38" s="234"/>
      <c r="P38" s="239"/>
      <c r="Q38" s="234"/>
      <c r="R38" s="239"/>
      <c r="S38" s="234"/>
      <c r="T38" s="239"/>
      <c r="U38" s="234"/>
      <c r="V38" s="239"/>
      <c r="W38" s="234"/>
      <c r="X38" s="239"/>
      <c r="Y38" s="234"/>
      <c r="Z38" s="233"/>
      <c r="AA38" s="598"/>
      <c r="AB38" s="240"/>
      <c r="AC38" s="231"/>
      <c r="AD38" s="240"/>
      <c r="AE38" s="230"/>
      <c r="AF38" s="241"/>
      <c r="AG38" s="304"/>
      <c r="AH38" s="240"/>
      <c r="AI38" s="231"/>
      <c r="AJ38" s="241"/>
      <c r="AK38" s="610"/>
      <c r="AL38" s="240"/>
      <c r="AM38" s="231"/>
      <c r="AN38" s="241"/>
      <c r="AO38" s="610"/>
      <c r="AP38" s="495"/>
      <c r="AQ38" s="496"/>
      <c r="AR38" s="562"/>
      <c r="AS38" s="147"/>
    </row>
    <row r="39" spans="1:45" s="38" customFormat="1" ht="12.75" customHeight="1" x14ac:dyDescent="0.25">
      <c r="A39" s="133" t="s">
        <v>88</v>
      </c>
      <c r="B39" s="233">
        <v>6.16</v>
      </c>
      <c r="C39" s="234" t="s">
        <v>89</v>
      </c>
      <c r="D39" s="235">
        <v>6.6905674599999996</v>
      </c>
      <c r="E39" s="234" t="s">
        <v>89</v>
      </c>
      <c r="F39" s="236">
        <v>5.6284609999999997</v>
      </c>
      <c r="G39" s="234" t="s">
        <v>89</v>
      </c>
      <c r="H39" s="236">
        <v>5.24193</v>
      </c>
      <c r="I39" s="234" t="s">
        <v>89</v>
      </c>
      <c r="J39" s="236">
        <v>4.4671969999999996</v>
      </c>
      <c r="K39" s="234" t="s">
        <v>89</v>
      </c>
      <c r="L39" s="236">
        <v>3.8979550000000001</v>
      </c>
      <c r="M39" s="234" t="s">
        <v>89</v>
      </c>
      <c r="N39" s="236">
        <v>3.7845559999999998</v>
      </c>
      <c r="O39" s="234" t="s">
        <v>89</v>
      </c>
      <c r="P39" s="236">
        <v>4.1605439999999998</v>
      </c>
      <c r="Q39" s="234" t="s">
        <v>89</v>
      </c>
      <c r="R39" s="236">
        <v>4.7472200000000004</v>
      </c>
      <c r="S39" s="234" t="s">
        <v>89</v>
      </c>
      <c r="T39" s="236">
        <v>4.41</v>
      </c>
      <c r="U39" s="234" t="s">
        <v>89</v>
      </c>
      <c r="V39" s="236">
        <v>3.9878169346142798</v>
      </c>
      <c r="W39" s="234" t="s">
        <v>89</v>
      </c>
      <c r="X39" s="236">
        <v>4.7116322297803768</v>
      </c>
      <c r="Y39" s="234" t="s">
        <v>89</v>
      </c>
      <c r="Z39" s="235">
        <v>5.0631897489716584</v>
      </c>
      <c r="AA39" s="598" t="s">
        <v>89</v>
      </c>
      <c r="AB39" s="242">
        <v>5.5657122844113225</v>
      </c>
      <c r="AC39" s="231" t="s">
        <v>89</v>
      </c>
      <c r="AD39" s="242">
        <v>5.8118761786668092</v>
      </c>
      <c r="AE39" s="230" t="s">
        <v>89</v>
      </c>
      <c r="AF39" s="237">
        <v>5.5450517070832577</v>
      </c>
      <c r="AG39" s="304" t="s">
        <v>89</v>
      </c>
      <c r="AH39" s="242">
        <v>6.3630240842745334</v>
      </c>
      <c r="AI39" s="231" t="s">
        <v>89</v>
      </c>
      <c r="AJ39" s="237">
        <v>6.2572267501348469</v>
      </c>
      <c r="AK39" s="610" t="s">
        <v>89</v>
      </c>
      <c r="AL39" s="523">
        <v>5.7363897940859552</v>
      </c>
      <c r="AM39" s="92" t="s">
        <v>89</v>
      </c>
      <c r="AN39" s="41">
        <v>6.4002854749027795</v>
      </c>
      <c r="AO39" s="37" t="s">
        <v>89</v>
      </c>
      <c r="AP39" s="697">
        <v>5.8733370651379611</v>
      </c>
      <c r="AQ39" s="475" t="s">
        <v>89</v>
      </c>
      <c r="AR39" s="562"/>
      <c r="AS39" s="147"/>
    </row>
    <row r="40" spans="1:45" s="38" customFormat="1" ht="12.75" customHeight="1" x14ac:dyDescent="0.25">
      <c r="A40" s="133" t="s">
        <v>90</v>
      </c>
      <c r="B40" s="238" t="s">
        <v>82</v>
      </c>
      <c r="C40" s="234" t="s">
        <v>89</v>
      </c>
      <c r="D40" s="235">
        <v>3.4262000000000001</v>
      </c>
      <c r="E40" s="234" t="s">
        <v>89</v>
      </c>
      <c r="F40" s="236">
        <v>2.9183420199999999</v>
      </c>
      <c r="G40" s="234" t="s">
        <v>89</v>
      </c>
      <c r="H40" s="236">
        <v>2.9303555299999999</v>
      </c>
      <c r="I40" s="234" t="s">
        <v>89</v>
      </c>
      <c r="J40" s="236">
        <v>2.5281750399999998</v>
      </c>
      <c r="K40" s="234" t="s">
        <v>89</v>
      </c>
      <c r="L40" s="236">
        <v>2.3013294700000002</v>
      </c>
      <c r="M40" s="234" t="s">
        <v>89</v>
      </c>
      <c r="N40" s="236">
        <v>2.4168407799999998</v>
      </c>
      <c r="O40" s="234" t="s">
        <v>89</v>
      </c>
      <c r="P40" s="236">
        <v>3.0361808300000002</v>
      </c>
      <c r="Q40" s="234" t="s">
        <v>89</v>
      </c>
      <c r="R40" s="236">
        <v>3.63581113</v>
      </c>
      <c r="S40" s="234" t="s">
        <v>89</v>
      </c>
      <c r="T40" s="236">
        <v>3.3981074842707679</v>
      </c>
      <c r="U40" s="234" t="s">
        <v>89</v>
      </c>
      <c r="V40" s="236">
        <v>3.0561241318970662</v>
      </c>
      <c r="W40" s="234" t="s">
        <v>89</v>
      </c>
      <c r="X40" s="236">
        <v>3.8902541849335353</v>
      </c>
      <c r="Y40" s="234" t="s">
        <v>89</v>
      </c>
      <c r="Z40" s="235">
        <v>3.1856741681815093</v>
      </c>
      <c r="AA40" s="598" t="s">
        <v>89</v>
      </c>
      <c r="AB40" s="242">
        <v>3.6296734410921783</v>
      </c>
      <c r="AC40" s="231" t="s">
        <v>89</v>
      </c>
      <c r="AD40" s="242">
        <v>4.2123158783443282</v>
      </c>
      <c r="AE40" s="230" t="s">
        <v>89</v>
      </c>
      <c r="AF40" s="237">
        <v>4.6963743438958527</v>
      </c>
      <c r="AG40" s="304" t="s">
        <v>89</v>
      </c>
      <c r="AH40" s="242">
        <v>4.871664727465908</v>
      </c>
      <c r="AI40" s="231" t="s">
        <v>89</v>
      </c>
      <c r="AJ40" s="237">
        <v>4.2749469777798552</v>
      </c>
      <c r="AK40" s="610" t="s">
        <v>89</v>
      </c>
      <c r="AL40" s="523">
        <v>3.9516897538054243</v>
      </c>
      <c r="AM40" s="92" t="s">
        <v>89</v>
      </c>
      <c r="AN40" s="41">
        <v>4.47</v>
      </c>
      <c r="AO40" s="37" t="s">
        <v>89</v>
      </c>
      <c r="AP40" s="697">
        <v>4.2409367826434456</v>
      </c>
      <c r="AQ40" s="475" t="s">
        <v>89</v>
      </c>
      <c r="AR40" s="562"/>
      <c r="AS40" s="147"/>
    </row>
    <row r="41" spans="1:45" s="38" customFormat="1" ht="12.75" customHeight="1" x14ac:dyDescent="0.25">
      <c r="A41" s="133" t="s">
        <v>91</v>
      </c>
      <c r="B41" s="238" t="s">
        <v>82</v>
      </c>
      <c r="C41" s="234"/>
      <c r="D41" s="235">
        <v>3.2267000000000001</v>
      </c>
      <c r="E41" s="234"/>
      <c r="F41" s="236">
        <v>2.74075274</v>
      </c>
      <c r="G41" s="234"/>
      <c r="H41" s="236">
        <v>1.5665221499999999</v>
      </c>
      <c r="I41" s="234"/>
      <c r="J41" s="236">
        <v>1.4480200299999999</v>
      </c>
      <c r="K41" s="234"/>
      <c r="L41" s="236">
        <v>1.36078177</v>
      </c>
      <c r="M41" s="234"/>
      <c r="N41" s="236">
        <v>1.5796652499999999</v>
      </c>
      <c r="O41" s="234"/>
      <c r="P41" s="236">
        <v>2.18331695</v>
      </c>
      <c r="Q41" s="234"/>
      <c r="R41" s="236">
        <v>2.9990621900000001</v>
      </c>
      <c r="S41" s="234"/>
      <c r="T41" s="236">
        <v>3.314175988201566</v>
      </c>
      <c r="U41" s="234"/>
      <c r="V41" s="236">
        <v>2.9590676440742349</v>
      </c>
      <c r="W41" s="234"/>
      <c r="X41" s="236">
        <v>3.7801114275083503</v>
      </c>
      <c r="Y41" s="234"/>
      <c r="Z41" s="235">
        <v>3.0840246169746219</v>
      </c>
      <c r="AA41" s="598"/>
      <c r="AB41" s="242">
        <v>3.1037333475332645</v>
      </c>
      <c r="AC41" s="231"/>
      <c r="AD41" s="242">
        <v>4.1128225685315929</v>
      </c>
      <c r="AE41" s="230"/>
      <c r="AF41" s="237">
        <v>4.6678837336602843</v>
      </c>
      <c r="AG41" s="304" t="s">
        <v>89</v>
      </c>
      <c r="AH41" s="242">
        <v>4.7242735290616356</v>
      </c>
      <c r="AI41" s="231" t="s">
        <v>89</v>
      </c>
      <c r="AJ41" s="237">
        <v>4.1122101193955238</v>
      </c>
      <c r="AK41" s="610" t="s">
        <v>89</v>
      </c>
      <c r="AL41" s="523">
        <v>3.8019570463862369</v>
      </c>
      <c r="AM41" s="92" t="s">
        <v>89</v>
      </c>
      <c r="AN41" s="41">
        <v>4.32</v>
      </c>
      <c r="AO41" s="37" t="s">
        <v>89</v>
      </c>
      <c r="AP41" s="697">
        <v>4.0919445973800253</v>
      </c>
      <c r="AQ41" s="475" t="s">
        <v>89</v>
      </c>
      <c r="AR41" s="562"/>
      <c r="AS41" s="147"/>
    </row>
    <row r="42" spans="1:45" s="30" customFormat="1" x14ac:dyDescent="0.25">
      <c r="A42" s="133" t="s">
        <v>92</v>
      </c>
      <c r="B42" s="32"/>
      <c r="C42" s="35"/>
      <c r="D42" s="32"/>
      <c r="E42" s="35"/>
      <c r="F42" s="32"/>
      <c r="G42" s="35"/>
      <c r="H42" s="32"/>
      <c r="I42" s="35"/>
      <c r="J42" s="32"/>
      <c r="K42" s="35"/>
      <c r="L42" s="32"/>
      <c r="M42" s="35"/>
      <c r="N42" s="32"/>
      <c r="O42" s="35"/>
      <c r="P42" s="32"/>
      <c r="Q42" s="35"/>
      <c r="R42" s="32"/>
      <c r="S42" s="35"/>
      <c r="T42" s="32"/>
      <c r="U42" s="35"/>
      <c r="V42" s="32"/>
      <c r="W42" s="115"/>
      <c r="X42" s="76"/>
      <c r="Y42" s="35"/>
      <c r="Z42" s="133"/>
      <c r="AA42" s="92"/>
      <c r="AB42" s="189"/>
      <c r="AC42" s="216"/>
      <c r="AD42" s="189"/>
      <c r="AE42" s="216"/>
      <c r="AF42" s="237">
        <v>4.38</v>
      </c>
      <c r="AG42" s="304" t="s">
        <v>89</v>
      </c>
      <c r="AH42" s="242">
        <v>4.4298633372190537</v>
      </c>
      <c r="AI42" s="231" t="s">
        <v>89</v>
      </c>
      <c r="AJ42" s="237">
        <v>3.8962272725305884</v>
      </c>
      <c r="AK42" s="610" t="s">
        <v>89</v>
      </c>
      <c r="AL42" s="523">
        <v>3.6260469389717822</v>
      </c>
      <c r="AM42" s="92" t="s">
        <v>89</v>
      </c>
      <c r="AN42" s="41">
        <v>4.5910673440124254</v>
      </c>
      <c r="AO42" s="37" t="s">
        <v>89</v>
      </c>
      <c r="AP42" s="697">
        <v>4.3494191211144893</v>
      </c>
      <c r="AQ42" s="475" t="s">
        <v>89</v>
      </c>
      <c r="AR42" s="562"/>
      <c r="AS42" s="147"/>
    </row>
    <row r="43" spans="1:45" s="30" customFormat="1" x14ac:dyDescent="0.25">
      <c r="A43" s="133"/>
      <c r="B43" s="32"/>
      <c r="C43" s="35"/>
      <c r="D43" s="32"/>
      <c r="E43" s="35"/>
      <c r="F43" s="32"/>
      <c r="G43" s="35"/>
      <c r="H43" s="32"/>
      <c r="I43" s="35"/>
      <c r="J43" s="32"/>
      <c r="K43" s="35"/>
      <c r="L43" s="32"/>
      <c r="M43" s="35"/>
      <c r="N43" s="32"/>
      <c r="O43" s="35"/>
      <c r="P43" s="32"/>
      <c r="Q43" s="35"/>
      <c r="R43" s="32"/>
      <c r="S43" s="35"/>
      <c r="T43" s="32"/>
      <c r="U43" s="35"/>
      <c r="V43" s="32"/>
      <c r="W43" s="115"/>
      <c r="X43" s="76"/>
      <c r="Y43" s="35"/>
      <c r="Z43" s="133"/>
      <c r="AA43" s="92"/>
      <c r="AB43" s="189"/>
      <c r="AC43" s="216"/>
      <c r="AD43" s="189"/>
      <c r="AE43" s="216"/>
      <c r="AF43" s="237"/>
      <c r="AG43" s="304"/>
      <c r="AH43" s="242"/>
      <c r="AI43" s="231"/>
      <c r="AJ43" s="237"/>
      <c r="AK43" s="610"/>
      <c r="AL43" s="242"/>
      <c r="AM43" s="231"/>
      <c r="AN43" s="237"/>
      <c r="AO43" s="610"/>
      <c r="AP43" s="497"/>
      <c r="AQ43" s="496"/>
      <c r="AR43" s="562"/>
      <c r="AS43" s="147"/>
    </row>
    <row r="44" spans="1:45" s="30" customFormat="1" x14ac:dyDescent="0.25">
      <c r="A44" s="398" t="s">
        <v>93</v>
      </c>
      <c r="B44" s="39"/>
      <c r="C44" s="35"/>
      <c r="D44" s="39"/>
      <c r="E44" s="35"/>
      <c r="F44" s="39"/>
      <c r="G44" s="35"/>
      <c r="H44" s="39"/>
      <c r="I44" s="35"/>
      <c r="J44" s="39"/>
      <c r="K44" s="35"/>
      <c r="L44" s="39"/>
      <c r="M44" s="35"/>
      <c r="N44" s="39"/>
      <c r="O44" s="35"/>
      <c r="P44" s="39"/>
      <c r="Q44" s="35"/>
      <c r="R44" s="39"/>
      <c r="S44" s="35"/>
      <c r="T44" s="39"/>
      <c r="U44" s="35"/>
      <c r="V44" s="39"/>
      <c r="W44" s="35"/>
      <c r="X44" s="39"/>
      <c r="Y44" s="35"/>
      <c r="Z44" s="93"/>
      <c r="AA44" s="92"/>
      <c r="AB44" s="189"/>
      <c r="AC44" s="216"/>
      <c r="AD44" s="189"/>
      <c r="AE44" s="216"/>
      <c r="AF44" s="205"/>
      <c r="AG44" s="299"/>
      <c r="AH44" s="189"/>
      <c r="AI44" s="450"/>
      <c r="AJ44" s="205"/>
      <c r="AK44" s="611"/>
      <c r="AL44" s="189"/>
      <c r="AM44" s="450"/>
      <c r="AN44" s="205"/>
      <c r="AO44" s="611"/>
      <c r="AP44" s="490"/>
      <c r="AQ44" s="498"/>
      <c r="AR44" s="562"/>
      <c r="AS44" s="147"/>
    </row>
    <row r="45" spans="1:45" s="30" customFormat="1" x14ac:dyDescent="0.25">
      <c r="A45" s="6" t="s">
        <v>94</v>
      </c>
      <c r="B45" s="134">
        <v>149549.29999999999</v>
      </c>
      <c r="C45" s="35"/>
      <c r="D45" s="134">
        <v>174019.3</v>
      </c>
      <c r="E45" s="35"/>
      <c r="F45" s="74">
        <v>211223.4</v>
      </c>
      <c r="G45" s="35"/>
      <c r="H45" s="74">
        <v>237215.8</v>
      </c>
      <c r="I45" s="35"/>
      <c r="J45" s="74">
        <v>260913.63</v>
      </c>
      <c r="K45" s="35"/>
      <c r="L45" s="74">
        <v>312693.56149069703</v>
      </c>
      <c r="M45" s="35"/>
      <c r="N45" s="74">
        <v>349411.60292280919</v>
      </c>
      <c r="O45" s="35"/>
      <c r="P45" s="74">
        <v>331609.522</v>
      </c>
      <c r="Q45" s="35"/>
      <c r="R45" s="74">
        <v>255298.70180130261</v>
      </c>
      <c r="S45" s="35"/>
      <c r="T45" s="74">
        <v>280625.01</v>
      </c>
      <c r="U45" s="35"/>
      <c r="V45" s="74">
        <v>336639.28528622113</v>
      </c>
      <c r="W45" s="35"/>
      <c r="X45" s="74">
        <v>390859.42694916669</v>
      </c>
      <c r="Y45" s="35"/>
      <c r="Z45" s="134">
        <v>424719.49307575804</v>
      </c>
      <c r="AA45" s="92"/>
      <c r="AB45" s="190">
        <v>568830.17682913051</v>
      </c>
      <c r="AC45" s="216"/>
      <c r="AD45" s="190">
        <v>600055.59404516208</v>
      </c>
      <c r="AE45" s="216"/>
      <c r="AF45" s="203">
        <v>657191.1743632243</v>
      </c>
      <c r="AG45" s="305"/>
      <c r="AH45" s="190">
        <v>693670.48838766955</v>
      </c>
      <c r="AI45" s="450"/>
      <c r="AJ45" s="203">
        <v>828101.63205151563</v>
      </c>
      <c r="AK45" s="611"/>
      <c r="AL45" s="190">
        <v>1023828.0809161237</v>
      </c>
      <c r="AM45" s="450"/>
      <c r="AN45" s="203">
        <v>1310009.9787528841</v>
      </c>
      <c r="AO45" s="611"/>
      <c r="AP45" s="697">
        <v>1441804.6428977223</v>
      </c>
      <c r="AQ45" s="498"/>
      <c r="AR45" s="559"/>
      <c r="AS45" s="147"/>
    </row>
    <row r="46" spans="1:45" s="187" customFormat="1" x14ac:dyDescent="0.25">
      <c r="A46" s="397" t="s">
        <v>71</v>
      </c>
      <c r="B46" s="223">
        <f>+B45/B70</f>
        <v>3.2320654207035442E-2</v>
      </c>
      <c r="C46" s="232"/>
      <c r="D46" s="223">
        <f>+D45/D70</f>
        <v>3.312076566642834E-2</v>
      </c>
      <c r="E46" s="232"/>
      <c r="F46" s="223">
        <f>+F45/F70</f>
        <v>3.54081385118531E-2</v>
      </c>
      <c r="G46" s="232"/>
      <c r="H46" s="223">
        <f>+H45/H70</f>
        <v>3.4451199102643042E-2</v>
      </c>
      <c r="I46" s="232"/>
      <c r="J46" s="223">
        <f>+J45/J70</f>
        <v>3.2013401045389162E-2</v>
      </c>
      <c r="K46" s="232"/>
      <c r="L46" s="223">
        <f>+L45/L70</f>
        <v>3.2650395298623583E-2</v>
      </c>
      <c r="M46" s="232"/>
      <c r="N46" s="223">
        <f>+N45/N70</f>
        <v>3.0087141592536015E-2</v>
      </c>
      <c r="O46" s="232"/>
      <c r="P46" s="223">
        <f>+P45/P70</f>
        <v>2.387560362262816E-2</v>
      </c>
      <c r="Q46" s="232"/>
      <c r="R46" s="223">
        <f>+R45/R70</f>
        <v>1.5750453470985613E-2</v>
      </c>
      <c r="S46" s="232"/>
      <c r="T46" s="223">
        <v>1.6715759243398215E-2</v>
      </c>
      <c r="U46" s="232"/>
      <c r="V46" s="223">
        <v>1.7888161265507473E-2</v>
      </c>
      <c r="W46" s="232"/>
      <c r="X46" s="223">
        <f>+X45/X70</f>
        <v>1.8075657644443629E-2</v>
      </c>
      <c r="Y46" s="232"/>
      <c r="Z46" s="226">
        <f>+Z45/Z70</f>
        <v>1.7880766351936746E-2</v>
      </c>
      <c r="AA46" s="596"/>
      <c r="AB46" s="251">
        <f>+AB45/AB70</f>
        <v>2.2339519701692827E-2</v>
      </c>
      <c r="AC46" s="291"/>
      <c r="AD46" s="251">
        <f>+AD45/AD70</f>
        <v>2.1429540848144569E-2</v>
      </c>
      <c r="AE46" s="291"/>
      <c r="AF46" s="252">
        <f>+AF45/AF70</f>
        <v>2.1781550498383904E-2</v>
      </c>
      <c r="AG46" s="306"/>
      <c r="AH46" s="251">
        <f>+AH45/AH70</f>
        <v>2.163913937256657E-2</v>
      </c>
      <c r="AI46" s="216"/>
      <c r="AJ46" s="252">
        <f>+AJ45/AJ70</f>
        <v>2.4112221397254316E-2</v>
      </c>
      <c r="AK46" s="266"/>
      <c r="AL46" s="251">
        <f>+AL45/AL70</f>
        <v>2.8428046028751118E-2</v>
      </c>
      <c r="AM46" s="216"/>
      <c r="AN46" s="252">
        <f>+AN45/AN70</f>
        <v>3.462689764336057E-2</v>
      </c>
      <c r="AO46" s="266"/>
      <c r="AP46" s="489">
        <f>+AP45/AP70</f>
        <v>3.9506642562350668E-2</v>
      </c>
      <c r="AQ46" s="499"/>
      <c r="AR46" s="559"/>
      <c r="AS46" s="147"/>
    </row>
    <row r="47" spans="1:45" s="187" customFormat="1" x14ac:dyDescent="0.25">
      <c r="A47" s="400" t="s">
        <v>95</v>
      </c>
      <c r="B47" s="223">
        <f>+B45/B73</f>
        <v>0.24575187023307127</v>
      </c>
      <c r="C47" s="232"/>
      <c r="D47" s="223">
        <f>+D45/D73</f>
        <v>0.24099328631161765</v>
      </c>
      <c r="E47" s="232"/>
      <c r="F47" s="223">
        <f>+F45/F73</f>
        <v>0.26117244782601118</v>
      </c>
      <c r="G47" s="232"/>
      <c r="H47" s="223">
        <f>+H45/H73</f>
        <v>0.24906005489050284</v>
      </c>
      <c r="I47" s="232"/>
      <c r="J47" s="223">
        <f>+J45/J73</f>
        <v>0.23555823572938345</v>
      </c>
      <c r="K47" s="232"/>
      <c r="L47" s="223">
        <f>+L45/L73</f>
        <v>0.23665443523091104</v>
      </c>
      <c r="M47" s="232"/>
      <c r="N47" s="223">
        <f>+N45/N73</f>
        <v>0.21334359935729311</v>
      </c>
      <c r="O47" s="232"/>
      <c r="P47" s="223">
        <f>+P45/P73</f>
        <v>0.15757530763243391</v>
      </c>
      <c r="Q47" s="232"/>
      <c r="R47" s="223">
        <f>+R45/R73</f>
        <v>0.10254808289137947</v>
      </c>
      <c r="S47" s="232"/>
      <c r="T47" s="223">
        <v>0.12175970991999759</v>
      </c>
      <c r="U47" s="232"/>
      <c r="V47" s="223">
        <v>0.12278820914316019</v>
      </c>
      <c r="W47" s="232"/>
      <c r="X47" s="223">
        <f>+X45/X73</f>
        <v>0.12924673350904525</v>
      </c>
      <c r="Y47" s="232"/>
      <c r="Z47" s="226">
        <f>+Z45/Z73</f>
        <v>0.12986902401542125</v>
      </c>
      <c r="AA47" s="596"/>
      <c r="AB47" s="251">
        <f>+AB45/AB73</f>
        <v>0.16085905300333711</v>
      </c>
      <c r="AC47" s="291"/>
      <c r="AD47" s="251">
        <f>+AD45/AD73</f>
        <v>0.1580125083154986</v>
      </c>
      <c r="AE47" s="291"/>
      <c r="AF47" s="252">
        <f>+AF45/AF73</f>
        <v>0.15721700286578921</v>
      </c>
      <c r="AG47" s="306"/>
      <c r="AH47" s="251">
        <f>+AH45/AH73</f>
        <v>0.1520799362876285</v>
      </c>
      <c r="AI47" s="216"/>
      <c r="AJ47" s="252">
        <f>+AJ45/AJ73</f>
        <v>0.17475128667141879</v>
      </c>
      <c r="AK47" s="266"/>
      <c r="AL47" s="251">
        <f>+AL45/AL73</f>
        <v>0.20787347885014995</v>
      </c>
      <c r="AM47" s="216"/>
      <c r="AN47" s="252">
        <f>+AN45/AN73</f>
        <v>0.24925290551252494</v>
      </c>
      <c r="AO47" s="266"/>
      <c r="AP47" s="489">
        <f>+AP45/AP73</f>
        <v>0.30711274310638509</v>
      </c>
      <c r="AQ47" s="499"/>
      <c r="AR47" s="563"/>
      <c r="AS47" s="147"/>
    </row>
    <row r="48" spans="1:45" s="187" customFormat="1" x14ac:dyDescent="0.25">
      <c r="A48" s="397" t="s">
        <v>96</v>
      </c>
      <c r="B48" s="228">
        <f>+B45/B75</f>
        <v>0.19763202555074902</v>
      </c>
      <c r="C48" s="232"/>
      <c r="D48" s="223">
        <f>+D45/D75</f>
        <v>0.19723999587564769</v>
      </c>
      <c r="E48" s="232"/>
      <c r="F48" s="228">
        <f>+F45/F75</f>
        <v>0.19775370314109877</v>
      </c>
      <c r="G48" s="232"/>
      <c r="H48" s="223">
        <f>+H45/H75</f>
        <v>0.2022195467454781</v>
      </c>
      <c r="I48" s="232"/>
      <c r="J48" s="223">
        <f>+J45/J75</f>
        <v>0.19619750891057872</v>
      </c>
      <c r="K48" s="232"/>
      <c r="L48" s="223">
        <f>+L45/L75</f>
        <v>0.20550447391311946</v>
      </c>
      <c r="M48" s="232"/>
      <c r="N48" s="223">
        <f>+N45/N75</f>
        <v>0.19859584788407222</v>
      </c>
      <c r="O48" s="232"/>
      <c r="P48" s="223">
        <f>+P45/P75</f>
        <v>0.16358551689715015</v>
      </c>
      <c r="Q48" s="232"/>
      <c r="R48" s="223">
        <f>+R45/R75</f>
        <v>0.10376174994102043</v>
      </c>
      <c r="S48" s="232"/>
      <c r="T48" s="223">
        <v>9.9982556266550782E-2</v>
      </c>
      <c r="U48" s="232"/>
      <c r="V48" s="223">
        <v>9.0383206731839819E-2</v>
      </c>
      <c r="W48" s="232"/>
      <c r="X48" s="223">
        <f>+X45/X75</f>
        <v>0.10100262813594933</v>
      </c>
      <c r="Y48" s="232"/>
      <c r="Z48" s="226">
        <f>+Z45/Z75</f>
        <v>9.9338156277499964E-2</v>
      </c>
      <c r="AA48" s="596"/>
      <c r="AB48" s="251">
        <f>+AB45/AB75</f>
        <v>0.1167477887468811</v>
      </c>
      <c r="AC48" s="291"/>
      <c r="AD48" s="251">
        <f>+AD45/AD75</f>
        <v>0.11264466355874317</v>
      </c>
      <c r="AE48" s="291"/>
      <c r="AF48" s="252">
        <f>+AF45/AF75</f>
        <v>0.11239686213620495</v>
      </c>
      <c r="AG48" s="306"/>
      <c r="AH48" s="251">
        <f>+AH45/AH75</f>
        <v>0.11186389842657164</v>
      </c>
      <c r="AI48" s="216"/>
      <c r="AJ48" s="252">
        <f>+AJ45/AJ75</f>
        <v>0.12241556831372696</v>
      </c>
      <c r="AK48" s="266"/>
      <c r="AL48" s="251">
        <f>+AL45/AL75</f>
        <v>0.14636220721817894</v>
      </c>
      <c r="AM48" s="216"/>
      <c r="AN48" s="252">
        <f>+AN45/AN75</f>
        <v>0.16623640714103793</v>
      </c>
      <c r="AO48" s="266"/>
      <c r="AP48" s="489">
        <f>+AP45/AP75</f>
        <v>0.18768008372634931</v>
      </c>
      <c r="AQ48" s="499"/>
      <c r="AR48" s="563"/>
      <c r="AS48" s="147"/>
    </row>
    <row r="49" spans="1:45" s="30" customFormat="1" x14ac:dyDescent="0.25">
      <c r="A49" s="397"/>
      <c r="B49" s="76"/>
      <c r="C49" s="35"/>
      <c r="D49" s="76"/>
      <c r="E49" s="35"/>
      <c r="F49" s="76"/>
      <c r="G49" s="35"/>
      <c r="H49" s="76"/>
      <c r="I49" s="35"/>
      <c r="J49" s="76"/>
      <c r="K49" s="35"/>
      <c r="L49" s="76"/>
      <c r="M49" s="35"/>
      <c r="N49" s="76"/>
      <c r="O49" s="35"/>
      <c r="P49" s="76"/>
      <c r="Q49" s="35"/>
      <c r="R49" s="76"/>
      <c r="S49" s="35"/>
      <c r="T49" s="76"/>
      <c r="U49" s="35"/>
      <c r="V49" s="76"/>
      <c r="W49" s="35"/>
      <c r="X49" s="76"/>
      <c r="Y49" s="35"/>
      <c r="Z49" s="133"/>
      <c r="AA49" s="92"/>
      <c r="AB49" s="189"/>
      <c r="AC49" s="216"/>
      <c r="AD49" s="189"/>
      <c r="AE49" s="216"/>
      <c r="AF49" s="205"/>
      <c r="AG49" s="305"/>
      <c r="AH49" s="189"/>
      <c r="AI49" s="450"/>
      <c r="AJ49" s="205"/>
      <c r="AK49" s="611"/>
      <c r="AL49" s="189"/>
      <c r="AM49" s="450"/>
      <c r="AN49" s="205"/>
      <c r="AO49" s="611"/>
      <c r="AP49" s="490"/>
      <c r="AQ49" s="498"/>
      <c r="AR49" s="563"/>
      <c r="AS49" s="147"/>
    </row>
    <row r="50" spans="1:45" s="38" customFormat="1" x14ac:dyDescent="0.25">
      <c r="A50" s="6" t="s">
        <v>97</v>
      </c>
      <c r="B50" s="39">
        <f>+B57+B63</f>
        <v>1798054.9000000001</v>
      </c>
      <c r="C50" s="40">
        <v>1</v>
      </c>
      <c r="D50" s="39">
        <f>+D57+D63</f>
        <v>2083384.6088</v>
      </c>
      <c r="E50" s="40">
        <v>1</v>
      </c>
      <c r="F50" s="39">
        <f>+F57+F63</f>
        <v>2472572.2528499998</v>
      </c>
      <c r="G50" s="40">
        <v>1</v>
      </c>
      <c r="H50" s="39">
        <f>+H57+H63</f>
        <v>2794255.4665999999</v>
      </c>
      <c r="I50" s="40">
        <v>1</v>
      </c>
      <c r="J50" s="39">
        <f>+J57+J63</f>
        <v>3344189.4863999998</v>
      </c>
      <c r="K50" s="40">
        <v>1</v>
      </c>
      <c r="L50" s="39">
        <f>+L57+L63</f>
        <v>3576660.7168999999</v>
      </c>
      <c r="M50" s="40">
        <v>1</v>
      </c>
      <c r="N50" s="39">
        <f>+N57+N63</f>
        <v>3837466.1172000002</v>
      </c>
      <c r="O50" s="40">
        <v>1</v>
      </c>
      <c r="P50" s="39">
        <f>+P57+P63</f>
        <v>3744486.5208000001</v>
      </c>
      <c r="Q50" s="40">
        <v>1</v>
      </c>
      <c r="R50" s="39">
        <f>+R57+R63</f>
        <v>3885010.1608529999</v>
      </c>
      <c r="S50" s="40">
        <v>1</v>
      </c>
      <c r="T50" s="39">
        <v>4581892.828349906</v>
      </c>
      <c r="U50" s="40">
        <v>1</v>
      </c>
      <c r="V50" s="39">
        <v>5561293.0269722147</v>
      </c>
      <c r="W50" s="40">
        <v>1</v>
      </c>
      <c r="X50" s="39">
        <f>+X57+X63</f>
        <v>6379725.9971905183</v>
      </c>
      <c r="Y50" s="40">
        <v>1</v>
      </c>
      <c r="Z50" s="93">
        <f>+Z57+Z63</f>
        <v>8017321.7867942927</v>
      </c>
      <c r="AA50" s="90">
        <f>+AA7</f>
        <v>1.0000000000000002</v>
      </c>
      <c r="AB50" s="199">
        <v>7168650.6535445703</v>
      </c>
      <c r="AC50" s="538">
        <f>+AC7</f>
        <v>1.0000000000000002</v>
      </c>
      <c r="AD50" s="199">
        <f>+AD57+AD63</f>
        <v>10494981.374009121</v>
      </c>
      <c r="AE50" s="538">
        <f>+AE7</f>
        <v>1.0000000000000002</v>
      </c>
      <c r="AF50" s="208">
        <f>+AF57+AF63</f>
        <v>12000835.04171964</v>
      </c>
      <c r="AG50" s="539">
        <f>+AG7</f>
        <v>1.0000000000000002</v>
      </c>
      <c r="AH50" s="199">
        <f>+AH57+AH63</f>
        <v>14034679.019789763</v>
      </c>
      <c r="AI50" s="540">
        <f>+AI7</f>
        <v>1.0000000000000002</v>
      </c>
      <c r="AJ50" s="208">
        <f>+AJ57+AJ63</f>
        <v>16066563.279830331</v>
      </c>
      <c r="AK50" s="612">
        <f>+AK7</f>
        <v>1.0000000000000002</v>
      </c>
      <c r="AL50" s="190">
        <f>+AL57+AL63</f>
        <v>18577940.947144195</v>
      </c>
      <c r="AM50" s="447">
        <f>+AM7</f>
        <v>1.0000000000000002</v>
      </c>
      <c r="AN50" s="203">
        <f>+AN57+AN63</f>
        <v>21217056.825013496</v>
      </c>
      <c r="AO50" s="606">
        <f>+AO7</f>
        <v>1.0000000000000002</v>
      </c>
      <c r="AP50" s="487">
        <f>+AP57+AP63</f>
        <v>24282549.98453198</v>
      </c>
      <c r="AQ50" s="488">
        <f>+AQ7</f>
        <v>1.0000000000000002</v>
      </c>
      <c r="AR50" s="559"/>
      <c r="AS50" s="147"/>
    </row>
    <row r="51" spans="1:45" s="38" customFormat="1" ht="12.75" customHeight="1" x14ac:dyDescent="0.25">
      <c r="A51" s="397" t="s">
        <v>71</v>
      </c>
      <c r="B51" s="223">
        <f>+B50/B70</f>
        <v>0.38859634025813361</v>
      </c>
      <c r="C51" s="267"/>
      <c r="D51" s="223">
        <f>+D50/D70</f>
        <v>0.3965266692896034</v>
      </c>
      <c r="E51" s="267"/>
      <c r="F51" s="223">
        <f>+F50/F70</f>
        <v>0.41448618292044093</v>
      </c>
      <c r="G51" s="267"/>
      <c r="H51" s="223">
        <f>+H50/H70</f>
        <v>0.40581382615949413</v>
      </c>
      <c r="I51" s="267"/>
      <c r="J51" s="223">
        <f>+J50/J70</f>
        <v>0.41032306054650031</v>
      </c>
      <c r="K51" s="267"/>
      <c r="L51" s="223">
        <f>+L50/L70</f>
        <v>0.37346271441958589</v>
      </c>
      <c r="M51" s="267"/>
      <c r="N51" s="223">
        <f>+N50/N70</f>
        <v>0.3304366124620724</v>
      </c>
      <c r="O51" s="267"/>
      <c r="P51" s="223">
        <v>0.27966489242198772</v>
      </c>
      <c r="Q51" s="267"/>
      <c r="R51" s="223">
        <f>+R50/R70</f>
        <v>0.23968265933622265</v>
      </c>
      <c r="S51" s="267"/>
      <c r="T51" s="223">
        <v>0.27292594989877922</v>
      </c>
      <c r="U51" s="267"/>
      <c r="V51" s="223">
        <v>0.29551306356487506</v>
      </c>
      <c r="W51" s="267"/>
      <c r="X51" s="223">
        <f>+X50/X70</f>
        <v>0.29503636100241792</v>
      </c>
      <c r="Y51" s="267"/>
      <c r="Z51" s="226">
        <f>+Z50/Z70</f>
        <v>0.33753067606998233</v>
      </c>
      <c r="AA51" s="599"/>
      <c r="AB51" s="243">
        <f>+AB50/AB70</f>
        <v>0.28153255406053718</v>
      </c>
      <c r="AC51" s="291"/>
      <c r="AD51" s="243">
        <f>+AD50/AD70</f>
        <v>0.374802992067295</v>
      </c>
      <c r="AE51" s="291"/>
      <c r="AF51" s="244">
        <f>+AF50/AF70</f>
        <v>0.39774848579984057</v>
      </c>
      <c r="AG51" s="303"/>
      <c r="AH51" s="243">
        <f>+AH50/AH70</f>
        <v>0.43781360234074085</v>
      </c>
      <c r="AI51" s="217"/>
      <c r="AJ51" s="244">
        <f>+AJ50/AJ70</f>
        <v>0.46781761549790718</v>
      </c>
      <c r="AK51" s="613"/>
      <c r="AL51" s="243">
        <f>+AL50/AL70</f>
        <v>0.51584301135036204</v>
      </c>
      <c r="AM51" s="217"/>
      <c r="AN51" s="244">
        <f>+AN50/AN70</f>
        <v>0.56082080815332092</v>
      </c>
      <c r="AO51" s="613"/>
      <c r="AP51" s="500">
        <f>+AP50/AP70</f>
        <v>0.66536200134110013</v>
      </c>
      <c r="AQ51" s="501"/>
      <c r="AR51" s="564"/>
      <c r="AS51" s="147"/>
    </row>
    <row r="52" spans="1:45" s="38" customFormat="1" ht="12.75" customHeight="1" x14ac:dyDescent="0.25">
      <c r="A52" s="397" t="s">
        <v>98</v>
      </c>
      <c r="B52" s="223">
        <f>+B50/B72</f>
        <v>1.3514613325629803</v>
      </c>
      <c r="C52" s="267"/>
      <c r="D52" s="223">
        <f>+D50/D72</f>
        <v>1.4523972995634873</v>
      </c>
      <c r="E52" s="267"/>
      <c r="F52" s="223">
        <f>+F50/F72</f>
        <v>1.5280488658909996</v>
      </c>
      <c r="G52" s="267"/>
      <c r="H52" s="223">
        <f>+H50/H72</f>
        <v>1.4474057516276175</v>
      </c>
      <c r="I52" s="267"/>
      <c r="J52" s="223">
        <f>+J50/J72</f>
        <v>1.4208993060953758</v>
      </c>
      <c r="K52" s="267"/>
      <c r="L52" s="223">
        <f>+L50/L72</f>
        <v>1.2904116297101553</v>
      </c>
      <c r="M52" s="267"/>
      <c r="N52" s="223">
        <f>+N50/N72</f>
        <v>1.1734059767398881</v>
      </c>
      <c r="O52" s="267"/>
      <c r="P52" s="223">
        <v>0.80404841502722846</v>
      </c>
      <c r="Q52" s="267"/>
      <c r="R52" s="223">
        <f>+R50/R72</f>
        <v>0.93606020523801459</v>
      </c>
      <c r="S52" s="267"/>
      <c r="T52" s="223">
        <v>0.92137264496256599</v>
      </c>
      <c r="U52" s="267"/>
      <c r="V52" s="223">
        <v>1.1617102889755544</v>
      </c>
      <c r="W52" s="267"/>
      <c r="X52" s="223">
        <f>+X50/X72</f>
        <v>1.5044712329991181</v>
      </c>
      <c r="Y52" s="267"/>
      <c r="Z52" s="226">
        <f>+Z50/Z72</f>
        <v>1.4543221650144607</v>
      </c>
      <c r="AA52" s="599"/>
      <c r="AB52" s="243">
        <f>+AB50/AB72</f>
        <v>1.6091019603822292</v>
      </c>
      <c r="AC52" s="291"/>
      <c r="AD52" s="243">
        <f>+AD50/AD72</f>
        <v>2.0385369733966971</v>
      </c>
      <c r="AE52" s="291"/>
      <c r="AF52" s="244">
        <f>+AF50/AF72</f>
        <v>2.4001854251300205</v>
      </c>
      <c r="AG52" s="303"/>
      <c r="AH52" s="243">
        <f>+AH50/AH72</f>
        <v>2.4623907433714418</v>
      </c>
      <c r="AI52" s="217"/>
      <c r="AJ52" s="244">
        <f>+AJ50/AJ72</f>
        <v>2.5844492103473198</v>
      </c>
      <c r="AK52" s="613"/>
      <c r="AL52" s="243">
        <f>+AL50/AL72</f>
        <v>2.7954604778291654</v>
      </c>
      <c r="AM52" s="217"/>
      <c r="AN52" s="244">
        <f>+AN50/AN72</f>
        <v>3.1855510830009885</v>
      </c>
      <c r="AO52" s="613"/>
      <c r="AP52" s="500">
        <f>+AP50/AP72</f>
        <v>3.3684705719956414</v>
      </c>
      <c r="AQ52" s="501"/>
      <c r="AR52" s="563"/>
      <c r="AS52" s="147"/>
    </row>
    <row r="53" spans="1:45" s="38" customFormat="1" ht="12.75" customHeight="1" x14ac:dyDescent="0.25">
      <c r="A53" s="397" t="s">
        <v>95</v>
      </c>
      <c r="B53" s="223">
        <f>+B50/B73</f>
        <v>2.9547136259196001</v>
      </c>
      <c r="C53" s="267"/>
      <c r="D53" s="223">
        <f>+D50/D73</f>
        <v>2.8852070059226533</v>
      </c>
      <c r="E53" s="267"/>
      <c r="F53" s="223">
        <f>+F50/F73</f>
        <v>3.0572737097476392</v>
      </c>
      <c r="G53" s="267"/>
      <c r="H53" s="223">
        <f>+H50/H73</f>
        <v>2.9337734665628665</v>
      </c>
      <c r="I53" s="267"/>
      <c r="J53" s="223">
        <f>+J50/J73</f>
        <v>3.0192036167720975</v>
      </c>
      <c r="K53" s="267"/>
      <c r="L53" s="223">
        <f>+L50/L73</f>
        <v>2.7069077403940636</v>
      </c>
      <c r="M53" s="267"/>
      <c r="N53" s="223">
        <f>+N50/N73</f>
        <v>2.3430785555108433</v>
      </c>
      <c r="O53" s="267"/>
      <c r="P53" s="223">
        <v>1.8228958296842019</v>
      </c>
      <c r="Q53" s="267"/>
      <c r="R53" s="223">
        <f>+R50/R73</f>
        <v>1.5605263215128975</v>
      </c>
      <c r="S53" s="267"/>
      <c r="T53" s="223">
        <v>1.9880272266089072</v>
      </c>
      <c r="U53" s="267"/>
      <c r="V53" s="223">
        <v>2.0284656044278164</v>
      </c>
      <c r="W53" s="267"/>
      <c r="X53" s="223">
        <f>+X50/X73</f>
        <v>2.1096043461345224</v>
      </c>
      <c r="Y53" s="267"/>
      <c r="Z53" s="226">
        <f>+Z50/Z73</f>
        <v>2.4515045168478449</v>
      </c>
      <c r="AA53" s="599"/>
      <c r="AB53" s="243">
        <f>+AB50/AB73</f>
        <v>2.0272172652108131</v>
      </c>
      <c r="AC53" s="291"/>
      <c r="AD53" s="243">
        <f>+AD50/AD73</f>
        <v>2.7636411494012458</v>
      </c>
      <c r="AE53" s="291"/>
      <c r="AF53" s="244">
        <f>+AF50/AF73</f>
        <v>2.8709078739135907</v>
      </c>
      <c r="AG53" s="303"/>
      <c r="AH53" s="243">
        <f>+AH50/AH73</f>
        <v>3.0769553078551928</v>
      </c>
      <c r="AI53" s="217"/>
      <c r="AJ53" s="244">
        <f>+AJ50/AJ73</f>
        <v>3.3904686295358712</v>
      </c>
      <c r="AK53" s="613"/>
      <c r="AL53" s="243">
        <f>+AL50/AL73</f>
        <v>3.7719821194002723</v>
      </c>
      <c r="AM53" s="217"/>
      <c r="AN53" s="244">
        <f>+AN50/AN73</f>
        <v>4.036925783644393</v>
      </c>
      <c r="AO53" s="613"/>
      <c r="AP53" s="500">
        <f>+AP50/AP73</f>
        <v>5.1723238457462362</v>
      </c>
      <c r="AQ53" s="501"/>
      <c r="AR53" s="563"/>
      <c r="AS53" s="147"/>
    </row>
    <row r="54" spans="1:45" s="38" customFormat="1" ht="12.75" customHeight="1" x14ac:dyDescent="0.25">
      <c r="A54" s="397" t="s">
        <v>99</v>
      </c>
      <c r="B54" s="223">
        <f>+B50/B74</f>
        <v>2.9781556633109996</v>
      </c>
      <c r="C54" s="267"/>
      <c r="D54" s="223">
        <f>+D50/D74</f>
        <v>2.9222271546955785</v>
      </c>
      <c r="E54" s="267"/>
      <c r="F54" s="223">
        <f>+F50/F74</f>
        <v>3.0852201533169232</v>
      </c>
      <c r="G54" s="267"/>
      <c r="H54" s="223">
        <f>+H50/H74</f>
        <v>2.9983116173069821</v>
      </c>
      <c r="I54" s="267"/>
      <c r="J54" s="223">
        <f>+J50/J74</f>
        <v>3.0795073678840499</v>
      </c>
      <c r="K54" s="267"/>
      <c r="L54" s="223">
        <f>+L50/L74</f>
        <v>2.7580933128932439</v>
      </c>
      <c r="M54" s="267"/>
      <c r="N54" s="223">
        <f>+N50/N74</f>
        <v>2.3819605085628694</v>
      </c>
      <c r="O54" s="267"/>
      <c r="P54" s="223">
        <v>1.8240637181922721</v>
      </c>
      <c r="Q54" s="267"/>
      <c r="R54" s="223">
        <f>+R50/R74</f>
        <v>1.5842247918344545</v>
      </c>
      <c r="S54" s="267"/>
      <c r="T54" s="223">
        <v>1.9903882365868091</v>
      </c>
      <c r="U54" s="267"/>
      <c r="V54" s="223">
        <v>2.2319701161218353</v>
      </c>
      <c r="W54" s="267"/>
      <c r="X54" s="223">
        <f>+X50/X74</f>
        <v>2.2494690000904023</v>
      </c>
      <c r="Y54" s="267"/>
      <c r="Z54" s="226">
        <f>+Z50/Z74</f>
        <v>2.6013325903728255</v>
      </c>
      <c r="AA54" s="599"/>
      <c r="AB54" s="243">
        <f>+AB50/AB74</f>
        <v>2.1408023596079042</v>
      </c>
      <c r="AC54" s="291"/>
      <c r="AD54" s="243">
        <f>+AD50/AD74</f>
        <v>2.9296365439492931</v>
      </c>
      <c r="AE54" s="291"/>
      <c r="AF54" s="244">
        <f>+AF50/AF74</f>
        <v>3.0572482941546544</v>
      </c>
      <c r="AG54" s="303"/>
      <c r="AH54" s="243">
        <f>+AH50/AH74</f>
        <v>3.2535515012304805</v>
      </c>
      <c r="AI54" s="217"/>
      <c r="AJ54" s="244">
        <f>+AJ50/AJ74</f>
        <v>3.6007405915954567</v>
      </c>
      <c r="AK54" s="613"/>
      <c r="AL54" s="243">
        <f>+AL50/AL74</f>
        <v>3.9930765422604937</v>
      </c>
      <c r="AM54" s="217"/>
      <c r="AN54" s="244">
        <f>+AN50/AN74</f>
        <v>4.3392482484194863</v>
      </c>
      <c r="AO54" s="613"/>
      <c r="AP54" s="500">
        <f>+AP50/AP74</f>
        <v>5.5933453665952886</v>
      </c>
      <c r="AQ54" s="501"/>
      <c r="AR54" s="563"/>
      <c r="AS54" s="147"/>
    </row>
    <row r="55" spans="1:45" s="38" customFormat="1" ht="12.75" customHeight="1" x14ac:dyDescent="0.25">
      <c r="A55" s="397" t="s">
        <v>96</v>
      </c>
      <c r="B55" s="223">
        <f>+B50/B75</f>
        <v>2.376161118363306</v>
      </c>
      <c r="C55" s="267"/>
      <c r="D55" s="223">
        <f>+D50/D75</f>
        <v>2.3613861890439733</v>
      </c>
      <c r="E55" s="267"/>
      <c r="F55" s="223">
        <f>+F50/F75</f>
        <v>2.3148965469025526</v>
      </c>
      <c r="G55" s="267"/>
      <c r="H55" s="223">
        <f>+H50/H75</f>
        <v>2.3820212395081879</v>
      </c>
      <c r="I55" s="267"/>
      <c r="J55" s="223">
        <f>+J50/J75</f>
        <v>2.5147082065303663</v>
      </c>
      <c r="K55" s="267"/>
      <c r="L55" s="223">
        <f>+L50/L75</f>
        <v>2.3506073341843425</v>
      </c>
      <c r="M55" s="267"/>
      <c r="N55" s="223">
        <f>+N50/N75</f>
        <v>2.1811091300253533</v>
      </c>
      <c r="O55" s="267"/>
      <c r="P55" s="223">
        <v>1.903277919833005</v>
      </c>
      <c r="Q55" s="267"/>
      <c r="R55" s="223">
        <f>+R50/R75</f>
        <v>1.5789953101386891</v>
      </c>
      <c r="S55" s="267"/>
      <c r="T55" s="223">
        <v>1.6324615439250045</v>
      </c>
      <c r="U55" s="267"/>
      <c r="V55" s="223">
        <v>1.4931338061919972</v>
      </c>
      <c r="W55" s="267"/>
      <c r="X55" s="223">
        <f>+X50/X75</f>
        <v>1.6485955002622619</v>
      </c>
      <c r="Y55" s="267"/>
      <c r="Z55" s="226">
        <f>+Z50/Z75</f>
        <v>1.875181096153542</v>
      </c>
      <c r="AA55" s="599"/>
      <c r="AB55" s="243">
        <f>+AB50/AB75</f>
        <v>1.4713075117876775</v>
      </c>
      <c r="AC55" s="291"/>
      <c r="AD55" s="243">
        <f>+AD50/AD75</f>
        <v>1.9701568615683254</v>
      </c>
      <c r="AE55" s="291"/>
      <c r="AF55" s="244">
        <f>+AF50/AF75</f>
        <v>2.0524563541353915</v>
      </c>
      <c r="AG55" s="303"/>
      <c r="AH55" s="243">
        <f>+AH50/AH75</f>
        <v>2.2632848515272159</v>
      </c>
      <c r="AI55" s="217"/>
      <c r="AJ55" s="244">
        <f>+AJ50/AJ75</f>
        <v>2.3750677436492889</v>
      </c>
      <c r="AK55" s="613"/>
      <c r="AL55" s="243">
        <f>+AL50/AL75</f>
        <v>2.6558252242504876</v>
      </c>
      <c r="AM55" s="217"/>
      <c r="AN55" s="244">
        <f>+AN50/AN75</f>
        <v>2.6923820076967608</v>
      </c>
      <c r="AO55" s="613"/>
      <c r="AP55" s="500">
        <f>+AP50/AP75</f>
        <v>3.1608658195377375</v>
      </c>
      <c r="AQ55" s="501"/>
      <c r="AR55" s="563"/>
      <c r="AS55" s="147"/>
    </row>
    <row r="56" spans="1:45" s="38" customFormat="1" x14ac:dyDescent="0.25">
      <c r="A56" s="397"/>
      <c r="B56" s="75"/>
      <c r="C56" s="211"/>
      <c r="D56" s="75"/>
      <c r="E56" s="211"/>
      <c r="F56" s="75"/>
      <c r="G56" s="211"/>
      <c r="H56" s="75"/>
      <c r="I56" s="211"/>
      <c r="J56" s="75"/>
      <c r="K56" s="211"/>
      <c r="L56" s="75"/>
      <c r="M56" s="211"/>
      <c r="N56" s="75"/>
      <c r="O56" s="211"/>
      <c r="P56" s="75"/>
      <c r="Q56" s="211"/>
      <c r="R56" s="75"/>
      <c r="S56" s="211"/>
      <c r="T56" s="75"/>
      <c r="U56" s="211"/>
      <c r="V56" s="75"/>
      <c r="W56" s="211"/>
      <c r="X56" s="75"/>
      <c r="Y56" s="211"/>
      <c r="Z56" s="153"/>
      <c r="AA56" s="174"/>
      <c r="AB56" s="189"/>
      <c r="AC56" s="217"/>
      <c r="AD56" s="189"/>
      <c r="AE56" s="217"/>
      <c r="AF56" s="205"/>
      <c r="AG56" s="307"/>
      <c r="AH56" s="189"/>
      <c r="AI56" s="447"/>
      <c r="AJ56" s="205"/>
      <c r="AK56" s="606"/>
      <c r="AL56" s="189"/>
      <c r="AM56" s="447"/>
      <c r="AN56" s="205"/>
      <c r="AO56" s="606"/>
      <c r="AP56" s="490"/>
      <c r="AQ56" s="488"/>
      <c r="AR56" s="563"/>
      <c r="AS56" s="147"/>
    </row>
    <row r="57" spans="1:45" s="38" customFormat="1" ht="19.5" customHeight="1" x14ac:dyDescent="0.25">
      <c r="A57" s="6" t="s">
        <v>100</v>
      </c>
      <c r="B57" s="41">
        <f>B7</f>
        <v>1299692.5900000001</v>
      </c>
      <c r="C57" s="40">
        <f>+B57/B50</f>
        <v>0.72283253976282924</v>
      </c>
      <c r="D57" s="41">
        <f>D7</f>
        <v>1494728.06</v>
      </c>
      <c r="E57" s="40">
        <f>+D57/D50</f>
        <v>0.71745181071532549</v>
      </c>
      <c r="F57" s="41">
        <f>F7</f>
        <v>1732971.03</v>
      </c>
      <c r="G57" s="40">
        <f>+F57/F50</f>
        <v>0.70087781176161723</v>
      </c>
      <c r="H57" s="41">
        <f>H7</f>
        <v>1880118.11</v>
      </c>
      <c r="I57" s="40">
        <f>+H57/H50</f>
        <v>0.67285118790075915</v>
      </c>
      <c r="J57" s="41">
        <f>J7</f>
        <v>2240474.34</v>
      </c>
      <c r="K57" s="40">
        <f>+J57/J50</f>
        <v>0.66996034438582519</v>
      </c>
      <c r="L57" s="41">
        <f>L7</f>
        <v>2398387.04</v>
      </c>
      <c r="M57" s="40">
        <f>+L57/L50</f>
        <v>0.67056599153155205</v>
      </c>
      <c r="N57" s="41">
        <f>N7</f>
        <v>2634801.87</v>
      </c>
      <c r="O57" s="40">
        <f>+N57/N50</f>
        <v>0.68659938342920879</v>
      </c>
      <c r="P57" s="41">
        <f>P7</f>
        <v>2611813.94</v>
      </c>
      <c r="Q57" s="40">
        <f>+P57/P50</f>
        <v>0.69750923804687448</v>
      </c>
      <c r="R57" s="41">
        <f>R7</f>
        <v>2752828.4192530001</v>
      </c>
      <c r="S57" s="40">
        <f>+R57/R50</f>
        <v>0.70857689047808925</v>
      </c>
      <c r="T57" s="41">
        <v>3611179.38</v>
      </c>
      <c r="U57" s="40">
        <v>0.78814138943981094</v>
      </c>
      <c r="V57" s="41">
        <v>4420051.5405248804</v>
      </c>
      <c r="W57" s="40">
        <v>0.79478846359788546</v>
      </c>
      <c r="X57" s="41">
        <f>X7</f>
        <v>5354702.1326660756</v>
      </c>
      <c r="Y57" s="40">
        <f>+X57/X50</f>
        <v>0.83933105199567515</v>
      </c>
      <c r="Z57" s="89">
        <v>6631965.3008675929</v>
      </c>
      <c r="AA57" s="90">
        <f>+Z57/Z50</f>
        <v>0.82720457993733199</v>
      </c>
      <c r="AB57" s="199">
        <v>7168650.6535445713</v>
      </c>
      <c r="AC57" s="538">
        <f>+AB57/AB50</f>
        <v>1.0000000000000002</v>
      </c>
      <c r="AD57" s="199">
        <f>+AD7</f>
        <v>8117725.8890507501</v>
      </c>
      <c r="AE57" s="538">
        <f>+AD57/AD50</f>
        <v>0.77348645030989216</v>
      </c>
      <c r="AF57" s="208">
        <f>+AF7</f>
        <v>9039699.8221732471</v>
      </c>
      <c r="AG57" s="539">
        <f>+AF57/AF50</f>
        <v>0.75325590183913727</v>
      </c>
      <c r="AH57" s="199">
        <f>+AH7</f>
        <v>10809706.653715998</v>
      </c>
      <c r="AI57" s="540">
        <f>+AH57/AH50</f>
        <v>0.77021402758649804</v>
      </c>
      <c r="AJ57" s="208">
        <f>+AJ7</f>
        <v>12692640.182747636</v>
      </c>
      <c r="AK57" s="612">
        <f>+AJ57/AJ50</f>
        <v>0.79000343518901417</v>
      </c>
      <c r="AL57" s="190">
        <f>+AL7</f>
        <v>14831813.152678255</v>
      </c>
      <c r="AM57" s="447">
        <f>+AL57/AL50</f>
        <v>0.79835613617655532</v>
      </c>
      <c r="AN57" s="203">
        <f>+AN7</f>
        <v>16581137.964136351</v>
      </c>
      <c r="AO57" s="606">
        <f>+AN57/AN50</f>
        <v>0.78150037966567987</v>
      </c>
      <c r="AP57" s="487">
        <f>+AP7</f>
        <v>18521054.219445854</v>
      </c>
      <c r="AQ57" s="488">
        <f>+AP57/AP50</f>
        <v>0.76273102418171868</v>
      </c>
      <c r="AR57" s="559"/>
      <c r="AS57" s="147"/>
    </row>
    <row r="58" spans="1:45" s="187" customFormat="1" x14ac:dyDescent="0.25">
      <c r="A58" s="397" t="s">
        <v>71</v>
      </c>
      <c r="B58" s="223">
        <f>+B57/B70</f>
        <v>0.28089007957132728</v>
      </c>
      <c r="C58" s="267"/>
      <c r="D58" s="223">
        <f>+D57/D70</f>
        <v>0.28448877687874302</v>
      </c>
      <c r="E58" s="267"/>
      <c r="F58" s="223">
        <f>+F57/F70</f>
        <v>0.29050416889070407</v>
      </c>
      <c r="G58" s="267"/>
      <c r="H58" s="223">
        <f>+H57/H70</f>
        <v>0.27305231499796784</v>
      </c>
      <c r="I58" s="267"/>
      <c r="J58" s="223">
        <f>+J57/J70</f>
        <v>0.2749001789531792</v>
      </c>
      <c r="K58" s="267"/>
      <c r="L58" s="223">
        <f>+L57/L70</f>
        <v>0.25043139539483444</v>
      </c>
      <c r="M58" s="267"/>
      <c r="N58" s="223">
        <f>+N57/N70</f>
        <v>0.2268775743788953</v>
      </c>
      <c r="O58" s="267"/>
      <c r="P58" s="223">
        <f>+P57/P70</f>
        <v>0.18804838290347622</v>
      </c>
      <c r="Q58" s="267"/>
      <c r="R58" s="223">
        <f>+R57/R70</f>
        <v>0.16983359345397983</v>
      </c>
      <c r="S58" s="267"/>
      <c r="T58" s="223">
        <v>0.21510423736740408</v>
      </c>
      <c r="U58" s="267"/>
      <c r="V58" s="223">
        <v>0.23487037376383132</v>
      </c>
      <c r="W58" s="267"/>
      <c r="X58" s="223">
        <f>+X57/X70</f>
        <v>0.24763317925713524</v>
      </c>
      <c r="Y58" s="267"/>
      <c r="Z58" s="226">
        <f>+Z57/Z70</f>
        <v>0.2792069211144334</v>
      </c>
      <c r="AA58" s="599"/>
      <c r="AB58" s="245">
        <f>+AB57/AB70</f>
        <v>0.28153255406053723</v>
      </c>
      <c r="AC58" s="291"/>
      <c r="AD58" s="245">
        <f>+AD57/AD70</f>
        <v>0.28990503589965871</v>
      </c>
      <c r="AE58" s="291"/>
      <c r="AF58" s="246">
        <f>+AF57/AF70</f>
        <v>0.29960639437631015</v>
      </c>
      <c r="AG58" s="303"/>
      <c r="AH58" s="245">
        <f>+AH57/AH70</f>
        <v>0.33721017799101549</v>
      </c>
      <c r="AI58" s="217"/>
      <c r="AJ58" s="246">
        <f>+AJ57/AJ70</f>
        <v>0.3695775232852801</v>
      </c>
      <c r="AK58" s="613"/>
      <c r="AL58" s="245">
        <f>+AL57/AL70</f>
        <v>0.41182643341535397</v>
      </c>
      <c r="AM58" s="217"/>
      <c r="AN58" s="246">
        <f>+AN57/AN70</f>
        <v>0.43828167449623368</v>
      </c>
      <c r="AO58" s="613"/>
      <c r="AP58" s="502">
        <f>+AP57/AP70</f>
        <v>0.50749224073449539</v>
      </c>
      <c r="AQ58" s="501"/>
      <c r="AR58" s="564"/>
      <c r="AS58" s="147"/>
    </row>
    <row r="59" spans="1:45" s="187" customFormat="1" x14ac:dyDescent="0.25">
      <c r="A59" s="397" t="s">
        <v>95</v>
      </c>
      <c r="B59" s="223">
        <f>+B57/B73</f>
        <v>2.1357631544953026</v>
      </c>
      <c r="C59" s="267"/>
      <c r="D59" s="223">
        <f>+D57/D73</f>
        <v>2.0699969906877502</v>
      </c>
      <c r="E59" s="267"/>
      <c r="F59" s="223">
        <f>+F57/F73</f>
        <v>2.1427753076442468</v>
      </c>
      <c r="G59" s="267"/>
      <c r="H59" s="223">
        <f>+H57/H73</f>
        <v>1.973992962008553</v>
      </c>
      <c r="I59" s="267"/>
      <c r="J59" s="223">
        <f>+J57/J73</f>
        <v>2.0227466948635637</v>
      </c>
      <c r="K59" s="267"/>
      <c r="L59" s="223">
        <f>+L57/L73</f>
        <v>1.8151602729217782</v>
      </c>
      <c r="M59" s="267"/>
      <c r="N59" s="223">
        <f>+N57/N73</f>
        <v>1.6087562915399463</v>
      </c>
      <c r="O59" s="267"/>
      <c r="P59" s="223">
        <f>+P57/P73</f>
        <v>1.2410903721702518</v>
      </c>
      <c r="Q59" s="267"/>
      <c r="R59" s="223">
        <f>+R57/R73</f>
        <v>1.10575288840682</v>
      </c>
      <c r="S59" s="267"/>
      <c r="T59" s="223">
        <v>1.566846540623718</v>
      </c>
      <c r="U59" s="267"/>
      <c r="V59" s="223">
        <v>1.6122010612043405</v>
      </c>
      <c r="W59" s="267"/>
      <c r="X59" s="223">
        <f>+X57/X73</f>
        <v>1.7706564351357372</v>
      </c>
      <c r="Y59" s="267"/>
      <c r="Z59" s="226">
        <f>+Z57/Z73</f>
        <v>2.0278957640735937</v>
      </c>
      <c r="AA59" s="599"/>
      <c r="AB59" s="245">
        <f>+AB57/AB73</f>
        <v>2.0272172652108136</v>
      </c>
      <c r="AC59" s="291"/>
      <c r="AD59" s="245">
        <f>+AD57/AD73</f>
        <v>2.1376389825807203</v>
      </c>
      <c r="AE59" s="291"/>
      <c r="AF59" s="246">
        <f>+AF57/AF73</f>
        <v>2.162528299661862</v>
      </c>
      <c r="AG59" s="303"/>
      <c r="AH59" s="245">
        <f>+AH57/AH73</f>
        <v>2.3699141403668009</v>
      </c>
      <c r="AI59" s="217"/>
      <c r="AJ59" s="246">
        <f>+AJ57/AJ73</f>
        <v>2.6784818642339272</v>
      </c>
      <c r="AK59" s="613"/>
      <c r="AL59" s="245">
        <f>+AL57/AL73</f>
        <v>3.0113850705714555</v>
      </c>
      <c r="AM59" s="217"/>
      <c r="AN59" s="246">
        <f>+AN57/AN73</f>
        <v>3.1548590326002652</v>
      </c>
      <c r="AO59" s="613"/>
      <c r="AP59" s="502">
        <f>+AP57/AP73</f>
        <v>3.9450918642655526</v>
      </c>
      <c r="AQ59" s="501"/>
      <c r="AR59" s="563"/>
      <c r="AS59" s="147"/>
    </row>
    <row r="60" spans="1:45" s="187" customFormat="1" x14ac:dyDescent="0.25">
      <c r="A60" s="397" t="s">
        <v>99</v>
      </c>
      <c r="B60" s="223">
        <f>+B57/B74</f>
        <v>2.152707821920143</v>
      </c>
      <c r="C60" s="267"/>
      <c r="D60" s="223">
        <f>+D57/D74</f>
        <v>2.0965571634578364</v>
      </c>
      <c r="E60" s="267"/>
      <c r="F60" s="223">
        <f>+F57/F74</f>
        <v>2.1623623498596061</v>
      </c>
      <c r="G60" s="267"/>
      <c r="H60" s="223">
        <f>+H57/H74</f>
        <v>2.0174175334016495</v>
      </c>
      <c r="I60" s="267"/>
      <c r="J60" s="223">
        <f>+J57/J74</f>
        <v>2.0631478167262842</v>
      </c>
      <c r="K60" s="267"/>
      <c r="L60" s="223">
        <f>+L57/L74</f>
        <v>1.8494835770968012</v>
      </c>
      <c r="M60" s="267"/>
      <c r="N60" s="223">
        <f>+N57/N74</f>
        <v>1.6354526165319907</v>
      </c>
      <c r="O60" s="267"/>
      <c r="P60" s="223">
        <f>+P57/P74</f>
        <v>1.2636455699894868</v>
      </c>
      <c r="Q60" s="267"/>
      <c r="R60" s="223">
        <f>+R57/R74</f>
        <v>1.1225450768163561</v>
      </c>
      <c r="S60" s="267"/>
      <c r="T60" s="223">
        <v>1.5687073503081828</v>
      </c>
      <c r="U60" s="267"/>
      <c r="V60" s="223">
        <v>1.7739440993888673</v>
      </c>
      <c r="W60" s="267"/>
      <c r="X60" s="223">
        <f>+X57/X74</f>
        <v>1.8880491822775369</v>
      </c>
      <c r="Y60" s="267"/>
      <c r="Z60" s="226">
        <f>+Z57/Z74</f>
        <v>2.1518342326966446</v>
      </c>
      <c r="AA60" s="599"/>
      <c r="AB60" s="245">
        <f>+AB57/AB74</f>
        <v>2.1408023596079047</v>
      </c>
      <c r="AC60" s="291"/>
      <c r="AD60" s="245">
        <f>+AD57/AD74</f>
        <v>2.2660341710774792</v>
      </c>
      <c r="AE60" s="291"/>
      <c r="AF60" s="246">
        <f>+AF57/AF74</f>
        <v>2.3028903209596279</v>
      </c>
      <c r="AG60" s="303"/>
      <c r="AH60" s="245">
        <f>+AH57/AH74</f>
        <v>2.5059310057228252</v>
      </c>
      <c r="AI60" s="217"/>
      <c r="AJ60" s="246">
        <f>+AJ57/AJ74</f>
        <v>2.8445974365849342</v>
      </c>
      <c r="AK60" s="613"/>
      <c r="AL60" s="245">
        <f>+AL57/AL74</f>
        <v>3.1878971597363273</v>
      </c>
      <c r="AM60" s="217"/>
      <c r="AN60" s="246">
        <f>+AN57/AN74</f>
        <v>3.3911241536034646</v>
      </c>
      <c r="AO60" s="613"/>
      <c r="AP60" s="502">
        <f>+AP57/AP74</f>
        <v>4.2662180400652954</v>
      </c>
      <c r="AQ60" s="501"/>
      <c r="AR60" s="563"/>
      <c r="AS60" s="147"/>
    </row>
    <row r="61" spans="1:45" s="187" customFormat="1" x14ac:dyDescent="0.25">
      <c r="A61" s="397" t="s">
        <v>96</v>
      </c>
      <c r="B61" s="223">
        <f>+B57/B75</f>
        <v>1.7175665760722332</v>
      </c>
      <c r="C61" s="267"/>
      <c r="D61" s="223">
        <f>+D57/D75</f>
        <v>1.6941807971277607</v>
      </c>
      <c r="E61" s="267"/>
      <c r="F61" s="223">
        <f>+F57/F75</f>
        <v>1.6224596262475852</v>
      </c>
      <c r="G61" s="267"/>
      <c r="H61" s="223">
        <f>+H57/H75</f>
        <v>1.602745820607923</v>
      </c>
      <c r="I61" s="267"/>
      <c r="J61" s="223">
        <f>+J57/J75</f>
        <v>1.684754776076945</v>
      </c>
      <c r="K61" s="267"/>
      <c r="L61" s="223">
        <f>+L57/L75</f>
        <v>1.5762373377486618</v>
      </c>
      <c r="M61" s="267"/>
      <c r="N61" s="223">
        <f>+N57/N75</f>
        <v>1.4975481838672255</v>
      </c>
      <c r="O61" s="267"/>
      <c r="P61" s="223">
        <f>+P57/P75</f>
        <v>1.2884278196754624</v>
      </c>
      <c r="Q61" s="267"/>
      <c r="R61" s="223">
        <f>+R57/R75</f>
        <v>1.1188395869375585</v>
      </c>
      <c r="S61" s="267"/>
      <c r="T61" s="223">
        <v>1.286610509436112</v>
      </c>
      <c r="U61" s="267"/>
      <c r="V61" s="223">
        <v>1.1867255237694003</v>
      </c>
      <c r="W61" s="267"/>
      <c r="X61" s="223">
        <f>+X57/X75</f>
        <v>1.3837173955504607</v>
      </c>
      <c r="Y61" s="267"/>
      <c r="Z61" s="226">
        <f>+Z57/Z75</f>
        <v>1.5511583909501165</v>
      </c>
      <c r="AA61" s="599"/>
      <c r="AB61" s="245">
        <f>+AB57/AB75</f>
        <v>1.4713075117876777</v>
      </c>
      <c r="AC61" s="291"/>
      <c r="AD61" s="245">
        <f>+AD57/AD75</f>
        <v>1.5238896374081616</v>
      </c>
      <c r="AE61" s="291"/>
      <c r="AF61" s="246">
        <f>+AF57/AF75</f>
        <v>1.5460248620197219</v>
      </c>
      <c r="AG61" s="303"/>
      <c r="AH61" s="245">
        <f>+AH57/AH75</f>
        <v>1.7432137410702861</v>
      </c>
      <c r="AI61" s="217"/>
      <c r="AJ61" s="246">
        <f>+AJ57/AJ75</f>
        <v>1.8763116762895593</v>
      </c>
      <c r="AK61" s="613"/>
      <c r="AL61" s="245">
        <f>+AL57/AL75</f>
        <v>2.1202943643928527</v>
      </c>
      <c r="AM61" s="217"/>
      <c r="AN61" s="246">
        <f>+AN57/AN75</f>
        <v>2.1040975612200641</v>
      </c>
      <c r="AO61" s="613"/>
      <c r="AP61" s="502">
        <f>+AP57/AP75</f>
        <v>2.4108904238370061</v>
      </c>
      <c r="AQ61" s="501"/>
      <c r="AR61" s="563"/>
      <c r="AS61" s="147"/>
    </row>
    <row r="62" spans="1:45" s="30" customFormat="1" ht="12.75" customHeight="1" x14ac:dyDescent="0.25">
      <c r="A62" s="397"/>
      <c r="B62" s="223"/>
      <c r="C62" s="211"/>
      <c r="D62" s="223"/>
      <c r="E62" s="211"/>
      <c r="F62" s="223"/>
      <c r="G62" s="211"/>
      <c r="H62" s="223"/>
      <c r="I62" s="211"/>
      <c r="J62" s="223"/>
      <c r="K62" s="211"/>
      <c r="L62" s="223"/>
      <c r="M62" s="211"/>
      <c r="N62" s="223"/>
      <c r="O62" s="211"/>
      <c r="P62" s="223"/>
      <c r="Q62" s="211"/>
      <c r="R62" s="223"/>
      <c r="S62" s="211"/>
      <c r="T62" s="223"/>
      <c r="U62" s="211"/>
      <c r="V62" s="223"/>
      <c r="W62" s="211"/>
      <c r="X62" s="223"/>
      <c r="Y62" s="211"/>
      <c r="Z62" s="226"/>
      <c r="AA62" s="174"/>
      <c r="AB62" s="189"/>
      <c r="AC62" s="217"/>
      <c r="AD62" s="189"/>
      <c r="AE62" s="217"/>
      <c r="AF62" s="205"/>
      <c r="AG62" s="307"/>
      <c r="AH62" s="189"/>
      <c r="AI62" s="447"/>
      <c r="AJ62" s="205"/>
      <c r="AK62" s="606"/>
      <c r="AL62" s="189"/>
      <c r="AM62" s="447"/>
      <c r="AN62" s="205"/>
      <c r="AO62" s="606"/>
      <c r="AP62" s="490"/>
      <c r="AQ62" s="488"/>
      <c r="AR62" s="563"/>
      <c r="AS62" s="147"/>
    </row>
    <row r="63" spans="1:45" s="38" customFormat="1" ht="12.75" customHeight="1" x14ac:dyDescent="0.25">
      <c r="A63" s="6" t="s">
        <v>101</v>
      </c>
      <c r="B63" s="41">
        <f>+'EXTERNAL DEBT COLONES'!B7</f>
        <v>498362.31000000006</v>
      </c>
      <c r="C63" s="40">
        <f>+B63/B50</f>
        <v>0.27716746023717076</v>
      </c>
      <c r="D63" s="41">
        <f>+'EXTERNAL DEBT COLONES'!D7</f>
        <v>588656.54879999999</v>
      </c>
      <c r="E63" s="40">
        <f>+D63/D50</f>
        <v>0.28254818928467451</v>
      </c>
      <c r="F63" s="41">
        <v>739601.22285000002</v>
      </c>
      <c r="G63" s="40">
        <f>+F63/F50</f>
        <v>0.29912218823838288</v>
      </c>
      <c r="H63" s="41">
        <v>914137.35659999994</v>
      </c>
      <c r="I63" s="40">
        <f>+H63/H50</f>
        <v>0.32714881209924085</v>
      </c>
      <c r="J63" s="41">
        <v>1103715.1464</v>
      </c>
      <c r="K63" s="40">
        <f>+J63/J50</f>
        <v>0.33003965561417475</v>
      </c>
      <c r="L63" s="41">
        <v>1178273.6768999998</v>
      </c>
      <c r="M63" s="40">
        <f>+L63/L50</f>
        <v>0.329434008468448</v>
      </c>
      <c r="N63" s="41">
        <v>1202664.2472000001</v>
      </c>
      <c r="O63" s="40">
        <f>+N63/N50</f>
        <v>0.31340061657079121</v>
      </c>
      <c r="P63" s="41">
        <v>1132672.5807999999</v>
      </c>
      <c r="Q63" s="40">
        <v>0.30249076195312546</v>
      </c>
      <c r="R63" s="41">
        <v>1132181.7415999998</v>
      </c>
      <c r="S63" s="40">
        <f>+R63/R50</f>
        <v>0.29142310952191075</v>
      </c>
      <c r="T63" s="41">
        <v>970713.44834990602</v>
      </c>
      <c r="U63" s="40">
        <v>0.21185861056018909</v>
      </c>
      <c r="V63" s="41">
        <v>1141241.4864473345</v>
      </c>
      <c r="W63" s="40">
        <v>0.20521153640211456</v>
      </c>
      <c r="X63" s="41">
        <v>1025023.8645244431</v>
      </c>
      <c r="Y63" s="40">
        <f>+X63/X50</f>
        <v>0.16066894800432488</v>
      </c>
      <c r="Z63" s="89">
        <v>1385356.4859266996</v>
      </c>
      <c r="AA63" s="90">
        <f>+Z63/Z50</f>
        <v>0.17279542006266799</v>
      </c>
      <c r="AB63" s="199">
        <v>1385356.4859267001</v>
      </c>
      <c r="AC63" s="538">
        <f>+AB63/AB50</f>
        <v>0.1932520571694625</v>
      </c>
      <c r="AD63" s="199">
        <f>+'EXTERNAL DEBT COLONES'!AD67</f>
        <v>2377255.4849583702</v>
      </c>
      <c r="AE63" s="538">
        <f>+AD63/AD50</f>
        <v>0.22651354969010773</v>
      </c>
      <c r="AF63" s="199">
        <f>+'EXTERNAL DEBT COLONES'!AF67</f>
        <v>2961135.219546393</v>
      </c>
      <c r="AG63" s="538">
        <f t="shared" ref="AG63" si="0">+AF63/AF50</f>
        <v>0.24674409816086282</v>
      </c>
      <c r="AH63" s="199">
        <f>+'EXTERNAL DEBT COLONES'!AH67</f>
        <v>3224972.3660737653</v>
      </c>
      <c r="AI63" s="538">
        <f t="shared" ref="AI63" si="1">+AH63/AH50</f>
        <v>0.22978597241350196</v>
      </c>
      <c r="AJ63" s="208">
        <f>+'EXTERNAL DEBT COLONES'!AJ67</f>
        <v>3373923.097082695</v>
      </c>
      <c r="AK63" s="614">
        <f t="shared" ref="AK63" si="2">+AJ63/AJ50</f>
        <v>0.20999656481098583</v>
      </c>
      <c r="AL63" s="190">
        <f>+'EXTERNAL DEBT COLONES'!AL67</f>
        <v>3746127.7944659423</v>
      </c>
      <c r="AM63" s="638">
        <f>+AL63/AL50</f>
        <v>0.20164386382344474</v>
      </c>
      <c r="AN63" s="203">
        <f>+'EXTERNAL DEBT COLONES'!AN67</f>
        <v>4635918.8608771451</v>
      </c>
      <c r="AO63" s="682">
        <f>+AN63/AN50</f>
        <v>0.21849962033432016</v>
      </c>
      <c r="AP63" s="487">
        <f>+'EXTERNAL DEBT COLONES'!AP67</f>
        <v>5761495.7650861247</v>
      </c>
      <c r="AQ63" s="620">
        <f>+AP63/AP50</f>
        <v>0.23726897581828127</v>
      </c>
      <c r="AR63" s="559"/>
      <c r="AS63" s="147"/>
    </row>
    <row r="64" spans="1:45" s="187" customFormat="1" ht="12.75" customHeight="1" x14ac:dyDescent="0.25">
      <c r="A64" s="397" t="s">
        <v>71</v>
      </c>
      <c r="B64" s="223">
        <f>+B63/B70</f>
        <v>0.10770626068680632</v>
      </c>
      <c r="C64" s="232"/>
      <c r="D64" s="223">
        <f>+D63/D70</f>
        <v>0.1120378924108604</v>
      </c>
      <c r="E64" s="232"/>
      <c r="F64" s="223">
        <f>+F63/F70</f>
        <v>0.12398201402973692</v>
      </c>
      <c r="G64" s="232"/>
      <c r="H64" s="223">
        <f>+H63/H70</f>
        <v>0.13276151116152635</v>
      </c>
      <c r="I64" s="232"/>
      <c r="J64" s="223">
        <f>+J63/J70</f>
        <v>0.13542288159332116</v>
      </c>
      <c r="K64" s="232"/>
      <c r="L64" s="223">
        <f>+L63/L70</f>
        <v>0.12303131902475144</v>
      </c>
      <c r="M64" s="232"/>
      <c r="N64" s="223">
        <f>+N63/N70</f>
        <v>0.10355903808317707</v>
      </c>
      <c r="O64" s="232"/>
      <c r="P64" s="223">
        <v>8.459604640026594E-2</v>
      </c>
      <c r="Q64" s="232"/>
      <c r="R64" s="223">
        <f>+R63/R70</f>
        <v>6.9849065882242836E-2</v>
      </c>
      <c r="S64" s="232"/>
      <c r="T64" s="223">
        <v>5.782171253137515E-2</v>
      </c>
      <c r="U64" s="232"/>
      <c r="V64" s="223">
        <v>6.0642689801043759E-2</v>
      </c>
      <c r="W64" s="232"/>
      <c r="X64" s="223">
        <f>+X63/X70</f>
        <v>4.7403181745282713E-2</v>
      </c>
      <c r="Y64" s="232"/>
      <c r="Z64" s="226">
        <f>+Z63/Z70</f>
        <v>5.8323754955548909E-2</v>
      </c>
      <c r="AA64" s="596"/>
      <c r="AB64" s="245">
        <f>+AB63/AB70</f>
        <v>5.4406745232371725E-2</v>
      </c>
      <c r="AC64" s="291"/>
      <c r="AD64" s="245">
        <f>+AD63/AD70</f>
        <v>8.489795616763629E-2</v>
      </c>
      <c r="AE64" s="291"/>
      <c r="AF64" s="246">
        <f>+AF63/AF70</f>
        <v>9.8142091423530406E-2</v>
      </c>
      <c r="AG64" s="306"/>
      <c r="AH64" s="245">
        <f>+AH63/AH70</f>
        <v>0.1006034243497254</v>
      </c>
      <c r="AI64" s="217"/>
      <c r="AJ64" s="246">
        <f>+AJ63/AJ70</f>
        <v>9.8240092212627111E-2</v>
      </c>
      <c r="AK64" s="613"/>
      <c r="AL64" s="245">
        <f>+AL63/AL70</f>
        <v>0.10401657793500806</v>
      </c>
      <c r="AM64" s="217"/>
      <c r="AN64" s="246">
        <f>+AN63/AN70</f>
        <v>0.12253913365708721</v>
      </c>
      <c r="AO64" s="613"/>
      <c r="AP64" s="502">
        <f>+AP63/AP70</f>
        <v>0.15786976060660471</v>
      </c>
      <c r="AQ64" s="501"/>
      <c r="AR64" s="564"/>
      <c r="AS64" s="147"/>
    </row>
    <row r="65" spans="1:46" s="187" customFormat="1" ht="12.75" customHeight="1" x14ac:dyDescent="0.25">
      <c r="A65" s="397" t="s">
        <v>98</v>
      </c>
      <c r="B65" s="223">
        <f>+B63/B72</f>
        <v>0.37458110515522364</v>
      </c>
      <c r="C65" s="232"/>
      <c r="D65" s="223">
        <f>+D63/D72</f>
        <v>0.41037222711361437</v>
      </c>
      <c r="E65" s="232"/>
      <c r="F65" s="223">
        <f>+F63/F72</f>
        <v>0.45707332050049504</v>
      </c>
      <c r="G65" s="232"/>
      <c r="H65" s="223">
        <f>+H63/H72</f>
        <v>0.47351707227058393</v>
      </c>
      <c r="I65" s="232"/>
      <c r="J65" s="223">
        <f>+J63/J72</f>
        <v>0.46895311764613773</v>
      </c>
      <c r="K65" s="232"/>
      <c r="L65" s="223">
        <f>+L63/L72</f>
        <v>0.42510547574971908</v>
      </c>
      <c r="M65" s="232"/>
      <c r="N65" s="223">
        <f>+N63/N72</f>
        <v>0.36774615659813237</v>
      </c>
      <c r="O65" s="232"/>
      <c r="P65" s="223">
        <v>0.24321721770878921</v>
      </c>
      <c r="Q65" s="232"/>
      <c r="R65" s="223">
        <f>+R63/R72</f>
        <v>0.27278957571018014</v>
      </c>
      <c r="S65" s="232"/>
      <c r="T65" s="223">
        <v>0.19520072836993563</v>
      </c>
      <c r="U65" s="232"/>
      <c r="V65" s="223">
        <v>0.23839635325481801</v>
      </c>
      <c r="W65" s="232"/>
      <c r="X65" s="223">
        <f>+X63/X72</f>
        <v>0.24172181030873782</v>
      </c>
      <c r="Y65" s="232"/>
      <c r="Z65" s="226">
        <f>+Z63/Z72</f>
        <v>0.25130020941012243</v>
      </c>
      <c r="AA65" s="596"/>
      <c r="AB65" s="245">
        <f>+AB63/AB72</f>
        <v>0.31096226403928073</v>
      </c>
      <c r="AC65" s="291"/>
      <c r="AD65" s="245">
        <f>+AD63/AD72</f>
        <v>0.46175624601861454</v>
      </c>
      <c r="AE65" s="230"/>
      <c r="AF65" s="246">
        <f>+AF63/AF72</f>
        <v>0.59223158814255406</v>
      </c>
      <c r="AG65" s="306"/>
      <c r="AH65" s="245">
        <f>+AH63/AH72</f>
        <v>0.56582285142761268</v>
      </c>
      <c r="AI65" s="217"/>
      <c r="AJ65" s="246">
        <f>+AJ63/AJ72</f>
        <v>0.5427254561014021</v>
      </c>
      <c r="AK65" s="613"/>
      <c r="AL65" s="245">
        <f>+AL63/AL72</f>
        <v>0.56368745191520608</v>
      </c>
      <c r="AM65" s="217"/>
      <c r="AN65" s="246">
        <f>+AN63/AN72</f>
        <v>0.69604170219129835</v>
      </c>
      <c r="AO65" s="613"/>
      <c r="AP65" s="502">
        <f>+AP63/AP72</f>
        <v>0.79923356269142598</v>
      </c>
      <c r="AQ65" s="501"/>
      <c r="AR65" s="563"/>
      <c r="AS65" s="147"/>
    </row>
    <row r="66" spans="1:46" s="187" customFormat="1" ht="12.75" customHeight="1" x14ac:dyDescent="0.25">
      <c r="A66" s="397" t="s">
        <v>102</v>
      </c>
      <c r="B66" s="223">
        <f>+B63/B73</f>
        <v>0.81895047142429733</v>
      </c>
      <c r="C66" s="232"/>
      <c r="D66" s="223">
        <f>+D63/D73</f>
        <v>0.81521001523490288</v>
      </c>
      <c r="E66" s="232"/>
      <c r="F66" s="223">
        <f>+F63/F73</f>
        <v>0.91449840210339239</v>
      </c>
      <c r="G66" s="232"/>
      <c r="H66" s="223">
        <f>+H63/H73</f>
        <v>0.95978050455431374</v>
      </c>
      <c r="I66" s="232"/>
      <c r="J66" s="223">
        <f>+J63/J73</f>
        <v>0.99645692190853408</v>
      </c>
      <c r="K66" s="232"/>
      <c r="L66" s="223">
        <f>+L63/L73</f>
        <v>0.89174746747228539</v>
      </c>
      <c r="M66" s="232"/>
      <c r="N66" s="223">
        <f>+N63/N73</f>
        <v>0.73432226397089706</v>
      </c>
      <c r="O66" s="232"/>
      <c r="P66" s="223">
        <v>0.55140914848234912</v>
      </c>
      <c r="Q66" s="232"/>
      <c r="R66" s="223">
        <f>+R63/R73</f>
        <v>0.45477343310607765</v>
      </c>
      <c r="S66" s="232"/>
      <c r="T66" s="223">
        <v>0.42118068598518926</v>
      </c>
      <c r="U66" s="232"/>
      <c r="V66" s="223">
        <v>0.41626454322347617</v>
      </c>
      <c r="W66" s="232"/>
      <c r="X66" s="223">
        <f>+X63/X73</f>
        <v>0.33894791099878535</v>
      </c>
      <c r="Y66" s="232"/>
      <c r="Z66" s="226">
        <f>+Z63/Z73</f>
        <v>0.42360875277425131</v>
      </c>
      <c r="AA66" s="596"/>
      <c r="AB66" s="245">
        <f>+AB63/AB73</f>
        <v>0.39176390683144147</v>
      </c>
      <c r="AC66" s="291"/>
      <c r="AD66" s="245">
        <f>+AD63/AD73</f>
        <v>0.62600216682052556</v>
      </c>
      <c r="AE66" s="230"/>
      <c r="AF66" s="246">
        <f>+AF63/AF73</f>
        <v>0.70837957425172904</v>
      </c>
      <c r="AG66" s="306"/>
      <c r="AH66" s="245">
        <f>+AH63/AH73</f>
        <v>0.70704116748839185</v>
      </c>
      <c r="AI66" s="217"/>
      <c r="AJ66" s="246">
        <f>+AJ63/AJ73</f>
        <v>0.71198676530194382</v>
      </c>
      <c r="AK66" s="613"/>
      <c r="AL66" s="245">
        <f>+AL63/AL73</f>
        <v>0.76059704882881696</v>
      </c>
      <c r="AM66" s="217"/>
      <c r="AN66" s="246">
        <f>+AN63/AN73</f>
        <v>0.88206675104412768</v>
      </c>
      <c r="AO66" s="613"/>
      <c r="AP66" s="502">
        <f>+AP63/AP73</f>
        <v>1.2272319814806831</v>
      </c>
      <c r="AQ66" s="501"/>
      <c r="AR66" s="563"/>
      <c r="AS66" s="147"/>
    </row>
    <row r="67" spans="1:46" s="187" customFormat="1" ht="12.75" customHeight="1" x14ac:dyDescent="0.25">
      <c r="A67" s="397" t="s">
        <v>99</v>
      </c>
      <c r="B67" s="223">
        <f>+B63/B74</f>
        <v>0.82544784139085636</v>
      </c>
      <c r="C67" s="232"/>
      <c r="D67" s="223">
        <f>+D63/D74</f>
        <v>0.82566999123774221</v>
      </c>
      <c r="E67" s="232"/>
      <c r="F67" s="223">
        <f>+F63/F74</f>
        <v>0.92285780345731705</v>
      </c>
      <c r="G67" s="232"/>
      <c r="H67" s="223">
        <f>+H63/H74</f>
        <v>0.98089408390533284</v>
      </c>
      <c r="I67" s="232"/>
      <c r="J67" s="223">
        <f>+J63/J74</f>
        <v>1.0163595511577657</v>
      </c>
      <c r="K67" s="232"/>
      <c r="L67" s="223">
        <f>+L63/L74</f>
        <v>0.90860973579644277</v>
      </c>
      <c r="M67" s="232"/>
      <c r="N67" s="223">
        <f>+N63/N74</f>
        <v>0.74650789203087864</v>
      </c>
      <c r="O67" s="232"/>
      <c r="P67" s="223">
        <v>0.55176242396703157</v>
      </c>
      <c r="Q67" s="232"/>
      <c r="R67" s="223">
        <f>+R63/R74</f>
        <v>0.46167971501809851</v>
      </c>
      <c r="S67" s="232"/>
      <c r="T67" s="223">
        <v>0.42168088627862627</v>
      </c>
      <c r="U67" s="232"/>
      <c r="V67" s="223">
        <v>0.45802601673296783</v>
      </c>
      <c r="W67" s="232"/>
      <c r="X67" s="223">
        <f>+X63/X74</f>
        <v>0.36141981781286553</v>
      </c>
      <c r="Y67" s="232"/>
      <c r="Z67" s="226">
        <f>+Z63/Z74</f>
        <v>0.44949835767618057</v>
      </c>
      <c r="AA67" s="596"/>
      <c r="AB67" s="245">
        <f>+AB63/AB74</f>
        <v>0.41371445998746698</v>
      </c>
      <c r="AC67" s="230"/>
      <c r="AD67" s="245">
        <f>+AD63/AD74</f>
        <v>0.66360237287181367</v>
      </c>
      <c r="AE67" s="230"/>
      <c r="AF67" s="246">
        <f>+AF63/AF74</f>
        <v>0.7543579731950264</v>
      </c>
      <c r="AG67" s="306"/>
      <c r="AH67" s="245">
        <f>+AH63/AH74</f>
        <v>0.74762049550765508</v>
      </c>
      <c r="AI67" s="217"/>
      <c r="AJ67" s="246">
        <f>+AJ63/AJ74</f>
        <v>0.75614315501052276</v>
      </c>
      <c r="AK67" s="613"/>
      <c r="AL67" s="245">
        <f>+AL63/AL74</f>
        <v>0.80517938252416654</v>
      </c>
      <c r="AM67" s="217"/>
      <c r="AN67" s="246">
        <f>+AN63/AN74</f>
        <v>0.94812409481602145</v>
      </c>
      <c r="AO67" s="613"/>
      <c r="AP67" s="502">
        <f>+AP63/AP74</f>
        <v>1.3271273265299932</v>
      </c>
      <c r="AQ67" s="501"/>
      <c r="AR67" s="563"/>
      <c r="AS67" s="147"/>
    </row>
    <row r="68" spans="1:46" s="187" customFormat="1" ht="12.75" customHeight="1" x14ac:dyDescent="0.25">
      <c r="A68" s="397" t="s">
        <v>96</v>
      </c>
      <c r="B68" s="223">
        <f>+B63/B75</f>
        <v>0.65859454229107273</v>
      </c>
      <c r="C68" s="232"/>
      <c r="D68" s="223">
        <f>+D63/D75</f>
        <v>0.66720539191621286</v>
      </c>
      <c r="E68" s="232"/>
      <c r="F68" s="223">
        <f>+F63/F75</f>
        <v>0.69243692065496787</v>
      </c>
      <c r="G68" s="232"/>
      <c r="H68" s="223">
        <f>+H63/H75</f>
        <v>0.77927541890026497</v>
      </c>
      <c r="I68" s="232"/>
      <c r="J68" s="223">
        <f>+J63/J75</f>
        <v>0.82995343045342118</v>
      </c>
      <c r="K68" s="232"/>
      <c r="L68" s="223">
        <f>+L63/L75</f>
        <v>0.77436999643568072</v>
      </c>
      <c r="M68" s="232"/>
      <c r="N68" s="223">
        <f>+N63/N75</f>
        <v>0.68356094615812768</v>
      </c>
      <c r="O68" s="232"/>
      <c r="P68" s="223">
        <v>0.5757239881788454</v>
      </c>
      <c r="Q68" s="232"/>
      <c r="R68" s="223">
        <f>+R63/R75</f>
        <v>0.46015572320113057</v>
      </c>
      <c r="S68" s="232"/>
      <c r="T68" s="223">
        <v>0.34585103448889254</v>
      </c>
      <c r="U68" s="232"/>
      <c r="V68" s="223">
        <v>0.30640828242259688</v>
      </c>
      <c r="W68" s="232"/>
      <c r="X68" s="223">
        <f>+X63/X75</f>
        <v>0.26487810471180129</v>
      </c>
      <c r="Y68" s="232"/>
      <c r="Z68" s="226">
        <f>+Z63/Z75</f>
        <v>0.32402270520342547</v>
      </c>
      <c r="AA68" s="596"/>
      <c r="AB68" s="245">
        <f>+AB63/AB75</f>
        <v>0.28433320338185192</v>
      </c>
      <c r="AC68" s="230"/>
      <c r="AD68" s="245">
        <f>+AD63/AD75</f>
        <v>0.44626722416016357</v>
      </c>
      <c r="AE68" s="230"/>
      <c r="AF68" s="246">
        <f>+AF63/AF75</f>
        <v>0.50643149211566973</v>
      </c>
      <c r="AG68" s="306"/>
      <c r="AH68" s="245">
        <f>+AH63/AH75</f>
        <v>0.52007111045692977</v>
      </c>
      <c r="AI68" s="217"/>
      <c r="AJ68" s="246">
        <f>+AJ63/AJ75</f>
        <v>0.49875606735972977</v>
      </c>
      <c r="AK68" s="613"/>
      <c r="AL68" s="245">
        <f>+AL63/AL75</f>
        <v>0.53553085985763493</v>
      </c>
      <c r="AM68" s="217"/>
      <c r="AN68" s="246">
        <f>+AN63/AN75</f>
        <v>0.58828444647669698</v>
      </c>
      <c r="AO68" s="613"/>
      <c r="AP68" s="502">
        <f>+AP63/AP75</f>
        <v>0.74997539570073135</v>
      </c>
      <c r="AQ68" s="501"/>
      <c r="AR68" s="563"/>
      <c r="AS68" s="147"/>
    </row>
    <row r="69" spans="1:46" s="30" customFormat="1" ht="12.75" customHeight="1" x14ac:dyDescent="0.25">
      <c r="A69" s="397"/>
      <c r="B69" s="76"/>
      <c r="C69" s="35"/>
      <c r="D69" s="76"/>
      <c r="E69" s="35"/>
      <c r="F69" s="76"/>
      <c r="G69" s="35"/>
      <c r="H69" s="76"/>
      <c r="I69" s="35"/>
      <c r="J69" s="76"/>
      <c r="K69" s="35"/>
      <c r="L69" s="76"/>
      <c r="M69" s="35"/>
      <c r="N69" s="76"/>
      <c r="O69" s="35"/>
      <c r="P69" s="76"/>
      <c r="Q69" s="35"/>
      <c r="R69" s="76"/>
      <c r="S69" s="35"/>
      <c r="T69" s="76"/>
      <c r="U69" s="35"/>
      <c r="V69" s="76"/>
      <c r="W69" s="35"/>
      <c r="X69" s="76"/>
      <c r="Y69" s="35"/>
      <c r="Z69" s="133"/>
      <c r="AA69" s="92"/>
      <c r="AB69" s="189"/>
      <c r="AC69" s="216"/>
      <c r="AD69" s="189"/>
      <c r="AE69" s="216"/>
      <c r="AF69" s="205"/>
      <c r="AG69" s="305"/>
      <c r="AH69" s="189"/>
      <c r="AI69" s="447"/>
      <c r="AJ69" s="205"/>
      <c r="AK69" s="606"/>
      <c r="AL69" s="189"/>
      <c r="AM69" s="447"/>
      <c r="AN69" s="205"/>
      <c r="AO69" s="606"/>
      <c r="AP69" s="490"/>
      <c r="AQ69" s="488"/>
      <c r="AR69" s="563"/>
      <c r="AS69" s="147"/>
    </row>
    <row r="70" spans="1:46" s="38" customFormat="1" ht="13.5" customHeight="1" x14ac:dyDescent="0.3">
      <c r="A70" s="401" t="s">
        <v>103</v>
      </c>
      <c r="B70" s="41">
        <v>4627050.5244738096</v>
      </c>
      <c r="C70" s="37"/>
      <c r="D70" s="41">
        <v>5254084.4542246899</v>
      </c>
      <c r="E70" s="37"/>
      <c r="F70" s="41">
        <v>5965391.2596758399</v>
      </c>
      <c r="G70" s="37"/>
      <c r="H70" s="41">
        <v>6885560.0437373798</v>
      </c>
      <c r="I70" s="37"/>
      <c r="J70" s="41">
        <v>8150137.80104376</v>
      </c>
      <c r="K70" s="37"/>
      <c r="L70" s="41">
        <v>9577022.2268604208</v>
      </c>
      <c r="M70" s="37"/>
      <c r="N70" s="41">
        <v>11613319.990806</v>
      </c>
      <c r="O70" s="37"/>
      <c r="P70" s="41">
        <v>13889052.911136299</v>
      </c>
      <c r="Q70" s="37"/>
      <c r="R70" s="41">
        <v>16208974.6985124</v>
      </c>
      <c r="S70" s="37"/>
      <c r="T70" s="41">
        <v>17626147.744796</v>
      </c>
      <c r="U70" s="37"/>
      <c r="V70" s="41">
        <v>19802010.5927076</v>
      </c>
      <c r="W70" s="37"/>
      <c r="X70" s="41">
        <v>21623524.556480799</v>
      </c>
      <c r="Y70" s="37"/>
      <c r="Z70" s="89">
        <v>23752868.5692912</v>
      </c>
      <c r="AA70" s="600"/>
      <c r="AB70" s="41">
        <v>25462954.639352702</v>
      </c>
      <c r="AC70" s="169"/>
      <c r="AD70" s="199">
        <v>28001327.620471001</v>
      </c>
      <c r="AE70" s="216"/>
      <c r="AF70" s="208">
        <v>30171918.863718402</v>
      </c>
      <c r="AG70" s="299"/>
      <c r="AH70" s="199">
        <v>32056288.212048002</v>
      </c>
      <c r="AI70" s="447"/>
      <c r="AJ70" s="208">
        <v>34343647.497605197</v>
      </c>
      <c r="AK70" s="606"/>
      <c r="AL70" s="199">
        <v>36014718.700000003</v>
      </c>
      <c r="AM70" s="447"/>
      <c r="AN70" s="208">
        <v>37832149.799999997</v>
      </c>
      <c r="AO70" s="606"/>
      <c r="AP70" s="477">
        <v>36495246.100000001</v>
      </c>
      <c r="AQ70" s="488"/>
      <c r="AR70" s="559"/>
      <c r="AS70" s="147"/>
    </row>
    <row r="71" spans="1:46" s="38" customFormat="1" ht="13.5" customHeight="1" x14ac:dyDescent="0.3">
      <c r="A71" s="401" t="s">
        <v>104</v>
      </c>
      <c r="B71" s="73">
        <v>2.9000000000000001E-2</v>
      </c>
      <c r="C71" s="37"/>
      <c r="D71" s="73">
        <v>5.6000000000000001E-2</v>
      </c>
      <c r="E71" s="37"/>
      <c r="F71" s="73">
        <v>2.9000000000000001E-2</v>
      </c>
      <c r="G71" s="37"/>
      <c r="H71" s="73">
        <v>5.6000000000000001E-2</v>
      </c>
      <c r="I71" s="37"/>
      <c r="J71" s="73">
        <v>4.2999999999999997E-2</v>
      </c>
      <c r="K71" s="37"/>
      <c r="L71" s="73">
        <v>5.8999999999999997E-2</v>
      </c>
      <c r="M71" s="37"/>
      <c r="N71" s="73">
        <v>8.7999999999999995E-2</v>
      </c>
      <c r="O71" s="37"/>
      <c r="P71" s="73">
        <v>6.8000000000000005E-2</v>
      </c>
      <c r="Q71" s="37"/>
      <c r="R71" s="73">
        <v>2.9000000000000001E-2</v>
      </c>
      <c r="S71" s="37"/>
      <c r="T71" s="73">
        <v>-1.2999999999999999E-2</v>
      </c>
      <c r="U71" s="37"/>
      <c r="V71" s="73">
        <v>4.2000000000000003E-2</v>
      </c>
      <c r="W71" s="37"/>
      <c r="X71" s="73">
        <v>4.4999999999999998E-2</v>
      </c>
      <c r="Y71" s="37"/>
      <c r="Z71" s="518">
        <v>4.8000000000000001E-2</v>
      </c>
      <c r="AA71" s="94"/>
      <c r="AB71" s="170">
        <f>349.728835027787%/100</f>
        <v>3.4972883502778697E-2</v>
      </c>
      <c r="AC71" s="169"/>
      <c r="AD71" s="175">
        <f>+'Domestic Debt USD'!AB72</f>
        <v>3.4972883502778697E-2</v>
      </c>
      <c r="AE71" s="216"/>
      <c r="AF71" s="70">
        <v>3.5000000000000003E-2</v>
      </c>
      <c r="AG71" s="299"/>
      <c r="AH71" s="175">
        <v>4.2999999999999997E-2</v>
      </c>
      <c r="AI71" s="447"/>
      <c r="AJ71" s="70">
        <v>3.2000000000000001E-2</v>
      </c>
      <c r="AK71" s="606"/>
      <c r="AL71" s="639">
        <v>2.7E-2</v>
      </c>
      <c r="AM71" s="447"/>
      <c r="AN71" s="683">
        <v>2.1000000000000001E-2</v>
      </c>
      <c r="AO71" s="606"/>
      <c r="AP71" s="617">
        <v>2.1000000000000001E-2</v>
      </c>
      <c r="AQ71" s="488"/>
      <c r="AR71" s="559"/>
      <c r="AS71" s="147"/>
    </row>
    <row r="72" spans="1:46" s="38" customFormat="1" ht="13.5" customHeight="1" x14ac:dyDescent="0.3">
      <c r="A72" s="401" t="s">
        <v>105</v>
      </c>
      <c r="B72" s="41">
        <f>+'Domestic Debt USD'!B73*'Domestic Debt Colones'!B89</f>
        <v>1330452.3456768659</v>
      </c>
      <c r="C72" s="37"/>
      <c r="D72" s="41">
        <f>+'Domestic Debt USD'!D73*'Domestic Debt Colones'!D89</f>
        <v>1434445.3886179447</v>
      </c>
      <c r="E72" s="37"/>
      <c r="F72" s="41">
        <f>+'Domestic Debt USD'!F73*'Domestic Debt Colones'!F89</f>
        <v>1618123.8100708593</v>
      </c>
      <c r="G72" s="37"/>
      <c r="H72" s="41">
        <f>+'Domestic Debt USD'!H73*'Domestic Debt Colones'!H89</f>
        <v>1930526.7119864908</v>
      </c>
      <c r="I72" s="37"/>
      <c r="J72" s="41">
        <f>+'Domestic Debt USD'!J73*'Domestic Debt Colones'!J89</f>
        <v>2353572.4678406776</v>
      </c>
      <c r="K72" s="37"/>
      <c r="L72" s="41">
        <f>+'Domestic Debt USD'!L73*'Domestic Debt Colones'!L89</f>
        <v>2771720.7707616277</v>
      </c>
      <c r="M72" s="37"/>
      <c r="N72" s="41">
        <f>+'Domestic Debt USD'!N73*'Domestic Debt Colones'!N89</f>
        <v>3270365.2386889635</v>
      </c>
      <c r="O72" s="37"/>
      <c r="P72" s="41">
        <f>+'Domestic Debt USD'!P73*'Domestic Debt Colones'!P89</f>
        <v>3417650.7006525528</v>
      </c>
      <c r="Q72" s="37"/>
      <c r="R72" s="41">
        <f>+'Domestic Debt USD'!R73*'Domestic Debt Colones'!R89</f>
        <v>4150384.9208771223</v>
      </c>
      <c r="S72" s="37"/>
      <c r="T72" s="41">
        <f>+'Domestic Debt USD'!T73*'Domestic Debt Colones'!T89</f>
        <v>3722719.9956371812</v>
      </c>
      <c r="U72" s="37"/>
      <c r="V72" s="41">
        <f>+'Domestic Debt USD'!V73*'Domestic Debt Colones'!V89</f>
        <v>3839929.8643856249</v>
      </c>
      <c r="W72" s="37"/>
      <c r="X72" s="41">
        <f>+'Domestic Debt USD'!X73*'Domestic Debt Colones'!X89</f>
        <v>4240510.4579319386</v>
      </c>
      <c r="Y72" s="37"/>
      <c r="Z72" s="89">
        <v>5512755</v>
      </c>
      <c r="AA72" s="94"/>
      <c r="AB72" s="41">
        <f>+'Domestic Debt USD'!AB73*'Domestic Debt Colones'!AB89</f>
        <v>4455063.0289715854</v>
      </c>
      <c r="AC72" s="169"/>
      <c r="AD72" s="166">
        <f>+'Domestic Debt USD'!AD73*'Domestic Debt Colones'!AD89</f>
        <v>5148290.9120465629</v>
      </c>
      <c r="AE72" s="216"/>
      <c r="AF72" s="135">
        <f>+'Domestic Debt USD'!AF73*'Domestic Debt Colones'!AF89</f>
        <v>4999961.6346597644</v>
      </c>
      <c r="AG72" s="299"/>
      <c r="AH72" s="166">
        <f>+'Domestic Debt USD'!AH73*'Domestic Debt USD'!AH90</f>
        <v>5699614.9200000009</v>
      </c>
      <c r="AI72" s="447"/>
      <c r="AJ72" s="135">
        <f>+'Domestic Debt USD'!AJ73*'Domestic Debt USD'!AJ90</f>
        <v>6216629.5300000003</v>
      </c>
      <c r="AK72" s="606"/>
      <c r="AL72" s="166">
        <f>+'Domestic Debt USD'!AJ73*'Domestic Debt Colones'!AL89</f>
        <v>6645753.3899999997</v>
      </c>
      <c r="AM72" s="447"/>
      <c r="AN72" s="135">
        <f>+'Domestic Debt USD'!AN73*'Domestic Debt Colones'!AN89</f>
        <v>6660403.8899999997</v>
      </c>
      <c r="AO72" s="606"/>
      <c r="AP72" s="470">
        <f>+'Domestic Debt USD'!AP73*'Domestic Debt Colones'!AP89</f>
        <v>7208776.0499999998</v>
      </c>
      <c r="AQ72" s="488"/>
      <c r="AR72" s="559"/>
      <c r="AS72" s="147"/>
      <c r="AT72" s="116"/>
    </row>
    <row r="73" spans="1:46" s="38" customFormat="1" ht="13.5" customHeight="1" x14ac:dyDescent="0.3">
      <c r="A73" s="401" t="s">
        <v>106</v>
      </c>
      <c r="B73" s="41">
        <v>608537.79</v>
      </c>
      <c r="C73" s="42"/>
      <c r="D73" s="41">
        <v>722091.9</v>
      </c>
      <c r="E73" s="42"/>
      <c r="F73" s="41">
        <v>808750.7</v>
      </c>
      <c r="G73" s="42"/>
      <c r="H73" s="41">
        <v>952444.18099999987</v>
      </c>
      <c r="I73" s="42"/>
      <c r="J73" s="41">
        <v>1107639.6000000001</v>
      </c>
      <c r="K73" s="42"/>
      <c r="L73" s="41">
        <v>1321308.68870297</v>
      </c>
      <c r="M73" s="42"/>
      <c r="N73" s="41">
        <v>1637788.0750837</v>
      </c>
      <c r="O73" s="42"/>
      <c r="P73" s="41">
        <v>2104451.05253118</v>
      </c>
      <c r="Q73" s="42"/>
      <c r="R73" s="41">
        <v>2489551.1900668</v>
      </c>
      <c r="S73" s="42"/>
      <c r="T73" s="41">
        <v>2359138.1674482999</v>
      </c>
      <c r="U73" s="42"/>
      <c r="V73" s="41">
        <v>2741625.4625137001</v>
      </c>
      <c r="W73" s="42"/>
      <c r="X73" s="41">
        <v>3024133.8897885</v>
      </c>
      <c r="Y73" s="42"/>
      <c r="Z73" s="89">
        <v>3270367.9441321199</v>
      </c>
      <c r="AA73" s="95"/>
      <c r="AB73" s="41">
        <v>3536202.4468546999</v>
      </c>
      <c r="AC73" s="256"/>
      <c r="AD73" s="135">
        <v>3797519.5789377</v>
      </c>
      <c r="AE73" s="266"/>
      <c r="AF73" s="135">
        <v>4180153.3064731299</v>
      </c>
      <c r="AG73" s="299"/>
      <c r="AH73" s="166">
        <v>4561222.90238031</v>
      </c>
      <c r="AI73" s="451"/>
      <c r="AJ73" s="135">
        <v>4738744.1192840999</v>
      </c>
      <c r="AK73" s="615"/>
      <c r="AL73" s="89">
        <v>4925246.2920206003</v>
      </c>
      <c r="AM73" s="451"/>
      <c r="AN73" s="41">
        <v>5255746.0706794299</v>
      </c>
      <c r="AO73" s="615"/>
      <c r="AP73" s="477">
        <v>4694707.9704806497</v>
      </c>
      <c r="AQ73" s="503"/>
      <c r="AR73" s="559"/>
      <c r="AS73" s="147"/>
      <c r="AT73" s="116"/>
    </row>
    <row r="74" spans="1:46" s="38" customFormat="1" ht="13.5" customHeight="1" x14ac:dyDescent="0.3">
      <c r="A74" s="401" t="s">
        <v>107</v>
      </c>
      <c r="B74" s="41">
        <v>603747.79</v>
      </c>
      <c r="C74" s="42"/>
      <c r="D74" s="41">
        <v>712944.1</v>
      </c>
      <c r="E74" s="42"/>
      <c r="F74" s="41">
        <v>801424.9</v>
      </c>
      <c r="G74" s="42"/>
      <c r="H74" s="41">
        <v>931942.98099999991</v>
      </c>
      <c r="I74" s="42"/>
      <c r="J74" s="41">
        <v>1085949.5</v>
      </c>
      <c r="K74" s="42"/>
      <c r="L74" s="41">
        <v>1296787.42201368</v>
      </c>
      <c r="M74" s="42"/>
      <c r="N74" s="41">
        <v>1611053.6272137</v>
      </c>
      <c r="O74" s="42"/>
      <c r="P74" s="41">
        <v>2066888.0594593701</v>
      </c>
      <c r="Q74" s="42"/>
      <c r="R74" s="41">
        <v>2452309.9126320002</v>
      </c>
      <c r="S74" s="42"/>
      <c r="T74" s="41">
        <v>2316646.2416311</v>
      </c>
      <c r="U74" s="42"/>
      <c r="V74" s="41">
        <v>2552844.7896125</v>
      </c>
      <c r="W74" s="42"/>
      <c r="X74" s="41">
        <v>2836103.096746</v>
      </c>
      <c r="Y74" s="42"/>
      <c r="Z74" s="89">
        <v>3082005.6675817999</v>
      </c>
      <c r="AA74" s="95"/>
      <c r="AB74" s="41">
        <v>3348581.2557015</v>
      </c>
      <c r="AC74" s="169"/>
      <c r="AD74" s="166">
        <v>3582349.283458</v>
      </c>
      <c r="AE74" s="216"/>
      <c r="AF74" s="135">
        <v>3925371.4082251</v>
      </c>
      <c r="AG74" s="299"/>
      <c r="AH74" s="166">
        <v>4313648.9508409202</v>
      </c>
      <c r="AI74" s="450"/>
      <c r="AJ74" s="135">
        <v>4462016.3189016003</v>
      </c>
      <c r="AK74" s="611"/>
      <c r="AL74" s="89">
        <v>4652538.1496011</v>
      </c>
      <c r="AM74" s="450"/>
      <c r="AN74" s="41">
        <v>4889569.7158468701</v>
      </c>
      <c r="AO74" s="611"/>
      <c r="AP74" s="477">
        <v>4341328.5597475898</v>
      </c>
      <c r="AQ74" s="498"/>
      <c r="AR74" s="535"/>
      <c r="AS74" s="147"/>
      <c r="AT74" s="116"/>
    </row>
    <row r="75" spans="1:46" s="38" customFormat="1" ht="13.5" customHeight="1" x14ac:dyDescent="0.3">
      <c r="A75" s="401" t="s">
        <v>108</v>
      </c>
      <c r="B75" s="41">
        <v>756705.8</v>
      </c>
      <c r="C75" s="42"/>
      <c r="D75" s="41">
        <v>882271.87</v>
      </c>
      <c r="E75" s="42"/>
      <c r="F75" s="41">
        <v>1068113.5</v>
      </c>
      <c r="G75" s="42"/>
      <c r="H75" s="41">
        <v>1173060.6848732068</v>
      </c>
      <c r="I75" s="42"/>
      <c r="J75" s="41">
        <v>1329851.8999999999</v>
      </c>
      <c r="K75" s="42"/>
      <c r="L75" s="41">
        <v>1521590.0439369199</v>
      </c>
      <c r="M75" s="42"/>
      <c r="N75" s="41">
        <v>1759410.4138913001</v>
      </c>
      <c r="O75" s="42"/>
      <c r="P75" s="41">
        <v>2027132.5254820101</v>
      </c>
      <c r="Q75" s="42"/>
      <c r="R75" s="41">
        <v>2460431.7289021998</v>
      </c>
      <c r="S75" s="42"/>
      <c r="T75" s="41">
        <v>2936305.7113323999</v>
      </c>
      <c r="U75" s="42"/>
      <c r="V75" s="41">
        <v>3724577.7951002</v>
      </c>
      <c r="W75" s="42"/>
      <c r="X75" s="41">
        <v>3869794.6198298</v>
      </c>
      <c r="Y75" s="42"/>
      <c r="Z75" s="89">
        <v>4275492.0062066503</v>
      </c>
      <c r="AA75" s="95"/>
      <c r="AB75" s="41">
        <v>4872299.3637370002</v>
      </c>
      <c r="AC75" s="256"/>
      <c r="AD75" s="135">
        <v>5326977.5512466999</v>
      </c>
      <c r="AE75" s="266"/>
      <c r="AF75" s="135">
        <v>5847059.8010718999</v>
      </c>
      <c r="AG75" s="299"/>
      <c r="AH75" s="166">
        <v>6201021.9395581</v>
      </c>
      <c r="AI75" s="450"/>
      <c r="AJ75" s="135">
        <v>6764675.7962129004</v>
      </c>
      <c r="AK75" s="611"/>
      <c r="AL75" s="89">
        <v>6995166.9927327996</v>
      </c>
      <c r="AM75" s="450"/>
      <c r="AN75" s="41">
        <v>7880403.5847661709</v>
      </c>
      <c r="AO75" s="611"/>
      <c r="AP75" s="477">
        <v>7682246.3751666602</v>
      </c>
      <c r="AQ75" s="498"/>
      <c r="AR75" s="559"/>
      <c r="AS75" s="147"/>
      <c r="AT75" s="116"/>
    </row>
    <row r="76" spans="1:46" s="38" customFormat="1" ht="14.25" customHeight="1" thickBot="1" x14ac:dyDescent="0.35">
      <c r="A76" s="161"/>
      <c r="B76" s="41"/>
      <c r="C76" s="42"/>
      <c r="D76" s="48"/>
      <c r="E76" s="49"/>
      <c r="F76" s="41"/>
      <c r="G76" s="42"/>
      <c r="H76" s="48"/>
      <c r="I76" s="49"/>
      <c r="J76" s="118"/>
      <c r="K76" s="49"/>
      <c r="L76" s="118"/>
      <c r="M76" s="33"/>
      <c r="N76" s="118"/>
      <c r="O76" s="33"/>
      <c r="P76" s="118"/>
      <c r="Q76" s="33"/>
      <c r="R76" s="118"/>
      <c r="S76" s="33"/>
      <c r="T76" s="118"/>
      <c r="U76" s="33"/>
      <c r="V76" s="48"/>
      <c r="W76" s="49"/>
      <c r="X76" s="48"/>
      <c r="Y76" s="49"/>
      <c r="Z76" s="601"/>
      <c r="AA76" s="602"/>
      <c r="AB76" s="171"/>
      <c r="AC76" s="172"/>
      <c r="AD76" s="194"/>
      <c r="AE76" s="198"/>
      <c r="AF76" s="209"/>
      <c r="AG76" s="308"/>
      <c r="AH76" s="194"/>
      <c r="AI76" s="452"/>
      <c r="AJ76" s="209"/>
      <c r="AK76" s="616"/>
      <c r="AL76" s="194"/>
      <c r="AM76" s="452"/>
      <c r="AN76" s="209"/>
      <c r="AO76" s="616"/>
      <c r="AP76" s="504"/>
      <c r="AQ76" s="505"/>
      <c r="AR76" s="534"/>
    </row>
    <row r="77" spans="1:46" s="38" customFormat="1" ht="14.25" customHeight="1" x14ac:dyDescent="0.25">
      <c r="A77" s="104"/>
      <c r="B77" s="119"/>
      <c r="C77" s="120"/>
      <c r="D77" s="119"/>
      <c r="E77" s="80"/>
      <c r="F77" s="119"/>
      <c r="G77" s="120"/>
      <c r="H77" s="119"/>
      <c r="I77" s="80"/>
      <c r="J77" s="119"/>
      <c r="K77" s="80"/>
      <c r="L77" s="119"/>
      <c r="M77" s="120"/>
      <c r="N77" s="119"/>
      <c r="O77" s="120"/>
      <c r="P77" s="119"/>
      <c r="Q77" s="120"/>
      <c r="R77" s="119"/>
      <c r="S77" s="119"/>
      <c r="T77" s="119"/>
      <c r="U77" s="119"/>
      <c r="V77" s="119"/>
      <c r="W77" s="119"/>
      <c r="Z77" s="11"/>
      <c r="AA77" s="11"/>
      <c r="AB77" s="11"/>
      <c r="AC77" s="11"/>
      <c r="AD77" s="585"/>
      <c r="AE77" s="11"/>
      <c r="AF77" s="187"/>
      <c r="AG77" s="187"/>
      <c r="AH77" s="187"/>
      <c r="AI77" s="187"/>
      <c r="AJ77" s="187"/>
      <c r="AK77" s="187"/>
      <c r="AL77" s="585"/>
      <c r="AM77" s="585"/>
      <c r="AN77" s="187"/>
      <c r="AO77" s="187"/>
      <c r="AP77" s="187"/>
      <c r="AQ77" s="187"/>
      <c r="AR77" s="534"/>
    </row>
    <row r="78" spans="1:46" s="38" customFormat="1" ht="13.5" customHeight="1" x14ac:dyDescent="0.25">
      <c r="A78" s="780" t="s">
        <v>109</v>
      </c>
      <c r="B78" s="780"/>
      <c r="C78" s="780"/>
      <c r="D78" s="780"/>
      <c r="E78" s="780"/>
      <c r="F78" s="780"/>
      <c r="G78" s="780"/>
      <c r="H78" s="780"/>
      <c r="I78" s="780"/>
      <c r="J78" s="780"/>
      <c r="K78" s="780"/>
      <c r="L78" s="780"/>
      <c r="M78" s="780"/>
      <c r="N78" s="780"/>
      <c r="O78" s="780"/>
      <c r="P78" s="780"/>
      <c r="Q78" s="780"/>
      <c r="R78" s="780"/>
      <c r="S78" s="780"/>
      <c r="T78" s="780"/>
      <c r="U78" s="780"/>
      <c r="V78" s="780"/>
      <c r="W78" s="780"/>
      <c r="X78" s="780"/>
      <c r="Y78" s="780"/>
      <c r="Z78" s="780"/>
      <c r="AA78" s="780"/>
      <c r="AB78" s="780"/>
      <c r="AC78" s="780"/>
      <c r="AD78" s="780"/>
      <c r="AE78" s="780"/>
      <c r="AF78" s="780"/>
      <c r="AG78" s="780"/>
      <c r="AH78" s="780"/>
      <c r="AI78" s="780"/>
      <c r="AJ78" s="780"/>
      <c r="AK78" s="780"/>
      <c r="AL78" s="780"/>
      <c r="AM78" s="780"/>
      <c r="AN78" s="780"/>
      <c r="AO78" s="780"/>
      <c r="AP78" s="679"/>
      <c r="AQ78" s="679"/>
      <c r="AR78" s="585"/>
    </row>
    <row r="79" spans="1:46" s="38" customFormat="1" ht="13.5" customHeight="1" x14ac:dyDescent="0.25">
      <c r="B79" s="163"/>
      <c r="C79" s="163"/>
      <c r="D79" s="104"/>
      <c r="E79" s="104"/>
      <c r="F79" s="163"/>
      <c r="G79" s="163"/>
      <c r="H79" s="104"/>
      <c r="I79" s="104"/>
      <c r="J79" s="104"/>
      <c r="K79" s="163"/>
      <c r="L79" s="163"/>
      <c r="M79" s="163"/>
      <c r="N79" s="163"/>
      <c r="O79" s="163"/>
      <c r="P79" s="163"/>
      <c r="Q79" s="163"/>
      <c r="R79" s="163"/>
      <c r="S79" s="163"/>
      <c r="T79" s="121"/>
      <c r="U79" s="163"/>
      <c r="V79" s="104"/>
      <c r="W79" s="104"/>
      <c r="X79" s="104"/>
      <c r="Y79" s="104"/>
      <c r="Z79" s="7"/>
      <c r="AA79" s="7"/>
      <c r="AB79" s="7"/>
      <c r="AC79" s="7"/>
      <c r="AD79" s="195"/>
      <c r="AE79" s="7"/>
      <c r="AL79" s="779" t="s">
        <v>110</v>
      </c>
      <c r="AM79" s="779"/>
      <c r="AN79" s="779" t="s">
        <v>110</v>
      </c>
      <c r="AO79" s="779"/>
      <c r="AP79" s="779" t="s">
        <v>110</v>
      </c>
      <c r="AQ79" s="779"/>
      <c r="AR79" s="15"/>
    </row>
    <row r="80" spans="1:46" s="38" customFormat="1" ht="14.25" customHeight="1" x14ac:dyDescent="0.3">
      <c r="A80" s="156"/>
      <c r="B80" s="104"/>
      <c r="C80" s="163"/>
      <c r="D80" s="104"/>
      <c r="E80" s="104"/>
      <c r="F80" s="104"/>
      <c r="G80" s="163"/>
      <c r="H80" s="104"/>
      <c r="I80" s="104"/>
      <c r="J80" s="104"/>
      <c r="K80" s="163"/>
      <c r="L80" s="104"/>
      <c r="M80" s="163"/>
      <c r="N80" s="104"/>
      <c r="O80" s="163"/>
      <c r="P80" s="104"/>
      <c r="Q80" s="163"/>
      <c r="R80" s="104"/>
      <c r="S80" s="104"/>
      <c r="T80" s="103"/>
      <c r="U80" s="104"/>
      <c r="V80" s="104"/>
      <c r="W80" s="104"/>
      <c r="X80" s="104"/>
      <c r="Y80" s="104"/>
      <c r="Z80" s="7"/>
      <c r="AA80" s="7"/>
      <c r="AB80" s="7"/>
      <c r="AC80" s="7"/>
      <c r="AD80" s="195"/>
      <c r="AE80" s="7"/>
      <c r="AL80" s="425" t="s">
        <v>111</v>
      </c>
      <c r="AM80" s="425" t="s">
        <v>112</v>
      </c>
      <c r="AN80" s="425" t="s">
        <v>111</v>
      </c>
      <c r="AO80" s="425" t="s">
        <v>112</v>
      </c>
      <c r="AP80" s="425" t="s">
        <v>111</v>
      </c>
      <c r="AQ80" s="425" t="s">
        <v>112</v>
      </c>
      <c r="AR80" s="745"/>
    </row>
    <row r="81" spans="1:44" s="38" customFormat="1" ht="18.75" customHeight="1" x14ac:dyDescent="0.3">
      <c r="A81" s="426" t="s">
        <v>113</v>
      </c>
      <c r="B81" s="427"/>
      <c r="C81" s="428"/>
      <c r="D81" s="427"/>
      <c r="E81" s="427"/>
      <c r="F81" s="427"/>
      <c r="G81" s="428"/>
      <c r="H81" s="427"/>
      <c r="I81" s="427"/>
      <c r="J81" s="427"/>
      <c r="K81" s="428"/>
      <c r="L81" s="427"/>
      <c r="M81" s="428"/>
      <c r="N81" s="427"/>
      <c r="O81" s="428"/>
      <c r="P81" s="427"/>
      <c r="Q81" s="428"/>
      <c r="R81" s="427"/>
      <c r="S81" s="427"/>
      <c r="T81" s="427"/>
      <c r="U81" s="427"/>
      <c r="V81" s="427"/>
      <c r="W81" s="427"/>
      <c r="X81" s="427"/>
      <c r="Y81" s="427"/>
      <c r="Z81" s="429"/>
      <c r="AA81" s="429"/>
      <c r="AB81" s="429"/>
      <c r="AC81" s="429"/>
      <c r="AD81" s="430"/>
      <c r="AE81" s="429"/>
      <c r="AF81" s="427"/>
      <c r="AG81" s="427"/>
      <c r="AH81" s="427"/>
      <c r="AI81" s="427"/>
      <c r="AJ81" s="427"/>
      <c r="AK81" s="427"/>
      <c r="AL81" s="431" t="s">
        <v>114</v>
      </c>
      <c r="AM81" s="431" t="s">
        <v>115</v>
      </c>
      <c r="AN81" s="431" t="s">
        <v>114</v>
      </c>
      <c r="AO81" s="431" t="s">
        <v>115</v>
      </c>
      <c r="AP81" s="431" t="s">
        <v>114</v>
      </c>
      <c r="AQ81" s="431" t="s">
        <v>115</v>
      </c>
      <c r="AR81" s="425"/>
    </row>
    <row r="82" spans="1:44" s="38" customFormat="1" ht="18" customHeight="1" x14ac:dyDescent="0.3">
      <c r="A82" s="157" t="s">
        <v>116</v>
      </c>
      <c r="B82" s="104"/>
      <c r="C82" s="80"/>
      <c r="D82" s="104"/>
      <c r="E82" s="104"/>
      <c r="F82" s="104"/>
      <c r="G82" s="80"/>
      <c r="H82" s="104"/>
      <c r="I82" s="104"/>
      <c r="J82" s="104"/>
      <c r="K82" s="80"/>
      <c r="L82" s="104"/>
      <c r="M82" s="80"/>
      <c r="N82" s="104"/>
      <c r="O82" s="80"/>
      <c r="P82" s="104"/>
      <c r="Q82" s="80"/>
      <c r="R82" s="104"/>
      <c r="S82" s="104"/>
      <c r="T82" s="104"/>
      <c r="U82" s="104"/>
      <c r="V82" s="104"/>
      <c r="W82" s="104"/>
      <c r="X82" s="104"/>
      <c r="Y82" s="104"/>
      <c r="Z82" s="106"/>
      <c r="AA82" s="7"/>
      <c r="AB82" s="106"/>
      <c r="AC82" s="7"/>
      <c r="AD82" s="126"/>
      <c r="AE82" s="7"/>
      <c r="AF82" s="104"/>
      <c r="AG82" s="104"/>
      <c r="AH82" s="104"/>
      <c r="AI82" s="104"/>
      <c r="AJ82" s="104"/>
      <c r="AK82" s="104"/>
      <c r="AL82" s="745" t="s">
        <v>117</v>
      </c>
      <c r="AM82" s="745" t="s">
        <v>115</v>
      </c>
      <c r="AN82" s="745" t="s">
        <v>117</v>
      </c>
      <c r="AO82" s="745" t="s">
        <v>115</v>
      </c>
      <c r="AP82" s="745" t="s">
        <v>117</v>
      </c>
      <c r="AQ82" s="745" t="s">
        <v>115</v>
      </c>
      <c r="AR82" s="745"/>
    </row>
    <row r="83" spans="1:44" s="38" customFormat="1" ht="17.25" customHeight="1" x14ac:dyDescent="0.3">
      <c r="A83" s="432" t="s">
        <v>118</v>
      </c>
      <c r="B83" s="433"/>
      <c r="C83" s="433"/>
      <c r="D83" s="433"/>
      <c r="E83" s="433"/>
      <c r="F83" s="433"/>
      <c r="G83" s="433"/>
      <c r="H83" s="433"/>
      <c r="I83" s="433"/>
      <c r="J83" s="433"/>
      <c r="K83" s="433"/>
      <c r="L83" s="433"/>
      <c r="M83" s="433"/>
      <c r="N83" s="433"/>
      <c r="O83" s="433"/>
      <c r="P83" s="433"/>
      <c r="Q83" s="433"/>
      <c r="R83" s="433"/>
      <c r="S83" s="433"/>
      <c r="T83" s="433"/>
      <c r="U83" s="433"/>
      <c r="V83" s="433"/>
      <c r="W83" s="433"/>
      <c r="X83" s="433"/>
      <c r="Y83" s="433"/>
      <c r="Z83" s="434"/>
      <c r="AA83" s="434"/>
      <c r="AB83" s="434"/>
      <c r="AC83" s="434"/>
      <c r="AD83" s="434"/>
      <c r="AE83" s="434"/>
      <c r="AF83" s="433"/>
      <c r="AG83" s="433"/>
      <c r="AH83" s="433"/>
      <c r="AI83" s="433"/>
      <c r="AJ83" s="433"/>
      <c r="AK83" s="433"/>
      <c r="AL83" s="435" t="s">
        <v>114</v>
      </c>
      <c r="AM83" s="435" t="s">
        <v>115</v>
      </c>
      <c r="AN83" s="435" t="s">
        <v>114</v>
      </c>
      <c r="AO83" s="435" t="s">
        <v>115</v>
      </c>
      <c r="AP83" s="435" t="s">
        <v>114</v>
      </c>
      <c r="AQ83" s="435" t="s">
        <v>115</v>
      </c>
      <c r="AR83" s="745"/>
    </row>
    <row r="84" spans="1:44" s="30" customFormat="1" ht="12" customHeight="1" x14ac:dyDescent="0.25">
      <c r="A84" s="196"/>
      <c r="B84" s="102"/>
      <c r="C84" s="102"/>
      <c r="F84" s="102"/>
      <c r="G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Z84" s="12"/>
      <c r="AA84" s="12"/>
      <c r="AB84" s="12"/>
      <c r="AC84" s="12"/>
      <c r="AD84" s="12"/>
      <c r="AE84" s="12"/>
      <c r="AF84" s="102"/>
      <c r="AG84" s="102"/>
      <c r="AH84" s="102"/>
      <c r="AI84" s="102"/>
      <c r="AJ84" s="102"/>
      <c r="AK84" s="102"/>
      <c r="AL84" s="12"/>
      <c r="AM84" s="12"/>
      <c r="AN84" s="102"/>
      <c r="AO84" s="102"/>
      <c r="AP84" s="102"/>
      <c r="AQ84" s="102"/>
      <c r="AR84" s="745"/>
    </row>
    <row r="85" spans="1:44" s="61" customFormat="1" ht="12.75" customHeight="1" x14ac:dyDescent="0.25">
      <c r="A85" s="159" t="s">
        <v>119</v>
      </c>
      <c r="B85" s="78"/>
      <c r="C85" s="82"/>
      <c r="F85" s="158"/>
      <c r="G85" s="82"/>
      <c r="K85" s="82"/>
      <c r="L85" s="82"/>
      <c r="M85" s="82"/>
      <c r="N85" s="82"/>
      <c r="O85" s="82"/>
      <c r="P85" s="82"/>
      <c r="Q85" s="82"/>
      <c r="R85" s="82"/>
      <c r="S85" s="82"/>
      <c r="T85" s="82"/>
      <c r="U85" s="82"/>
      <c r="Z85" s="586"/>
      <c r="AA85" s="21"/>
      <c r="AB85" s="21"/>
      <c r="AC85" s="21"/>
      <c r="AD85" s="21"/>
      <c r="AE85" s="21"/>
      <c r="AL85" s="586"/>
      <c r="AM85" s="21"/>
      <c r="AN85" s="159"/>
      <c r="AO85" s="82"/>
      <c r="AP85" s="159"/>
      <c r="AQ85" s="82"/>
      <c r="AR85" s="12"/>
    </row>
    <row r="86" spans="1:44" s="61" customFormat="1" ht="13.5" customHeight="1" x14ac:dyDescent="0.2">
      <c r="A86" s="159" t="s">
        <v>120</v>
      </c>
      <c r="B86" s="82"/>
      <c r="C86" s="82"/>
      <c r="F86" s="158"/>
      <c r="G86" s="82"/>
      <c r="K86" s="82"/>
      <c r="L86" s="160"/>
      <c r="M86" s="82"/>
      <c r="N86" s="160"/>
      <c r="O86" s="82"/>
      <c r="P86" s="160"/>
      <c r="Q86" s="82"/>
      <c r="R86" s="82"/>
      <c r="S86" s="82"/>
      <c r="T86" s="82"/>
      <c r="U86" s="82"/>
      <c r="Z86" s="21"/>
      <c r="AA86" s="21"/>
      <c r="AB86" s="21"/>
      <c r="AC86" s="21"/>
      <c r="AD86" s="21"/>
      <c r="AE86" s="21"/>
      <c r="AL86" s="21"/>
      <c r="AM86" s="21"/>
      <c r="AN86" s="82"/>
      <c r="AO86" s="82"/>
      <c r="AP86" s="82"/>
      <c r="AQ86" s="82"/>
      <c r="AR86" s="21"/>
    </row>
    <row r="87" spans="1:44" s="61" customFormat="1" ht="13.5" customHeight="1" x14ac:dyDescent="0.2">
      <c r="A87" s="63" t="s">
        <v>121</v>
      </c>
      <c r="F87" s="122"/>
      <c r="Z87" s="62"/>
      <c r="AA87" s="62"/>
      <c r="AB87" s="62"/>
      <c r="AC87" s="62"/>
      <c r="AD87" s="62"/>
      <c r="AE87" s="62"/>
      <c r="AL87" s="62"/>
      <c r="AM87" s="62"/>
      <c r="AR87" s="21"/>
    </row>
    <row r="88" spans="1:44" s="30" customFormat="1" ht="13.5" customHeight="1" thickBot="1" x14ac:dyDescent="0.3">
      <c r="A88" s="187"/>
      <c r="Z88" s="4"/>
      <c r="AA88" s="4"/>
      <c r="AB88" s="4"/>
      <c r="AC88" s="4"/>
      <c r="AD88" s="4"/>
      <c r="AE88" s="4"/>
      <c r="AL88" s="4"/>
      <c r="AM88" s="4"/>
      <c r="AR88" s="62"/>
    </row>
    <row r="89" spans="1:44" s="105" customFormat="1" ht="13.8" thickBot="1" x14ac:dyDescent="0.3">
      <c r="A89" s="67" t="s">
        <v>122</v>
      </c>
      <c r="B89" s="173">
        <v>318.3</v>
      </c>
      <c r="C89" s="8"/>
      <c r="D89" s="173">
        <v>341.94</v>
      </c>
      <c r="E89" s="8"/>
      <c r="F89" s="173">
        <v>379.05</v>
      </c>
      <c r="G89" s="8"/>
      <c r="H89" s="173">
        <v>419.01</v>
      </c>
      <c r="I89" s="8"/>
      <c r="J89" s="173">
        <v>459.64</v>
      </c>
      <c r="K89" s="8"/>
      <c r="L89" s="173">
        <v>497.71</v>
      </c>
      <c r="M89" s="8"/>
      <c r="N89" s="173">
        <v>518.22</v>
      </c>
      <c r="O89" s="8"/>
      <c r="P89" s="173">
        <v>497.17</v>
      </c>
      <c r="Q89" s="8"/>
      <c r="R89" s="173">
        <v>552.37</v>
      </c>
      <c r="S89" s="8"/>
      <c r="T89" s="173">
        <v>562.1</v>
      </c>
      <c r="U89" s="8"/>
      <c r="V89" s="173">
        <v>512.5</v>
      </c>
      <c r="W89" s="8"/>
      <c r="X89" s="173">
        <v>510.82</v>
      </c>
      <c r="Y89" s="8"/>
      <c r="Z89" s="173">
        <v>509.23</v>
      </c>
      <c r="AA89" s="8"/>
      <c r="AB89" s="173">
        <v>502.47</v>
      </c>
      <c r="AC89" s="8"/>
      <c r="AD89" s="197">
        <v>542.22</v>
      </c>
      <c r="AE89" s="8"/>
      <c r="AF89" s="210">
        <v>537.80999999999995</v>
      </c>
      <c r="AH89" s="197">
        <v>556.44000000000005</v>
      </c>
      <c r="AJ89" s="197">
        <v>570.49</v>
      </c>
      <c r="AL89" s="197">
        <v>609.87</v>
      </c>
      <c r="AM89" s="8"/>
      <c r="AN89" s="210">
        <v>573.53</v>
      </c>
      <c r="AP89" s="123">
        <v>615.74</v>
      </c>
      <c r="AR89" s="4"/>
    </row>
    <row r="90" spans="1:44" s="105" customFormat="1" x14ac:dyDescent="0.25">
      <c r="A90" s="213"/>
      <c r="D90" s="124"/>
      <c r="H90" s="124"/>
      <c r="J90" s="124"/>
      <c r="L90" s="124"/>
      <c r="N90" s="124"/>
      <c r="P90" s="124"/>
      <c r="R90" s="124"/>
      <c r="S90" s="124"/>
      <c r="T90" s="124"/>
      <c r="U90" s="124"/>
      <c r="V90" s="124"/>
      <c r="Z90" s="8"/>
      <c r="AA90" s="8"/>
      <c r="AB90" s="8"/>
      <c r="AC90" s="8"/>
      <c r="AD90" s="8"/>
      <c r="AE90" s="8"/>
      <c r="AL90" s="8"/>
      <c r="AM90" s="8"/>
      <c r="AR90" s="8"/>
    </row>
    <row r="91" spans="1:44" s="30" customFormat="1" x14ac:dyDescent="0.25">
      <c r="B91" s="125"/>
      <c r="F91" s="125"/>
      <c r="X91" s="309"/>
      <c r="Y91" s="309"/>
      <c r="Z91" s="310"/>
      <c r="AA91" s="310"/>
      <c r="AB91" s="310"/>
      <c r="AC91" s="4"/>
      <c r="AD91" s="310"/>
      <c r="AE91" s="4"/>
      <c r="AF91" s="309"/>
      <c r="AL91" s="310"/>
      <c r="AM91" s="4"/>
      <c r="AN91" s="309"/>
      <c r="AP91" s="309"/>
      <c r="AR91" s="8"/>
    </row>
    <row r="92" spans="1:44" s="30" customFormat="1" x14ac:dyDescent="0.25">
      <c r="A92" s="61"/>
      <c r="Z92" s="4"/>
      <c r="AA92" s="4"/>
      <c r="AB92" s="4"/>
      <c r="AC92" s="4"/>
      <c r="AD92" s="4"/>
      <c r="AE92" s="4"/>
      <c r="AL92" s="4"/>
      <c r="AM92" s="4"/>
      <c r="AR92" s="4"/>
    </row>
    <row r="93" spans="1:44" x14ac:dyDescent="0.25">
      <c r="A93" s="60"/>
      <c r="B93" s="126"/>
      <c r="C93" s="127"/>
      <c r="D93" s="126"/>
      <c r="E93" s="126"/>
      <c r="F93" s="126"/>
      <c r="G93" s="127"/>
      <c r="H93" s="126"/>
      <c r="I93" s="126"/>
    </row>
    <row r="94" spans="1:44" x14ac:dyDescent="0.25">
      <c r="A94" s="61"/>
      <c r="B94" s="126"/>
      <c r="C94" s="127"/>
      <c r="D94" s="126"/>
      <c r="E94" s="126"/>
      <c r="F94" s="126"/>
      <c r="G94" s="127"/>
      <c r="H94" s="126"/>
      <c r="I94" s="126"/>
    </row>
    <row r="95" spans="1:44" x14ac:dyDescent="0.25">
      <c r="A95" s="61"/>
      <c r="B95" s="126"/>
      <c r="C95" s="127"/>
      <c r="D95" s="126"/>
      <c r="E95" s="126"/>
      <c r="F95" s="126"/>
      <c r="G95" s="127"/>
      <c r="H95" s="126"/>
      <c r="I95" s="126"/>
    </row>
    <row r="96" spans="1:44" x14ac:dyDescent="0.25">
      <c r="A96" s="62"/>
      <c r="B96" s="128"/>
      <c r="F96" s="128"/>
    </row>
    <row r="97" spans="1:9" x14ac:dyDescent="0.25">
      <c r="A97" s="585"/>
    </row>
    <row r="99" spans="1:9" x14ac:dyDescent="0.25">
      <c r="A99" s="438"/>
      <c r="E99" s="129"/>
      <c r="I99" s="129"/>
    </row>
    <row r="100" spans="1:9" x14ac:dyDescent="0.25">
      <c r="A100" s="60"/>
    </row>
    <row r="102" spans="1:9" x14ac:dyDescent="0.25">
      <c r="A102" s="438"/>
      <c r="E102" s="69"/>
      <c r="I102" s="69"/>
    </row>
  </sheetData>
  <mergeCells count="28">
    <mergeCell ref="AP5:AQ5"/>
    <mergeCell ref="AP79:AQ79"/>
    <mergeCell ref="AL79:AM79"/>
    <mergeCell ref="AN79:AO79"/>
    <mergeCell ref="A78:AO78"/>
    <mergeCell ref="AN5:AO5"/>
    <mergeCell ref="AD5:AE5"/>
    <mergeCell ref="Z5:AA5"/>
    <mergeCell ref="AB5:AC5"/>
    <mergeCell ref="AH5:AI5"/>
    <mergeCell ref="AJ5:AK5"/>
    <mergeCell ref="AL5:AM5"/>
    <mergeCell ref="A2:AO2"/>
    <mergeCell ref="A3:AO3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X5:Y5"/>
    <mergeCell ref="B5:C5"/>
    <mergeCell ref="A5:A7"/>
    <mergeCell ref="AF5:AG5"/>
    <mergeCell ref="D5:E5"/>
  </mergeCells>
  <hyperlinks>
    <hyperlink ref="AQ2" location="CONTENTS!B8" display="Å CONTENTS" xr:uid="{00000000-0004-0000-0100-000000000000}"/>
  </hyperlinks>
  <printOptions horizontalCentered="1" verticalCentered="1"/>
  <pageMargins left="0.35433070866141736" right="0.35433070866141736" top="0.27559055118110237" bottom="0.62992125984251968" header="0" footer="0.51181102362204722"/>
  <pageSetup scale="60" orientation="portrait" r:id="rId1"/>
  <headerFooter alignWithMargins="0"/>
  <rowBreaks count="1" manualBreakCount="1">
    <brk id="85" max="1638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79998168889431442"/>
    <pageSetUpPr fitToPage="1"/>
  </sheetPr>
  <dimension ref="A1:AT103"/>
  <sheetViews>
    <sheetView showGridLines="0" zoomScaleNormal="100" workbookViewId="0">
      <pane xSplit="1" ySplit="8" topLeftCell="AF9" activePane="bottomRight" state="frozen"/>
      <selection pane="topRight" activeCell="A3" sqref="A3:M3"/>
      <selection pane="bottomLeft" activeCell="A3" sqref="A3:M3"/>
      <selection pane="bottomRight"/>
    </sheetView>
  </sheetViews>
  <sheetFormatPr baseColWidth="10" defaultColWidth="11.44140625" defaultRowHeight="13.2" outlineLevelCol="1" x14ac:dyDescent="0.25"/>
  <cols>
    <col min="1" max="1" width="23.88671875" style="68" bestFit="1" customWidth="1"/>
    <col min="2" max="2" width="12.88671875" customWidth="1" outlineLevel="1"/>
    <col min="3" max="3" width="8.33203125" customWidth="1" outlineLevel="1"/>
    <col min="4" max="4" width="10.5546875" customWidth="1" outlineLevel="1"/>
    <col min="5" max="5" width="9.44140625" customWidth="1" outlineLevel="1"/>
    <col min="6" max="6" width="12.88671875" customWidth="1" outlineLevel="1"/>
    <col min="7" max="7" width="8.33203125" customWidth="1" outlineLevel="1"/>
    <col min="8" max="8" width="10.5546875" customWidth="1" outlineLevel="1"/>
    <col min="9" max="9" width="9.44140625" customWidth="1" outlineLevel="1"/>
    <col min="10" max="10" width="14.33203125" style="4" customWidth="1" outlineLevel="1"/>
    <col min="11" max="11" width="8.33203125" style="4" customWidth="1" outlineLevel="1"/>
    <col min="12" max="12" width="10.33203125" customWidth="1" outlineLevel="1"/>
    <col min="13" max="13" width="8.33203125" customWidth="1" outlineLevel="1"/>
    <col min="14" max="14" width="11.6640625" customWidth="1" outlineLevel="1"/>
    <col min="15" max="15" width="10.109375" customWidth="1" outlineLevel="1"/>
    <col min="16" max="16" width="14.109375" customWidth="1" outlineLevel="1"/>
    <col min="17" max="17" width="8.6640625" customWidth="1" outlineLevel="1"/>
    <col min="18" max="18" width="14.109375" customWidth="1" outlineLevel="1"/>
    <col min="19" max="19" width="8.5546875" customWidth="1" outlineLevel="1"/>
    <col min="20" max="20" width="11.44140625" customWidth="1" outlineLevel="1"/>
    <col min="21" max="21" width="12.6640625" customWidth="1" outlineLevel="1"/>
    <col min="22" max="22" width="13.6640625" bestFit="1" customWidth="1"/>
    <col min="23" max="23" width="13.44140625" customWidth="1"/>
    <col min="24" max="24" width="13" bestFit="1" customWidth="1"/>
    <col min="25" max="25" width="11.5546875" bestFit="1" customWidth="1"/>
    <col min="26" max="31" width="11.5546875" style="4" bestFit="1" customWidth="1"/>
    <col min="32" max="33" width="11.5546875" style="30" bestFit="1" customWidth="1"/>
    <col min="34" max="37" width="11.5546875" style="30" customWidth="1"/>
    <col min="38" max="39" width="11.5546875" style="4" bestFit="1" customWidth="1"/>
    <col min="40" max="43" width="11.5546875" bestFit="1" customWidth="1"/>
    <col min="44" max="44" width="11.5546875" style="4" customWidth="1"/>
    <col min="46" max="46" width="13.44140625" bestFit="1" customWidth="1"/>
  </cols>
  <sheetData>
    <row r="1" spans="1:45" x14ac:dyDescent="0.25">
      <c r="A1" s="110"/>
      <c r="B1" s="438"/>
      <c r="C1" s="438"/>
      <c r="D1" s="438"/>
      <c r="E1" s="438"/>
      <c r="F1" s="438"/>
      <c r="G1" s="438"/>
      <c r="H1" s="438"/>
      <c r="I1" s="438"/>
      <c r="J1" s="585"/>
      <c r="K1" s="585"/>
      <c r="L1" s="438"/>
      <c r="M1" s="438"/>
      <c r="N1" s="438"/>
      <c r="O1" s="438"/>
      <c r="P1" s="438"/>
      <c r="Q1" s="438"/>
      <c r="R1" s="438"/>
      <c r="S1" s="438"/>
      <c r="T1" s="438"/>
      <c r="U1" s="438"/>
      <c r="V1" s="438"/>
      <c r="W1" s="438"/>
      <c r="X1" s="438"/>
      <c r="Y1" s="438"/>
      <c r="Z1" s="585"/>
      <c r="AA1" s="585"/>
      <c r="AB1" s="585"/>
      <c r="AC1" s="585"/>
      <c r="AD1" s="585"/>
      <c r="AE1" s="585"/>
      <c r="AF1" s="187"/>
      <c r="AG1" s="187"/>
      <c r="AH1" s="187"/>
      <c r="AI1" s="187"/>
      <c r="AJ1" s="187"/>
      <c r="AK1" s="187"/>
      <c r="AL1" s="585"/>
      <c r="AM1" s="585"/>
      <c r="AN1" s="438"/>
      <c r="AO1" s="438"/>
      <c r="AP1" s="438"/>
      <c r="AQ1" s="438"/>
      <c r="AR1" s="585"/>
    </row>
    <row r="2" spans="1:45" x14ac:dyDescent="0.25">
      <c r="A2" s="438"/>
      <c r="B2" s="438"/>
      <c r="C2" s="438"/>
      <c r="D2" s="438"/>
      <c r="E2" s="438"/>
      <c r="F2" s="438"/>
      <c r="G2" s="438"/>
      <c r="H2" s="438"/>
      <c r="I2" s="438"/>
      <c r="J2" s="585"/>
      <c r="K2" s="585"/>
      <c r="L2" s="438"/>
      <c r="M2" s="438"/>
      <c r="N2" s="438"/>
      <c r="O2" s="438"/>
      <c r="P2" s="438"/>
      <c r="Q2" s="438"/>
      <c r="R2" s="438"/>
      <c r="S2" s="438"/>
      <c r="T2" s="438"/>
      <c r="U2" s="438"/>
      <c r="V2" s="438"/>
      <c r="W2" s="438"/>
      <c r="X2" s="438"/>
      <c r="Y2" s="438"/>
      <c r="Z2" s="585"/>
      <c r="AA2" s="585"/>
      <c r="AB2" s="585"/>
      <c r="AC2" s="585"/>
      <c r="AD2" s="585"/>
      <c r="AE2" s="585"/>
      <c r="AF2" s="187"/>
      <c r="AG2" s="187"/>
      <c r="AH2" s="187"/>
      <c r="AI2" s="187"/>
      <c r="AJ2" s="187"/>
      <c r="AK2" s="187"/>
      <c r="AL2" s="585"/>
      <c r="AM2" s="585"/>
      <c r="AN2" s="438"/>
      <c r="AO2" s="438"/>
      <c r="AP2" s="438"/>
      <c r="AQ2" s="438"/>
      <c r="AR2" s="585"/>
    </row>
    <row r="3" spans="1:45" ht="24.75" customHeight="1" x14ac:dyDescent="0.3">
      <c r="A3" s="770" t="s">
        <v>42</v>
      </c>
      <c r="B3" s="770"/>
      <c r="C3" s="770"/>
      <c r="D3" s="770"/>
      <c r="E3" s="770"/>
      <c r="F3" s="770"/>
      <c r="G3" s="770"/>
      <c r="H3" s="770"/>
      <c r="I3" s="770"/>
      <c r="J3" s="770"/>
      <c r="K3" s="770"/>
      <c r="L3" s="770"/>
      <c r="M3" s="770"/>
      <c r="N3" s="770"/>
      <c r="O3" s="770"/>
      <c r="P3" s="770"/>
      <c r="Q3" s="770"/>
      <c r="R3" s="770"/>
      <c r="S3" s="770"/>
      <c r="T3" s="770"/>
      <c r="U3" s="770"/>
      <c r="V3" s="770"/>
      <c r="W3" s="770"/>
      <c r="X3" s="770"/>
      <c r="Y3" s="770"/>
      <c r="Z3" s="770"/>
      <c r="AA3" s="770"/>
      <c r="AB3" s="770"/>
      <c r="AC3" s="770"/>
      <c r="AD3" s="770"/>
      <c r="AE3" s="770"/>
      <c r="AF3" s="770"/>
      <c r="AG3" s="770"/>
      <c r="AH3" s="770"/>
      <c r="AI3" s="770"/>
      <c r="AJ3" s="770"/>
      <c r="AK3" s="770"/>
      <c r="AL3" s="770"/>
      <c r="AM3" s="770"/>
      <c r="AN3" s="770"/>
      <c r="AO3" s="770"/>
      <c r="AP3" s="743"/>
      <c r="AQ3" s="316" t="s">
        <v>43</v>
      </c>
      <c r="AR3" s="757"/>
    </row>
    <row r="4" spans="1:45" x14ac:dyDescent="0.25">
      <c r="A4" s="771" t="s">
        <v>123</v>
      </c>
      <c r="B4" s="771"/>
      <c r="C4" s="771"/>
      <c r="D4" s="771"/>
      <c r="E4" s="771"/>
      <c r="F4" s="771"/>
      <c r="G4" s="771"/>
      <c r="H4" s="771"/>
      <c r="I4" s="771"/>
      <c r="J4" s="771"/>
      <c r="K4" s="771"/>
      <c r="L4" s="771"/>
      <c r="M4" s="771"/>
      <c r="N4" s="771"/>
      <c r="O4" s="771"/>
      <c r="P4" s="771"/>
      <c r="Q4" s="771"/>
      <c r="R4" s="771"/>
      <c r="S4" s="771"/>
      <c r="T4" s="771"/>
      <c r="U4" s="771"/>
      <c r="V4" s="771"/>
      <c r="W4" s="771"/>
      <c r="X4" s="771"/>
      <c r="Y4" s="771"/>
      <c r="Z4" s="771"/>
      <c r="AA4" s="771"/>
      <c r="AB4" s="771"/>
      <c r="AC4" s="771"/>
      <c r="AD4" s="771"/>
      <c r="AE4" s="771"/>
      <c r="AF4" s="771"/>
      <c r="AG4" s="771"/>
      <c r="AH4" s="771"/>
      <c r="AI4" s="771"/>
      <c r="AJ4" s="771"/>
      <c r="AK4" s="771"/>
      <c r="AL4" s="771"/>
      <c r="AM4" s="771"/>
      <c r="AN4" s="771"/>
      <c r="AO4" s="771"/>
      <c r="AP4" s="744"/>
      <c r="AQ4" s="744"/>
      <c r="AR4" s="744"/>
    </row>
    <row r="5" spans="1:45" ht="13.8" thickBot="1" x14ac:dyDescent="0.3">
      <c r="A5" s="784"/>
      <c r="B5" s="784"/>
      <c r="C5" s="784"/>
      <c r="D5" s="784"/>
      <c r="E5" s="784"/>
      <c r="F5" s="784"/>
      <c r="G5" s="784"/>
      <c r="H5" s="784"/>
      <c r="I5" s="784"/>
      <c r="J5" s="784"/>
      <c r="K5" s="784"/>
      <c r="L5" s="784"/>
      <c r="M5" s="784"/>
      <c r="N5" s="784"/>
      <c r="O5" s="784"/>
      <c r="P5" s="784"/>
      <c r="Q5" s="784"/>
      <c r="R5" s="784"/>
      <c r="S5" s="784"/>
      <c r="T5" s="784"/>
      <c r="U5" s="784"/>
      <c r="V5" s="784"/>
      <c r="W5" s="784"/>
      <c r="X5" s="784"/>
      <c r="Y5" s="784"/>
      <c r="Z5" s="784"/>
      <c r="AA5" s="784"/>
      <c r="AB5" s="784"/>
      <c r="AC5" s="784"/>
      <c r="AD5" s="784"/>
      <c r="AE5" s="784"/>
      <c r="AF5" s="784"/>
      <c r="AG5" s="784"/>
      <c r="AH5" s="784"/>
      <c r="AI5" s="784"/>
      <c r="AJ5" s="784"/>
      <c r="AK5" s="784"/>
      <c r="AL5" s="784"/>
      <c r="AM5" s="784"/>
      <c r="AN5" s="784"/>
      <c r="AO5" s="784"/>
      <c r="AP5" s="536"/>
      <c r="AQ5" s="536"/>
      <c r="AR5" s="536"/>
    </row>
    <row r="6" spans="1:45" x14ac:dyDescent="0.25">
      <c r="A6" s="131"/>
      <c r="B6" s="772" t="s">
        <v>46</v>
      </c>
      <c r="C6" s="773"/>
      <c r="D6" s="772" t="s">
        <v>47</v>
      </c>
      <c r="E6" s="773"/>
      <c r="F6" s="772" t="s">
        <v>48</v>
      </c>
      <c r="G6" s="773"/>
      <c r="H6" s="772" t="s">
        <v>49</v>
      </c>
      <c r="I6" s="773"/>
      <c r="J6" s="772" t="s">
        <v>50</v>
      </c>
      <c r="K6" s="773"/>
      <c r="L6" s="772" t="s">
        <v>51</v>
      </c>
      <c r="M6" s="773"/>
      <c r="N6" s="772" t="s">
        <v>52</v>
      </c>
      <c r="O6" s="773"/>
      <c r="P6" s="772" t="s">
        <v>53</v>
      </c>
      <c r="Q6" s="773"/>
      <c r="R6" s="772" t="s">
        <v>54</v>
      </c>
      <c r="S6" s="773"/>
      <c r="T6" s="772" t="s">
        <v>55</v>
      </c>
      <c r="U6" s="773"/>
      <c r="V6" s="772" t="s">
        <v>56</v>
      </c>
      <c r="W6" s="773"/>
      <c r="X6" s="772" t="s">
        <v>57</v>
      </c>
      <c r="Y6" s="773"/>
      <c r="Z6" s="772" t="s">
        <v>58</v>
      </c>
      <c r="AA6" s="773"/>
      <c r="AB6" s="772" t="s">
        <v>59</v>
      </c>
      <c r="AC6" s="773"/>
      <c r="AD6" s="772" t="s">
        <v>60</v>
      </c>
      <c r="AE6" s="773"/>
      <c r="AF6" s="772" t="s">
        <v>61</v>
      </c>
      <c r="AG6" s="773"/>
      <c r="AH6" s="772" t="s">
        <v>62</v>
      </c>
      <c r="AI6" s="773"/>
      <c r="AJ6" s="781" t="s">
        <v>63</v>
      </c>
      <c r="AK6" s="782"/>
      <c r="AL6" s="772" t="s">
        <v>64</v>
      </c>
      <c r="AM6" s="773"/>
      <c r="AN6" s="781" t="s">
        <v>65</v>
      </c>
      <c r="AO6" s="782"/>
      <c r="AP6" s="777" t="s">
        <v>66</v>
      </c>
      <c r="AQ6" s="778"/>
      <c r="AR6" s="532"/>
    </row>
    <row r="7" spans="1:45" x14ac:dyDescent="0.25">
      <c r="A7" s="132"/>
      <c r="B7" s="83" t="s">
        <v>67</v>
      </c>
      <c r="C7" s="421" t="s">
        <v>68</v>
      </c>
      <c r="D7" s="83" t="s">
        <v>67</v>
      </c>
      <c r="E7" s="421" t="s">
        <v>68</v>
      </c>
      <c r="F7" s="83" t="s">
        <v>67</v>
      </c>
      <c r="G7" s="421" t="s">
        <v>68</v>
      </c>
      <c r="H7" s="83" t="s">
        <v>67</v>
      </c>
      <c r="I7" s="421" t="s">
        <v>68</v>
      </c>
      <c r="J7" s="83" t="s">
        <v>67</v>
      </c>
      <c r="K7" s="421" t="s">
        <v>68</v>
      </c>
      <c r="L7" s="83" t="s">
        <v>67</v>
      </c>
      <c r="M7" s="421" t="s">
        <v>68</v>
      </c>
      <c r="N7" s="83" t="s">
        <v>67</v>
      </c>
      <c r="O7" s="421" t="s">
        <v>68</v>
      </c>
      <c r="P7" s="83" t="s">
        <v>67</v>
      </c>
      <c r="Q7" s="421" t="s">
        <v>68</v>
      </c>
      <c r="R7" s="83" t="s">
        <v>67</v>
      </c>
      <c r="S7" s="421" t="s">
        <v>68</v>
      </c>
      <c r="T7" s="83" t="s">
        <v>67</v>
      </c>
      <c r="U7" s="421" t="s">
        <v>68</v>
      </c>
      <c r="V7" s="83" t="s">
        <v>67</v>
      </c>
      <c r="W7" s="421" t="s">
        <v>68</v>
      </c>
      <c r="X7" s="83" t="s">
        <v>67</v>
      </c>
      <c r="Y7" s="421" t="s">
        <v>68</v>
      </c>
      <c r="Z7" s="83" t="s">
        <v>67</v>
      </c>
      <c r="AA7" s="421" t="s">
        <v>68</v>
      </c>
      <c r="AB7" s="83" t="s">
        <v>67</v>
      </c>
      <c r="AC7" s="421" t="s">
        <v>68</v>
      </c>
      <c r="AD7" s="83" t="s">
        <v>67</v>
      </c>
      <c r="AE7" s="421" t="s">
        <v>68</v>
      </c>
      <c r="AF7" s="83" t="s">
        <v>67</v>
      </c>
      <c r="AG7" s="421" t="s">
        <v>68</v>
      </c>
      <c r="AH7" s="83" t="s">
        <v>67</v>
      </c>
      <c r="AI7" s="421" t="s">
        <v>68</v>
      </c>
      <c r="AJ7" s="43" t="s">
        <v>67</v>
      </c>
      <c r="AK7" s="422" t="s">
        <v>68</v>
      </c>
      <c r="AL7" s="83" t="s">
        <v>67</v>
      </c>
      <c r="AM7" s="421" t="s">
        <v>68</v>
      </c>
      <c r="AN7" s="43" t="s">
        <v>67</v>
      </c>
      <c r="AO7" s="422" t="s">
        <v>68</v>
      </c>
      <c r="AP7" s="457" t="s">
        <v>67</v>
      </c>
      <c r="AQ7" s="458" t="s">
        <v>68</v>
      </c>
      <c r="AR7" s="437"/>
    </row>
    <row r="8" spans="1:45" s="1" customFormat="1" ht="14.4" thickBot="1" x14ac:dyDescent="0.3">
      <c r="A8" s="220" t="s">
        <v>45</v>
      </c>
      <c r="B8" s="85">
        <f>+'Domestic Debt Colones'!B7/B90</f>
        <v>4083.2315111530006</v>
      </c>
      <c r="C8" s="86">
        <v>1</v>
      </c>
      <c r="D8" s="85">
        <f>+'Domestic Debt Colones'!D7/D90</f>
        <v>4371.3167807217642</v>
      </c>
      <c r="E8" s="86">
        <v>1</v>
      </c>
      <c r="F8" s="85">
        <f>+'Domestic Debt Colones'!F7/F90</f>
        <v>4571.8797783933514</v>
      </c>
      <c r="G8" s="86">
        <v>1</v>
      </c>
      <c r="H8" s="85">
        <f>+'Domestic Debt Colones'!H7/H90</f>
        <v>4487.048304336412</v>
      </c>
      <c r="I8" s="86">
        <v>1</v>
      </c>
      <c r="J8" s="85">
        <f>+'Domestic Debt Colones'!J7/J90</f>
        <v>4874.411147854843</v>
      </c>
      <c r="K8" s="86">
        <v>1</v>
      </c>
      <c r="L8" s="85">
        <f>+'Domestic Debt Colones'!L7/L90</f>
        <v>4818.844387293806</v>
      </c>
      <c r="M8" s="86">
        <v>1</v>
      </c>
      <c r="N8" s="85">
        <f>+'Domestic Debt Colones'!N7/N90</f>
        <v>5084.3307282621281</v>
      </c>
      <c r="O8" s="86">
        <v>1</v>
      </c>
      <c r="P8" s="85">
        <f>+'Domestic Debt Colones'!P7/P90</f>
        <v>5253.3619084015527</v>
      </c>
      <c r="Q8" s="86">
        <v>1</v>
      </c>
      <c r="R8" s="85">
        <f>+'Domestic Debt Colones'!R7/R90</f>
        <v>4983.6675041240469</v>
      </c>
      <c r="S8" s="86">
        <v>1</v>
      </c>
      <c r="T8" s="85">
        <f>+'Domestic Debt Colones'!T7/T90</f>
        <v>6424.4429460950005</v>
      </c>
      <c r="U8" s="86">
        <v>1</v>
      </c>
      <c r="V8" s="85">
        <f>+'Domestic Debt Colones'!V7/V90</f>
        <v>8624.4908107802548</v>
      </c>
      <c r="W8" s="86">
        <v>1</v>
      </c>
      <c r="X8" s="85">
        <f>+'Domestic Debt Colones'!X7/X90</f>
        <v>10482.561631623812</v>
      </c>
      <c r="Y8" s="86">
        <v>1</v>
      </c>
      <c r="Z8" s="85">
        <f>+'Domestic Debt Colones'!Z7/Z90</f>
        <v>13023.516487378183</v>
      </c>
      <c r="AA8" s="86">
        <v>1</v>
      </c>
      <c r="AB8" s="85">
        <v>14266.823200478777</v>
      </c>
      <c r="AC8" s="86">
        <v>1</v>
      </c>
      <c r="AD8" s="85">
        <v>14971.277136680221</v>
      </c>
      <c r="AE8" s="86">
        <v>1</v>
      </c>
      <c r="AF8" s="44">
        <f>+'Domestic Debt Colones'!AF7/'Domestic Debt USD'!AF90</f>
        <v>16808.352061458969</v>
      </c>
      <c r="AG8" s="45">
        <v>1</v>
      </c>
      <c r="AH8" s="85">
        <f>+'Domestic Debt Colones'!AH7/'Domestic Debt USD'!AH90</f>
        <v>19426.544917180643</v>
      </c>
      <c r="AI8" s="86">
        <v>1</v>
      </c>
      <c r="AJ8" s="44">
        <f>+'Domestic Debt Colones'!AJ7/'Domestic Debt USD'!AJ90</f>
        <v>22248.663750017768</v>
      </c>
      <c r="AK8" s="45">
        <v>1</v>
      </c>
      <c r="AL8" s="85">
        <f>+'Domestic Debt Colones'!AL7/'Domestic Debt USD'!AL90</f>
        <v>24319.630663384418</v>
      </c>
      <c r="AM8" s="86">
        <v>1</v>
      </c>
      <c r="AN8" s="44">
        <f>+'Domestic Debt Colones'!AN7/'Domestic Debt USD'!AN90</f>
        <v>28910.672439342932</v>
      </c>
      <c r="AO8" s="45">
        <v>1</v>
      </c>
      <c r="AP8" s="459">
        <f>+'Domestic Debt Colones'!AP7/'Domestic Debt USD'!AP90</f>
        <v>30079.342286429099</v>
      </c>
      <c r="AQ8" s="460">
        <v>1</v>
      </c>
      <c r="AR8" s="568"/>
      <c r="AS8" s="574"/>
    </row>
    <row r="9" spans="1:45" s="1" customFormat="1" x14ac:dyDescent="0.25">
      <c r="A9" s="6"/>
      <c r="B9" s="134"/>
      <c r="C9" s="174"/>
      <c r="D9" s="134"/>
      <c r="E9" s="174"/>
      <c r="F9" s="134"/>
      <c r="G9" s="174"/>
      <c r="H9" s="134"/>
      <c r="I9" s="174"/>
      <c r="J9" s="134"/>
      <c r="K9" s="174"/>
      <c r="L9" s="134"/>
      <c r="M9" s="174"/>
      <c r="N9" s="134"/>
      <c r="O9" s="174"/>
      <c r="P9" s="134"/>
      <c r="Q9" s="174"/>
      <c r="R9" s="134"/>
      <c r="S9" s="174"/>
      <c r="T9" s="134"/>
      <c r="U9" s="174"/>
      <c r="V9" s="74"/>
      <c r="W9" s="211"/>
      <c r="X9" s="74"/>
      <c r="Y9" s="211"/>
      <c r="Z9" s="134"/>
      <c r="AA9" s="174"/>
      <c r="AB9" s="134"/>
      <c r="AC9" s="174"/>
      <c r="AD9" s="134"/>
      <c r="AE9" s="174"/>
      <c r="AF9" s="74"/>
      <c r="AG9" s="211"/>
      <c r="AH9" s="134"/>
      <c r="AI9" s="174"/>
      <c r="AJ9" s="74"/>
      <c r="AK9" s="211"/>
      <c r="AL9" s="134"/>
      <c r="AM9" s="174"/>
      <c r="AN9" s="74"/>
      <c r="AO9" s="211"/>
      <c r="AP9" s="461"/>
      <c r="AQ9" s="462"/>
      <c r="AR9" s="569"/>
      <c r="AS9" s="574"/>
    </row>
    <row r="10" spans="1:45" s="1" customFormat="1" x14ac:dyDescent="0.25">
      <c r="A10" s="6" t="s">
        <v>69</v>
      </c>
      <c r="B10" s="134"/>
      <c r="C10" s="174"/>
      <c r="D10" s="134"/>
      <c r="E10" s="174"/>
      <c r="F10" s="134"/>
      <c r="G10" s="174"/>
      <c r="H10" s="134"/>
      <c r="I10" s="174"/>
      <c r="J10" s="134"/>
      <c r="K10" s="174"/>
      <c r="L10" s="134"/>
      <c r="M10" s="174"/>
      <c r="N10" s="134"/>
      <c r="O10" s="174"/>
      <c r="P10" s="134"/>
      <c r="Q10" s="174"/>
      <c r="R10" s="134"/>
      <c r="S10" s="174"/>
      <c r="T10" s="134"/>
      <c r="U10" s="174"/>
      <c r="V10" s="74"/>
      <c r="W10" s="211"/>
      <c r="X10" s="74"/>
      <c r="Y10" s="211"/>
      <c r="Z10" s="134"/>
      <c r="AA10" s="174"/>
      <c r="AB10" s="134"/>
      <c r="AC10" s="174"/>
      <c r="AD10" s="134"/>
      <c r="AE10" s="174"/>
      <c r="AF10" s="74"/>
      <c r="AG10" s="211"/>
      <c r="AH10" s="134"/>
      <c r="AI10" s="174"/>
      <c r="AJ10" s="74"/>
      <c r="AK10" s="211"/>
      <c r="AL10" s="134"/>
      <c r="AM10" s="174"/>
      <c r="AN10" s="74"/>
      <c r="AO10" s="211"/>
      <c r="AP10" s="461"/>
      <c r="AQ10" s="462"/>
      <c r="AR10" s="569"/>
      <c r="AS10" s="574"/>
    </row>
    <row r="11" spans="1:45" ht="15" customHeight="1" x14ac:dyDescent="0.25">
      <c r="A11" s="133" t="s">
        <v>70</v>
      </c>
      <c r="B11" s="134">
        <f>'Domestic Debt Colones'!B10/B90</f>
        <v>3614.6050581212698</v>
      </c>
      <c r="C11" s="174">
        <f>+B11/B8</f>
        <v>0.88523147616006648</v>
      </c>
      <c r="D11" s="134">
        <f>'Domestic Debt Colones'!D10/D90</f>
        <v>3814.2419430309415</v>
      </c>
      <c r="E11" s="174">
        <f>+D11/D8</f>
        <v>0.87256132061908309</v>
      </c>
      <c r="F11" s="134">
        <f>'Domestic Debt Colones'!F10/F90</f>
        <v>3784.7477377654659</v>
      </c>
      <c r="G11" s="174">
        <f>+F11/F8</f>
        <v>0.82783185937043624</v>
      </c>
      <c r="H11" s="134">
        <f>'Domestic Debt Colones'!H10/H90</f>
        <v>3652.709458008163</v>
      </c>
      <c r="I11" s="174">
        <f>+H11/H8</f>
        <v>0.81405619245910055</v>
      </c>
      <c r="J11" s="134">
        <f>'Domestic Debt Colones'!J10/J90</f>
        <v>3975.1346053433126</v>
      </c>
      <c r="K11" s="174">
        <f>+J11/J8</f>
        <v>0.81551073242820549</v>
      </c>
      <c r="L11" s="134">
        <f>'Domestic Debt Colones'!L10/L90</f>
        <v>4094.8804122882802</v>
      </c>
      <c r="M11" s="174">
        <f>+L11/L8</f>
        <v>0.84976398554922139</v>
      </c>
      <c r="N11" s="134">
        <f>'Domestic Debt Colones'!N10/N90</f>
        <v>4292.8586893597312</v>
      </c>
      <c r="O11" s="174">
        <f>+N11/N8</f>
        <v>0.84433112611993089</v>
      </c>
      <c r="P11" s="134">
        <f>'Domestic Debt Colones'!P10/P90</f>
        <v>4643.7162741114707</v>
      </c>
      <c r="Q11" s="174">
        <f>+P11/P8</f>
        <v>0.88395133536962434</v>
      </c>
      <c r="R11" s="134">
        <f>'Domestic Debt Colones'!R10/R90</f>
        <v>4263.4162698040473</v>
      </c>
      <c r="S11" s="174">
        <f>+R11/R8</f>
        <v>0.85547767106774619</v>
      </c>
      <c r="T11" s="134">
        <f>'Domestic Debt Colones'!T10/T90</f>
        <v>5262.6968015542561</v>
      </c>
      <c r="U11" s="174">
        <f>+T11/T8</f>
        <v>0.81916780111699894</v>
      </c>
      <c r="V11" s="134">
        <f>'Domestic Debt Colones'!V10/V90</f>
        <v>7170.5480315137556</v>
      </c>
      <c r="W11" s="174">
        <f>+V11/V8</f>
        <v>0.83141697160264449</v>
      </c>
      <c r="X11" s="134">
        <f>'Domestic Debt Colones'!X10/X90</f>
        <v>8790.3005109930127</v>
      </c>
      <c r="Y11" s="174">
        <f>+X11/X8</f>
        <v>0.83856416207221884</v>
      </c>
      <c r="Z11" s="134">
        <f>'Domestic Debt Colones'!Z10/Z90</f>
        <v>10911.791865287483</v>
      </c>
      <c r="AA11" s="174">
        <f>+Z11/Z8</f>
        <v>0.83785296205235427</v>
      </c>
      <c r="AB11" s="134">
        <v>12305.576994105077</v>
      </c>
      <c r="AC11" s="174">
        <f>+AB11/AB8</f>
        <v>0.86253097982542581</v>
      </c>
      <c r="AD11" s="134">
        <v>12339.387341982319</v>
      </c>
      <c r="AE11" s="174">
        <f>+AD11/AD8</f>
        <v>0.82420405616233849</v>
      </c>
      <c r="AF11" s="74">
        <f>+'Domestic Debt Colones'!AF10/'Domestic Debt USD'!AF90</f>
        <v>14070.162669107769</v>
      </c>
      <c r="AG11" s="211">
        <f>+AF11/AF8</f>
        <v>0.8370935245561768</v>
      </c>
      <c r="AH11" s="134">
        <f>+'Domestic Debt Colones'!AH10/'Domestic Debt USD'!AH90</f>
        <v>15684.592985480142</v>
      </c>
      <c r="AI11" s="90">
        <f>+AH11/AH8</f>
        <v>0.80737944149856744</v>
      </c>
      <c r="AJ11" s="74">
        <f>+'Domestic Debt Colones'!AJ10/'Domestic Debt USD'!AJ90</f>
        <v>16889.458863877968</v>
      </c>
      <c r="AK11" s="40">
        <f>+AJ11/AJ8</f>
        <v>0.75912239286121086</v>
      </c>
      <c r="AL11" s="134">
        <f>+'Domestic Debt Colones'!AL10/'Domestic Debt USD'!AL90</f>
        <v>17859.638707465721</v>
      </c>
      <c r="AM11" s="90">
        <f>+AL11/AL8</f>
        <v>0.73437129677940194</v>
      </c>
      <c r="AN11" s="74">
        <f>+'Domestic Debt Colones'!AN10/'Domestic Debt USD'!AN90</f>
        <v>21521.947317375831</v>
      </c>
      <c r="AO11" s="40">
        <f>+AN11/AN8</f>
        <v>0.7444291502569067</v>
      </c>
      <c r="AP11" s="461">
        <f>+'Domestic Debt Colones'!AP10/'Domestic Debt USD'!AP90</f>
        <v>23202.264209474324</v>
      </c>
      <c r="AQ11" s="463">
        <f>+AP11/AP8</f>
        <v>0.7713687350119518</v>
      </c>
      <c r="AR11" s="568"/>
      <c r="AS11" s="574"/>
    </row>
    <row r="12" spans="1:45" s="68" customFormat="1" x14ac:dyDescent="0.25">
      <c r="A12" s="218" t="s">
        <v>71</v>
      </c>
      <c r="B12" s="226">
        <f>+B11/B71</f>
        <v>0.2486527397776446</v>
      </c>
      <c r="C12" s="249"/>
      <c r="D12" s="226">
        <f>+D11/D71</f>
        <v>0.24823390285462366</v>
      </c>
      <c r="E12" s="249"/>
      <c r="F12" s="226">
        <f>+F11/F71</f>
        <v>0.24048860628765475</v>
      </c>
      <c r="G12" s="249"/>
      <c r="H12" s="226">
        <f>+H11/H71</f>
        <v>0.22227992788938863</v>
      </c>
      <c r="I12" s="249"/>
      <c r="J12" s="226">
        <f>+J11/J71</f>
        <v>0.22418404628275188</v>
      </c>
      <c r="K12" s="249"/>
      <c r="L12" s="226">
        <f>+L11/L71</f>
        <v>0.21280758065736746</v>
      </c>
      <c r="M12" s="249"/>
      <c r="N12" s="226">
        <f>+N11/N71</f>
        <v>0.19155979786669108</v>
      </c>
      <c r="O12" s="249"/>
      <c r="P12" s="226">
        <f>+P11/P71</f>
        <v>0.16622561918162626</v>
      </c>
      <c r="Q12" s="249"/>
      <c r="R12" s="226">
        <f>+R11/R71</f>
        <v>0.14528884699707709</v>
      </c>
      <c r="S12" s="249"/>
      <c r="T12" s="226">
        <v>0.17620646513520541</v>
      </c>
      <c r="U12" s="249"/>
      <c r="V12" s="223">
        <v>0.19527521487390584</v>
      </c>
      <c r="W12" s="250"/>
      <c r="X12" s="223">
        <f>+X11/X71</f>
        <v>0.20765630946503916</v>
      </c>
      <c r="Y12" s="250"/>
      <c r="Z12" s="226">
        <f>+Z11/Z71</f>
        <v>0.23393434588124601</v>
      </c>
      <c r="AA12" s="249"/>
      <c r="AB12" s="226">
        <f>+AB11/AB71</f>
        <v>0.24283054970658982</v>
      </c>
      <c r="AC12" s="249"/>
      <c r="AD12" s="226">
        <f>+AD11/AD71</f>
        <v>0.23894090649038704</v>
      </c>
      <c r="AE12" s="249"/>
      <c r="AF12" s="223">
        <f>+AF11/AF71</f>
        <v>0.2507985726480334</v>
      </c>
      <c r="AG12" s="250"/>
      <c r="AH12" s="226">
        <f>+AH11/AH71</f>
        <v>0.27225656517401858</v>
      </c>
      <c r="AI12" s="249"/>
      <c r="AJ12" s="223">
        <f>+AJ11/AJ71</f>
        <v>0.2805545738240417</v>
      </c>
      <c r="AK12" s="250"/>
      <c r="AL12" s="226">
        <f>+AL11/AL71</f>
        <v>0.30243351195526952</v>
      </c>
      <c r="AM12" s="249"/>
      <c r="AN12" s="223">
        <f>+AN11/AN71</f>
        <v>0.32626965451840545</v>
      </c>
      <c r="AO12" s="250"/>
      <c r="AP12" s="464">
        <f>+AP11/AP71</f>
        <v>0.39146364776374859</v>
      </c>
      <c r="AQ12" s="465"/>
      <c r="AR12" s="569"/>
      <c r="AS12" s="574"/>
    </row>
    <row r="13" spans="1:45" x14ac:dyDescent="0.25">
      <c r="A13" s="133" t="s">
        <v>72</v>
      </c>
      <c r="B13" s="134">
        <f>+'Domestic Debt Colones'!B12/'Domestic Debt USD'!B90</f>
        <v>468.62645303173048</v>
      </c>
      <c r="C13" s="258">
        <f>+B13/B8</f>
        <v>0.11476852383993341</v>
      </c>
      <c r="D13" s="134">
        <f>+'Domestic Debt Colones'!D12/'Domestic Debt USD'!D90</f>
        <v>557.07483769082273</v>
      </c>
      <c r="E13" s="258">
        <f>+D13/D8</f>
        <v>0.12743867938091691</v>
      </c>
      <c r="F13" s="134">
        <f>+'Domestic Debt Colones'!F12/'Domestic Debt USD'!F90</f>
        <v>787.13204062788589</v>
      </c>
      <c r="G13" s="258">
        <f>+F13/F8</f>
        <v>0.17216814062956387</v>
      </c>
      <c r="H13" s="134">
        <f>+'Domestic Debt Colones'!H12/'Domestic Debt USD'!H90</f>
        <v>834.33884632824959</v>
      </c>
      <c r="I13" s="258">
        <f>+H13/H8</f>
        <v>0.18594380754089956</v>
      </c>
      <c r="J13" s="134">
        <f>+'Domestic Debt Colones'!J12/'Domestic Debt USD'!J90</f>
        <v>899.27654251153024</v>
      </c>
      <c r="K13" s="258">
        <f>+J13/J8</f>
        <v>0.18448926757179454</v>
      </c>
      <c r="L13" s="134">
        <f>+'Domestic Debt Colones'!L12/'Domestic Debt USD'!L90</f>
        <v>723.96397500552553</v>
      </c>
      <c r="M13" s="258">
        <f>+L13/L8</f>
        <v>0.15023601445077858</v>
      </c>
      <c r="N13" s="134">
        <f>+'Domestic Debt Colones'!N12/'Domestic Debt USD'!N90</f>
        <v>791.47203890239689</v>
      </c>
      <c r="O13" s="258">
        <f>+N13/N8</f>
        <v>0.15566887388006906</v>
      </c>
      <c r="P13" s="134">
        <f>+'Domestic Debt Colones'!P12/'Domestic Debt USD'!P90</f>
        <v>609.64563429008183</v>
      </c>
      <c r="Q13" s="258">
        <f>+P13/P8</f>
        <v>0.11604866463037562</v>
      </c>
      <c r="R13" s="134">
        <f>+'Domestic Debt Colones'!R12/'Domestic Debt USD'!R90</f>
        <v>720.25123432000009</v>
      </c>
      <c r="S13" s="258">
        <f>+R13/R8</f>
        <v>0.14452232893225386</v>
      </c>
      <c r="T13" s="134">
        <f>+'Domestic Debt Colones'!T12/'Domestic Debt USD'!T90</f>
        <v>1161.7461445407448</v>
      </c>
      <c r="U13" s="258">
        <f>+T13/T8</f>
        <v>0.18083219888300112</v>
      </c>
      <c r="V13" s="134">
        <f>+'Domestic Debt Colones'!V12/'Domestic Debt USD'!V90</f>
        <v>1453.942779266499</v>
      </c>
      <c r="W13" s="258">
        <f>+V13/V8</f>
        <v>0.16858302839735548</v>
      </c>
      <c r="X13" s="134">
        <f>+'Domestic Debt Colones'!X12/'Domestic Debt USD'!X90</f>
        <v>1692.2611206308002</v>
      </c>
      <c r="Y13" s="258">
        <f>+X13/X8</f>
        <v>0.16143583792778127</v>
      </c>
      <c r="Z13" s="134">
        <f>+'Domestic Debt Colones'!Z12/'Domestic Debt USD'!Z90</f>
        <v>2111.7246220907</v>
      </c>
      <c r="AA13" s="258">
        <f>+Z13/Z8</f>
        <v>0.16214703794764573</v>
      </c>
      <c r="AB13" s="134">
        <v>1961.2462063736998</v>
      </c>
      <c r="AC13" s="258">
        <f>+AB13/AB8</f>
        <v>0.13746902017457416</v>
      </c>
      <c r="AD13" s="134">
        <v>2631.8897946979</v>
      </c>
      <c r="AE13" s="258">
        <f>+AD13/AD8</f>
        <v>0.17579594383766139</v>
      </c>
      <c r="AF13" s="74">
        <f>+'Domestic Debt Colones'!AF12/'Domestic Debt USD'!AF90</f>
        <v>2738.1893923511998</v>
      </c>
      <c r="AG13" s="259">
        <f>+AF13/AF8</f>
        <v>0.16290647544382314</v>
      </c>
      <c r="AH13" s="134">
        <f>+'Domestic Debt Colones'!AH12/'Domestic Debt USD'!AH90</f>
        <v>3741.9519317005002</v>
      </c>
      <c r="AI13" s="453">
        <f>+AH13/AH8</f>
        <v>0.1926205585014325</v>
      </c>
      <c r="AJ13" s="74">
        <f>+'Domestic Debt Colones'!AJ12/'Domestic Debt USD'!AJ90</f>
        <v>5359.2048861398007</v>
      </c>
      <c r="AK13" s="618">
        <f>+AJ13/AJ8</f>
        <v>0.24087760713878922</v>
      </c>
      <c r="AL13" s="134">
        <f>+'Domestic Debt Colones'!AL12/'Domestic Debt USD'!AL90</f>
        <v>6459.991955918701</v>
      </c>
      <c r="AM13" s="453">
        <f>+AL13/AL8</f>
        <v>0.26562870322059828</v>
      </c>
      <c r="AN13" s="74">
        <f>+'Domestic Debt Colones'!AN12/'Domestic Debt USD'!AN90</f>
        <v>7388.7251219671025</v>
      </c>
      <c r="AO13" s="618">
        <f>+AN13/AN8</f>
        <v>0.25557084974309335</v>
      </c>
      <c r="AP13" s="461">
        <f>+'Domestic Debt Colones'!AP12/'Domestic Debt USD'!AP90</f>
        <v>6877.0780769547982</v>
      </c>
      <c r="AQ13" s="466">
        <f>+AP13/AP8</f>
        <v>0.22863126498804898</v>
      </c>
      <c r="AR13" s="570"/>
      <c r="AS13" s="574"/>
    </row>
    <row r="14" spans="1:45" s="68" customFormat="1" x14ac:dyDescent="0.25">
      <c r="A14" s="218" t="s">
        <v>71</v>
      </c>
      <c r="B14" s="226">
        <f>+B13/B71</f>
        <v>3.2237339793682672E-2</v>
      </c>
      <c r="C14" s="249"/>
      <c r="D14" s="226">
        <f>+D13/D71</f>
        <v>3.6254874024119331E-2</v>
      </c>
      <c r="E14" s="249"/>
      <c r="F14" s="226">
        <f>+F13/F71</f>
        <v>5.0015562603049311E-2</v>
      </c>
      <c r="G14" s="249"/>
      <c r="H14" s="226">
        <f>+H13/H71</f>
        <v>5.0772387108579217E-2</v>
      </c>
      <c r="I14" s="249"/>
      <c r="J14" s="226">
        <f>+J13/J71</f>
        <v>5.0716132670427273E-2</v>
      </c>
      <c r="K14" s="249"/>
      <c r="L14" s="226">
        <f>+L13/L71</f>
        <v>3.7623814737467003E-2</v>
      </c>
      <c r="M14" s="249"/>
      <c r="N14" s="226">
        <f>+N13/N71</f>
        <v>3.5317776512204239E-2</v>
      </c>
      <c r="O14" s="249"/>
      <c r="P14" s="226">
        <f>+P13/P71</f>
        <v>2.1822763721849974E-2</v>
      </c>
      <c r="Q14" s="249"/>
      <c r="R14" s="226">
        <f>+R13/R71</f>
        <v>2.4544746456902744E-2</v>
      </c>
      <c r="S14" s="249"/>
      <c r="T14" s="226">
        <v>3.8897772232198695E-2</v>
      </c>
      <c r="U14" s="249"/>
      <c r="V14" s="223">
        <v>3.9595158889925465E-2</v>
      </c>
      <c r="W14" s="250"/>
      <c r="X14" s="223">
        <f>+X13/X71</f>
        <v>3.9976869792096088E-2</v>
      </c>
      <c r="Y14" s="250"/>
      <c r="Z14" s="226">
        <f>+Z13/Z71</f>
        <v>4.5272575233187354E-2</v>
      </c>
      <c r="AA14" s="249"/>
      <c r="AB14" s="226">
        <f>+AB13/AB71</f>
        <v>3.8702004353947383E-2</v>
      </c>
      <c r="AC14" s="249"/>
      <c r="AD14" s="226">
        <f>+AD13/AD71</f>
        <v>5.09641294092716E-2</v>
      </c>
      <c r="AE14" s="249"/>
      <c r="AF14" s="223">
        <f>+AF13/AF71</f>
        <v>4.8807821728276767E-2</v>
      </c>
      <c r="AG14" s="250"/>
      <c r="AH14" s="226">
        <f>+AH13/AH71</f>
        <v>6.4953612816996867E-2</v>
      </c>
      <c r="AI14" s="248"/>
      <c r="AJ14" s="223">
        <f>+AJ13/AJ71</f>
        <v>8.9022949461238426E-2</v>
      </c>
      <c r="AK14" s="224"/>
      <c r="AL14" s="226">
        <f>+AL13/AL71</f>
        <v>0.10939292146008453</v>
      </c>
      <c r="AM14" s="248"/>
      <c r="AN14" s="223">
        <f>+AN13/AN71</f>
        <v>0.11201201997782829</v>
      </c>
      <c r="AO14" s="224"/>
      <c r="AP14" s="464">
        <f>+AP13/AP71</f>
        <v>0.11602859297074715</v>
      </c>
      <c r="AQ14" s="467"/>
      <c r="AR14" s="568"/>
      <c r="AS14" s="574"/>
    </row>
    <row r="15" spans="1:45" s="30" customFormat="1" ht="12.75" hidden="1" customHeight="1" x14ac:dyDescent="0.25">
      <c r="A15" s="219"/>
      <c r="B15" s="29"/>
      <c r="C15" s="261"/>
      <c r="D15" s="29"/>
      <c r="E15" s="261"/>
      <c r="F15" s="29"/>
      <c r="G15" s="261"/>
      <c r="H15" s="29"/>
      <c r="I15" s="261"/>
      <c r="J15" s="29"/>
      <c r="K15" s="261"/>
      <c r="L15" s="29"/>
      <c r="M15" s="261"/>
      <c r="N15" s="29"/>
      <c r="O15" s="261"/>
      <c r="P15" s="29"/>
      <c r="Q15" s="261"/>
      <c r="R15" s="29"/>
      <c r="S15" s="261"/>
      <c r="T15" s="29"/>
      <c r="U15" s="261"/>
      <c r="V15" s="29"/>
      <c r="W15" s="261"/>
      <c r="X15" s="29"/>
      <c r="Y15" s="261"/>
      <c r="Z15" s="91"/>
      <c r="AA15" s="269"/>
      <c r="AB15" s="91"/>
      <c r="AC15" s="269"/>
      <c r="AD15" s="91"/>
      <c r="AE15" s="269"/>
      <c r="AF15" s="29"/>
      <c r="AG15" s="261"/>
      <c r="AH15" s="91"/>
      <c r="AI15" s="454"/>
      <c r="AJ15" s="29"/>
      <c r="AK15" s="619"/>
      <c r="AL15" s="91"/>
      <c r="AM15" s="454"/>
      <c r="AN15" s="29"/>
      <c r="AO15" s="619"/>
      <c r="AP15" s="468"/>
      <c r="AQ15" s="469"/>
      <c r="AR15" s="571"/>
      <c r="AS15" s="574"/>
    </row>
    <row r="16" spans="1:45" s="30" customFormat="1" ht="12.75" hidden="1" customHeight="1" x14ac:dyDescent="0.25">
      <c r="A16" s="31" t="s">
        <v>73</v>
      </c>
      <c r="B16" s="29"/>
      <c r="C16" s="261"/>
      <c r="D16" s="29"/>
      <c r="E16" s="261"/>
      <c r="F16" s="29"/>
      <c r="G16" s="261"/>
      <c r="H16" s="29"/>
      <c r="I16" s="261"/>
      <c r="J16" s="29"/>
      <c r="K16" s="261"/>
      <c r="L16" s="29"/>
      <c r="M16" s="261"/>
      <c r="N16" s="29"/>
      <c r="O16" s="261"/>
      <c r="P16" s="29"/>
      <c r="Q16" s="261"/>
      <c r="R16" s="29"/>
      <c r="S16" s="261"/>
      <c r="T16" s="29"/>
      <c r="U16" s="261"/>
      <c r="V16" s="29"/>
      <c r="W16" s="261"/>
      <c r="X16" s="29"/>
      <c r="Y16" s="261"/>
      <c r="Z16" s="91"/>
      <c r="AA16" s="269"/>
      <c r="AB16" s="91"/>
      <c r="AC16" s="269"/>
      <c r="AD16" s="91"/>
      <c r="AE16" s="269"/>
      <c r="AF16" s="29"/>
      <c r="AG16" s="261"/>
      <c r="AH16" s="91"/>
      <c r="AI16" s="454"/>
      <c r="AJ16" s="29"/>
      <c r="AK16" s="619"/>
      <c r="AL16" s="91"/>
      <c r="AM16" s="454"/>
      <c r="AN16" s="29"/>
      <c r="AO16" s="619"/>
      <c r="AP16" s="468"/>
      <c r="AQ16" s="469"/>
      <c r="AR16" s="571"/>
      <c r="AS16" s="574"/>
    </row>
    <row r="17" spans="1:45" s="30" customFormat="1" ht="12.75" hidden="1" customHeight="1" x14ac:dyDescent="0.25">
      <c r="A17" s="76" t="s">
        <v>74</v>
      </c>
      <c r="B17" s="207" t="e">
        <v>#REF!</v>
      </c>
      <c r="C17" s="259" t="e">
        <f>+B17/B8</f>
        <v>#REF!</v>
      </c>
      <c r="D17" s="207" t="e">
        <v>#REF!</v>
      </c>
      <c r="E17" s="259" t="e">
        <f>+D17/D8</f>
        <v>#REF!</v>
      </c>
      <c r="F17" s="207">
        <v>2837.7657828782485</v>
      </c>
      <c r="G17" s="259">
        <f>+F17/F8</f>
        <v>0.62070000096885647</v>
      </c>
      <c r="H17" s="207">
        <v>2798.405479582826</v>
      </c>
      <c r="I17" s="259">
        <f>+H17/H8</f>
        <v>0.62366288254092717</v>
      </c>
      <c r="J17" s="207">
        <v>3236.3787964493949</v>
      </c>
      <c r="K17" s="259">
        <f>+J17/J8</f>
        <v>0.6639527726079647</v>
      </c>
      <c r="L17" s="207">
        <v>3257.8051475758975</v>
      </c>
      <c r="M17" s="259">
        <f>+L17/L8</f>
        <v>0.67605527087904871</v>
      </c>
      <c r="N17" s="207">
        <v>3784.8683184747788</v>
      </c>
      <c r="O17" s="259">
        <f>+N17/N8</f>
        <v>0.74441819794214725</v>
      </c>
      <c r="P17" s="207">
        <v>3756.1321278435944</v>
      </c>
      <c r="Q17" s="259">
        <f>+P17/P8</f>
        <v>0.71499588136818037</v>
      </c>
      <c r="R17" s="207">
        <v>3380.7705161395443</v>
      </c>
      <c r="S17" s="259">
        <f>+R17/R8</f>
        <v>0.67836999826772448</v>
      </c>
      <c r="T17" s="207">
        <v>3322.249083792919</v>
      </c>
      <c r="U17" s="259">
        <v>0.51712640483674888</v>
      </c>
      <c r="V17" s="207">
        <v>3643.7799219512194</v>
      </c>
      <c r="W17" s="259">
        <v>0.42249217975821207</v>
      </c>
      <c r="X17" s="207">
        <v>3655.7656513057436</v>
      </c>
      <c r="Y17" s="259">
        <f>+X17/X8</f>
        <v>0.34874735582541416</v>
      </c>
      <c r="Z17" s="193">
        <v>3667.1802721756376</v>
      </c>
      <c r="AA17" s="258">
        <f>+Z17/Z8</f>
        <v>0.28158142048115092</v>
      </c>
      <c r="AB17" s="193">
        <v>3716.5168268752359</v>
      </c>
      <c r="AC17" s="258">
        <f>+AB17/AB8</f>
        <v>0.26050065769024977</v>
      </c>
      <c r="AD17" s="193">
        <v>0</v>
      </c>
      <c r="AE17" s="258">
        <f>+AD17/AD8</f>
        <v>0</v>
      </c>
      <c r="AF17" s="207">
        <v>0</v>
      </c>
      <c r="AG17" s="259">
        <f>+AF17/AF8</f>
        <v>0</v>
      </c>
      <c r="AH17" s="166">
        <v>0</v>
      </c>
      <c r="AI17" s="453">
        <f>+AH17/AH8</f>
        <v>0</v>
      </c>
      <c r="AJ17" s="135">
        <v>0</v>
      </c>
      <c r="AK17" s="618">
        <f>+AJ17/AJ8</f>
        <v>0</v>
      </c>
      <c r="AL17" s="166">
        <v>0</v>
      </c>
      <c r="AM17" s="453">
        <f>+AL17/AL8</f>
        <v>0</v>
      </c>
      <c r="AN17" s="135">
        <v>0</v>
      </c>
      <c r="AO17" s="618">
        <f>+AN17/AN8</f>
        <v>0</v>
      </c>
      <c r="AP17" s="470">
        <v>0</v>
      </c>
      <c r="AQ17" s="466">
        <f>+AP17/AP8</f>
        <v>0</v>
      </c>
      <c r="AR17" s="570"/>
      <c r="AS17" s="574"/>
    </row>
    <row r="18" spans="1:45" s="30" customFormat="1" ht="12.75" hidden="1" customHeight="1" x14ac:dyDescent="0.25">
      <c r="A18" s="219" t="s">
        <v>75</v>
      </c>
      <c r="B18" s="29" t="e">
        <f>+B17/B71</f>
        <v>#REF!</v>
      </c>
      <c r="C18" s="261"/>
      <c r="D18" s="29" t="e">
        <f>+D17/D71</f>
        <v>#REF!</v>
      </c>
      <c r="E18" s="261"/>
      <c r="F18" s="29">
        <f>+F17/F71</f>
        <v>0.18031593791191683</v>
      </c>
      <c r="G18" s="261"/>
      <c r="H18" s="29">
        <f>+H17/H71</f>
        <v>0.17029259385610584</v>
      </c>
      <c r="I18" s="261"/>
      <c r="J18" s="29">
        <f>+J17/J71</f>
        <v>0.18252073600638899</v>
      </c>
      <c r="K18" s="261"/>
      <c r="L18" s="29">
        <f>+L17/L71</f>
        <v>0.16930546485027298</v>
      </c>
      <c r="M18" s="261"/>
      <c r="N18" s="29">
        <f>+N17/N71</f>
        <v>0.16889179507262275</v>
      </c>
      <c r="O18" s="261"/>
      <c r="P18" s="29">
        <f>+P17/P71</f>
        <v>0.13445381927393207</v>
      </c>
      <c r="Q18" s="261"/>
      <c r="R18" s="29">
        <f>+R17/R71</f>
        <v>0.1152100144971777</v>
      </c>
      <c r="S18" s="261"/>
      <c r="T18" s="29">
        <v>0.11123608093495634</v>
      </c>
      <c r="U18" s="261"/>
      <c r="V18" s="29">
        <v>9.9230896172107078E-2</v>
      </c>
      <c r="W18" s="261"/>
      <c r="X18" s="29">
        <f>+X17/X71</f>
        <v>8.6361416480566708E-2</v>
      </c>
      <c r="Y18" s="261"/>
      <c r="Z18" s="91">
        <f>+Z17/Z71</f>
        <v>7.8619481455570794E-2</v>
      </c>
      <c r="AA18" s="269"/>
      <c r="AB18" s="91">
        <f>+AB17/AB71</f>
        <v>7.3339415493985746E-2</v>
      </c>
      <c r="AC18" s="269"/>
      <c r="AD18" s="91">
        <f>+AD17/AD71</f>
        <v>0</v>
      </c>
      <c r="AE18" s="269"/>
      <c r="AF18" s="29">
        <f>+AF17/AF71</f>
        <v>0</v>
      </c>
      <c r="AG18" s="261"/>
      <c r="AH18" s="91">
        <f>+AH17/AH71</f>
        <v>0</v>
      </c>
      <c r="AI18" s="454"/>
      <c r="AJ18" s="29">
        <f>+AJ17/AJ71</f>
        <v>0</v>
      </c>
      <c r="AK18" s="619"/>
      <c r="AL18" s="91">
        <f>+AL17/AL71</f>
        <v>0</v>
      </c>
      <c r="AM18" s="454"/>
      <c r="AN18" s="29">
        <f>+AN17/AN71</f>
        <v>0</v>
      </c>
      <c r="AO18" s="619"/>
      <c r="AP18" s="468">
        <f>+AP17/AP71</f>
        <v>0</v>
      </c>
      <c r="AQ18" s="469"/>
      <c r="AR18" s="571"/>
      <c r="AS18" s="574"/>
    </row>
    <row r="19" spans="1:45" s="30" customFormat="1" ht="12.75" hidden="1" customHeight="1" x14ac:dyDescent="0.25">
      <c r="A19" s="76" t="s">
        <v>76</v>
      </c>
      <c r="B19" s="75" t="e">
        <v>#REF!</v>
      </c>
      <c r="C19" s="259" t="e">
        <f>+B19/B8</f>
        <v>#REF!</v>
      </c>
      <c r="D19" s="75" t="e">
        <v>#REF!</v>
      </c>
      <c r="E19" s="259" t="e">
        <f>+D19/D8</f>
        <v>#REF!</v>
      </c>
      <c r="F19" s="75">
        <v>1734.1139955151032</v>
      </c>
      <c r="G19" s="259">
        <f>+F19/F8</f>
        <v>0.37929999903114359</v>
      </c>
      <c r="H19" s="75">
        <v>1688.6428247535864</v>
      </c>
      <c r="I19" s="259">
        <f>+H19/H8</f>
        <v>0.37633711745907295</v>
      </c>
      <c r="J19" s="75">
        <v>1638.0323514054476</v>
      </c>
      <c r="K19" s="259">
        <f>+J19/J8</f>
        <v>0.33604722739203519</v>
      </c>
      <c r="L19" s="75">
        <v>1561.0392397179082</v>
      </c>
      <c r="M19" s="259">
        <f>+L19/L8</f>
        <v>0.32394472912095124</v>
      </c>
      <c r="N19" s="75">
        <v>1299.4624097873493</v>
      </c>
      <c r="O19" s="259">
        <f>+N19/N8</f>
        <v>0.25558180205785269</v>
      </c>
      <c r="P19" s="75">
        <v>1497.2297805579581</v>
      </c>
      <c r="Q19" s="259">
        <f>+P19/P8</f>
        <v>0.28500411863181957</v>
      </c>
      <c r="R19" s="75">
        <v>1602.8969879845033</v>
      </c>
      <c r="S19" s="259">
        <f>+R19/R8</f>
        <v>0.32163000173227568</v>
      </c>
      <c r="T19" s="75">
        <v>3102.193862302081</v>
      </c>
      <c r="U19" s="259">
        <v>0.48287359516325101</v>
      </c>
      <c r="V19" s="75">
        <v>4980.710888829035</v>
      </c>
      <c r="W19" s="259">
        <v>0.57750782024178793</v>
      </c>
      <c r="X19" s="75">
        <v>6826.7959803180684</v>
      </c>
      <c r="Y19" s="259">
        <f>+X19/X8</f>
        <v>0.65125264417458584</v>
      </c>
      <c r="Z19" s="153">
        <v>6848.1117032894281</v>
      </c>
      <c r="AA19" s="258">
        <f>+Z19/Z8</f>
        <v>0.52582662370230926</v>
      </c>
      <c r="AB19" s="153">
        <v>6940.2430446913759</v>
      </c>
      <c r="AC19" s="258">
        <f>+AB19/AB8</f>
        <v>0.48646029653318124</v>
      </c>
      <c r="AD19" s="153">
        <v>0</v>
      </c>
      <c r="AE19" s="258">
        <f>+AD19/AD8</f>
        <v>0</v>
      </c>
      <c r="AF19" s="75">
        <v>0</v>
      </c>
      <c r="AG19" s="259">
        <f>+AF19/AF8</f>
        <v>0</v>
      </c>
      <c r="AH19" s="153">
        <v>0</v>
      </c>
      <c r="AI19" s="453">
        <f>+AH19/AH8</f>
        <v>0</v>
      </c>
      <c r="AJ19" s="75">
        <v>0</v>
      </c>
      <c r="AK19" s="618">
        <f>+AJ19/AJ8</f>
        <v>0</v>
      </c>
      <c r="AL19" s="153">
        <v>0</v>
      </c>
      <c r="AM19" s="453">
        <f>+AL19/AL8</f>
        <v>0</v>
      </c>
      <c r="AN19" s="75">
        <v>0</v>
      </c>
      <c r="AO19" s="618">
        <f>+AN19/AN8</f>
        <v>0</v>
      </c>
      <c r="AP19" s="471">
        <v>0</v>
      </c>
      <c r="AQ19" s="466">
        <f>+AP19/AP8</f>
        <v>0</v>
      </c>
      <c r="AR19" s="570"/>
      <c r="AS19" s="574"/>
    </row>
    <row r="20" spans="1:45" s="30" customFormat="1" ht="12.75" hidden="1" customHeight="1" x14ac:dyDescent="0.25">
      <c r="A20" s="219" t="s">
        <v>75</v>
      </c>
      <c r="B20" s="29" t="e">
        <f>+B19/B71</f>
        <v>#REF!</v>
      </c>
      <c r="C20" s="35"/>
      <c r="D20" s="29" t="e">
        <f>+D19/D71</f>
        <v>#REF!</v>
      </c>
      <c r="E20" s="35"/>
      <c r="F20" s="29">
        <f>+F19/F71</f>
        <v>0.11018823097878722</v>
      </c>
      <c r="G20" s="35"/>
      <c r="H20" s="29">
        <f>+H19/H71</f>
        <v>0.10275972114186199</v>
      </c>
      <c r="I20" s="35"/>
      <c r="J20" s="29">
        <f>+J19/J71</f>
        <v>9.2379442946790152E-2</v>
      </c>
      <c r="K20" s="35"/>
      <c r="L20" s="29">
        <f>+L19/L71</f>
        <v>8.1125930544561492E-2</v>
      </c>
      <c r="M20" s="35"/>
      <c r="N20" s="29">
        <f>+N19/N71</f>
        <v>5.7985779306272578E-2</v>
      </c>
      <c r="O20" s="35"/>
      <c r="P20" s="29">
        <f>+P19/P71</f>
        <v>5.3594563629544172E-2</v>
      </c>
      <c r="Q20" s="35"/>
      <c r="R20" s="29">
        <f>+R19/R71</f>
        <v>5.4623578956802137E-2</v>
      </c>
      <c r="S20" s="35"/>
      <c r="T20" s="29">
        <v>0.10386815643244773</v>
      </c>
      <c r="U20" s="35"/>
      <c r="V20" s="29">
        <v>0.13563947759172423</v>
      </c>
      <c r="W20" s="35"/>
      <c r="X20" s="29">
        <f>+X19/X71</f>
        <v>0.16127176277656852</v>
      </c>
      <c r="Y20" s="35"/>
      <c r="Z20" s="91">
        <f>+Z19/Z71</f>
        <v>0.1468144326439195</v>
      </c>
      <c r="AA20" s="92"/>
      <c r="AB20" s="91">
        <f>+AB19/AB71</f>
        <v>0.13695440973203282</v>
      </c>
      <c r="AC20" s="92"/>
      <c r="AD20" s="91">
        <f>+AD19/AD71</f>
        <v>0</v>
      </c>
      <c r="AE20" s="92"/>
      <c r="AF20" s="29">
        <f>+AF19/AF71</f>
        <v>0</v>
      </c>
      <c r="AG20" s="35"/>
      <c r="AH20" s="91">
        <f>+AH19/AH71</f>
        <v>0</v>
      </c>
      <c r="AI20" s="92"/>
      <c r="AJ20" s="29">
        <f>+AJ19/AJ71</f>
        <v>0</v>
      </c>
      <c r="AK20" s="35"/>
      <c r="AL20" s="91">
        <f>+AL19/AL71</f>
        <v>0</v>
      </c>
      <c r="AM20" s="92"/>
      <c r="AN20" s="29">
        <f>+AN19/AN71</f>
        <v>0</v>
      </c>
      <c r="AO20" s="35"/>
      <c r="AP20" s="468">
        <f>+AP19/AP71</f>
        <v>0</v>
      </c>
      <c r="AQ20" s="472"/>
      <c r="AR20" s="572"/>
      <c r="AS20" s="574"/>
    </row>
    <row r="21" spans="1:45" s="30" customFormat="1" x14ac:dyDescent="0.25">
      <c r="A21" s="219"/>
      <c r="B21" s="29"/>
      <c r="C21" s="35"/>
      <c r="D21" s="29"/>
      <c r="E21" s="35"/>
      <c r="F21" s="29"/>
      <c r="G21" s="35"/>
      <c r="H21" s="29"/>
      <c r="I21" s="35"/>
      <c r="J21" s="29"/>
      <c r="K21" s="35"/>
      <c r="L21" s="29"/>
      <c r="M21" s="35"/>
      <c r="N21" s="29"/>
      <c r="O21" s="35"/>
      <c r="P21" s="29"/>
      <c r="Q21" s="35"/>
      <c r="R21" s="29"/>
      <c r="S21" s="35"/>
      <c r="T21" s="29"/>
      <c r="U21" s="35"/>
      <c r="V21" s="29"/>
      <c r="W21" s="35"/>
      <c r="X21" s="29"/>
      <c r="Y21" s="35"/>
      <c r="Z21" s="91"/>
      <c r="AA21" s="92"/>
      <c r="AB21" s="91"/>
      <c r="AC21" s="92"/>
      <c r="AD21" s="91"/>
      <c r="AE21" s="92"/>
      <c r="AF21" s="29"/>
      <c r="AG21" s="35"/>
      <c r="AH21" s="91"/>
      <c r="AI21" s="92"/>
      <c r="AJ21" s="29"/>
      <c r="AK21" s="35"/>
      <c r="AL21" s="91"/>
      <c r="AM21" s="92"/>
      <c r="AN21" s="29"/>
      <c r="AO21" s="35"/>
      <c r="AP21" s="468"/>
      <c r="AQ21" s="472"/>
      <c r="AR21" s="572"/>
      <c r="AS21" s="574"/>
    </row>
    <row r="22" spans="1:45" s="30" customFormat="1" x14ac:dyDescent="0.25">
      <c r="A22" s="398" t="s">
        <v>77</v>
      </c>
      <c r="B22" s="29"/>
      <c r="C22" s="261"/>
      <c r="D22" s="29"/>
      <c r="E22" s="261"/>
      <c r="F22" s="29"/>
      <c r="G22" s="261"/>
      <c r="H22" s="29"/>
      <c r="I22" s="261"/>
      <c r="J22" s="29"/>
      <c r="K22" s="261"/>
      <c r="L22" s="29"/>
      <c r="M22" s="261"/>
      <c r="N22" s="29"/>
      <c r="O22" s="261"/>
      <c r="P22" s="29"/>
      <c r="Q22" s="261"/>
      <c r="R22" s="29"/>
      <c r="S22" s="261"/>
      <c r="T22" s="29"/>
      <c r="U22" s="261"/>
      <c r="V22" s="29"/>
      <c r="W22" s="261"/>
      <c r="X22" s="29"/>
      <c r="Y22" s="261"/>
      <c r="Z22" s="91"/>
      <c r="AA22" s="269"/>
      <c r="AB22" s="91"/>
      <c r="AC22" s="269"/>
      <c r="AD22" s="91"/>
      <c r="AE22" s="269"/>
      <c r="AF22" s="29"/>
      <c r="AG22" s="261"/>
      <c r="AH22" s="91"/>
      <c r="AI22" s="454"/>
      <c r="AJ22" s="29"/>
      <c r="AK22" s="619"/>
      <c r="AL22" s="91"/>
      <c r="AM22" s="454"/>
      <c r="AN22" s="29"/>
      <c r="AO22" s="619"/>
      <c r="AP22" s="468"/>
      <c r="AQ22" s="469"/>
      <c r="AR22" s="571"/>
      <c r="AS22" s="574"/>
    </row>
    <row r="23" spans="1:45" s="30" customFormat="1" x14ac:dyDescent="0.25">
      <c r="A23" s="76" t="s">
        <v>78</v>
      </c>
      <c r="B23" s="74">
        <f>+'Domestic Debt Colones'!B22/B90</f>
        <v>2378.4568017593465</v>
      </c>
      <c r="C23" s="259">
        <f>+B23/B8</f>
        <v>0.58249374184706237</v>
      </c>
      <c r="D23" s="74">
        <f>+'Domestic Debt Colones'!D22/D90</f>
        <v>1915.0068433058434</v>
      </c>
      <c r="E23" s="259">
        <f>+D23/D8</f>
        <v>0.43808466404250151</v>
      </c>
      <c r="F23" s="74">
        <f>+'Domestic Debt Colones'!F22/F90</f>
        <v>1678.4061733280566</v>
      </c>
      <c r="G23" s="259">
        <f>+F23/F8</f>
        <v>0.36711511559428661</v>
      </c>
      <c r="H23" s="74">
        <f>+'Domestic Debt Colones'!H22/H90</f>
        <v>1347.5068375456433</v>
      </c>
      <c r="I23" s="259">
        <f>+H23/H8</f>
        <v>0.30031030337769576</v>
      </c>
      <c r="J23" s="74">
        <f>+'Domestic Debt Colones'!J22/J90</f>
        <v>1124.2746279697155</v>
      </c>
      <c r="K23" s="259">
        <f>+J23/J8</f>
        <v>0.23064829655670149</v>
      </c>
      <c r="L23" s="74">
        <f>+'Domestic Debt Colones'!L22/L90</f>
        <v>1010.2821723493601</v>
      </c>
      <c r="M23" s="259">
        <f>+L23/L8</f>
        <v>0.20965237537307571</v>
      </c>
      <c r="N23" s="74">
        <f>+'Domestic Debt Colones'!N22/N90</f>
        <v>964.18324263826173</v>
      </c>
      <c r="O23" s="259">
        <f>+N23/N8</f>
        <v>0.18963818330673948</v>
      </c>
      <c r="P23" s="74">
        <f>+'Domestic Debt Colones'!P22/P90</f>
        <v>987.92244101615142</v>
      </c>
      <c r="Q23" s="259">
        <f>+P23/P8</f>
        <v>0.18805527931289012</v>
      </c>
      <c r="R23" s="74">
        <f>+'Domestic Debt Colones'!R22/R90</f>
        <v>870.05484763645745</v>
      </c>
      <c r="S23" s="259">
        <f>+R23/R8</f>
        <v>0.17458123900049036</v>
      </c>
      <c r="T23" s="74">
        <f>+'Domestic Debt Colones'!T22/T90</f>
        <v>840.14814083563419</v>
      </c>
      <c r="U23" s="259">
        <f>+T23/T8</f>
        <v>0.13077369475999556</v>
      </c>
      <c r="V23" s="74">
        <f>+'Domestic Debt Colones'!V22/V90</f>
        <v>885.98597900409766</v>
      </c>
      <c r="W23" s="259">
        <f>+V23/V8</f>
        <v>0.10272907681652951</v>
      </c>
      <c r="X23" s="74">
        <f>+'Domestic Debt Colones'!X22/X90</f>
        <v>746.01309204428151</v>
      </c>
      <c r="Y23" s="259">
        <f>+X23/X8</f>
        <v>7.1167059947800149E-2</v>
      </c>
      <c r="Z23" s="134">
        <f>+'Domestic Debt Colones'!Z22/Z90</f>
        <v>875.73411627152745</v>
      </c>
      <c r="AA23" s="258">
        <f>+Z23/Z8</f>
        <v>6.7242523716252084E-2</v>
      </c>
      <c r="AB23" s="134">
        <v>1349.3407056541685</v>
      </c>
      <c r="AC23" s="258">
        <f>+AB23/AB8</f>
        <v>9.4578918284267108E-2</v>
      </c>
      <c r="AD23" s="134">
        <v>1548.8997148921101</v>
      </c>
      <c r="AE23" s="258">
        <f>+AD23/AD8</f>
        <v>0.10345808849515213</v>
      </c>
      <c r="AF23" s="74">
        <f>+'Domestic Debt Colones'!AF22/'Domestic Debt USD'!AF90</f>
        <v>1338.346366320857</v>
      </c>
      <c r="AG23" s="259">
        <f>+AF23/AF8</f>
        <v>7.9623889446583149E-2</v>
      </c>
      <c r="AH23" s="134">
        <f>+'Domestic Debt Colones'!AH22/'Domestic Debt USD'!AH90</f>
        <v>2388.4060949337572</v>
      </c>
      <c r="AI23" s="453">
        <f>+AH23/AH8</f>
        <v>0.12294549057055816</v>
      </c>
      <c r="AJ23" s="74">
        <f>+'Domestic Debt Colones'!AJ22/'Domestic Debt USD'!AJ90</f>
        <v>4462.3992679226276</v>
      </c>
      <c r="AK23" s="618">
        <f>+AJ23/AJ8</f>
        <v>0.20056931589516533</v>
      </c>
      <c r="AL23" s="134">
        <f>+'Domestic Debt Colones'!AL22/'Domestic Debt USD'!AL90</f>
        <v>5013.5264209703373</v>
      </c>
      <c r="AM23" s="453">
        <f>+AL23/AL8</f>
        <v>0.20615142106243792</v>
      </c>
      <c r="AN23" s="74">
        <f>+'Domestic Debt Colones'!AN22/'Domestic Debt USD'!AN90</f>
        <v>5269.1066001031859</v>
      </c>
      <c r="AO23" s="618">
        <f>+AN23/AN8</f>
        <v>0.18225472310124308</v>
      </c>
      <c r="AP23" s="461">
        <f>+'Domestic Debt Colones'!AP22/'Domestic Debt USD'!AP90</f>
        <v>4946.8123044745835</v>
      </c>
      <c r="AQ23" s="466">
        <f>+AP23/AP8</f>
        <v>0.16445879226243712</v>
      </c>
      <c r="AR23" s="570"/>
      <c r="AS23" s="574"/>
    </row>
    <row r="24" spans="1:45" s="187" customFormat="1" x14ac:dyDescent="0.25">
      <c r="A24" s="219" t="s">
        <v>71</v>
      </c>
      <c r="B24" s="223">
        <f>+B23/B71</f>
        <v>0.16361671349722154</v>
      </c>
      <c r="C24" s="250"/>
      <c r="D24" s="223">
        <f>+D23/D71</f>
        <v>0.1246301702427863</v>
      </c>
      <c r="E24" s="250"/>
      <c r="F24" s="223">
        <f>+F23/F71</f>
        <v>0.10664847154293297</v>
      </c>
      <c r="G24" s="250"/>
      <c r="H24" s="223">
        <f>+H23/H71</f>
        <v>8.2000423555021865E-2</v>
      </c>
      <c r="I24" s="250"/>
      <c r="J24" s="223">
        <f>+J23/J71</f>
        <v>6.340525799868317E-2</v>
      </c>
      <c r="K24" s="250"/>
      <c r="L24" s="223">
        <f>+L23/L71</f>
        <v>5.2503536912520986E-2</v>
      </c>
      <c r="M24" s="250"/>
      <c r="N24" s="223">
        <f>+N23/N71</f>
        <v>4.302465103825337E-2</v>
      </c>
      <c r="O24" s="250"/>
      <c r="P24" s="223">
        <f>+P23/P71</f>
        <v>3.5363491171250531E-2</v>
      </c>
      <c r="Q24" s="250"/>
      <c r="R24" s="223">
        <f>+R23/R71</f>
        <v>2.9649759169101363E-2</v>
      </c>
      <c r="S24" s="250"/>
      <c r="T24" s="223">
        <v>2.8129975879066533E-2</v>
      </c>
      <c r="U24" s="250"/>
      <c r="V24" s="223">
        <v>2.4128016668311623E-2</v>
      </c>
      <c r="W24" s="250"/>
      <c r="X24" s="223">
        <f>+X23/X71</f>
        <v>1.7623325313256881E-2</v>
      </c>
      <c r="Y24" s="250"/>
      <c r="Z24" s="226">
        <f>+Z23/Z71</f>
        <v>1.8774578014779008E-2</v>
      </c>
      <c r="AA24" s="249"/>
      <c r="AB24" s="226">
        <f>+AB23/AB71</f>
        <v>2.6627044424852562E-2</v>
      </c>
      <c r="AC24" s="249"/>
      <c r="AD24" s="226">
        <f>+AD23/AD71</f>
        <v>2.9993020859297143E-2</v>
      </c>
      <c r="AE24" s="249"/>
      <c r="AF24" s="223">
        <f>+AF23/AF71</f>
        <v>2.3855826423308715E-2</v>
      </c>
      <c r="AG24" s="250"/>
      <c r="AH24" s="226">
        <f>+AH23/AH71</f>
        <v>4.1458470758490636E-2</v>
      </c>
      <c r="AI24" s="248"/>
      <c r="AJ24" s="223">
        <f>+AJ23/AJ71</f>
        <v>7.4125911015558169E-2</v>
      </c>
      <c r="AK24" s="224"/>
      <c r="AL24" s="226">
        <f>+AL23/AL71</f>
        <v>8.4898604479650683E-2</v>
      </c>
      <c r="AM24" s="248"/>
      <c r="AN24" s="223">
        <f>+AN23/AN71</f>
        <v>7.9878905225660227E-2</v>
      </c>
      <c r="AO24" s="224"/>
      <c r="AP24" s="464">
        <f>+AP23/AP71</f>
        <v>8.3461560993753098E-2</v>
      </c>
      <c r="AQ24" s="467"/>
      <c r="AR24" s="568"/>
      <c r="AS24" s="574"/>
    </row>
    <row r="25" spans="1:45" s="30" customFormat="1" x14ac:dyDescent="0.25">
      <c r="A25" s="76" t="s">
        <v>79</v>
      </c>
      <c r="B25" s="74">
        <f>+'Domestic Debt Colones'!B24/B90</f>
        <v>969.6578385171224</v>
      </c>
      <c r="C25" s="259">
        <f>+B25/B8</f>
        <v>0.23747314740018641</v>
      </c>
      <c r="D25" s="74">
        <f>+'Domestic Debt Colones'!D24/D90</f>
        <v>1293.3273088845992</v>
      </c>
      <c r="E25" s="259">
        <f>+D25/D8</f>
        <v>0.29586675451854422</v>
      </c>
      <c r="F25" s="74">
        <f>+'Domestic Debt Colones'!F24/F90</f>
        <v>1916.6553752803065</v>
      </c>
      <c r="G25" s="259">
        <f>+F25/F8</f>
        <v>0.41922698500043609</v>
      </c>
      <c r="H25" s="74">
        <f>+'Domestic Debt Colones'!H24/H90</f>
        <v>2118.3222357461641</v>
      </c>
      <c r="I25" s="259">
        <f>+H25/H8</f>
        <v>0.47209704288205606</v>
      </c>
      <c r="J25" s="74">
        <f>+'Domestic Debt Colones'!J24/J90</f>
        <v>2723.6775737533717</v>
      </c>
      <c r="K25" s="259">
        <f>+J25/J8</f>
        <v>0.5587705860536657</v>
      </c>
      <c r="L25" s="74">
        <f>+'Domestic Debt Colones'!L24/L90</f>
        <v>2851.8678949589116</v>
      </c>
      <c r="M25" s="259">
        <f>+L25/L8</f>
        <v>0.59181572712300834</v>
      </c>
      <c r="N25" s="74">
        <f>+'Domestic Debt Colones'!N24/N90</f>
        <v>3501.8793369611362</v>
      </c>
      <c r="O25" s="259">
        <f>+N25/N8</f>
        <v>0.68875915516182629</v>
      </c>
      <c r="P25" s="74">
        <f>+'Domestic Debt Colones'!P24/P90</f>
        <v>3177.9606170927445</v>
      </c>
      <c r="Q25" s="259">
        <f>+P25/P8</f>
        <v>0.60493845132015789</v>
      </c>
      <c r="R25" s="74">
        <f>+'Domestic Debt Colones'!R24/R90</f>
        <v>2624.553268869533</v>
      </c>
      <c r="S25" s="259">
        <f>+R25/R8</f>
        <v>0.52663089315201761</v>
      </c>
      <c r="T25" s="74">
        <f>+'Domestic Debt Colones'!T24/T90</f>
        <v>4045.7970392955058</v>
      </c>
      <c r="U25" s="259">
        <f>+T25/T8</f>
        <v>0.62975063725247682</v>
      </c>
      <c r="V25" s="74">
        <f>+'Domestic Debt Colones'!V24/V90</f>
        <v>5779.7729874290198</v>
      </c>
      <c r="W25" s="259">
        <f>+V25/V8</f>
        <v>0.67015817098495178</v>
      </c>
      <c r="X25" s="74">
        <f>+'Domestic Debt Colones'!X24/X90</f>
        <v>7229.4976386922763</v>
      </c>
      <c r="Y25" s="259">
        <f>+X25/X8</f>
        <v>0.68966898481019312</v>
      </c>
      <c r="Z25" s="134">
        <f>+'Domestic Debt Colones'!Z24/Z90</f>
        <v>9491.1085327955425</v>
      </c>
      <c r="AA25" s="258">
        <f>+Z25/Z8</f>
        <v>0.7287669610580142</v>
      </c>
      <c r="AB25" s="134">
        <v>9863.5160341139799</v>
      </c>
      <c r="AC25" s="258">
        <f>+AB25/AB8</f>
        <v>0.69136036071316653</v>
      </c>
      <c r="AD25" s="134">
        <v>10461.021453876876</v>
      </c>
      <c r="AE25" s="258">
        <f>+AD25/AD8</f>
        <v>0.69873941670927731</v>
      </c>
      <c r="AF25" s="74">
        <f>+'Domestic Debt Colones'!AF24/'Domestic Debt USD'!AF90</f>
        <v>12721.082301203547</v>
      </c>
      <c r="AG25" s="259">
        <f>+AF25/AF8</f>
        <v>0.75683102392724122</v>
      </c>
      <c r="AH25" s="134">
        <f>+'Domestic Debt Colones'!AH24/'Domestic Debt USD'!AH90</f>
        <v>14816.709779039551</v>
      </c>
      <c r="AI25" s="453">
        <f>+AH25/AH8</f>
        <v>0.76270432247248454</v>
      </c>
      <c r="AJ25" s="74">
        <f>+'Domestic Debt Colones'!AJ24/'Domestic Debt USD'!AJ90</f>
        <v>15610.755660449084</v>
      </c>
      <c r="AK25" s="618">
        <f>+AJ25/AJ8</f>
        <v>0.70164913434123055</v>
      </c>
      <c r="AL25" s="134">
        <f>+'Domestic Debt Colones'!AL24/'Domestic Debt USD'!AL90</f>
        <v>17347.517610421735</v>
      </c>
      <c r="AM25" s="453">
        <f>+AL25/AL8</f>
        <v>0.71331336608413709</v>
      </c>
      <c r="AN25" s="74">
        <f>+'Domestic Debt Colones'!AN24/'Domestic Debt USD'!AN90</f>
        <v>21473.596691728962</v>
      </c>
      <c r="AO25" s="618">
        <f>+AN25/AN8</f>
        <v>0.7427567358311159</v>
      </c>
      <c r="AP25" s="461">
        <f>+'Domestic Debt Colones'!AP24/'Domestic Debt USD'!AP90</f>
        <v>23189.690948631243</v>
      </c>
      <c r="AQ25" s="466">
        <f>+AP25/AP8</f>
        <v>0.77095073182812712</v>
      </c>
      <c r="AR25" s="570"/>
      <c r="AS25" s="574"/>
    </row>
    <row r="26" spans="1:45" s="30" customFormat="1" x14ac:dyDescent="0.25">
      <c r="A26" s="219" t="s">
        <v>71</v>
      </c>
      <c r="B26" s="29">
        <f>+B25/B71</f>
        <v>6.6703851269291889E-2</v>
      </c>
      <c r="C26" s="35"/>
      <c r="D26" s="29">
        <f>+D25/D71</f>
        <v>8.4170771112063961E-2</v>
      </c>
      <c r="E26" s="35"/>
      <c r="F26" s="29">
        <f>+F25/F71</f>
        <v>0.12178718685410733</v>
      </c>
      <c r="G26" s="35"/>
      <c r="H26" s="29">
        <f>+H25/H71</f>
        <v>0.12890719046264029</v>
      </c>
      <c r="I26" s="35"/>
      <c r="J26" s="29">
        <f>+J25/J71</f>
        <v>0.15360613409992549</v>
      </c>
      <c r="K26" s="35"/>
      <c r="L26" s="29">
        <f>+L25/L71</f>
        <v>0.14820923836002359</v>
      </c>
      <c r="M26" s="35"/>
      <c r="N26" s="29">
        <f>+N25/N71</f>
        <v>0.15626400645437233</v>
      </c>
      <c r="O26" s="35"/>
      <c r="P26" s="29">
        <f>+P25/P71</f>
        <v>0.11375769752688898</v>
      </c>
      <c r="Q26" s="35"/>
      <c r="R26" s="29">
        <f>+R25/R71</f>
        <v>8.9439617007886038E-2</v>
      </c>
      <c r="S26" s="35"/>
      <c r="T26" s="29">
        <v>0.13546203055783074</v>
      </c>
      <c r="U26" s="35"/>
      <c r="V26" s="29">
        <v>0.15740030010012121</v>
      </c>
      <c r="W26" s="35"/>
      <c r="X26" s="29">
        <f>+X25/X71</f>
        <v>0.17078492334358902</v>
      </c>
      <c r="Y26" s="35"/>
      <c r="Z26" s="91">
        <f>+Z25/Z71</f>
        <v>0.20347677940693032</v>
      </c>
      <c r="AA26" s="92"/>
      <c r="AB26" s="91">
        <f>+AB25/AB71</f>
        <v>0.19464044812779205</v>
      </c>
      <c r="AC26" s="92"/>
      <c r="AD26" s="91">
        <f>+AD25/AD71</f>
        <v>0.20256807568560958</v>
      </c>
      <c r="AE26" s="92"/>
      <c r="AF26" s="29">
        <f>+AF25/AF71</f>
        <v>0.22675141423097167</v>
      </c>
      <c r="AG26" s="35"/>
      <c r="AH26" s="91">
        <f>+AH25/AH71</f>
        <v>0.25719166033546337</v>
      </c>
      <c r="AI26" s="92"/>
      <c r="AJ26" s="29">
        <f>+AJ25/AJ71</f>
        <v>0.25931374928509277</v>
      </c>
      <c r="AK26" s="35"/>
      <c r="AL26" s="91">
        <f>+AL25/AL71</f>
        <v>0.29376129946193091</v>
      </c>
      <c r="AM26" s="92"/>
      <c r="AN26" s="29">
        <f>+AN25/AN71</f>
        <v>0.32553666592341823</v>
      </c>
      <c r="AO26" s="35"/>
      <c r="AP26" s="468">
        <f>+AP25/AP71</f>
        <v>0.39125151439135525</v>
      </c>
      <c r="AQ26" s="472"/>
      <c r="AR26" s="572"/>
      <c r="AS26" s="574"/>
    </row>
    <row r="27" spans="1:45" s="30" customFormat="1" x14ac:dyDescent="0.25">
      <c r="A27" s="76" t="s">
        <v>80</v>
      </c>
      <c r="B27" s="74">
        <f>+'Domestic Debt Colones'!B26/B90</f>
        <v>735.11687087653161</v>
      </c>
      <c r="C27" s="270">
        <f>+B27/B8</f>
        <v>0.18003311075275116</v>
      </c>
      <c r="D27" s="74">
        <f>+'Domestic Debt Colones'!D26/D90</f>
        <v>1162.9826285313213</v>
      </c>
      <c r="E27" s="270">
        <f>+D27/D8</f>
        <v>0.26604858143895421</v>
      </c>
      <c r="F27" s="74">
        <f>+'Domestic Debt Colones'!F26/F90</f>
        <v>976.81822978498883</v>
      </c>
      <c r="G27" s="270">
        <f>+F27/F8</f>
        <v>0.21365789940527743</v>
      </c>
      <c r="H27" s="74">
        <f>+'Domestic Debt Colones'!H26/H90</f>
        <v>1021.2192310446052</v>
      </c>
      <c r="I27" s="270">
        <f>+H27/H8</f>
        <v>0.22759265374024829</v>
      </c>
      <c r="J27" s="74">
        <f>+'Domestic Debt Colones'!J26/J90</f>
        <v>1026.4589461317553</v>
      </c>
      <c r="K27" s="270">
        <f>+J27/J8</f>
        <v>0.21058111738963275</v>
      </c>
      <c r="L27" s="74">
        <f>+'Domestic Debt Colones'!L26/L90</f>
        <v>956.69431998553387</v>
      </c>
      <c r="M27" s="270">
        <f>+L27/L8</f>
        <v>0.19853189750391581</v>
      </c>
      <c r="N27" s="74">
        <f>+'Domestic Debt Colones'!N26/N90</f>
        <v>618.26814866273003</v>
      </c>
      <c r="O27" s="270">
        <f>+N27/N8</f>
        <v>0.12160266153143422</v>
      </c>
      <c r="P27" s="74">
        <f>+'Domestic Debt Colones'!P26/P90</f>
        <v>1087.4788502926563</v>
      </c>
      <c r="Q27" s="270">
        <f>+P27/P8</f>
        <v>0.20700626936695188</v>
      </c>
      <c r="R27" s="74">
        <f>+'Domestic Debt Colones'!R26/R90</f>
        <v>1489.0593876180578</v>
      </c>
      <c r="S27" s="270">
        <f>+R27/R8</f>
        <v>0.29878786784749234</v>
      </c>
      <c r="T27" s="74">
        <f>+'Domestic Debt Colones'!T26/T90</f>
        <v>1538.4977714729157</v>
      </c>
      <c r="U27" s="270">
        <f>+T27/T8</f>
        <v>0.23947566884504251</v>
      </c>
      <c r="V27" s="74">
        <f>+'Domestic Debt Colones'!V26/V90</f>
        <v>1958.731844347137</v>
      </c>
      <c r="W27" s="270">
        <f>+V27/V8</f>
        <v>0.22711275219851862</v>
      </c>
      <c r="X27" s="74">
        <f>+'Domestic Debt Colones'!X26/X90</f>
        <v>2507.050900887255</v>
      </c>
      <c r="Y27" s="270">
        <f>+X27/X8</f>
        <v>0.23916395524200679</v>
      </c>
      <c r="Z27" s="134">
        <f>+'Domestic Debt Colones'!Z26/Z90</f>
        <v>2656.6738383111115</v>
      </c>
      <c r="AA27" s="271">
        <f>+Z27/Z8</f>
        <v>0.20399051522573358</v>
      </c>
      <c r="AB27" s="134">
        <v>3053.9664607106288</v>
      </c>
      <c r="AC27" s="271">
        <f>+AB27/AB8</f>
        <v>0.2140607210025664</v>
      </c>
      <c r="AD27" s="134">
        <v>2961.3559679112327</v>
      </c>
      <c r="AE27" s="271">
        <f>+AD27/AD8</f>
        <v>0.19780249479557049</v>
      </c>
      <c r="AF27" s="74">
        <f>+'Domestic Debt Colones'!AF26/'Domestic Debt USD'!AF90</f>
        <v>2748.923393934565</v>
      </c>
      <c r="AG27" s="270">
        <f>+AF27/AF8</f>
        <v>0.16354508662617565</v>
      </c>
      <c r="AH27" s="134">
        <f>+'Domestic Debt Colones'!AH26/'Domestic Debt USD'!AH90</f>
        <v>2221.4290432073331</v>
      </c>
      <c r="AI27" s="455">
        <f>+AH27/AH8</f>
        <v>0.1143501869569572</v>
      </c>
      <c r="AJ27" s="74">
        <f>+'Domestic Debt Colones'!AJ26/'Domestic Debt USD'!AJ90</f>
        <v>2175.5088216460576</v>
      </c>
      <c r="AK27" s="618">
        <f>+AJ27/AJ8</f>
        <v>9.7781549763604134E-2</v>
      </c>
      <c r="AL27" s="134">
        <f>+'Domestic Debt Colones'!AL26/'Domestic Debt USD'!AL90</f>
        <v>1958.5866319923439</v>
      </c>
      <c r="AM27" s="453">
        <f>+AL27/AL8</f>
        <v>8.0535212853424937E-2</v>
      </c>
      <c r="AN27" s="74">
        <f>+'Domestic Debt Colones'!AN26/'Domestic Debt USD'!AN90</f>
        <v>2167.9691475107861</v>
      </c>
      <c r="AO27" s="618">
        <f>+AN27/AN8</f>
        <v>7.4988541067641065E-2</v>
      </c>
      <c r="AP27" s="461">
        <f>+'Domestic Debt Colones'!AP26/'Domestic Debt USD'!AP90</f>
        <v>1942.8390333232937</v>
      </c>
      <c r="AQ27" s="466">
        <f>+AP27/AP8</f>
        <v>6.4590475909436521E-2</v>
      </c>
      <c r="AR27" s="570"/>
      <c r="AS27" s="574"/>
    </row>
    <row r="28" spans="1:45" s="187" customFormat="1" x14ac:dyDescent="0.25">
      <c r="A28" s="219" t="s">
        <v>71</v>
      </c>
      <c r="B28" s="223">
        <f>+B27/B71</f>
        <v>5.056951480481385E-2</v>
      </c>
      <c r="C28" s="35"/>
      <c r="D28" s="223">
        <f>+D27/D71</f>
        <v>7.568783552389273E-2</v>
      </c>
      <c r="E28" s="35"/>
      <c r="F28" s="223">
        <f>+F27/F71</f>
        <v>6.206851049366377E-2</v>
      </c>
      <c r="G28" s="35"/>
      <c r="H28" s="223">
        <f>+H27/H71</f>
        <v>6.2144700980305688E-2</v>
      </c>
      <c r="I28" s="35"/>
      <c r="J28" s="223">
        <f>+J27/J71</f>
        <v>5.7888786854570475E-2</v>
      </c>
      <c r="K28" s="35"/>
      <c r="L28" s="223">
        <f>+L27/L71</f>
        <v>4.9718620122289892E-2</v>
      </c>
      <c r="M28" s="35"/>
      <c r="N28" s="223">
        <f>+N27/N71</f>
        <v>2.7588916886269601E-2</v>
      </c>
      <c r="O28" s="35"/>
      <c r="P28" s="223">
        <f>+P27/P71</f>
        <v>3.8927194205336711E-2</v>
      </c>
      <c r="Q28" s="35"/>
      <c r="R28" s="223">
        <f>+R27/R71</f>
        <v>5.0744217276992465E-2</v>
      </c>
      <c r="S28" s="35"/>
      <c r="T28" s="223">
        <v>5.1512231114961879E-2</v>
      </c>
      <c r="U28" s="35"/>
      <c r="V28" s="223">
        <v>5.3342056995398471E-2</v>
      </c>
      <c r="W28" s="35"/>
      <c r="X28" s="223">
        <f>+X27/X71</f>
        <v>5.9224930600289334E-2</v>
      </c>
      <c r="Y28" s="35"/>
      <c r="Z28" s="226">
        <f>+Z27/Z71</f>
        <v>5.6955563692724011E-2</v>
      </c>
      <c r="AA28" s="92"/>
      <c r="AB28" s="226">
        <f>+AB27/AB71</f>
        <v>6.0265061507892598E-2</v>
      </c>
      <c r="AC28" s="92"/>
      <c r="AD28" s="226">
        <f>+AD27/AD71</f>
        <v>5.7343939354751905E-2</v>
      </c>
      <c r="AE28" s="92"/>
      <c r="AF28" s="223">
        <f>+AF27/AF71</f>
        <v>4.8999153722029787E-2</v>
      </c>
      <c r="AG28" s="35"/>
      <c r="AH28" s="226">
        <f>+AH27/AH71</f>
        <v>3.8560046897061433E-2</v>
      </c>
      <c r="AI28" s="92"/>
      <c r="AJ28" s="223">
        <f>+AJ27/AJ71</f>
        <v>3.6137862984629184E-2</v>
      </c>
      <c r="AK28" s="35"/>
      <c r="AL28" s="226">
        <f>+AL27/AL71</f>
        <v>3.3166529473772362E-2</v>
      </c>
      <c r="AM28" s="92"/>
      <c r="AN28" s="223">
        <f>+AN27/AN71</f>
        <v>3.2866103347155312E-2</v>
      </c>
      <c r="AO28" s="35"/>
      <c r="AP28" s="464">
        <f>+AP27/AP71</f>
        <v>3.2779165349387379E-2</v>
      </c>
      <c r="AQ28" s="472"/>
      <c r="AR28" s="572"/>
      <c r="AS28" s="574"/>
    </row>
    <row r="29" spans="1:45" s="30" customFormat="1" ht="12.75" customHeight="1" x14ac:dyDescent="0.25">
      <c r="A29" s="219"/>
      <c r="B29" s="29"/>
      <c r="C29" s="272"/>
      <c r="D29" s="29"/>
      <c r="E29" s="272"/>
      <c r="F29" s="29"/>
      <c r="G29" s="272"/>
      <c r="H29" s="29"/>
      <c r="I29" s="272"/>
      <c r="J29" s="29"/>
      <c r="K29" s="272"/>
      <c r="L29" s="29"/>
      <c r="M29" s="272"/>
      <c r="N29" s="29"/>
      <c r="O29" s="272"/>
      <c r="P29" s="29"/>
      <c r="Q29" s="261"/>
      <c r="R29" s="29"/>
      <c r="S29" s="261"/>
      <c r="T29" s="29"/>
      <c r="U29" s="261"/>
      <c r="V29" s="29"/>
      <c r="W29" s="261"/>
      <c r="X29" s="29"/>
      <c r="Y29" s="261"/>
      <c r="Z29" s="91"/>
      <c r="AA29" s="269"/>
      <c r="AB29" s="91"/>
      <c r="AC29" s="269"/>
      <c r="AD29" s="91"/>
      <c r="AE29" s="269"/>
      <c r="AF29" s="29"/>
      <c r="AG29" s="261"/>
      <c r="AH29" s="91"/>
      <c r="AI29" s="454"/>
      <c r="AJ29" s="29"/>
      <c r="AK29" s="619"/>
      <c r="AL29" s="91"/>
      <c r="AM29" s="454"/>
      <c r="AN29" s="29"/>
      <c r="AO29" s="619"/>
      <c r="AP29" s="468"/>
      <c r="AQ29" s="469"/>
      <c r="AR29" s="571"/>
      <c r="AS29" s="574"/>
    </row>
    <row r="30" spans="1:45" s="30" customFormat="1" ht="12.75" customHeight="1" x14ac:dyDescent="0.25">
      <c r="A30" s="221" t="s">
        <v>81</v>
      </c>
      <c r="B30" s="206" t="str">
        <f>+'Domestic Debt Colones'!B29</f>
        <v>ND</v>
      </c>
      <c r="C30" s="35"/>
      <c r="D30" s="206" t="s">
        <v>124</v>
      </c>
      <c r="E30" s="35"/>
      <c r="F30" s="206" t="s">
        <v>124</v>
      </c>
      <c r="G30" s="35"/>
      <c r="H30" s="206" t="s">
        <v>124</v>
      </c>
      <c r="I30" s="35"/>
      <c r="K30" s="35"/>
      <c r="L30" s="206" t="s">
        <v>124</v>
      </c>
      <c r="M30" s="35"/>
      <c r="N30" s="206" t="s">
        <v>124</v>
      </c>
      <c r="O30" s="35"/>
      <c r="P30" s="206" t="s">
        <v>124</v>
      </c>
      <c r="Q30" s="35"/>
      <c r="R30" s="206" t="s">
        <v>124</v>
      </c>
      <c r="S30" s="35"/>
      <c r="T30" s="206" t="s">
        <v>124</v>
      </c>
      <c r="U30" s="35"/>
      <c r="V30" s="206" t="s">
        <v>124</v>
      </c>
      <c r="W30" s="35"/>
      <c r="X30" s="206" t="s">
        <v>124</v>
      </c>
      <c r="Y30" s="35"/>
      <c r="Z30" s="206" t="s">
        <v>124</v>
      </c>
      <c r="AA30" s="92"/>
      <c r="AB30" s="206" t="s">
        <v>124</v>
      </c>
      <c r="AC30" s="92"/>
      <c r="AD30" s="206" t="s">
        <v>124</v>
      </c>
      <c r="AE30" s="92"/>
      <c r="AF30" s="206" t="s">
        <v>124</v>
      </c>
      <c r="AG30" s="35"/>
      <c r="AH30" s="206" t="s">
        <v>124</v>
      </c>
      <c r="AI30" s="92"/>
      <c r="AJ30" s="206" t="s">
        <v>124</v>
      </c>
      <c r="AK30" s="35"/>
      <c r="AL30" s="650">
        <v>2.8779395006603151E-2</v>
      </c>
      <c r="AM30" s="651"/>
      <c r="AN30" s="684">
        <v>6.7407029714192032E-2</v>
      </c>
      <c r="AO30" s="35"/>
      <c r="AP30" s="698">
        <v>7.817003573969046E-2</v>
      </c>
      <c r="AQ30" s="472"/>
      <c r="AR30" s="572"/>
      <c r="AS30" s="574"/>
    </row>
    <row r="31" spans="1:45" s="30" customFormat="1" x14ac:dyDescent="0.25">
      <c r="A31" s="219"/>
      <c r="B31" s="29"/>
      <c r="C31" s="35"/>
      <c r="D31" s="29"/>
      <c r="E31" s="35"/>
      <c r="F31" s="29"/>
      <c r="G31" s="35"/>
      <c r="H31" s="29"/>
      <c r="I31" s="35"/>
      <c r="J31" s="29"/>
      <c r="K31" s="35"/>
      <c r="L31" s="29"/>
      <c r="M31" s="35"/>
      <c r="N31" s="29"/>
      <c r="O31" s="35"/>
      <c r="P31" s="29"/>
      <c r="Q31" s="35"/>
      <c r="R31" s="29"/>
      <c r="S31" s="35"/>
      <c r="T31" s="29"/>
      <c r="U31" s="35"/>
      <c r="V31" s="29"/>
      <c r="W31" s="35"/>
      <c r="X31" s="29"/>
      <c r="Y31" s="35"/>
      <c r="Z31" s="91"/>
      <c r="AA31" s="92"/>
      <c r="AB31" s="91"/>
      <c r="AC31" s="92"/>
      <c r="AD31" s="91"/>
      <c r="AE31" s="92"/>
      <c r="AF31" s="29"/>
      <c r="AG31" s="35"/>
      <c r="AH31" s="91"/>
      <c r="AI31" s="92"/>
      <c r="AJ31" s="29"/>
      <c r="AK31" s="35"/>
      <c r="AL31" s="91"/>
      <c r="AM31" s="92"/>
      <c r="AN31" s="29"/>
      <c r="AO31" s="35"/>
      <c r="AP31" s="468"/>
      <c r="AQ31" s="472"/>
      <c r="AR31" s="572"/>
      <c r="AS31" s="574"/>
    </row>
    <row r="32" spans="1:45" s="30" customFormat="1" x14ac:dyDescent="0.25">
      <c r="A32" s="31" t="s">
        <v>83</v>
      </c>
      <c r="B32" s="29"/>
      <c r="C32" s="35"/>
      <c r="D32" s="29"/>
      <c r="E32" s="35"/>
      <c r="F32" s="29"/>
      <c r="G32" s="35"/>
      <c r="H32" s="29"/>
      <c r="I32" s="35"/>
      <c r="J32" s="29"/>
      <c r="K32" s="35"/>
      <c r="L32" s="29"/>
      <c r="M32" s="35"/>
      <c r="N32" s="29"/>
      <c r="O32" s="35"/>
      <c r="P32" s="29"/>
      <c r="Q32" s="35"/>
      <c r="R32" s="29"/>
      <c r="S32" s="35"/>
      <c r="T32" s="29"/>
      <c r="U32" s="35"/>
      <c r="V32" s="29"/>
      <c r="W32" s="35"/>
      <c r="X32" s="29"/>
      <c r="Y32" s="35"/>
      <c r="Z32" s="91"/>
      <c r="AA32" s="92"/>
      <c r="AB32" s="91"/>
      <c r="AC32" s="92"/>
      <c r="AD32" s="91"/>
      <c r="AE32" s="92"/>
      <c r="AF32" s="29"/>
      <c r="AG32" s="35"/>
      <c r="AH32" s="91"/>
      <c r="AI32" s="92"/>
      <c r="AJ32" s="29"/>
      <c r="AK32" s="35"/>
      <c r="AL32" s="91"/>
      <c r="AM32" s="92"/>
      <c r="AN32" s="29"/>
      <c r="AO32" s="35"/>
      <c r="AP32" s="468"/>
      <c r="AQ32" s="472"/>
      <c r="AR32" s="572"/>
      <c r="AS32" s="574"/>
    </row>
    <row r="33" spans="1:46" s="30" customFormat="1" x14ac:dyDescent="0.25">
      <c r="A33" s="76" t="s">
        <v>84</v>
      </c>
      <c r="B33" s="74">
        <f>+'Domestic Debt Colones'!B32/B90</f>
        <v>1682.5095507382973</v>
      </c>
      <c r="C33" s="259">
        <f>+B33/B58</f>
        <v>0.41205343026538299</v>
      </c>
      <c r="D33" s="74">
        <f>+'Domestic Debt Colones'!D32/D90</f>
        <v>1201.0667953442126</v>
      </c>
      <c r="E33" s="259">
        <f>+D33/D58</f>
        <v>0.27476086854220161</v>
      </c>
      <c r="F33" s="74">
        <f>+'Domestic Debt Colones'!F32/F90</f>
        <v>1436.6136921250495</v>
      </c>
      <c r="G33" s="259">
        <f>+F33/F58</f>
        <v>0.31422823034727826</v>
      </c>
      <c r="H33" s="74">
        <f>+'Domestic Debt Colones'!H32/H90</f>
        <v>1205.7909596429679</v>
      </c>
      <c r="I33" s="259">
        <f>+H33/H58</f>
        <v>0.26872698439142206</v>
      </c>
      <c r="J33" s="74">
        <f>+'Domestic Debt Colones'!J32/J90</f>
        <v>1420.1606474632322</v>
      </c>
      <c r="K33" s="259">
        <f>+J33/J58</f>
        <v>0.2913501968516185</v>
      </c>
      <c r="L33" s="74">
        <f>+'Domestic Debt Colones'!L32/L90</f>
        <v>1886.1629462940268</v>
      </c>
      <c r="M33" s="259">
        <f>+L33/L58</f>
        <v>0.39141395627287912</v>
      </c>
      <c r="N33" s="74">
        <f>+'Domestic Debt Colones'!N32/N90</f>
        <v>1553.7305584500791</v>
      </c>
      <c r="O33" s="259">
        <f>+N33/N58</f>
        <v>0.30559195329552424</v>
      </c>
      <c r="P33" s="74">
        <f>+'Domestic Debt Colones'!P32/P90</f>
        <v>1382.8092201862542</v>
      </c>
      <c r="Q33" s="259">
        <f>+P33/P58</f>
        <v>0.26322367358220011</v>
      </c>
      <c r="R33" s="74">
        <f>+'Domestic Debt Colones'!R32/R90</f>
        <v>1244.1158281586618</v>
      </c>
      <c r="S33" s="259">
        <f>+R33/R58</f>
        <v>0.24963860994521414</v>
      </c>
      <c r="T33" s="74">
        <f>+'Domestic Debt Colones'!T32/T90</f>
        <v>1462.4984113147125</v>
      </c>
      <c r="U33" s="259">
        <f>+T33/T58</f>
        <v>0.22764594900849261</v>
      </c>
      <c r="V33" s="74">
        <f>+'Domestic Debt Colones'!V32/V90</f>
        <v>2205.9865523967646</v>
      </c>
      <c r="W33" s="259">
        <f>+V33/V58</f>
        <v>0.25578165723585367</v>
      </c>
      <c r="X33" s="74">
        <f>+'Domestic Debt Colones'!X32/X90</f>
        <v>2151.6420224804492</v>
      </c>
      <c r="Y33" s="259">
        <f>+X33/X58</f>
        <v>0.20525918168602714</v>
      </c>
      <c r="Z33" s="134">
        <f>+'Domestic Debt Colones'!Z32/Z90</f>
        <v>2121.083333953165</v>
      </c>
      <c r="AA33" s="258">
        <f>+Z33/Z58</f>
        <v>0.16286563893928535</v>
      </c>
      <c r="AB33" s="134">
        <v>2145.7330370055925</v>
      </c>
      <c r="AC33" s="258">
        <f>+AB33/AB58</f>
        <v>0.15040019819784298</v>
      </c>
      <c r="AD33" s="134">
        <v>3018.7725274326826</v>
      </c>
      <c r="AE33" s="258">
        <f>+AD33/AD58</f>
        <v>0.2016376091279862</v>
      </c>
      <c r="AF33" s="74">
        <f>+'Domestic Debt Colones'!AF32/'Domestic Debt USD'!AF90</f>
        <v>3309.7915112579281</v>
      </c>
      <c r="AG33" s="259">
        <f>+AF33/AF58</f>
        <v>0.19691350461698012</v>
      </c>
      <c r="AH33" s="134">
        <f>+'Domestic Debt Colones'!AH32/'Domestic Debt USD'!AH90</f>
        <v>2922.1467999070032</v>
      </c>
      <c r="AI33" s="453">
        <f>+AH33/AH58</f>
        <v>0.15042030440125695</v>
      </c>
      <c r="AJ33" s="74">
        <f>+'Domestic Debt Colones'!AJ32/'Domestic Debt USD'!AJ90</f>
        <v>4013.1605205163441</v>
      </c>
      <c r="AK33" s="618">
        <f>+AJ33/AJ58</f>
        <v>0.18037759775632095</v>
      </c>
      <c r="AL33" s="134">
        <f>+'Domestic Debt Colones'!AL32/'Domestic Debt USD'!AL90</f>
        <v>3868.9493393557941</v>
      </c>
      <c r="AM33" s="453">
        <f>+AL33/AL58</f>
        <v>0.1590875039554312</v>
      </c>
      <c r="AN33" s="74">
        <f>+'Domestic Debt Colones'!AN32/'Domestic Debt USD'!AN90</f>
        <v>2511.7926824360657</v>
      </c>
      <c r="AO33" s="618">
        <f>+AN33/AN58</f>
        <v>8.6881157389404273E-2</v>
      </c>
      <c r="AP33" s="461">
        <f>+'Domestic Debt Colones'!AP32/'Domestic Debt USD'!AP90</f>
        <v>3816.9219078298911</v>
      </c>
      <c r="AQ33" s="466">
        <f>+AP33/AP58</f>
        <v>0.1268951252817776</v>
      </c>
      <c r="AR33" s="570"/>
      <c r="AS33" s="574"/>
    </row>
    <row r="34" spans="1:46" s="187" customFormat="1" x14ac:dyDescent="0.25">
      <c r="A34" s="219" t="s">
        <v>85</v>
      </c>
      <c r="B34" s="223">
        <f>+B33/B71</f>
        <v>0.11574172081488179</v>
      </c>
      <c r="C34" s="250"/>
      <c r="D34" s="223">
        <f>+D33/D71</f>
        <v>7.8166383425712027E-2</v>
      </c>
      <c r="E34" s="250"/>
      <c r="F34" s="223">
        <f>+F33/F71</f>
        <v>9.1284610899032767E-2</v>
      </c>
      <c r="G34" s="250"/>
      <c r="H34" s="223">
        <f>+H33/H71</f>
        <v>7.3376525190500558E-2</v>
      </c>
      <c r="I34" s="250"/>
      <c r="J34" s="223">
        <f>+J33/J71</f>
        <v>8.00922212525539E-2</v>
      </c>
      <c r="K34" s="250"/>
      <c r="L34" s="223">
        <f>+L33/L71</f>
        <v>9.8022343246429847E-2</v>
      </c>
      <c r="M34" s="250"/>
      <c r="N34" s="223">
        <f>+N33/N71</f>
        <v>6.9331961113397206E-2</v>
      </c>
      <c r="O34" s="250"/>
      <c r="P34" s="223">
        <f>+P33/P71</f>
        <v>4.9498786159045211E-2</v>
      </c>
      <c r="Q34" s="250"/>
      <c r="R34" s="223">
        <f>+R33/R71</f>
        <v>4.2397022191852138E-2</v>
      </c>
      <c r="S34" s="250"/>
      <c r="T34" s="223">
        <v>4.8967608251250759E-2</v>
      </c>
      <c r="U34" s="250"/>
      <c r="V34" s="223">
        <v>6.0075533436917135E-2</v>
      </c>
      <c r="W34" s="250"/>
      <c r="X34" s="223">
        <f>+X33/X71</f>
        <v>5.0828983732628848E-2</v>
      </c>
      <c r="Y34" s="250"/>
      <c r="Z34" s="226">
        <f>+Z33/Z71</f>
        <v>4.5473213603572836E-2</v>
      </c>
      <c r="AA34" s="249"/>
      <c r="AB34" s="226">
        <f>+AB33/AB71</f>
        <v>4.2342551929849738E-2</v>
      </c>
      <c r="AC34" s="249"/>
      <c r="AD34" s="226">
        <f>+AD33/AD71</f>
        <v>5.8455758312970181E-2</v>
      </c>
      <c r="AE34" s="249"/>
      <c r="AF34" s="223">
        <f>+AF33/AF71</f>
        <v>5.8996545122296316E-2</v>
      </c>
      <c r="AG34" s="250"/>
      <c r="AH34" s="226">
        <f>+AH33/AH71</f>
        <v>5.0723257620610585E-2</v>
      </c>
      <c r="AI34" s="248"/>
      <c r="AJ34" s="223">
        <f>+AJ33/AJ71</f>
        <v>6.6663505834929596E-2</v>
      </c>
      <c r="AK34" s="224"/>
      <c r="AL34" s="226">
        <f>+AL33/AL71</f>
        <v>6.5516439354916245E-2</v>
      </c>
      <c r="AM34" s="248"/>
      <c r="AN34" s="223">
        <f>+AN33/AN71</f>
        <v>3.8078419142798935E-2</v>
      </c>
      <c r="AO34" s="224"/>
      <c r="AP34" s="464">
        <f>+AP33/AP71</f>
        <v>6.4398291467533827E-2</v>
      </c>
      <c r="AQ34" s="467"/>
      <c r="AR34" s="568"/>
      <c r="AS34" s="574"/>
    </row>
    <row r="35" spans="1:46" s="30" customFormat="1" x14ac:dyDescent="0.25">
      <c r="A35" s="76" t="s">
        <v>86</v>
      </c>
      <c r="B35" s="74">
        <f>+'Domestic Debt Colones'!B34/B90</f>
        <v>677.50973923971094</v>
      </c>
      <c r="C35" s="259">
        <f>+B35/B58</f>
        <v>0.16592488997725222</v>
      </c>
      <c r="D35" s="74">
        <f>+'Domestic Debt Colones'!D34/D90</f>
        <v>1071.8876995964206</v>
      </c>
      <c r="E35" s="259">
        <f>+D35/D58</f>
        <v>0.24520933928275893</v>
      </c>
      <c r="F35" s="74">
        <f>+'Domestic Debt Colones'!F34/F90</f>
        <v>1301.5802400738687</v>
      </c>
      <c r="G35" s="259">
        <f>+F35/F58</f>
        <v>0.28469257792497543</v>
      </c>
      <c r="H35" s="74">
        <f>+'Domestic Debt Colones'!H34/H90</f>
        <v>1514.0903797045416</v>
      </c>
      <c r="I35" s="259">
        <f>+H35/H58</f>
        <v>0.33743572099308167</v>
      </c>
      <c r="J35" s="74">
        <f>+'Domestic Debt Colones'!J34/J90</f>
        <v>1714.0389870333304</v>
      </c>
      <c r="K35" s="259">
        <f>+J35/J58</f>
        <v>0.35164021561612707</v>
      </c>
      <c r="L35" s="74">
        <f>+'Domestic Debt Colones'!L34/L90</f>
        <v>1381.4252878182076</v>
      </c>
      <c r="M35" s="259">
        <f>+L35/L58</f>
        <v>0.28667148735093234</v>
      </c>
      <c r="N35" s="74">
        <f>+'Domestic Debt Colones'!N34/N90</f>
        <v>2353.0451545675583</v>
      </c>
      <c r="O35" s="259">
        <f>+N35/N58</f>
        <v>0.46280332266501695</v>
      </c>
      <c r="P35" s="74">
        <f>+'Domestic Debt Colones'!P34/P90</f>
        <v>2449.7858478991088</v>
      </c>
      <c r="Q35" s="259">
        <f>+P35/P58</f>
        <v>0.46632725683361653</v>
      </c>
      <c r="R35" s="74">
        <f>+'Domestic Debt Colones'!R34/R90</f>
        <v>1880.1117004906132</v>
      </c>
      <c r="S35" s="259">
        <f>+R35/R58</f>
        <v>0.37725464207529846</v>
      </c>
      <c r="T35" s="74">
        <f>+'Domestic Debt Colones'!T34/T90</f>
        <v>2955.5512577833124</v>
      </c>
      <c r="U35" s="259">
        <f>+T35/T58</f>
        <v>0.4600478644735726</v>
      </c>
      <c r="V35" s="74">
        <f>+'Domestic Debt Colones'!V34/V90</f>
        <v>3675.2586484797821</v>
      </c>
      <c r="W35" s="259">
        <f>+V35/V58</f>
        <v>0.42614210266023611</v>
      </c>
      <c r="X35" s="74">
        <f>+'Domestic Debt Colones'!X34/X90</f>
        <v>4813.3361015676192</v>
      </c>
      <c r="Y35" s="259">
        <f>+X35/X58</f>
        <v>0.45917555944023619</v>
      </c>
      <c r="Z35" s="134">
        <f>+'Domestic Debt Colones'!Z34/Z90</f>
        <v>5493.9145614746058</v>
      </c>
      <c r="AA35" s="258">
        <f>+Z35/Z58</f>
        <v>0.42184571016584232</v>
      </c>
      <c r="AB35" s="134">
        <v>6233.4711114116144</v>
      </c>
      <c r="AC35" s="258">
        <f>+AB35/AB58</f>
        <v>0.4369207512995904</v>
      </c>
      <c r="AD35" s="134">
        <v>5425.235043902082</v>
      </c>
      <c r="AE35" s="258">
        <f>+AD35/AD58</f>
        <v>0.36237623513160688</v>
      </c>
      <c r="AF35" s="74">
        <f>+'Domestic Debt Colones'!AF34/'Domestic Debt USD'!AF90</f>
        <v>6255.257477031254</v>
      </c>
      <c r="AG35" s="259">
        <f>+AF35/AF58</f>
        <v>0.37215174064412693</v>
      </c>
      <c r="AH35" s="134">
        <f>+'Domestic Debt Colones'!AH34/'Domestic Debt USD'!AH90</f>
        <v>7499.5554511072805</v>
      </c>
      <c r="AI35" s="453">
        <f>+AH35/AH58</f>
        <v>0.38604679746601511</v>
      </c>
      <c r="AJ35" s="74">
        <f>+'Domestic Debt Colones'!AJ34/'Domestic Debt USD'!AJ90</f>
        <v>8363.0069802449016</v>
      </c>
      <c r="AK35" s="618">
        <f>+AJ35/AJ58</f>
        <v>0.37588805665860375</v>
      </c>
      <c r="AL35" s="134">
        <f>+'Domestic Debt Colones'!AL34/'Domestic Debt USD'!AL90</f>
        <v>10488.770969388386</v>
      </c>
      <c r="AM35" s="453">
        <f>+AL35/AL58</f>
        <v>0.43128825081954292</v>
      </c>
      <c r="AN35" s="74">
        <f>+'Domestic Debt Colones'!AN34/'Domestic Debt USD'!AN90</f>
        <v>11805.174688504498</v>
      </c>
      <c r="AO35" s="618">
        <f>+AN35/AN58</f>
        <v>0.40833276061886026</v>
      </c>
      <c r="AP35" s="461">
        <f>+'Domestic Debt Colones'!AP34/'Domestic Debt USD'!AP90</f>
        <v>11439.097154466261</v>
      </c>
      <c r="AQ35" s="466">
        <f>+AP35/AP58</f>
        <v>0.38029744950996619</v>
      </c>
      <c r="AR35" s="570"/>
      <c r="AS35" s="574"/>
    </row>
    <row r="36" spans="1:46" s="187" customFormat="1" x14ac:dyDescent="0.25">
      <c r="A36" s="219" t="s">
        <v>85</v>
      </c>
      <c r="B36" s="223">
        <f>+B35/B71</f>
        <v>4.66066555485741E-2</v>
      </c>
      <c r="C36" s="250"/>
      <c r="D36" s="223">
        <f>+D35/D71</f>
        <v>6.9759305011796793E-2</v>
      </c>
      <c r="E36" s="250"/>
      <c r="F36" s="223">
        <f>+F35/F71</f>
        <v>8.2704380739446984E-2</v>
      </c>
      <c r="G36" s="250"/>
      <c r="H36" s="223">
        <f>+H35/H71</f>
        <v>9.2137604780169316E-2</v>
      </c>
      <c r="I36" s="250"/>
      <c r="J36" s="223">
        <f>+J35/J71</f>
        <v>9.666595820000784E-2</v>
      </c>
      <c r="K36" s="250"/>
      <c r="L36" s="223">
        <f>+L35/L71</f>
        <v>7.1791540597206632E-2</v>
      </c>
      <c r="M36" s="250"/>
      <c r="N36" s="223">
        <f>+N35/N71</f>
        <v>0.10499969526073227</v>
      </c>
      <c r="O36" s="250"/>
      <c r="P36" s="223">
        <f>+P35/P71</f>
        <v>8.7692086551375628E-2</v>
      </c>
      <c r="Q36" s="250"/>
      <c r="R36" s="223">
        <f>+R35/R71</f>
        <v>6.4070511510842906E-2</v>
      </c>
      <c r="S36" s="250"/>
      <c r="T36" s="223">
        <v>9.8958245040090709E-2</v>
      </c>
      <c r="U36" s="250"/>
      <c r="V36" s="223">
        <v>0.10008815492831463</v>
      </c>
      <c r="W36" s="250"/>
      <c r="X36" s="223">
        <f>+X35/X71</f>
        <v>0.11370710362135937</v>
      </c>
      <c r="Y36" s="250"/>
      <c r="Z36" s="226">
        <f>+Z35/Z71</f>
        <v>0.11778224192073646</v>
      </c>
      <c r="AA36" s="249"/>
      <c r="AB36" s="226">
        <f>+AB35/AB71</f>
        <v>0.12300741503542248</v>
      </c>
      <c r="AC36" s="249"/>
      <c r="AD36" s="226">
        <f>+AD35/AD71</f>
        <v>0.10505469545501164</v>
      </c>
      <c r="AE36" s="249"/>
      <c r="AF36" s="223">
        <f>+AF35/AF71</f>
        <v>0.11149904117525458</v>
      </c>
      <c r="AG36" s="250"/>
      <c r="AH36" s="226">
        <f>+AH35/AH71</f>
        <v>0.13017890928637646</v>
      </c>
      <c r="AI36" s="248"/>
      <c r="AJ36" s="223">
        <f>+AJ35/AJ71</f>
        <v>0.13891977701240379</v>
      </c>
      <c r="AK36" s="224"/>
      <c r="AL36" s="226">
        <f>+AL35/AL71</f>
        <v>0.17761590210895897</v>
      </c>
      <c r="AM36" s="248"/>
      <c r="AN36" s="223">
        <f>+AN35/AN71</f>
        <v>0.17896476607570383</v>
      </c>
      <c r="AO36" s="224"/>
      <c r="AP36" s="464">
        <f>+AP35/AP71</f>
        <v>0.19299800479742635</v>
      </c>
      <c r="AQ36" s="467"/>
      <c r="AR36" s="568"/>
      <c r="AS36" s="574"/>
    </row>
    <row r="37" spans="1:46" s="30" customFormat="1" x14ac:dyDescent="0.25">
      <c r="A37" s="76" t="s">
        <v>87</v>
      </c>
      <c r="B37" s="74">
        <f>+'Domestic Debt Colones'!B36/B90</f>
        <v>1723.212221174992</v>
      </c>
      <c r="C37" s="259">
        <f>+B37/B58</f>
        <v>0.42202167975736471</v>
      </c>
      <c r="D37" s="74">
        <f>+'Domestic Debt Colones'!D36/D90</f>
        <v>2098.362285781131</v>
      </c>
      <c r="E37" s="259">
        <f>+D37/D58</f>
        <v>0.48002979217503949</v>
      </c>
      <c r="F37" s="74">
        <f>+'Domestic Debt Colones'!F36/F90</f>
        <v>1833.6858461944335</v>
      </c>
      <c r="G37" s="259">
        <f>+F37/F58</f>
        <v>0.40107919172774636</v>
      </c>
      <c r="H37" s="74">
        <f>+'Domestic Debt Colones'!H36/H90</f>
        <v>1767.1669649889027</v>
      </c>
      <c r="I37" s="259">
        <f>+H37/H58</f>
        <v>0.39383729461549633</v>
      </c>
      <c r="J37" s="74">
        <f>+'Domestic Debt Colones'!J36/J90</f>
        <v>1740.2115133582804</v>
      </c>
      <c r="K37" s="259">
        <f>+J37/J58</f>
        <v>0.35700958753225442</v>
      </c>
      <c r="L37" s="74">
        <f>+'Domestic Debt Colones'!L36/L90</f>
        <v>1551.2561531815713</v>
      </c>
      <c r="M37" s="259">
        <f>+L37/L58</f>
        <v>0.32191455637618849</v>
      </c>
      <c r="N37" s="74">
        <f>+'Domestic Debt Colones'!N36/N90</f>
        <v>1177.5550152444907</v>
      </c>
      <c r="O37" s="259">
        <f>+N37/N58</f>
        <v>0.23160472403945878</v>
      </c>
      <c r="P37" s="74">
        <f>+'Domestic Debt Colones'!P36/P90</f>
        <v>1420.7668403161895</v>
      </c>
      <c r="Q37" s="259">
        <f>+P37/P58</f>
        <v>0.2704490695841833</v>
      </c>
      <c r="R37" s="74">
        <f>+'Domestic Debt Colones'!R36/R90</f>
        <v>1859.4399754747724</v>
      </c>
      <c r="S37" s="259">
        <f>+R37/R58</f>
        <v>0.37310674797948751</v>
      </c>
      <c r="T37" s="74">
        <f>+'Domestic Debt Colones'!T36/T90</f>
        <v>2006.3932787760184</v>
      </c>
      <c r="U37" s="259">
        <f>+T37/T58</f>
        <v>0.31230618679485261</v>
      </c>
      <c r="V37" s="74">
        <f>+'Domestic Debt Colones'!V36/V90</f>
        <v>2743.2456099037126</v>
      </c>
      <c r="W37" s="259">
        <f>+V37/V58</f>
        <v>0.31807624010391078</v>
      </c>
      <c r="X37" s="74">
        <f>+'Domestic Debt Colones'!X36/X90</f>
        <v>3517.5835075757454</v>
      </c>
      <c r="Y37" s="259">
        <f>+X37/X58</f>
        <v>0.33556525887373684</v>
      </c>
      <c r="Z37" s="134">
        <f>+'Domestic Debt Colones'!Z36/Z90</f>
        <v>5408.5185919504111</v>
      </c>
      <c r="AA37" s="258">
        <f>+Z37/Z58</f>
        <v>0.41528865089487221</v>
      </c>
      <c r="AB37" s="134">
        <v>5887.6190520615701</v>
      </c>
      <c r="AC37" s="258">
        <f>+AB37/AB58</f>
        <v>0.41267905050256659</v>
      </c>
      <c r="AD37" s="134">
        <v>6527.2695653454557</v>
      </c>
      <c r="AE37" s="258">
        <f>+AD37/AD58</f>
        <v>0.43598615574040689</v>
      </c>
      <c r="AF37" s="74">
        <f>+'Domestic Debt Colones'!AF36/'Domestic Debt USD'!AF90</f>
        <v>7243.3030731697881</v>
      </c>
      <c r="AG37" s="259">
        <f>+AF37/AF58</f>
        <v>0.43093475473889303</v>
      </c>
      <c r="AH37" s="134">
        <f>+'Domestic Debt Colones'!AH36/'Domestic Debt USD'!AH90</f>
        <v>9004.8426661663598</v>
      </c>
      <c r="AI37" s="453">
        <f>+AH37/AH58</f>
        <v>0.46353289813272797</v>
      </c>
      <c r="AJ37" s="74">
        <f>+'Domestic Debt Colones'!AJ36/'Domestic Debt USD'!AJ90</f>
        <v>9872.4962492565246</v>
      </c>
      <c r="AK37" s="618">
        <f>+AJ37/AJ58</f>
        <v>0.44373434558507546</v>
      </c>
      <c r="AL37" s="134">
        <f>+'Domestic Debt Colones'!AL36/'Domestic Debt USD'!AL90</f>
        <v>9961.9103546402421</v>
      </c>
      <c r="AM37" s="453">
        <f>+AL37/AL58</f>
        <v>0.40962424522502605</v>
      </c>
      <c r="AN37" s="74">
        <f>+'Domestic Debt Colones'!AN36/'Domestic Debt USD'!AN90</f>
        <v>14593.705068702437</v>
      </c>
      <c r="AO37" s="618">
        <f>+AN37/AN58</f>
        <v>0.50478608200211461</v>
      </c>
      <c r="AP37" s="461">
        <f>+'Domestic Debt Colones'!AP36/'Domestic Debt USD'!AP90</f>
        <v>14823.323224132973</v>
      </c>
      <c r="AQ37" s="466">
        <f>+AP37/AP58</f>
        <v>0.4928074252082571</v>
      </c>
      <c r="AR37" s="570"/>
      <c r="AS37" s="574"/>
    </row>
    <row r="38" spans="1:46" s="187" customFormat="1" x14ac:dyDescent="0.25">
      <c r="A38" s="219" t="s">
        <v>85</v>
      </c>
      <c r="B38" s="223">
        <f>+B37/B71</f>
        <v>0.11854170320787139</v>
      </c>
      <c r="C38" s="250"/>
      <c r="D38" s="223">
        <f>+D37/D71</f>
        <v>0.13656308844123419</v>
      </c>
      <c r="E38" s="250"/>
      <c r="F38" s="223">
        <f>+F37/F71</f>
        <v>0.11651517725222428</v>
      </c>
      <c r="G38" s="250"/>
      <c r="H38" s="223">
        <f>+H37/H71</f>
        <v>0.10753818502729795</v>
      </c>
      <c r="I38" s="250"/>
      <c r="J38" s="223">
        <f>+J37/J71</f>
        <v>9.814199950061743E-2</v>
      </c>
      <c r="K38" s="250"/>
      <c r="L38" s="223">
        <f>+L37/L71</f>
        <v>8.0617511551197993E-2</v>
      </c>
      <c r="M38" s="250"/>
      <c r="N38" s="223">
        <f>+N37/N71</f>
        <v>5.2545918004765838E-2</v>
      </c>
      <c r="O38" s="250"/>
      <c r="P38" s="223">
        <f>+P37/P71</f>
        <v>5.0857510193055393E-2</v>
      </c>
      <c r="Q38" s="250"/>
      <c r="R38" s="223">
        <f>+R37/R71</f>
        <v>6.3366059751284787E-2</v>
      </c>
      <c r="S38" s="250"/>
      <c r="T38" s="223">
        <v>6.7178384076062608E-2</v>
      </c>
      <c r="U38" s="250"/>
      <c r="V38" s="223">
        <v>7.4706685398599565E-2</v>
      </c>
      <c r="W38" s="250"/>
      <c r="X38" s="223">
        <f>+X37/X71</f>
        <v>8.3097091903147055E-2</v>
      </c>
      <c r="Y38" s="250"/>
      <c r="Z38" s="226">
        <f>+Z37/Z71</f>
        <v>0.11595146559012405</v>
      </c>
      <c r="AA38" s="249"/>
      <c r="AB38" s="226">
        <f>+AB37/AB71</f>
        <v>0.11618258709526499</v>
      </c>
      <c r="AC38" s="249"/>
      <c r="AD38" s="226">
        <f>+AD37/AD71</f>
        <v>0.12639458213167684</v>
      </c>
      <c r="AE38" s="249"/>
      <c r="AF38" s="223">
        <f>+AF37/AF71</f>
        <v>0.1291108080787593</v>
      </c>
      <c r="AG38" s="250"/>
      <c r="AH38" s="226">
        <f>+AH37/AH71</f>
        <v>0.15630801108402845</v>
      </c>
      <c r="AI38" s="248"/>
      <c r="AJ38" s="223">
        <f>+AJ37/AJ71</f>
        <v>0.16399424043794675</v>
      </c>
      <c r="AK38" s="224"/>
      <c r="AL38" s="226">
        <f>+AL37/AL71</f>
        <v>0.16869409195147883</v>
      </c>
      <c r="AM38" s="248"/>
      <c r="AN38" s="223">
        <f>+AN37/AN71</f>
        <v>0.22123848928227993</v>
      </c>
      <c r="AO38" s="224"/>
      <c r="AP38" s="464">
        <f>+AP37/AP71</f>
        <v>0.25009594446953559</v>
      </c>
      <c r="AQ38" s="467"/>
      <c r="AR38" s="568"/>
      <c r="AS38" s="574"/>
    </row>
    <row r="39" spans="1:46" s="30" customFormat="1" ht="12.75" customHeight="1" x14ac:dyDescent="0.25">
      <c r="A39" s="76"/>
      <c r="B39" s="76"/>
      <c r="C39" s="35"/>
      <c r="D39" s="76"/>
      <c r="E39" s="35"/>
      <c r="F39" s="76"/>
      <c r="G39" s="35"/>
      <c r="H39" s="76"/>
      <c r="I39" s="35"/>
      <c r="J39" s="76"/>
      <c r="K39" s="35"/>
      <c r="L39" s="76"/>
      <c r="M39" s="35"/>
      <c r="N39" s="76"/>
      <c r="O39" s="35"/>
      <c r="P39" s="76"/>
      <c r="Q39" s="35"/>
      <c r="R39" s="76"/>
      <c r="S39" s="35"/>
      <c r="T39" s="76"/>
      <c r="U39" s="35"/>
      <c r="V39" s="76"/>
      <c r="W39" s="35"/>
      <c r="X39" s="76"/>
      <c r="Y39" s="35"/>
      <c r="Z39" s="133"/>
      <c r="AA39" s="92"/>
      <c r="AB39" s="133"/>
      <c r="AC39" s="92"/>
      <c r="AD39" s="133"/>
      <c r="AE39" s="92"/>
      <c r="AF39" s="76"/>
      <c r="AG39" s="35"/>
      <c r="AH39" s="133"/>
      <c r="AI39" s="92"/>
      <c r="AJ39" s="76"/>
      <c r="AK39" s="35"/>
      <c r="AL39" s="133"/>
      <c r="AM39" s="92"/>
      <c r="AN39" s="76"/>
      <c r="AO39" s="35"/>
      <c r="AP39" s="473"/>
      <c r="AQ39" s="472"/>
      <c r="AR39" s="572"/>
      <c r="AS39" s="574"/>
    </row>
    <row r="40" spans="1:46" s="38" customFormat="1" ht="12.75" customHeight="1" x14ac:dyDescent="0.25">
      <c r="A40" s="76" t="s">
        <v>88</v>
      </c>
      <c r="B40" s="50">
        <f>+'Domestic Debt Colones'!B39</f>
        <v>6.16</v>
      </c>
      <c r="C40" s="37" t="s">
        <v>89</v>
      </c>
      <c r="D40" s="50">
        <f>+'Domestic Debt Colones'!D39</f>
        <v>6.6905674599999996</v>
      </c>
      <c r="E40" s="37" t="s">
        <v>89</v>
      </c>
      <c r="F40" s="50">
        <f>+'Domestic Debt Colones'!F39</f>
        <v>5.6284609999999997</v>
      </c>
      <c r="G40" s="37" t="s">
        <v>89</v>
      </c>
      <c r="H40" s="50">
        <f>+'Domestic Debt Colones'!H39</f>
        <v>5.24193</v>
      </c>
      <c r="I40" s="37" t="s">
        <v>89</v>
      </c>
      <c r="J40" s="50">
        <f>+'Domestic Debt Colones'!J39</f>
        <v>4.4671969999999996</v>
      </c>
      <c r="K40" s="37" t="s">
        <v>89</v>
      </c>
      <c r="L40" s="50">
        <f>+'Domestic Debt Colones'!L39</f>
        <v>3.8979550000000001</v>
      </c>
      <c r="M40" s="37" t="s">
        <v>89</v>
      </c>
      <c r="N40" s="50">
        <f>+'Domestic Debt Colones'!N39</f>
        <v>3.7845559999999998</v>
      </c>
      <c r="O40" s="37" t="s">
        <v>89</v>
      </c>
      <c r="P40" s="50">
        <f>+'Domestic Debt Colones'!P39</f>
        <v>4.1605439999999998</v>
      </c>
      <c r="Q40" s="37" t="s">
        <v>89</v>
      </c>
      <c r="R40" s="50">
        <f>+'Domestic Debt Colones'!R39</f>
        <v>4.7472200000000004</v>
      </c>
      <c r="S40" s="37" t="s">
        <v>89</v>
      </c>
      <c r="T40" s="50">
        <f>+'Domestic Debt Colones'!T39</f>
        <v>4.41</v>
      </c>
      <c r="U40" s="37" t="s">
        <v>89</v>
      </c>
      <c r="V40" s="50">
        <f>+'Domestic Debt Colones'!V39</f>
        <v>3.9878169346142798</v>
      </c>
      <c r="W40" s="37" t="s">
        <v>89</v>
      </c>
      <c r="X40" s="50">
        <f>+'Domestic Debt Colones'!X39</f>
        <v>4.7116322297803768</v>
      </c>
      <c r="Y40" s="37" t="s">
        <v>89</v>
      </c>
      <c r="Z40" s="176">
        <f>+'Domestic Debt Colones'!Z39</f>
        <v>5.0631897489716584</v>
      </c>
      <c r="AA40" s="94" t="s">
        <v>89</v>
      </c>
      <c r="AB40" s="176">
        <f>+'Domestic Debt Colones'!AB39</f>
        <v>5.5657122844113225</v>
      </c>
      <c r="AC40" s="94" t="s">
        <v>89</v>
      </c>
      <c r="AD40" s="176">
        <f>+'Domestic Debt Colones'!AD39</f>
        <v>5.8118761786668092</v>
      </c>
      <c r="AE40" s="94" t="s">
        <v>89</v>
      </c>
      <c r="AF40" s="50">
        <f>+'Domestic Debt Colones'!AF39</f>
        <v>5.5450517070832577</v>
      </c>
      <c r="AG40" s="37" t="s">
        <v>89</v>
      </c>
      <c r="AH40" s="176">
        <f>+'Domestic Debt Colones'!AH39</f>
        <v>6.3630240842745334</v>
      </c>
      <c r="AI40" s="94" t="s">
        <v>89</v>
      </c>
      <c r="AJ40" s="50">
        <f>+'Domestic Debt Colones'!AJ39</f>
        <v>6.2572267501348469</v>
      </c>
      <c r="AK40" s="37" t="s">
        <v>89</v>
      </c>
      <c r="AL40" s="176">
        <f>+'Domestic Debt Colones'!AL39</f>
        <v>5.7363897940859552</v>
      </c>
      <c r="AM40" s="94" t="s">
        <v>89</v>
      </c>
      <c r="AN40" s="50">
        <f>+'Domestic Debt Colones'!AN39</f>
        <v>6.4002854749027795</v>
      </c>
      <c r="AO40" s="37" t="s">
        <v>89</v>
      </c>
      <c r="AP40" s="474">
        <f>+'Domestic Debt Colones'!AP39</f>
        <v>5.8733370651379611</v>
      </c>
      <c r="AQ40" s="475" t="s">
        <v>89</v>
      </c>
      <c r="AR40" s="573"/>
      <c r="AS40" s="574"/>
    </row>
    <row r="41" spans="1:46" s="38" customFormat="1" ht="12.75" customHeight="1" x14ac:dyDescent="0.25">
      <c r="A41" s="76" t="s">
        <v>90</v>
      </c>
      <c r="B41" s="50" t="str">
        <f>+'Domestic Debt Colones'!B40</f>
        <v>ND</v>
      </c>
      <c r="C41" s="37" t="s">
        <v>89</v>
      </c>
      <c r="D41" s="50">
        <f>+'Domestic Debt Colones'!D40</f>
        <v>3.4262000000000001</v>
      </c>
      <c r="E41" s="37" t="s">
        <v>89</v>
      </c>
      <c r="F41" s="50">
        <f>+'Domestic Debt Colones'!F40</f>
        <v>2.9183420199999999</v>
      </c>
      <c r="G41" s="37" t="s">
        <v>89</v>
      </c>
      <c r="H41" s="50">
        <f>+'Domestic Debt Colones'!H40</f>
        <v>2.9303555299999999</v>
      </c>
      <c r="I41" s="37" t="s">
        <v>89</v>
      </c>
      <c r="J41" s="50">
        <f>+'Domestic Debt Colones'!J40</f>
        <v>2.5281750399999998</v>
      </c>
      <c r="K41" s="37" t="s">
        <v>89</v>
      </c>
      <c r="L41" s="50">
        <f>+'Domestic Debt Colones'!L40</f>
        <v>2.3013294700000002</v>
      </c>
      <c r="M41" s="37" t="s">
        <v>89</v>
      </c>
      <c r="N41" s="50">
        <f>+'Domestic Debt Colones'!N40</f>
        <v>2.4168407799999998</v>
      </c>
      <c r="O41" s="37" t="s">
        <v>89</v>
      </c>
      <c r="P41" s="50">
        <f>+'Domestic Debt Colones'!P40</f>
        <v>3.0361808300000002</v>
      </c>
      <c r="Q41" s="37" t="s">
        <v>89</v>
      </c>
      <c r="R41" s="50">
        <f>+'Domestic Debt Colones'!R40</f>
        <v>3.63581113</v>
      </c>
      <c r="S41" s="37" t="s">
        <v>89</v>
      </c>
      <c r="T41" s="50">
        <f>+'Domestic Debt Colones'!T40</f>
        <v>3.3981074842707679</v>
      </c>
      <c r="U41" s="37" t="s">
        <v>89</v>
      </c>
      <c r="V41" s="50">
        <f>+'Domestic Debt Colones'!V40</f>
        <v>3.0561241318970662</v>
      </c>
      <c r="W41" s="37" t="s">
        <v>89</v>
      </c>
      <c r="X41" s="50">
        <f>+'Domestic Debt Colones'!X40</f>
        <v>3.8902541849335353</v>
      </c>
      <c r="Y41" s="37" t="s">
        <v>89</v>
      </c>
      <c r="Z41" s="176">
        <f>+'Domestic Debt Colones'!Z40</f>
        <v>3.1856741681815093</v>
      </c>
      <c r="AA41" s="94" t="s">
        <v>89</v>
      </c>
      <c r="AB41" s="176">
        <f>+'Domestic Debt Colones'!AB40</f>
        <v>3.6296734410921783</v>
      </c>
      <c r="AC41" s="94" t="s">
        <v>89</v>
      </c>
      <c r="AD41" s="176">
        <f>+'Domestic Debt Colones'!AD40</f>
        <v>4.2123158783443282</v>
      </c>
      <c r="AE41" s="94" t="s">
        <v>89</v>
      </c>
      <c r="AF41" s="50">
        <f>+'Domestic Debt Colones'!AF40</f>
        <v>4.6963743438958527</v>
      </c>
      <c r="AG41" s="37" t="s">
        <v>89</v>
      </c>
      <c r="AH41" s="176">
        <f>+'Domestic Debt Colones'!AH40</f>
        <v>4.871664727465908</v>
      </c>
      <c r="AI41" s="94" t="s">
        <v>89</v>
      </c>
      <c r="AJ41" s="50">
        <f>+'Domestic Debt Colones'!AJ40</f>
        <v>4.2749469777798552</v>
      </c>
      <c r="AK41" s="37" t="s">
        <v>89</v>
      </c>
      <c r="AL41" s="176">
        <f>+'Domestic Debt Colones'!AL40</f>
        <v>3.9516897538054243</v>
      </c>
      <c r="AM41" s="94" t="s">
        <v>89</v>
      </c>
      <c r="AN41" s="50">
        <f>+'Domestic Debt Colones'!AN40</f>
        <v>4.47</v>
      </c>
      <c r="AO41" s="37" t="s">
        <v>89</v>
      </c>
      <c r="AP41" s="474">
        <f>+'Domestic Debt Colones'!AP40</f>
        <v>4.2409367826434456</v>
      </c>
      <c r="AQ41" s="475" t="s">
        <v>89</v>
      </c>
      <c r="AR41" s="573"/>
      <c r="AS41" s="574"/>
    </row>
    <row r="42" spans="1:46" s="38" customFormat="1" ht="12.75" customHeight="1" x14ac:dyDescent="0.25">
      <c r="A42" s="76" t="s">
        <v>91</v>
      </c>
      <c r="B42" s="50" t="str">
        <f>+'Domestic Debt Colones'!B41</f>
        <v>ND</v>
      </c>
      <c r="C42" s="37"/>
      <c r="D42" s="50">
        <f>+'Domestic Debt Colones'!D41</f>
        <v>3.2267000000000001</v>
      </c>
      <c r="E42" s="37"/>
      <c r="F42" s="50">
        <f>+'Domestic Debt Colones'!F41</f>
        <v>2.74075274</v>
      </c>
      <c r="G42" s="37"/>
      <c r="H42" s="50">
        <f>+'Domestic Debt Colones'!H41</f>
        <v>1.5665221499999999</v>
      </c>
      <c r="I42" s="37"/>
      <c r="J42" s="50">
        <f>+'Domestic Debt Colones'!J41</f>
        <v>1.4480200299999999</v>
      </c>
      <c r="K42" s="37"/>
      <c r="L42" s="50">
        <f>+'Domestic Debt Colones'!L41</f>
        <v>1.36078177</v>
      </c>
      <c r="M42" s="37"/>
      <c r="N42" s="50">
        <f>+'Domestic Debt Colones'!N41</f>
        <v>1.5796652499999999</v>
      </c>
      <c r="O42" s="37"/>
      <c r="P42" s="50">
        <f>+'Domestic Debt Colones'!P41</f>
        <v>2.18331695</v>
      </c>
      <c r="Q42" s="37"/>
      <c r="R42" s="50">
        <f>+'Domestic Debt Colones'!R41</f>
        <v>2.9990621900000001</v>
      </c>
      <c r="S42" s="37"/>
      <c r="T42" s="50">
        <f>+'Domestic Debt Colones'!T41</f>
        <v>3.314175988201566</v>
      </c>
      <c r="U42" s="37"/>
      <c r="V42" s="50">
        <f>+'Domestic Debt Colones'!V41</f>
        <v>2.9590676440742349</v>
      </c>
      <c r="W42" s="37"/>
      <c r="X42" s="50">
        <f>+'Domestic Debt Colones'!X41</f>
        <v>3.7801114275083503</v>
      </c>
      <c r="Y42" s="37"/>
      <c r="Z42" s="176">
        <f>+'Domestic Debt Colones'!Z41</f>
        <v>3.0840246169746219</v>
      </c>
      <c r="AA42" s="94"/>
      <c r="AB42" s="176">
        <f>+'Domestic Debt Colones'!AB41</f>
        <v>3.1037333475332645</v>
      </c>
      <c r="AC42" s="94"/>
      <c r="AD42" s="176">
        <f>+'Domestic Debt Colones'!AD41</f>
        <v>4.1128225685315929</v>
      </c>
      <c r="AE42" s="94"/>
      <c r="AF42" s="50">
        <f>+'Domestic Debt Colones'!AF41</f>
        <v>4.6678837336602843</v>
      </c>
      <c r="AG42" s="37" t="s">
        <v>89</v>
      </c>
      <c r="AH42" s="176">
        <f>+'Domestic Debt Colones'!AH41</f>
        <v>4.7242735290616356</v>
      </c>
      <c r="AI42" s="94" t="s">
        <v>89</v>
      </c>
      <c r="AJ42" s="50">
        <f>+'Domestic Debt Colones'!AJ41</f>
        <v>4.1122101193955238</v>
      </c>
      <c r="AK42" s="37" t="s">
        <v>89</v>
      </c>
      <c r="AL42" s="176">
        <f>+'Domestic Debt Colones'!AL41</f>
        <v>3.8019570463862369</v>
      </c>
      <c r="AM42" s="94" t="s">
        <v>89</v>
      </c>
      <c r="AN42" s="50">
        <f>+'Domestic Debt Colones'!AN41</f>
        <v>4.32</v>
      </c>
      <c r="AO42" s="37" t="s">
        <v>89</v>
      </c>
      <c r="AP42" s="474">
        <f>+'Domestic Debt Colones'!AP41</f>
        <v>4.0919445973800253</v>
      </c>
      <c r="AQ42" s="475" t="s">
        <v>89</v>
      </c>
      <c r="AR42" s="573"/>
      <c r="AS42" s="574"/>
    </row>
    <row r="43" spans="1:46" s="30" customFormat="1" x14ac:dyDescent="0.25">
      <c r="A43" s="76" t="s">
        <v>92</v>
      </c>
      <c r="B43" s="72"/>
      <c r="C43" s="35"/>
      <c r="D43" s="72"/>
      <c r="E43" s="35"/>
      <c r="F43" s="72"/>
      <c r="G43" s="35"/>
      <c r="H43" s="72"/>
      <c r="I43" s="35"/>
      <c r="J43" s="72"/>
      <c r="K43" s="35"/>
      <c r="L43" s="72"/>
      <c r="M43" s="35"/>
      <c r="N43" s="72"/>
      <c r="O43" s="35"/>
      <c r="P43" s="72"/>
      <c r="Q43" s="35"/>
      <c r="R43" s="72"/>
      <c r="S43" s="35"/>
      <c r="T43" s="72"/>
      <c r="U43" s="35"/>
      <c r="V43" s="39"/>
      <c r="W43" s="35"/>
      <c r="X43" s="39"/>
      <c r="Y43" s="35"/>
      <c r="Z43" s="93"/>
      <c r="AA43" s="92"/>
      <c r="AB43" s="93"/>
      <c r="AC43" s="92"/>
      <c r="AD43" s="93"/>
      <c r="AE43" s="92"/>
      <c r="AF43" s="50">
        <f>+'Domestic Debt Colones'!AF42</f>
        <v>4.38</v>
      </c>
      <c r="AG43" s="37" t="s">
        <v>89</v>
      </c>
      <c r="AH43" s="176">
        <f>+'Domestic Debt Colones'!AH42</f>
        <v>4.4298633372190537</v>
      </c>
      <c r="AI43" s="94" t="s">
        <v>89</v>
      </c>
      <c r="AJ43" s="50">
        <f>+'Domestic Debt Colones'!AJ42</f>
        <v>3.8962272725305884</v>
      </c>
      <c r="AK43" s="37" t="s">
        <v>89</v>
      </c>
      <c r="AL43" s="176">
        <f>+'Domestic Debt Colones'!AL42</f>
        <v>3.6260469389717822</v>
      </c>
      <c r="AM43" s="94" t="s">
        <v>89</v>
      </c>
      <c r="AN43" s="50">
        <f>+'Domestic Debt Colones'!AN42</f>
        <v>4.5910673440124254</v>
      </c>
      <c r="AO43" s="37" t="s">
        <v>89</v>
      </c>
      <c r="AP43" s="474">
        <f>+'Domestic Debt Colones'!AP42</f>
        <v>4.3494191211144893</v>
      </c>
      <c r="AQ43" s="475" t="s">
        <v>89</v>
      </c>
      <c r="AR43" s="573"/>
      <c r="AS43" s="574"/>
    </row>
    <row r="44" spans="1:46" s="30" customFormat="1" x14ac:dyDescent="0.25">
      <c r="A44" s="76"/>
      <c r="B44" s="72"/>
      <c r="C44" s="35"/>
      <c r="D44" s="72"/>
      <c r="E44" s="35"/>
      <c r="F44" s="72"/>
      <c r="G44" s="35"/>
      <c r="H44" s="72"/>
      <c r="I44" s="35"/>
      <c r="J44" s="72"/>
      <c r="K44" s="35"/>
      <c r="L44" s="72"/>
      <c r="M44" s="35"/>
      <c r="N44" s="72"/>
      <c r="O44" s="35"/>
      <c r="P44" s="72"/>
      <c r="Q44" s="35"/>
      <c r="R44" s="72"/>
      <c r="S44" s="35"/>
      <c r="T44" s="72"/>
      <c r="U44" s="35"/>
      <c r="V44" s="39"/>
      <c r="W44" s="35"/>
      <c r="X44" s="39"/>
      <c r="Y44" s="35"/>
      <c r="Z44" s="93"/>
      <c r="AA44" s="92"/>
      <c r="AB44" s="93"/>
      <c r="AC44" s="92"/>
      <c r="AD44" s="93"/>
      <c r="AE44" s="92"/>
      <c r="AF44" s="50"/>
      <c r="AG44" s="37"/>
      <c r="AH44" s="176"/>
      <c r="AI44" s="94"/>
      <c r="AJ44" s="50"/>
      <c r="AK44" s="37"/>
      <c r="AL44" s="176"/>
      <c r="AM44" s="94"/>
      <c r="AN44" s="50"/>
      <c r="AO44" s="37"/>
      <c r="AP44" s="474"/>
      <c r="AQ44" s="475"/>
      <c r="AR44" s="573"/>
      <c r="AS44" s="574"/>
    </row>
    <row r="45" spans="1:46" s="30" customFormat="1" x14ac:dyDescent="0.25">
      <c r="A45" s="31" t="s">
        <v>93</v>
      </c>
      <c r="B45" s="74">
        <f>+'Domestic Debt Colones'!B45/B90</f>
        <v>469.8375746151429</v>
      </c>
      <c r="C45" s="35"/>
      <c r="D45" s="74">
        <f>+'Domestic Debt Colones'!D45/D90</f>
        <v>508.91764637070827</v>
      </c>
      <c r="E45" s="35"/>
      <c r="F45" s="74">
        <f>+'Domestic Debt Colones'!F45/F90</f>
        <v>557.2441630391769</v>
      </c>
      <c r="G45" s="35"/>
      <c r="H45" s="74">
        <f>+'Domestic Debt Colones'!H45/H90</f>
        <v>566.13398248251826</v>
      </c>
      <c r="I45" s="35"/>
      <c r="J45" s="74">
        <f>+'Domestic Debt Colones'!J45/J90</f>
        <v>567.64778957444958</v>
      </c>
      <c r="K45" s="35"/>
      <c r="L45" s="74">
        <f>+'Domestic Debt Colones'!L45/L90</f>
        <v>628.26457473367429</v>
      </c>
      <c r="M45" s="35"/>
      <c r="N45" s="74">
        <f>+'Domestic Debt Colones'!N45/N90</f>
        <v>674.25341152948397</v>
      </c>
      <c r="O45" s="35"/>
      <c r="P45" s="74">
        <f>+'Domestic Debt Colones'!P45/P90</f>
        <v>666.99423134943777</v>
      </c>
      <c r="Q45" s="35"/>
      <c r="R45" s="74">
        <f>+'Domestic Debt Colones'!R45/R90</f>
        <v>462.18784836486884</v>
      </c>
      <c r="S45" s="35"/>
      <c r="T45" s="74">
        <f>+'Domestic Debt Colones'!T45/T90</f>
        <v>499.24392456858209</v>
      </c>
      <c r="U45" s="35"/>
      <c r="V45" s="74">
        <f>+'Domestic Debt Colones'!V45/V90</f>
        <v>656.8571420218949</v>
      </c>
      <c r="W45" s="35"/>
      <c r="X45" s="74">
        <f>+'Domestic Debt Colones'!X45/X90</f>
        <v>765.16077473310895</v>
      </c>
      <c r="Y45" s="35"/>
      <c r="Z45" s="134">
        <f>+'Domestic Debt Colones'!Z45/Z90</f>
        <v>834.04256048496359</v>
      </c>
      <c r="AA45" s="92"/>
      <c r="AB45" s="134">
        <f>+'Domestic Debt Colones'!AB45/AB90</f>
        <v>1132.0679380443221</v>
      </c>
      <c r="AC45" s="92"/>
      <c r="AD45" s="134">
        <f>+'Domestic Debt Colones'!AD45/AD90</f>
        <v>1106.6644425605143</v>
      </c>
      <c r="AE45" s="92"/>
      <c r="AF45" s="74">
        <f>+'Domestic Debt Colones'!AF45/AF90</f>
        <v>1221.97648679501</v>
      </c>
      <c r="AG45" s="35"/>
      <c r="AH45" s="134">
        <f>+'Domestic Debt Colones'!AH45/AH90</f>
        <v>1246.622256465512</v>
      </c>
      <c r="AI45" s="92"/>
      <c r="AJ45" s="74">
        <f>+'Domestic Debt Colones'!AJ45/AJ90</f>
        <v>1451.5620467519425</v>
      </c>
      <c r="AK45" s="35"/>
      <c r="AL45" s="134">
        <f>+'Domestic Debt Colones'!AL45/AL90</f>
        <v>1678.7644595014081</v>
      </c>
      <c r="AM45" s="92"/>
      <c r="AN45" s="74">
        <f>+'Domestic Debt Colones'!AN45/AN90</f>
        <v>2284.1176202690081</v>
      </c>
      <c r="AO45" s="35"/>
      <c r="AP45" s="461">
        <f>+'Domestic Debt Colones'!AP45/AP90</f>
        <v>2341.5802820958884</v>
      </c>
      <c r="AQ45" s="472"/>
      <c r="AR45" s="572"/>
      <c r="AS45" s="574"/>
      <c r="AT45" s="162"/>
    </row>
    <row r="46" spans="1:46" s="187" customFormat="1" x14ac:dyDescent="0.25">
      <c r="A46" s="31" t="s">
        <v>94</v>
      </c>
      <c r="B46" s="223">
        <f>+B45/B71</f>
        <v>3.2320654207035442E-2</v>
      </c>
      <c r="C46" s="35"/>
      <c r="D46" s="223">
        <f>+D45/D71</f>
        <v>3.312076566642834E-2</v>
      </c>
      <c r="E46" s="35"/>
      <c r="F46" s="223">
        <f>+F45/F71</f>
        <v>3.54081385118531E-2</v>
      </c>
      <c r="G46" s="35"/>
      <c r="H46" s="223">
        <f>+H45/H71</f>
        <v>3.4451199102643042E-2</v>
      </c>
      <c r="I46" s="35"/>
      <c r="J46" s="223">
        <f>+J45/J71</f>
        <v>3.2013401045389155E-2</v>
      </c>
      <c r="K46" s="35"/>
      <c r="L46" s="223">
        <f>+L45/L71</f>
        <v>3.2650395298623583E-2</v>
      </c>
      <c r="M46" s="35"/>
      <c r="N46" s="223">
        <f>+N45/N71</f>
        <v>3.0087141592536018E-2</v>
      </c>
      <c r="O46" s="35"/>
      <c r="P46" s="223">
        <f>+P45/P71</f>
        <v>2.387560362262816E-2</v>
      </c>
      <c r="Q46" s="35"/>
      <c r="R46" s="223">
        <f>+R45/R71</f>
        <v>1.5750453470985613E-2</v>
      </c>
      <c r="S46" s="35"/>
      <c r="T46" s="223">
        <v>1.6715759243398211E-2</v>
      </c>
      <c r="U46" s="35"/>
      <c r="V46" s="223">
        <v>1.7888161265507473E-2</v>
      </c>
      <c r="W46" s="35"/>
      <c r="X46" s="223">
        <f>+X45/X71</f>
        <v>1.8075657644443629E-2</v>
      </c>
      <c r="Y46" s="35"/>
      <c r="Z46" s="226">
        <f>+Z45/Z71</f>
        <v>1.7880766351936746E-2</v>
      </c>
      <c r="AA46" s="92"/>
      <c r="AB46" s="226">
        <f>+AB45/AB71</f>
        <v>2.2339519701692831E-2</v>
      </c>
      <c r="AC46" s="92"/>
      <c r="AD46" s="226">
        <f>+AD45/AD71</f>
        <v>2.1429540848144569E-2</v>
      </c>
      <c r="AE46" s="92"/>
      <c r="AF46" s="223">
        <f>+AF45/AF71</f>
        <v>2.1781550498383904E-2</v>
      </c>
      <c r="AG46" s="35"/>
      <c r="AH46" s="226">
        <f>+AH45/AH71</f>
        <v>2.1639139372566573E-2</v>
      </c>
      <c r="AI46" s="92"/>
      <c r="AJ46" s="223">
        <f>+AJ45/AJ71</f>
        <v>2.4112221397254316E-2</v>
      </c>
      <c r="AK46" s="35"/>
      <c r="AL46" s="226">
        <f>+AL45/AL71</f>
        <v>2.8428046028751118E-2</v>
      </c>
      <c r="AM46" s="92"/>
      <c r="AN46" s="223">
        <f>+AN45/AN71</f>
        <v>3.4626897643360577E-2</v>
      </c>
      <c r="AO46" s="35"/>
      <c r="AP46" s="464">
        <f>+AP45/AP71</f>
        <v>3.9506642562350668E-2</v>
      </c>
      <c r="AQ46" s="472"/>
      <c r="AR46" s="572"/>
      <c r="AS46" s="574"/>
    </row>
    <row r="47" spans="1:46" s="187" customFormat="1" x14ac:dyDescent="0.25">
      <c r="A47" s="219" t="s">
        <v>71</v>
      </c>
      <c r="B47" s="223">
        <f>+B45/B74</f>
        <v>0.2457518702330713</v>
      </c>
      <c r="C47" s="35"/>
      <c r="D47" s="223">
        <f>+D45/D74</f>
        <v>0.24099328631161765</v>
      </c>
      <c r="E47" s="35"/>
      <c r="F47" s="223">
        <f>+F45/F74</f>
        <v>0.26117244782601118</v>
      </c>
      <c r="G47" s="35"/>
      <c r="H47" s="223">
        <f>+H45/H74</f>
        <v>0.24906005489050281</v>
      </c>
      <c r="I47" s="35"/>
      <c r="J47" s="223">
        <f>+J45/J74</f>
        <v>0.23555823572938342</v>
      </c>
      <c r="K47" s="35"/>
      <c r="L47" s="223">
        <f>+L45/L74</f>
        <v>0.23665443523091106</v>
      </c>
      <c r="M47" s="35"/>
      <c r="N47" s="223">
        <f>+N45/N74</f>
        <v>0.21334359935729313</v>
      </c>
      <c r="O47" s="35"/>
      <c r="P47" s="223">
        <f>+P45/P74</f>
        <v>0.15757530763243388</v>
      </c>
      <c r="Q47" s="35"/>
      <c r="R47" s="223">
        <f>+R45/R74</f>
        <v>0.10254808289137946</v>
      </c>
      <c r="S47" s="35"/>
      <c r="T47" s="223">
        <v>0.12175970991999759</v>
      </c>
      <c r="U47" s="35"/>
      <c r="V47" s="223">
        <v>0.12278820914316019</v>
      </c>
      <c r="W47" s="35"/>
      <c r="X47" s="223">
        <f>+X45/X74</f>
        <v>0.12924673350904525</v>
      </c>
      <c r="Y47" s="35"/>
      <c r="Z47" s="226">
        <f>+Z45/Z74</f>
        <v>0.12986902401542122</v>
      </c>
      <c r="AA47" s="92"/>
      <c r="AB47" s="226">
        <f>+AB45/AB74</f>
        <v>0.16085905300333711</v>
      </c>
      <c r="AC47" s="92"/>
      <c r="AD47" s="226">
        <f>+AD45/AD74</f>
        <v>0.15801250831549862</v>
      </c>
      <c r="AE47" s="92"/>
      <c r="AF47" s="223">
        <f>+AF45/AF74</f>
        <v>0.15721700286578918</v>
      </c>
      <c r="AG47" s="35"/>
      <c r="AH47" s="226">
        <f>+AH45/AH74</f>
        <v>0.15207993628762853</v>
      </c>
      <c r="AI47" s="92"/>
      <c r="AJ47" s="223">
        <f>+AJ45/AJ74</f>
        <v>0.17475128667141876</v>
      </c>
      <c r="AK47" s="35"/>
      <c r="AL47" s="226">
        <f>+AL45/AL74</f>
        <v>0.20787347885014995</v>
      </c>
      <c r="AM47" s="92"/>
      <c r="AN47" s="223">
        <f>+AN45/AN74</f>
        <v>0.24925290551252494</v>
      </c>
      <c r="AO47" s="35"/>
      <c r="AP47" s="464">
        <f>+AP45/AP74</f>
        <v>0.30711274310638509</v>
      </c>
      <c r="AQ47" s="472"/>
      <c r="AR47" s="572"/>
      <c r="AS47" s="574"/>
    </row>
    <row r="48" spans="1:46" s="187" customFormat="1" x14ac:dyDescent="0.25">
      <c r="A48" s="219" t="s">
        <v>95</v>
      </c>
      <c r="B48" s="223">
        <f>+B45/B76</f>
        <v>0.19763202555074905</v>
      </c>
      <c r="C48" s="35"/>
      <c r="D48" s="223">
        <f>+D45/D76</f>
        <v>0.19723999587564769</v>
      </c>
      <c r="E48" s="35"/>
      <c r="F48" s="223">
        <f>+F45/F76</f>
        <v>0.19775370314109877</v>
      </c>
      <c r="G48" s="35"/>
      <c r="H48" s="223">
        <f>+H45/H76</f>
        <v>0.2022195467454781</v>
      </c>
      <c r="I48" s="35"/>
      <c r="J48" s="223">
        <f>+J45/J76</f>
        <v>0.19619750891057869</v>
      </c>
      <c r="K48" s="35"/>
      <c r="L48" s="223">
        <f>+L45/L76</f>
        <v>0.20550447391311943</v>
      </c>
      <c r="M48" s="35"/>
      <c r="N48" s="223">
        <f>+N45/N76</f>
        <v>0.19859584788407222</v>
      </c>
      <c r="O48" s="35"/>
      <c r="P48" s="223">
        <f>+P45/P76</f>
        <v>0.16358551689715012</v>
      </c>
      <c r="Q48" s="35"/>
      <c r="R48" s="223">
        <f>+R45/R76</f>
        <v>0.10376174994102043</v>
      </c>
      <c r="S48" s="35"/>
      <c r="T48" s="223">
        <v>9.9982556266550782E-2</v>
      </c>
      <c r="U48" s="35"/>
      <c r="V48" s="223">
        <v>9.0383206731839819E-2</v>
      </c>
      <c r="W48" s="35"/>
      <c r="X48" s="223">
        <f>+X45/X76</f>
        <v>0.10100262813594933</v>
      </c>
      <c r="Y48" s="35"/>
      <c r="Z48" s="226">
        <f>+Z45/Z76</f>
        <v>9.933815627749995E-2</v>
      </c>
      <c r="AA48" s="92"/>
      <c r="AB48" s="226">
        <f>+AB45/AB76</f>
        <v>0.1167477887468811</v>
      </c>
      <c r="AC48" s="92"/>
      <c r="AD48" s="226">
        <f>+AD45/AD76</f>
        <v>0.11264466355874317</v>
      </c>
      <c r="AE48" s="92"/>
      <c r="AF48" s="223">
        <f>+AF45/AF76</f>
        <v>0.11239686213620494</v>
      </c>
      <c r="AG48" s="35"/>
      <c r="AH48" s="226">
        <f>+AH45/AH76</f>
        <v>0.11186389842657164</v>
      </c>
      <c r="AI48" s="92"/>
      <c r="AJ48" s="223">
        <f>+AJ45/AJ76</f>
        <v>0.12241556831372698</v>
      </c>
      <c r="AK48" s="35"/>
      <c r="AL48" s="226">
        <f>+AL45/AL76</f>
        <v>0.14636220721817894</v>
      </c>
      <c r="AM48" s="92"/>
      <c r="AN48" s="223">
        <f>+AN45/AN76</f>
        <v>0.16623640714103796</v>
      </c>
      <c r="AO48" s="35"/>
      <c r="AP48" s="464">
        <f>+AP45/AP76</f>
        <v>0.18768008372634931</v>
      </c>
      <c r="AQ48" s="472"/>
      <c r="AR48" s="572"/>
      <c r="AS48" s="574"/>
    </row>
    <row r="49" spans="1:45" s="30" customFormat="1" x14ac:dyDescent="0.25">
      <c r="A49" s="219" t="s">
        <v>96</v>
      </c>
      <c r="B49" s="76"/>
      <c r="C49" s="35"/>
      <c r="D49" s="76"/>
      <c r="E49" s="35"/>
      <c r="F49" s="76"/>
      <c r="G49" s="35"/>
      <c r="H49" s="76"/>
      <c r="I49" s="35"/>
      <c r="J49" s="76"/>
      <c r="K49" s="35"/>
      <c r="L49" s="76"/>
      <c r="M49" s="35"/>
      <c r="N49" s="76"/>
      <c r="O49" s="35"/>
      <c r="P49" s="76"/>
      <c r="Q49" s="35"/>
      <c r="R49" s="76"/>
      <c r="S49" s="35"/>
      <c r="T49" s="76"/>
      <c r="U49" s="35"/>
      <c r="V49" s="76"/>
      <c r="W49" s="35"/>
      <c r="X49" s="76"/>
      <c r="Y49" s="35"/>
      <c r="Z49" s="133"/>
      <c r="AA49" s="92"/>
      <c r="AB49" s="133"/>
      <c r="AC49" s="92"/>
      <c r="AD49" s="133"/>
      <c r="AE49" s="92"/>
      <c r="AF49" s="76"/>
      <c r="AG49" s="35"/>
      <c r="AH49" s="133"/>
      <c r="AI49" s="92"/>
      <c r="AJ49" s="76"/>
      <c r="AK49" s="35"/>
      <c r="AL49" s="133"/>
      <c r="AM49" s="92"/>
      <c r="AN49" s="76"/>
      <c r="AO49" s="35"/>
      <c r="AP49" s="473"/>
      <c r="AQ49" s="472"/>
      <c r="AR49" s="572"/>
      <c r="AS49" s="574"/>
    </row>
    <row r="50" spans="1:45" s="30" customFormat="1" x14ac:dyDescent="0.25">
      <c r="A50" s="219"/>
      <c r="B50" s="76"/>
      <c r="C50" s="35"/>
      <c r="D50" s="76"/>
      <c r="E50" s="35"/>
      <c r="F50" s="76"/>
      <c r="G50" s="35"/>
      <c r="H50" s="76"/>
      <c r="I50" s="35"/>
      <c r="J50" s="76"/>
      <c r="K50" s="35"/>
      <c r="L50" s="76"/>
      <c r="M50" s="35"/>
      <c r="N50" s="76"/>
      <c r="O50" s="35"/>
      <c r="P50" s="76"/>
      <c r="Q50" s="35"/>
      <c r="R50" s="76"/>
      <c r="S50" s="35"/>
      <c r="T50" s="76"/>
      <c r="U50" s="35"/>
      <c r="V50" s="76"/>
      <c r="W50" s="35"/>
      <c r="X50" s="76"/>
      <c r="Y50" s="35"/>
      <c r="Z50" s="133"/>
      <c r="AA50" s="92"/>
      <c r="AB50" s="133"/>
      <c r="AC50" s="92"/>
      <c r="AD50" s="133"/>
      <c r="AE50" s="92"/>
      <c r="AF50" s="76"/>
      <c r="AG50" s="35"/>
      <c r="AH50" s="133"/>
      <c r="AI50" s="92"/>
      <c r="AJ50" s="76"/>
      <c r="AK50" s="35"/>
      <c r="AL50" s="133"/>
      <c r="AM50" s="92"/>
      <c r="AN50" s="76"/>
      <c r="AO50" s="35"/>
      <c r="AP50" s="473"/>
      <c r="AQ50" s="472"/>
      <c r="AR50" s="572"/>
      <c r="AS50" s="574"/>
    </row>
    <row r="51" spans="1:45" s="38" customFormat="1" x14ac:dyDescent="0.25">
      <c r="A51" s="219" t="s">
        <v>97</v>
      </c>
      <c r="B51" s="75">
        <f>+B58+B64</f>
        <v>5648.9315111530004</v>
      </c>
      <c r="C51" s="211">
        <v>1</v>
      </c>
      <c r="D51" s="75">
        <f>+D58+D64</f>
        <v>6092.8367807217637</v>
      </c>
      <c r="E51" s="211">
        <v>1</v>
      </c>
      <c r="F51" s="75">
        <f>+F58+F64</f>
        <v>6523.0767783933516</v>
      </c>
      <c r="G51" s="211">
        <v>1</v>
      </c>
      <c r="H51" s="75">
        <f>+H58+H64</f>
        <v>6668.7083043364119</v>
      </c>
      <c r="I51" s="211">
        <v>1</v>
      </c>
      <c r="J51" s="75">
        <f>+J58+J64</f>
        <v>7275.6711478548432</v>
      </c>
      <c r="K51" s="211">
        <v>1</v>
      </c>
      <c r="L51" s="75">
        <f>+L58+L64</f>
        <v>7186.2343872938054</v>
      </c>
      <c r="M51" s="211">
        <v>1</v>
      </c>
      <c r="N51" s="75">
        <f>+N58+N64</f>
        <v>7405.0907282621283</v>
      </c>
      <c r="O51" s="211">
        <v>1</v>
      </c>
      <c r="P51" s="75">
        <f>+P58+P64</f>
        <v>7531.6019084015525</v>
      </c>
      <c r="Q51" s="211">
        <v>1</v>
      </c>
      <c r="R51" s="75">
        <f>+R58+R64</f>
        <v>7033.3475041240472</v>
      </c>
      <c r="S51" s="211">
        <v>1</v>
      </c>
      <c r="T51" s="75">
        <v>8151.3837899838209</v>
      </c>
      <c r="U51" s="211">
        <v>1</v>
      </c>
      <c r="V51" s="75">
        <v>10851.303467262858</v>
      </c>
      <c r="W51" s="211">
        <v>1</v>
      </c>
      <c r="X51" s="75">
        <f>+X58+X64</f>
        <v>12489.186009143179</v>
      </c>
      <c r="Y51" s="211">
        <v>1</v>
      </c>
      <c r="Z51" s="153">
        <f>+Z58+Z64</f>
        <v>15744.00916441351</v>
      </c>
      <c r="AA51" s="174">
        <v>1</v>
      </c>
      <c r="AB51" s="153">
        <f>+AB58+AB64</f>
        <v>17782.528527978197</v>
      </c>
      <c r="AC51" s="174">
        <v>1</v>
      </c>
      <c r="AD51" s="153">
        <f>+AD58+AD64</f>
        <v>19355.577761810924</v>
      </c>
      <c r="AE51" s="174">
        <v>1</v>
      </c>
      <c r="AF51" s="75">
        <f>+AF58+AF64</f>
        <v>22314.265338538964</v>
      </c>
      <c r="AG51" s="40">
        <v>1</v>
      </c>
      <c r="AH51" s="93">
        <f>+AH58+AH64</f>
        <v>25222.26838435368</v>
      </c>
      <c r="AI51" s="90">
        <v>1</v>
      </c>
      <c r="AJ51" s="39">
        <f>+AJ58+AJ64</f>
        <v>28162.743045154748</v>
      </c>
      <c r="AK51" s="40">
        <v>1</v>
      </c>
      <c r="AL51" s="93">
        <f>+AL58+AL64</f>
        <v>30462.132826904417</v>
      </c>
      <c r="AM51" s="90">
        <v>1</v>
      </c>
      <c r="AN51" s="39">
        <f>+AN58+AN64</f>
        <v>36993.804726890477</v>
      </c>
      <c r="AO51" s="40">
        <v>1</v>
      </c>
      <c r="AP51" s="476">
        <f>+AP58+AP64</f>
        <v>39436.369221638968</v>
      </c>
      <c r="AQ51" s="463">
        <v>1</v>
      </c>
      <c r="AR51" s="568"/>
      <c r="AS51" s="574"/>
    </row>
    <row r="52" spans="1:45" s="38" customFormat="1" ht="12.75" customHeight="1" x14ac:dyDescent="0.25">
      <c r="A52" s="219" t="s">
        <v>71</v>
      </c>
      <c r="B52" s="223">
        <f>+B51/B71</f>
        <v>0.38859634025813361</v>
      </c>
      <c r="C52" s="211"/>
      <c r="D52" s="223">
        <f>+D51/D71</f>
        <v>0.3965266692896034</v>
      </c>
      <c r="E52" s="211"/>
      <c r="F52" s="223">
        <f>+F51/F71</f>
        <v>0.41448618292044098</v>
      </c>
      <c r="G52" s="211"/>
      <c r="H52" s="223">
        <f>+H51/H71</f>
        <v>0.40581382615949413</v>
      </c>
      <c r="I52" s="211"/>
      <c r="J52" s="223">
        <f>+J51/J71</f>
        <v>0.41032306054650031</v>
      </c>
      <c r="K52" s="211"/>
      <c r="L52" s="223">
        <f>+L51/L71</f>
        <v>0.37346271441958589</v>
      </c>
      <c r="M52" s="211"/>
      <c r="N52" s="223">
        <f>+N51/N71</f>
        <v>0.3304366124620724</v>
      </c>
      <c r="O52" s="211"/>
      <c r="P52" s="223">
        <f>+P51/P71</f>
        <v>0.2695998456307741</v>
      </c>
      <c r="Q52" s="211"/>
      <c r="R52" s="223">
        <f>+R51/R71</f>
        <v>0.23968265933622268</v>
      </c>
      <c r="S52" s="211"/>
      <c r="T52" s="223">
        <v>0.27292594989877922</v>
      </c>
      <c r="U52" s="211"/>
      <c r="V52" s="223">
        <v>0.29551306356487506</v>
      </c>
      <c r="W52" s="211"/>
      <c r="X52" s="223">
        <f>+X51/X71</f>
        <v>0.29503636100241792</v>
      </c>
      <c r="Y52" s="211"/>
      <c r="Z52" s="226">
        <f>+Z51/Z71</f>
        <v>0.33753067606998227</v>
      </c>
      <c r="AA52" s="174"/>
      <c r="AB52" s="226">
        <f>+AB51/AB71</f>
        <v>0.35090928118938625</v>
      </c>
      <c r="AC52" s="174"/>
      <c r="AD52" s="226">
        <f>+AD51/AD71</f>
        <v>0.37480299206729495</v>
      </c>
      <c r="AE52" s="174"/>
      <c r="AF52" s="223">
        <f>+AF51/AF71</f>
        <v>0.39774848579984051</v>
      </c>
      <c r="AG52" s="40"/>
      <c r="AH52" s="226">
        <f>+AH51/AH71</f>
        <v>0.4378136023407409</v>
      </c>
      <c r="AI52" s="90"/>
      <c r="AJ52" s="223">
        <f>+AJ51/AJ71</f>
        <v>0.46781761549790724</v>
      </c>
      <c r="AK52" s="40"/>
      <c r="AL52" s="226">
        <f>+AL51/AL71</f>
        <v>0.51584301135036204</v>
      </c>
      <c r="AM52" s="90"/>
      <c r="AN52" s="223">
        <f>+AN51/AN71</f>
        <v>0.56082080815332092</v>
      </c>
      <c r="AO52" s="40"/>
      <c r="AP52" s="464">
        <f>+AP51/AP71</f>
        <v>0.66536200134110002</v>
      </c>
      <c r="AQ52" s="463"/>
      <c r="AR52" s="568"/>
      <c r="AS52" s="574"/>
    </row>
    <row r="53" spans="1:45" s="38" customFormat="1" ht="12.75" customHeight="1" x14ac:dyDescent="0.25">
      <c r="A53" s="219" t="s">
        <v>98</v>
      </c>
      <c r="B53" s="223">
        <f>+B51/B73</f>
        <v>1.3514613325629803</v>
      </c>
      <c r="C53" s="211"/>
      <c r="D53" s="223">
        <f>+D51/D73</f>
        <v>1.4523972995634873</v>
      </c>
      <c r="E53" s="211"/>
      <c r="F53" s="223">
        <f>+F51/F73</f>
        <v>1.5280488658909999</v>
      </c>
      <c r="G53" s="211"/>
      <c r="H53" s="223">
        <f>+H51/H73</f>
        <v>1.4474057516276175</v>
      </c>
      <c r="I53" s="211"/>
      <c r="J53" s="223">
        <f>+J51/J73</f>
        <v>1.4208993060953758</v>
      </c>
      <c r="K53" s="211"/>
      <c r="L53" s="223">
        <f>+L51/L73</f>
        <v>1.2904116297101553</v>
      </c>
      <c r="M53" s="211"/>
      <c r="N53" s="223">
        <f>+N51/N73</f>
        <v>1.1734059767398881</v>
      </c>
      <c r="O53" s="211"/>
      <c r="P53" s="223">
        <f>+P51/P73</f>
        <v>1.0956317215463367</v>
      </c>
      <c r="Q53" s="211"/>
      <c r="R53" s="223">
        <f>+R51/R73</f>
        <v>0.93606020523801459</v>
      </c>
      <c r="S53" s="211"/>
      <c r="T53" s="223">
        <v>0.92137264496256599</v>
      </c>
      <c r="U53" s="211"/>
      <c r="V53" s="223">
        <v>1.1617102889755544</v>
      </c>
      <c r="W53" s="211"/>
      <c r="X53" s="223">
        <f>+X51/X73</f>
        <v>1.5044712329991181</v>
      </c>
      <c r="Y53" s="211"/>
      <c r="Z53" s="226">
        <f>+Z51/Z73</f>
        <v>1.4286759677326235</v>
      </c>
      <c r="AA53" s="174"/>
      <c r="AB53" s="226">
        <f>+AB51/AB73</f>
        <v>2.0056252967347623</v>
      </c>
      <c r="AC53" s="174"/>
      <c r="AD53" s="226">
        <f>+AD51/AD73</f>
        <v>2.0385369733966967</v>
      </c>
      <c r="AE53" s="174"/>
      <c r="AF53" s="223">
        <f>+AF51/AF73</f>
        <v>2.4001854251300205</v>
      </c>
      <c r="AG53" s="40"/>
      <c r="AH53" s="226">
        <f>+AH51/AH73</f>
        <v>2.4623907433714418</v>
      </c>
      <c r="AI53" s="90"/>
      <c r="AJ53" s="223">
        <f>+AJ51/AJ73</f>
        <v>2.5844492103473202</v>
      </c>
      <c r="AK53" s="40"/>
      <c r="AL53" s="226">
        <f>+AL51/AL73</f>
        <v>2.659519192151599</v>
      </c>
      <c r="AM53" s="90"/>
      <c r="AN53" s="223">
        <f>+AN51/AN73</f>
        <v>3.1855510830009885</v>
      </c>
      <c r="AO53" s="40"/>
      <c r="AP53" s="464">
        <f>+AP51/AP73</f>
        <v>3.3684705719956409</v>
      </c>
      <c r="AQ53" s="463"/>
      <c r="AR53" s="568"/>
      <c r="AS53" s="574"/>
    </row>
    <row r="54" spans="1:45" s="38" customFormat="1" ht="12.75" customHeight="1" x14ac:dyDescent="0.25">
      <c r="A54" s="219" t="s">
        <v>95</v>
      </c>
      <c r="B54" s="223">
        <f>+B51/B74</f>
        <v>2.9547136259196001</v>
      </c>
      <c r="C54" s="211"/>
      <c r="D54" s="223">
        <f>+D51/D74</f>
        <v>2.8852070059226533</v>
      </c>
      <c r="E54" s="211"/>
      <c r="F54" s="223">
        <f>+F51/F74</f>
        <v>3.0572737097476392</v>
      </c>
      <c r="G54" s="211"/>
      <c r="H54" s="223">
        <f>+H51/H74</f>
        <v>2.9337734665628665</v>
      </c>
      <c r="I54" s="211"/>
      <c r="J54" s="223">
        <f>+J51/J74</f>
        <v>3.0192036167720975</v>
      </c>
      <c r="K54" s="211"/>
      <c r="L54" s="223">
        <f>+L51/L74</f>
        <v>2.7069077403940636</v>
      </c>
      <c r="M54" s="211"/>
      <c r="N54" s="223">
        <f>+N51/N74</f>
        <v>2.3430785555108433</v>
      </c>
      <c r="O54" s="211"/>
      <c r="P54" s="223">
        <f>+P51/P74</f>
        <v>1.7793174691785902</v>
      </c>
      <c r="Q54" s="211"/>
      <c r="R54" s="223">
        <f>+R51/R74</f>
        <v>1.5605263215128975</v>
      </c>
      <c r="S54" s="211"/>
      <c r="T54" s="223">
        <v>1.988027226608907</v>
      </c>
      <c r="U54" s="211"/>
      <c r="V54" s="223">
        <v>2.0284656044278164</v>
      </c>
      <c r="W54" s="211"/>
      <c r="X54" s="223">
        <f>+X51/X74</f>
        <v>2.1096043461345224</v>
      </c>
      <c r="Y54" s="211"/>
      <c r="Z54" s="226">
        <f>+Z51/Z74</f>
        <v>2.4515045168478449</v>
      </c>
      <c r="AA54" s="174"/>
      <c r="AB54" s="226">
        <f>+AB51/AB74</f>
        <v>2.526774765794495</v>
      </c>
      <c r="AC54" s="174"/>
      <c r="AD54" s="226">
        <f>+AD51/AD74</f>
        <v>2.7636411494012458</v>
      </c>
      <c r="AE54" s="174"/>
      <c r="AF54" s="223">
        <f>+AF51/AF74</f>
        <v>2.8709078739135903</v>
      </c>
      <c r="AG54" s="40"/>
      <c r="AH54" s="226">
        <f>+AH51/AH74</f>
        <v>3.0769553078551932</v>
      </c>
      <c r="AI54" s="90"/>
      <c r="AJ54" s="223">
        <f>+AJ51/AJ74</f>
        <v>3.3904686295358712</v>
      </c>
      <c r="AK54" s="40"/>
      <c r="AL54" s="226">
        <f>+AL51/AL74</f>
        <v>3.7719821194002723</v>
      </c>
      <c r="AM54" s="90"/>
      <c r="AN54" s="223">
        <f>+AN51/AN74</f>
        <v>4.036925783644393</v>
      </c>
      <c r="AO54" s="40"/>
      <c r="AP54" s="464">
        <f>+AP51/AP74</f>
        <v>5.1723238457462353</v>
      </c>
      <c r="AQ54" s="463"/>
      <c r="AR54" s="568"/>
      <c r="AS54" s="574"/>
    </row>
    <row r="55" spans="1:45" s="38" customFormat="1" ht="12.75" customHeight="1" x14ac:dyDescent="0.25">
      <c r="A55" s="219" t="s">
        <v>99</v>
      </c>
      <c r="B55" s="223">
        <f>+B51/B75</f>
        <v>2.9781556633109996</v>
      </c>
      <c r="C55" s="211"/>
      <c r="D55" s="223">
        <f>+D51/D75</f>
        <v>2.9222271546955785</v>
      </c>
      <c r="E55" s="211"/>
      <c r="F55" s="223">
        <f>+F51/F75</f>
        <v>3.0852201533169232</v>
      </c>
      <c r="G55" s="211"/>
      <c r="H55" s="223">
        <f>+H51/H75</f>
        <v>2.9983116173069821</v>
      </c>
      <c r="I55" s="211"/>
      <c r="J55" s="223">
        <f>+J51/J75</f>
        <v>3.0795073678840499</v>
      </c>
      <c r="K55" s="211"/>
      <c r="L55" s="223">
        <f>+L51/L75</f>
        <v>2.7580933128932434</v>
      </c>
      <c r="M55" s="211"/>
      <c r="N55" s="223">
        <f>+N51/N75</f>
        <v>2.3819605085628694</v>
      </c>
      <c r="O55" s="211"/>
      <c r="P55" s="223">
        <f>+P51/P75</f>
        <v>1.8116542420683559</v>
      </c>
      <c r="Q55" s="211"/>
      <c r="R55" s="223">
        <f>+R51/R75</f>
        <v>1.5842247918344545</v>
      </c>
      <c r="S55" s="211"/>
      <c r="T55" s="223">
        <v>1.9903882365868091</v>
      </c>
      <c r="U55" s="211"/>
      <c r="V55" s="223">
        <v>2.2319701161218353</v>
      </c>
      <c r="W55" s="211"/>
      <c r="X55" s="223">
        <f>+X51/X75</f>
        <v>2.2494690000904023</v>
      </c>
      <c r="Y55" s="211"/>
      <c r="Z55" s="226">
        <f>+Z51/Z75</f>
        <v>2.601332590372825</v>
      </c>
      <c r="AA55" s="174"/>
      <c r="AB55" s="226">
        <f>+AB51/AB75</f>
        <v>2.6683500943092264</v>
      </c>
      <c r="AC55" s="174"/>
      <c r="AD55" s="226">
        <f>+AD51/AD75</f>
        <v>2.9296365439492922</v>
      </c>
      <c r="AE55" s="174"/>
      <c r="AF55" s="223">
        <f>+AF51/AF75</f>
        <v>3.0572482941546539</v>
      </c>
      <c r="AG55" s="40"/>
      <c r="AH55" s="226">
        <f>+AH51/AH75</f>
        <v>3.2535515012304805</v>
      </c>
      <c r="AI55" s="90"/>
      <c r="AJ55" s="223">
        <f>+AJ51/AJ75</f>
        <v>3.6007405915954571</v>
      </c>
      <c r="AK55" s="40"/>
      <c r="AL55" s="226">
        <f>+AL51/AL75</f>
        <v>3.9930765422604941</v>
      </c>
      <c r="AM55" s="90"/>
      <c r="AN55" s="223">
        <f>+AN51/AN75</f>
        <v>4.3392482484194863</v>
      </c>
      <c r="AO55" s="40"/>
      <c r="AP55" s="464">
        <f>+AP51/AP75</f>
        <v>5.5933453665952886</v>
      </c>
      <c r="AQ55" s="463"/>
      <c r="AR55" s="568"/>
      <c r="AS55" s="574"/>
    </row>
    <row r="56" spans="1:45" s="38" customFormat="1" ht="12.75" customHeight="1" x14ac:dyDescent="0.25">
      <c r="A56" s="219" t="s">
        <v>96</v>
      </c>
      <c r="B56" s="223">
        <f>+B51/B76</f>
        <v>2.376161118363306</v>
      </c>
      <c r="C56" s="211"/>
      <c r="D56" s="223">
        <f>+D51/D76</f>
        <v>2.3613861890439733</v>
      </c>
      <c r="E56" s="211"/>
      <c r="F56" s="223">
        <f>+F51/F76</f>
        <v>2.3148965469025526</v>
      </c>
      <c r="G56" s="211"/>
      <c r="H56" s="223">
        <f>+H51/H76</f>
        <v>2.3820212395081883</v>
      </c>
      <c r="I56" s="211"/>
      <c r="J56" s="223">
        <f>+J51/J76</f>
        <v>2.5147082065303663</v>
      </c>
      <c r="K56" s="211"/>
      <c r="L56" s="223">
        <f>+L51/L76</f>
        <v>2.3506073341843425</v>
      </c>
      <c r="M56" s="211"/>
      <c r="N56" s="223">
        <f>+N51/N76</f>
        <v>2.1811091300253533</v>
      </c>
      <c r="O56" s="211"/>
      <c r="P56" s="223">
        <f>+P51/P76</f>
        <v>1.8471838785723387</v>
      </c>
      <c r="Q56" s="211"/>
      <c r="R56" s="223">
        <f>+R51/R76</f>
        <v>1.5789953101386891</v>
      </c>
      <c r="S56" s="211"/>
      <c r="T56" s="223">
        <v>1.6324615439250045</v>
      </c>
      <c r="U56" s="211"/>
      <c r="V56" s="223">
        <v>1.493133806191997</v>
      </c>
      <c r="W56" s="211"/>
      <c r="X56" s="223">
        <f>+X51/X76</f>
        <v>1.6485955002622619</v>
      </c>
      <c r="Y56" s="211"/>
      <c r="Z56" s="226">
        <f>+Z51/Z76</f>
        <v>1.8751810961535418</v>
      </c>
      <c r="AA56" s="174"/>
      <c r="AB56" s="226">
        <f>+AB51/AB76</f>
        <v>1.8338748181105222</v>
      </c>
      <c r="AC56" s="174"/>
      <c r="AD56" s="226">
        <f>+AD51/AD76</f>
        <v>1.9701568615683249</v>
      </c>
      <c r="AE56" s="174"/>
      <c r="AF56" s="223">
        <f>+AF51/AF76</f>
        <v>2.0524563541353915</v>
      </c>
      <c r="AG56" s="40"/>
      <c r="AH56" s="226">
        <f>+AH51/AH76</f>
        <v>2.2632848515272159</v>
      </c>
      <c r="AI56" s="90"/>
      <c r="AJ56" s="223">
        <f>+AJ51/AJ76</f>
        <v>2.3750677436492893</v>
      </c>
      <c r="AK56" s="40"/>
      <c r="AL56" s="226">
        <f>+AL51/AL76</f>
        <v>2.6558252242504876</v>
      </c>
      <c r="AM56" s="90"/>
      <c r="AN56" s="223">
        <f>+AN51/AN76</f>
        <v>2.6923820076967608</v>
      </c>
      <c r="AO56" s="40"/>
      <c r="AP56" s="464">
        <f>+AP51/AP76</f>
        <v>3.1608658195377375</v>
      </c>
      <c r="AQ56" s="463"/>
      <c r="AR56" s="568"/>
      <c r="AS56" s="574"/>
    </row>
    <row r="57" spans="1:45" s="38" customFormat="1" x14ac:dyDescent="0.25">
      <c r="A57" s="31"/>
      <c r="B57" s="75"/>
      <c r="C57" s="211"/>
      <c r="D57" s="75"/>
      <c r="E57" s="211"/>
      <c r="F57" s="75"/>
      <c r="G57" s="211"/>
      <c r="H57" s="75"/>
      <c r="I57" s="211"/>
      <c r="J57" s="75"/>
      <c r="K57" s="211"/>
      <c r="L57" s="75"/>
      <c r="M57" s="211"/>
      <c r="N57" s="75"/>
      <c r="O57" s="211"/>
      <c r="P57" s="75"/>
      <c r="Q57" s="211"/>
      <c r="R57" s="75"/>
      <c r="S57" s="211"/>
      <c r="T57" s="75"/>
      <c r="U57" s="211"/>
      <c r="V57" s="75"/>
      <c r="W57" s="211"/>
      <c r="X57" s="75"/>
      <c r="Y57" s="211"/>
      <c r="Z57" s="153"/>
      <c r="AA57" s="174"/>
      <c r="AB57" s="153"/>
      <c r="AC57" s="174"/>
      <c r="AD57" s="153"/>
      <c r="AE57" s="174"/>
      <c r="AF57" s="75"/>
      <c r="AG57" s="40"/>
      <c r="AH57" s="93"/>
      <c r="AI57" s="90"/>
      <c r="AJ57" s="39"/>
      <c r="AK57" s="40"/>
      <c r="AL57" s="93"/>
      <c r="AM57" s="90"/>
      <c r="AN57" s="39"/>
      <c r="AO57" s="40"/>
      <c r="AP57" s="476"/>
      <c r="AQ57" s="463"/>
      <c r="AR57" s="568"/>
      <c r="AS57" s="574"/>
    </row>
    <row r="58" spans="1:45" s="30" customFormat="1" ht="19.5" customHeight="1" x14ac:dyDescent="0.25">
      <c r="A58" s="219" t="s">
        <v>100</v>
      </c>
      <c r="B58" s="74">
        <f>B8</f>
        <v>4083.2315111530006</v>
      </c>
      <c r="C58" s="211">
        <f>+B58/B51</f>
        <v>0.72283253976282935</v>
      </c>
      <c r="D58" s="74">
        <f>D8</f>
        <v>4371.3167807217642</v>
      </c>
      <c r="E58" s="211">
        <f>+D58/D51</f>
        <v>0.71745181071532549</v>
      </c>
      <c r="F58" s="74">
        <f>F8</f>
        <v>4571.8797783933514</v>
      </c>
      <c r="G58" s="211">
        <f>+F58/F51</f>
        <v>0.70087781176161712</v>
      </c>
      <c r="H58" s="74">
        <f>H8</f>
        <v>4487.048304336412</v>
      </c>
      <c r="I58" s="211">
        <f>+H58/H51</f>
        <v>0.67285118790075915</v>
      </c>
      <c r="J58" s="74">
        <f>J8</f>
        <v>4874.411147854843</v>
      </c>
      <c r="K58" s="211">
        <f>+J58/J51</f>
        <v>0.66996034438582519</v>
      </c>
      <c r="L58" s="74">
        <f>L8</f>
        <v>4818.844387293806</v>
      </c>
      <c r="M58" s="211">
        <f>+L58/L51</f>
        <v>0.67056599153155205</v>
      </c>
      <c r="N58" s="74">
        <f>N8</f>
        <v>5084.3307282621281</v>
      </c>
      <c r="O58" s="211">
        <f>+N58/N51</f>
        <v>0.68659938342920879</v>
      </c>
      <c r="P58" s="74">
        <f>P8</f>
        <v>5253.3619084015527</v>
      </c>
      <c r="Q58" s="211">
        <f>+P58/P51</f>
        <v>0.69750923804687448</v>
      </c>
      <c r="R58" s="74">
        <f>R8</f>
        <v>4983.6675041240469</v>
      </c>
      <c r="S58" s="211">
        <f>+R58/R51</f>
        <v>0.70857689047808914</v>
      </c>
      <c r="T58" s="74">
        <v>6424.4429460950005</v>
      </c>
      <c r="U58" s="211">
        <v>0.78814138943981094</v>
      </c>
      <c r="V58" s="74">
        <v>8624.4908107802548</v>
      </c>
      <c r="W58" s="211">
        <v>0.79478846359788546</v>
      </c>
      <c r="X58" s="74">
        <f>X8</f>
        <v>10482.561631623812</v>
      </c>
      <c r="Y58" s="211">
        <f>+X58/X51</f>
        <v>0.83933105199567515</v>
      </c>
      <c r="Z58" s="134">
        <f>Z8</f>
        <v>13023.516487378183</v>
      </c>
      <c r="AA58" s="174">
        <f>+Z58/Z51</f>
        <v>0.82720457993733199</v>
      </c>
      <c r="AB58" s="134">
        <f>AB8</f>
        <v>14266.823200478777</v>
      </c>
      <c r="AC58" s="174">
        <f>+AB58/AB51</f>
        <v>0.80229440813391784</v>
      </c>
      <c r="AD58" s="134">
        <f>AD8</f>
        <v>14971.277136680221</v>
      </c>
      <c r="AE58" s="174">
        <f>+AD58/AD51</f>
        <v>0.77348645030989227</v>
      </c>
      <c r="AF58" s="74">
        <f>AF8</f>
        <v>16808.352061458969</v>
      </c>
      <c r="AG58" s="40">
        <f>+AF58/AF51</f>
        <v>0.75325590183913727</v>
      </c>
      <c r="AH58" s="89">
        <f>AH8</f>
        <v>19426.544917180643</v>
      </c>
      <c r="AI58" s="90">
        <f>+AH58/AH51</f>
        <v>0.77021402758649804</v>
      </c>
      <c r="AJ58" s="41">
        <f>AJ8</f>
        <v>22248.663750017768</v>
      </c>
      <c r="AK58" s="40">
        <f>+AJ58/AJ51</f>
        <v>0.79000343518901417</v>
      </c>
      <c r="AL58" s="89">
        <f>AL8</f>
        <v>24319.630663384418</v>
      </c>
      <c r="AM58" s="90">
        <f>+AL58/AL51</f>
        <v>0.79835613617655532</v>
      </c>
      <c r="AN58" s="41">
        <f>AN8</f>
        <v>28910.672439342932</v>
      </c>
      <c r="AO58" s="40">
        <f>+AN58/AN51</f>
        <v>0.78150037966567987</v>
      </c>
      <c r="AP58" s="477">
        <f>AP8</f>
        <v>30079.342286429099</v>
      </c>
      <c r="AQ58" s="463">
        <f>+AP58/AP51</f>
        <v>0.76273102418171868</v>
      </c>
      <c r="AR58" s="568"/>
      <c r="AS58" s="574"/>
    </row>
    <row r="59" spans="1:45" s="187" customFormat="1" x14ac:dyDescent="0.25">
      <c r="A59" s="219" t="s">
        <v>71</v>
      </c>
      <c r="B59" s="223">
        <f>+B58/B71</f>
        <v>0.28089007957132728</v>
      </c>
      <c r="C59" s="211"/>
      <c r="D59" s="223">
        <f>+D58/D71</f>
        <v>0.28448877687874302</v>
      </c>
      <c r="E59" s="211"/>
      <c r="F59" s="223">
        <f>+F58/F71</f>
        <v>0.29050416889070402</v>
      </c>
      <c r="G59" s="211"/>
      <c r="H59" s="223">
        <f>+H58/H71</f>
        <v>0.27305231499796784</v>
      </c>
      <c r="I59" s="211"/>
      <c r="J59" s="223">
        <f>+J58/J71</f>
        <v>0.27490017895317914</v>
      </c>
      <c r="K59" s="211"/>
      <c r="L59" s="223">
        <f>+L58/L71</f>
        <v>0.2504313953948345</v>
      </c>
      <c r="M59" s="211"/>
      <c r="N59" s="223">
        <f>+N58/N71</f>
        <v>0.22687757437889533</v>
      </c>
      <c r="O59" s="211"/>
      <c r="P59" s="223">
        <f>+P58/P71</f>
        <v>0.18804838290347625</v>
      </c>
      <c r="Q59" s="211"/>
      <c r="R59" s="223">
        <f>+R58/R71</f>
        <v>0.1698335934539798</v>
      </c>
      <c r="S59" s="211"/>
      <c r="T59" s="223">
        <v>0.21510423736740408</v>
      </c>
      <c r="U59" s="211"/>
      <c r="V59" s="223">
        <v>0.23487037376383132</v>
      </c>
      <c r="W59" s="211"/>
      <c r="X59" s="223">
        <f>+X58/X71</f>
        <v>0.24763317925713524</v>
      </c>
      <c r="Y59" s="211"/>
      <c r="Z59" s="226">
        <f>+Z58/Z71</f>
        <v>0.2792069211144334</v>
      </c>
      <c r="AA59" s="174"/>
      <c r="AB59" s="226">
        <f>+AB58/AB71</f>
        <v>0.28153255406053723</v>
      </c>
      <c r="AC59" s="174"/>
      <c r="AD59" s="226">
        <f>+AD58/AD71</f>
        <v>0.28990503589965866</v>
      </c>
      <c r="AE59" s="174"/>
      <c r="AF59" s="223">
        <f>+AF58/AF71</f>
        <v>0.29960639437631015</v>
      </c>
      <c r="AG59" s="40"/>
      <c r="AH59" s="226">
        <f>+AH58/AH71</f>
        <v>0.33721017799101549</v>
      </c>
      <c r="AI59" s="90"/>
      <c r="AJ59" s="223">
        <f>+AJ58/AJ71</f>
        <v>0.3695775232852801</v>
      </c>
      <c r="AK59" s="40"/>
      <c r="AL59" s="226">
        <f>+AL58/AL71</f>
        <v>0.41182643341535397</v>
      </c>
      <c r="AM59" s="90"/>
      <c r="AN59" s="223">
        <f>+AN58/AN71</f>
        <v>0.43828167449623373</v>
      </c>
      <c r="AO59" s="40"/>
      <c r="AP59" s="464">
        <f>+AP58/AP71</f>
        <v>0.50749224073449528</v>
      </c>
      <c r="AQ59" s="463"/>
      <c r="AR59" s="568"/>
      <c r="AS59" s="574"/>
    </row>
    <row r="60" spans="1:45" s="187" customFormat="1" x14ac:dyDescent="0.25">
      <c r="A60" s="219" t="s">
        <v>95</v>
      </c>
      <c r="B60" s="223">
        <f>+B58/B74</f>
        <v>2.1357631544953026</v>
      </c>
      <c r="C60" s="211"/>
      <c r="D60" s="223">
        <f>+D58/D74</f>
        <v>2.0699969906877507</v>
      </c>
      <c r="E60" s="211"/>
      <c r="F60" s="223">
        <f>+F58/F74</f>
        <v>2.1427753076442468</v>
      </c>
      <c r="G60" s="211"/>
      <c r="H60" s="223">
        <f>+H58/H74</f>
        <v>1.9739929620085528</v>
      </c>
      <c r="I60" s="211"/>
      <c r="J60" s="223">
        <f>+J58/J74</f>
        <v>2.0227466948635637</v>
      </c>
      <c r="K60" s="211"/>
      <c r="L60" s="223">
        <f>+L58/L74</f>
        <v>1.8151602729217784</v>
      </c>
      <c r="M60" s="211"/>
      <c r="N60" s="223">
        <f>+N58/N74</f>
        <v>1.6087562915399463</v>
      </c>
      <c r="O60" s="211"/>
      <c r="P60" s="223">
        <f>+P58/P74</f>
        <v>1.2410903721702515</v>
      </c>
      <c r="Q60" s="211"/>
      <c r="R60" s="223">
        <f>+R58/R74</f>
        <v>1.1057528884068197</v>
      </c>
      <c r="S60" s="211"/>
      <c r="T60" s="223">
        <v>1.5668465406237178</v>
      </c>
      <c r="U60" s="211"/>
      <c r="V60" s="223">
        <v>1.6122010612043403</v>
      </c>
      <c r="W60" s="211"/>
      <c r="X60" s="223">
        <f>+X58/X74</f>
        <v>1.770656435135737</v>
      </c>
      <c r="Y60" s="211"/>
      <c r="Z60" s="226">
        <f>+Z58/Z74</f>
        <v>2.0278957640735933</v>
      </c>
      <c r="AA60" s="174"/>
      <c r="AB60" s="226">
        <f>+AB58/AB74</f>
        <v>2.0272172652108136</v>
      </c>
      <c r="AC60" s="174"/>
      <c r="AD60" s="226">
        <f>+AD58/AD74</f>
        <v>2.1376389825807203</v>
      </c>
      <c r="AE60" s="174"/>
      <c r="AF60" s="223">
        <f>+AF58/AF74</f>
        <v>2.1625282996618616</v>
      </c>
      <c r="AG60" s="40"/>
      <c r="AH60" s="226">
        <f>+AH58/AH74</f>
        <v>2.3699141403668014</v>
      </c>
      <c r="AI60" s="90"/>
      <c r="AJ60" s="223">
        <f>+AJ58/AJ74</f>
        <v>2.6784818642339272</v>
      </c>
      <c r="AK60" s="40"/>
      <c r="AL60" s="226">
        <f>+AL58/AL74</f>
        <v>3.0113850705714555</v>
      </c>
      <c r="AM60" s="90"/>
      <c r="AN60" s="223">
        <f>+AN58/AN74</f>
        <v>3.1548590326002652</v>
      </c>
      <c r="AO60" s="40"/>
      <c r="AP60" s="464">
        <f>+AP58/AP74</f>
        <v>3.9450918642655521</v>
      </c>
      <c r="AQ60" s="463"/>
      <c r="AR60" s="568"/>
      <c r="AS60" s="574"/>
    </row>
    <row r="61" spans="1:45" s="187" customFormat="1" x14ac:dyDescent="0.25">
      <c r="A61" s="219" t="s">
        <v>99</v>
      </c>
      <c r="B61" s="223">
        <f>+B58/B75</f>
        <v>2.1527078219201434</v>
      </c>
      <c r="C61" s="211"/>
      <c r="D61" s="223">
        <f>+D58/D75</f>
        <v>2.0965571634578368</v>
      </c>
      <c r="E61" s="211"/>
      <c r="F61" s="223">
        <f>+F58/F75</f>
        <v>2.1623623498596061</v>
      </c>
      <c r="G61" s="211"/>
      <c r="H61" s="223">
        <f>+H58/H75</f>
        <v>2.0174175334016495</v>
      </c>
      <c r="I61" s="211"/>
      <c r="J61" s="223">
        <f>+J58/J75</f>
        <v>2.0631478167262842</v>
      </c>
      <c r="K61" s="211"/>
      <c r="L61" s="223">
        <f>+L58/L75</f>
        <v>1.8494835770968012</v>
      </c>
      <c r="M61" s="211"/>
      <c r="N61" s="223">
        <f>+N58/N75</f>
        <v>1.6354526165319909</v>
      </c>
      <c r="O61" s="211"/>
      <c r="P61" s="223">
        <f>+P58/P75</f>
        <v>1.2636455699894868</v>
      </c>
      <c r="Q61" s="211"/>
      <c r="R61" s="223">
        <f>+R58/R75</f>
        <v>1.1225450768163558</v>
      </c>
      <c r="S61" s="211"/>
      <c r="T61" s="223">
        <v>1.5687073503081828</v>
      </c>
      <c r="U61" s="211"/>
      <c r="V61" s="223">
        <v>1.7739440993888675</v>
      </c>
      <c r="W61" s="211"/>
      <c r="X61" s="223">
        <f>+X58/X75</f>
        <v>1.8880491822775369</v>
      </c>
      <c r="Y61" s="211"/>
      <c r="Z61" s="226">
        <f>+Z58/Z75</f>
        <v>2.1518342326966446</v>
      </c>
      <c r="AA61" s="174"/>
      <c r="AB61" s="226">
        <f>+AB58/AB75</f>
        <v>2.1408023596079047</v>
      </c>
      <c r="AC61" s="174"/>
      <c r="AD61" s="226">
        <f>+AD58/AD75</f>
        <v>2.2660341710774787</v>
      </c>
      <c r="AE61" s="174"/>
      <c r="AF61" s="223">
        <f>+AF58/AF75</f>
        <v>2.3028903209596279</v>
      </c>
      <c r="AG61" s="40"/>
      <c r="AH61" s="226">
        <f>+AH58/AH75</f>
        <v>2.5059310057228252</v>
      </c>
      <c r="AI61" s="90"/>
      <c r="AJ61" s="223">
        <f>+AJ58/AJ75</f>
        <v>2.8445974365849342</v>
      </c>
      <c r="AK61" s="40"/>
      <c r="AL61" s="226">
        <f>+AL58/AL75</f>
        <v>3.1878971597363277</v>
      </c>
      <c r="AM61" s="90"/>
      <c r="AN61" s="223">
        <f>+AN58/AN75</f>
        <v>3.3911241536034646</v>
      </c>
      <c r="AO61" s="40"/>
      <c r="AP61" s="464">
        <f>+AP58/AP75</f>
        <v>4.2662180400652954</v>
      </c>
      <c r="AQ61" s="463"/>
      <c r="AR61" s="568"/>
      <c r="AS61" s="574"/>
    </row>
    <row r="62" spans="1:45" s="187" customFormat="1" x14ac:dyDescent="0.25">
      <c r="A62" s="219" t="s">
        <v>96</v>
      </c>
      <c r="B62" s="223">
        <f>+B58/B76</f>
        <v>1.7175665760722334</v>
      </c>
      <c r="C62" s="211"/>
      <c r="D62" s="223">
        <f>+D58/D76</f>
        <v>1.6941807971277607</v>
      </c>
      <c r="E62" s="211"/>
      <c r="F62" s="223">
        <f>+F58/F76</f>
        <v>1.622459626247585</v>
      </c>
      <c r="G62" s="211"/>
      <c r="H62" s="223">
        <f>+H58/H76</f>
        <v>1.602745820607923</v>
      </c>
      <c r="I62" s="211"/>
      <c r="J62" s="223">
        <f>+J58/J76</f>
        <v>1.684754776076945</v>
      </c>
      <c r="K62" s="211"/>
      <c r="L62" s="223">
        <f>+L58/L76</f>
        <v>1.5762373377486618</v>
      </c>
      <c r="M62" s="211"/>
      <c r="N62" s="223">
        <f>+N58/N76</f>
        <v>1.4975481838672255</v>
      </c>
      <c r="O62" s="211"/>
      <c r="P62" s="223">
        <f>+P58/P76</f>
        <v>1.2884278196754624</v>
      </c>
      <c r="Q62" s="211"/>
      <c r="R62" s="223">
        <f>+R58/R76</f>
        <v>1.1188395869375585</v>
      </c>
      <c r="S62" s="211"/>
      <c r="T62" s="223">
        <v>1.286610509436112</v>
      </c>
      <c r="U62" s="211"/>
      <c r="V62" s="223">
        <v>1.1867255237694003</v>
      </c>
      <c r="W62" s="211"/>
      <c r="X62" s="223">
        <f>+X58/X76</f>
        <v>1.3837173955504607</v>
      </c>
      <c r="Y62" s="211"/>
      <c r="Z62" s="226">
        <f>+Z58/Z76</f>
        <v>1.5511583909501163</v>
      </c>
      <c r="AA62" s="174"/>
      <c r="AB62" s="226">
        <f>+AB58/AB76</f>
        <v>1.4713075117876777</v>
      </c>
      <c r="AC62" s="174"/>
      <c r="AD62" s="226">
        <f>+AD58/AD76</f>
        <v>1.5238896374081614</v>
      </c>
      <c r="AE62" s="174"/>
      <c r="AF62" s="223">
        <f>+AF58/AF76</f>
        <v>1.5460248620197219</v>
      </c>
      <c r="AG62" s="40"/>
      <c r="AH62" s="226">
        <f>+AH58/AH76</f>
        <v>1.7432137410702864</v>
      </c>
      <c r="AI62" s="90"/>
      <c r="AJ62" s="223">
        <f>+AJ58/AJ76</f>
        <v>1.8763116762895593</v>
      </c>
      <c r="AK62" s="40"/>
      <c r="AL62" s="226">
        <f>+AL58/AL76</f>
        <v>2.1202943643928527</v>
      </c>
      <c r="AM62" s="90"/>
      <c r="AN62" s="223">
        <f>+AN58/AN76</f>
        <v>2.1040975612200641</v>
      </c>
      <c r="AO62" s="40"/>
      <c r="AP62" s="464">
        <f>+AP58/AP76</f>
        <v>2.4108904238370061</v>
      </c>
      <c r="AQ62" s="463"/>
      <c r="AR62" s="568"/>
      <c r="AS62" s="574"/>
    </row>
    <row r="63" spans="1:45" s="30" customFormat="1" ht="12.75" customHeight="1" x14ac:dyDescent="0.25">
      <c r="A63" s="31"/>
      <c r="B63" s="29"/>
      <c r="C63" s="264"/>
      <c r="D63" s="29"/>
      <c r="E63" s="264"/>
      <c r="F63" s="29"/>
      <c r="G63" s="264"/>
      <c r="H63" s="29"/>
      <c r="I63" s="264"/>
      <c r="J63" s="29"/>
      <c r="K63" s="264"/>
      <c r="L63" s="29"/>
      <c r="M63" s="264"/>
      <c r="N63" s="29"/>
      <c r="O63" s="264"/>
      <c r="P63" s="29"/>
      <c r="Q63" s="264"/>
      <c r="R63" s="29"/>
      <c r="S63" s="264"/>
      <c r="T63" s="29"/>
      <c r="U63" s="264"/>
      <c r="V63" s="29"/>
      <c r="W63" s="264"/>
      <c r="X63" s="29"/>
      <c r="Y63" s="264"/>
      <c r="Z63" s="91"/>
      <c r="AA63" s="273"/>
      <c r="AB63" s="91"/>
      <c r="AC63" s="273"/>
      <c r="AD63" s="91"/>
      <c r="AE63" s="273"/>
      <c r="AF63" s="29"/>
      <c r="AG63" s="33"/>
      <c r="AH63" s="91"/>
      <c r="AI63" s="456"/>
      <c r="AJ63" s="29"/>
      <c r="AK63" s="33"/>
      <c r="AL63" s="91"/>
      <c r="AM63" s="456"/>
      <c r="AN63" s="29"/>
      <c r="AO63" s="33"/>
      <c r="AP63" s="468"/>
      <c r="AQ63" s="478"/>
      <c r="AR63" s="571"/>
      <c r="AS63" s="574"/>
    </row>
    <row r="64" spans="1:45" s="30" customFormat="1" ht="12.75" customHeight="1" x14ac:dyDescent="0.25">
      <c r="A64" s="219" t="s">
        <v>101</v>
      </c>
      <c r="B64" s="74">
        <f>+'Domestic Debt Colones'!B63/'Domestic Debt USD'!B90</f>
        <v>1565.7</v>
      </c>
      <c r="C64" s="211">
        <f>+B64/B51</f>
        <v>0.27716746023717076</v>
      </c>
      <c r="D64" s="74">
        <f>+'Domestic Debt Colones'!D63/'Domestic Debt USD'!D90</f>
        <v>1721.52</v>
      </c>
      <c r="E64" s="211">
        <f>+D64/D51</f>
        <v>0.28254818928467457</v>
      </c>
      <c r="F64" s="74">
        <f>+'EXTERNAL DEBT USD'!F67</f>
        <v>1951.1969999999999</v>
      </c>
      <c r="G64" s="211">
        <f>+F64/F51</f>
        <v>0.29912218823838282</v>
      </c>
      <c r="H64" s="74">
        <f>+'EXTERNAL DEBT USD'!H67</f>
        <v>2181.66</v>
      </c>
      <c r="I64" s="211">
        <f>+H64/H51</f>
        <v>0.32714881209924085</v>
      </c>
      <c r="J64" s="74">
        <f>+'EXTERNAL DEBT USD'!J67</f>
        <v>2401.2600000000002</v>
      </c>
      <c r="K64" s="211">
        <f>+J64/J51</f>
        <v>0.33003965561417481</v>
      </c>
      <c r="L64" s="74">
        <f>+'EXTERNAL DEBT USD'!L67</f>
        <v>2367.39</v>
      </c>
      <c r="M64" s="211">
        <f>+L64/L51</f>
        <v>0.329434008468448</v>
      </c>
      <c r="N64" s="74">
        <f>+'EXTERNAL DEBT USD'!N67</f>
        <v>2320.7600000000002</v>
      </c>
      <c r="O64" s="211">
        <f>+N64/N51</f>
        <v>0.31340061657079121</v>
      </c>
      <c r="P64" s="74">
        <f>+'EXTERNAL DEBT USD'!P67</f>
        <v>2278.2399999999998</v>
      </c>
      <c r="Q64" s="211">
        <f>+P64/P51</f>
        <v>0.30249076195312552</v>
      </c>
      <c r="R64" s="74">
        <f>+'EXTERNAL DEBT USD'!R67</f>
        <v>2049.6799999999998</v>
      </c>
      <c r="S64" s="211">
        <f>+R64/R51</f>
        <v>0.29142310952191075</v>
      </c>
      <c r="T64" s="74">
        <f>+'EXTERNAL DEBT USD'!T67</f>
        <v>1726.9408438888204</v>
      </c>
      <c r="U64" s="211">
        <f>+T64/T51</f>
        <v>0.21185861056018906</v>
      </c>
      <c r="V64" s="74">
        <f>+'EXTERNAL DEBT USD'!V67</f>
        <v>2226.8126564826039</v>
      </c>
      <c r="W64" s="211">
        <f>+V64/V51</f>
        <v>0.20521153640211456</v>
      </c>
      <c r="X64" s="74">
        <f>+'EXTERNAL DEBT USD'!X67</f>
        <v>2006.624377519367</v>
      </c>
      <c r="Y64" s="211">
        <f>+X64/X51</f>
        <v>0.16066894800432488</v>
      </c>
      <c r="Z64" s="134">
        <f>+'EXTERNAL DEBT USD'!Z67</f>
        <v>2720.4926770353268</v>
      </c>
      <c r="AA64" s="174">
        <f>+Z64/Z51</f>
        <v>0.17279542006266799</v>
      </c>
      <c r="AB64" s="134">
        <f>+'EXTERNAL DEBT USD'!AB67</f>
        <v>3515.7053274994178</v>
      </c>
      <c r="AC64" s="174">
        <f>+AB64/AB51</f>
        <v>0.19770559186608203</v>
      </c>
      <c r="AD64" s="134">
        <f>+'EXTERNAL DEBT USD'!AD67</f>
        <v>4384.3006251307033</v>
      </c>
      <c r="AE64" s="174">
        <f>+AD64/AD51</f>
        <v>0.22651354969010776</v>
      </c>
      <c r="AF64" s="74">
        <f>+'EXTERNAL DEBT USD'!AF67</f>
        <v>5505.913277079997</v>
      </c>
      <c r="AG64" s="40">
        <f>+AF64/AF51</f>
        <v>0.24674409816086282</v>
      </c>
      <c r="AH64" s="89">
        <f>+'EXTERNAL DEBT USD'!AH67</f>
        <v>5795.7234671730375</v>
      </c>
      <c r="AI64" s="90">
        <f>+AH64/AH51</f>
        <v>0.22978597241350196</v>
      </c>
      <c r="AJ64" s="41">
        <f>+'EXTERNAL DEBT USD'!AJ67</f>
        <v>5914.0792951369785</v>
      </c>
      <c r="AK64" s="40">
        <f>+AJ64/AJ51</f>
        <v>0.2099965648109858</v>
      </c>
      <c r="AL64" s="89">
        <f>+'EXTERNAL DEBT USD'!AL67</f>
        <v>6142.5021635200001</v>
      </c>
      <c r="AM64" s="90">
        <f>+AL64/AL51</f>
        <v>0.20164386382344474</v>
      </c>
      <c r="AN64" s="41">
        <f>+'EXTERNAL DEBT USD'!AN67</f>
        <v>8083.132287547548</v>
      </c>
      <c r="AO64" s="40">
        <f>+AN64/AN51</f>
        <v>0.21849962033432016</v>
      </c>
      <c r="AP64" s="477">
        <f>+'EXTERNAL DEBT USD'!AP67</f>
        <v>9357.0269352098694</v>
      </c>
      <c r="AQ64" s="463">
        <f>+AP64/AP51</f>
        <v>0.2372689758182813</v>
      </c>
      <c r="AR64" s="568"/>
      <c r="AS64" s="574"/>
    </row>
    <row r="65" spans="1:46" s="187" customFormat="1" ht="12.75" customHeight="1" x14ac:dyDescent="0.25">
      <c r="A65" s="219" t="s">
        <v>71</v>
      </c>
      <c r="B65" s="223">
        <f>+B64/B71</f>
        <v>0.1077062606868063</v>
      </c>
      <c r="C65" s="35"/>
      <c r="D65" s="223">
        <f>+D64/D71</f>
        <v>0.1120378924108604</v>
      </c>
      <c r="E65" s="35"/>
      <c r="F65" s="223">
        <f>+F64/F71</f>
        <v>0.12398201402973691</v>
      </c>
      <c r="G65" s="35"/>
      <c r="H65" s="223">
        <f>+H64/H71</f>
        <v>0.13276151116152635</v>
      </c>
      <c r="I65" s="35"/>
      <c r="J65" s="223">
        <f>+J64/J71</f>
        <v>0.13542288159332116</v>
      </c>
      <c r="K65" s="35"/>
      <c r="L65" s="223">
        <f>+L64/L71</f>
        <v>0.12303131902475145</v>
      </c>
      <c r="M65" s="35"/>
      <c r="N65" s="223">
        <f>+N64/N71</f>
        <v>0.10355903808317707</v>
      </c>
      <c r="O65" s="35"/>
      <c r="P65" s="223">
        <f>+P64/P71</f>
        <v>8.155146272729788E-2</v>
      </c>
      <c r="Q65" s="35"/>
      <c r="R65" s="223">
        <f>+R64/R71</f>
        <v>6.984906588224285E-2</v>
      </c>
      <c r="S65" s="35"/>
      <c r="T65" s="223">
        <v>5.7821712531375143E-2</v>
      </c>
      <c r="U65" s="35"/>
      <c r="V65" s="223">
        <v>6.0642689801043752E-2</v>
      </c>
      <c r="W65" s="35"/>
      <c r="X65" s="223">
        <f>+X64/X71</f>
        <v>4.7403181745282706E-2</v>
      </c>
      <c r="Y65" s="35"/>
      <c r="Z65" s="226">
        <f>+Z64/Z71</f>
        <v>5.8323754955548902E-2</v>
      </c>
      <c r="AA65" s="92"/>
      <c r="AB65" s="226">
        <f>+AB64/AB71</f>
        <v>6.9376727128849014E-2</v>
      </c>
      <c r="AC65" s="92"/>
      <c r="AD65" s="226">
        <f>+AD64/AD71</f>
        <v>8.4897956167636277E-2</v>
      </c>
      <c r="AE65" s="92"/>
      <c r="AF65" s="223">
        <f>+AF64/AF71</f>
        <v>9.8142091423530406E-2</v>
      </c>
      <c r="AG65" s="35"/>
      <c r="AH65" s="226">
        <f>+AH64/AH71</f>
        <v>0.1006034243497254</v>
      </c>
      <c r="AI65" s="92"/>
      <c r="AJ65" s="223">
        <f>+AJ64/AJ71</f>
        <v>9.8240092212627111E-2</v>
      </c>
      <c r="AK65" s="35"/>
      <c r="AL65" s="226">
        <f>+AL64/AL71</f>
        <v>0.10401657793500806</v>
      </c>
      <c r="AM65" s="92"/>
      <c r="AN65" s="223">
        <f>+AN64/AN71</f>
        <v>0.12253913365708723</v>
      </c>
      <c r="AO65" s="35"/>
      <c r="AP65" s="464">
        <f>+AP64/AP71</f>
        <v>0.15786976060660471</v>
      </c>
      <c r="AQ65" s="472"/>
      <c r="AR65" s="572"/>
      <c r="AS65" s="574"/>
    </row>
    <row r="66" spans="1:46" s="187" customFormat="1" ht="12.75" customHeight="1" x14ac:dyDescent="0.25">
      <c r="A66" s="219" t="s">
        <v>98</v>
      </c>
      <c r="B66" s="223">
        <f>+B64/B73</f>
        <v>0.37458110515522358</v>
      </c>
      <c r="C66" s="35"/>
      <c r="D66" s="223">
        <f>+D64/D73</f>
        <v>0.41037222711361432</v>
      </c>
      <c r="E66" s="35"/>
      <c r="F66" s="223">
        <f>+F64/F73</f>
        <v>0.45707332050049504</v>
      </c>
      <c r="G66" s="35"/>
      <c r="H66" s="223">
        <f>+H64/H73</f>
        <v>0.47351707227058393</v>
      </c>
      <c r="I66" s="35"/>
      <c r="J66" s="223">
        <f>+J64/J73</f>
        <v>0.46895311764613773</v>
      </c>
      <c r="K66" s="35"/>
      <c r="L66" s="223">
        <f>+L64/L73</f>
        <v>0.42510547574971913</v>
      </c>
      <c r="M66" s="35"/>
      <c r="N66" s="223">
        <f>+N64/N73</f>
        <v>0.36774615659813242</v>
      </c>
      <c r="O66" s="35"/>
      <c r="P66" s="223">
        <f>+P64/P73</f>
        <v>0.33141847427056603</v>
      </c>
      <c r="Q66" s="35"/>
      <c r="R66" s="223">
        <f>+R64/R73</f>
        <v>0.2727895757101802</v>
      </c>
      <c r="S66" s="35"/>
      <c r="T66" s="223">
        <v>0.19520072836993563</v>
      </c>
      <c r="U66" s="35"/>
      <c r="V66" s="223">
        <v>0.23839635325481801</v>
      </c>
      <c r="W66" s="35"/>
      <c r="X66" s="223">
        <f>+X64/X73</f>
        <v>0.24172181030873782</v>
      </c>
      <c r="Y66" s="35"/>
      <c r="Z66" s="226">
        <f>+Z64/Z73</f>
        <v>0.24686866397779736</v>
      </c>
      <c r="AA66" s="92"/>
      <c r="AB66" s="226">
        <f>+AB64/AB73</f>
        <v>0.39652333635253262</v>
      </c>
      <c r="AC66" s="92"/>
      <c r="AD66" s="226">
        <f>+AD64/AD73</f>
        <v>0.46175624601861448</v>
      </c>
      <c r="AE66" s="92"/>
      <c r="AF66" s="223">
        <f>+AF64/AF73</f>
        <v>0.59223158814255406</v>
      </c>
      <c r="AG66" s="35"/>
      <c r="AH66" s="226">
        <f>+AH64/AH73</f>
        <v>0.56582285142761279</v>
      </c>
      <c r="AI66" s="92"/>
      <c r="AJ66" s="223">
        <f>+AJ64/AJ73</f>
        <v>0.5427254561014021</v>
      </c>
      <c r="AK66" s="35"/>
      <c r="AL66" s="226">
        <f>+AL64/AL73</f>
        <v>0.53627572581805483</v>
      </c>
      <c r="AM66" s="92"/>
      <c r="AN66" s="223">
        <f>+AN64/AN73</f>
        <v>0.69604170219129835</v>
      </c>
      <c r="AO66" s="35"/>
      <c r="AP66" s="464">
        <f>+AP64/AP73</f>
        <v>0.79923356269142598</v>
      </c>
      <c r="AQ66" s="472"/>
      <c r="AR66" s="572"/>
      <c r="AS66" s="574"/>
    </row>
    <row r="67" spans="1:46" s="187" customFormat="1" ht="12.75" customHeight="1" x14ac:dyDescent="0.25">
      <c r="A67" s="219" t="s">
        <v>102</v>
      </c>
      <c r="B67" s="223">
        <f>+B64/B74</f>
        <v>0.81895047142429722</v>
      </c>
      <c r="C67" s="35"/>
      <c r="D67" s="223">
        <f>+D64/D74</f>
        <v>0.81521001523490288</v>
      </c>
      <c r="E67" s="35"/>
      <c r="F67" s="223">
        <f>+F64/F74</f>
        <v>0.91449840210339239</v>
      </c>
      <c r="G67" s="35"/>
      <c r="H67" s="223">
        <f>+H64/H74</f>
        <v>0.95978050455431363</v>
      </c>
      <c r="I67" s="35"/>
      <c r="J67" s="223">
        <f>+J64/J74</f>
        <v>0.99645692190853408</v>
      </c>
      <c r="K67" s="35"/>
      <c r="L67" s="223">
        <f>+L64/L74</f>
        <v>0.8917474674722855</v>
      </c>
      <c r="M67" s="35"/>
      <c r="N67" s="223">
        <f>+N64/N74</f>
        <v>0.73432226397089717</v>
      </c>
      <c r="O67" s="35"/>
      <c r="P67" s="223">
        <f>+P64/P74</f>
        <v>0.53822709700833871</v>
      </c>
      <c r="Q67" s="35"/>
      <c r="R67" s="223">
        <f>+R64/R74</f>
        <v>0.45477343310607765</v>
      </c>
      <c r="S67" s="35"/>
      <c r="T67" s="223">
        <v>0.42118068598518921</v>
      </c>
      <c r="U67" s="35"/>
      <c r="V67" s="223">
        <v>0.41626454322347617</v>
      </c>
      <c r="W67" s="35"/>
      <c r="X67" s="223">
        <f>+X64/X74</f>
        <v>0.33894791099878535</v>
      </c>
      <c r="Y67" s="35"/>
      <c r="Z67" s="226">
        <f>+Z64/Z74</f>
        <v>0.42360875277425125</v>
      </c>
      <c r="AA67" s="92"/>
      <c r="AB67" s="226">
        <f>+AB64/AB74</f>
        <v>0.49955750058368148</v>
      </c>
      <c r="AC67" s="92"/>
      <c r="AD67" s="226">
        <f>+AD64/AD74</f>
        <v>0.62600216682052556</v>
      </c>
      <c r="AE67" s="92"/>
      <c r="AF67" s="223">
        <f>+AF64/AF74</f>
        <v>0.70837957425172893</v>
      </c>
      <c r="AG67" s="35"/>
      <c r="AH67" s="226">
        <f>+AH64/AH74</f>
        <v>0.70704116748839185</v>
      </c>
      <c r="AI67" s="92"/>
      <c r="AJ67" s="223">
        <f>+AJ64/AJ74</f>
        <v>0.71198676530194371</v>
      </c>
      <c r="AK67" s="35"/>
      <c r="AL67" s="226">
        <f>+AL64/AL74</f>
        <v>0.76059704882881707</v>
      </c>
      <c r="AM67" s="92"/>
      <c r="AN67" s="223">
        <f>+AN64/AN74</f>
        <v>0.88206675104412768</v>
      </c>
      <c r="AO67" s="35"/>
      <c r="AP67" s="464">
        <f>+AP64/AP74</f>
        <v>1.2272319814806834</v>
      </c>
      <c r="AQ67" s="472"/>
      <c r="AR67" s="572"/>
      <c r="AS67" s="574"/>
    </row>
    <row r="68" spans="1:46" s="187" customFormat="1" ht="12.75" customHeight="1" x14ac:dyDescent="0.25">
      <c r="A68" s="219" t="s">
        <v>99</v>
      </c>
      <c r="B68" s="223">
        <f>+B64/B75</f>
        <v>0.82544784139085625</v>
      </c>
      <c r="C68" s="35"/>
      <c r="D68" s="223">
        <f>+D64/D75</f>
        <v>0.82566999123774232</v>
      </c>
      <c r="E68" s="35"/>
      <c r="F68" s="223">
        <f>+F64/F75</f>
        <v>0.92285780345731694</v>
      </c>
      <c r="G68" s="35"/>
      <c r="H68" s="223">
        <f>+H64/H75</f>
        <v>0.98089408390533284</v>
      </c>
      <c r="I68" s="35"/>
      <c r="J68" s="223">
        <f>+J64/J75</f>
        <v>1.0163595511577657</v>
      </c>
      <c r="K68" s="35"/>
      <c r="L68" s="223">
        <f>+L64/L75</f>
        <v>0.90860973579644266</v>
      </c>
      <c r="M68" s="35"/>
      <c r="N68" s="223">
        <f>+N64/N75</f>
        <v>0.74650789203087864</v>
      </c>
      <c r="O68" s="35"/>
      <c r="P68" s="223">
        <f>+P64/P75</f>
        <v>0.54800867207886905</v>
      </c>
      <c r="Q68" s="35"/>
      <c r="R68" s="223">
        <f>+R64/R75</f>
        <v>0.46167971501809851</v>
      </c>
      <c r="S68" s="35"/>
      <c r="T68" s="223">
        <v>0.42168088627862627</v>
      </c>
      <c r="U68" s="35"/>
      <c r="V68" s="223">
        <v>0.45802601673296783</v>
      </c>
      <c r="W68" s="35"/>
      <c r="X68" s="223">
        <f>+X64/X75</f>
        <v>0.36141981781286553</v>
      </c>
      <c r="Y68" s="35"/>
      <c r="Z68" s="226">
        <f>+Z64/Z75</f>
        <v>0.44949835767618052</v>
      </c>
      <c r="AA68" s="92"/>
      <c r="AB68" s="226">
        <f>+AB64/AB75</f>
        <v>0.52754773470132144</v>
      </c>
      <c r="AC68" s="92"/>
      <c r="AD68" s="226">
        <f>+AD64/AD75</f>
        <v>0.66360237287181356</v>
      </c>
      <c r="AE68" s="92"/>
      <c r="AF68" s="223">
        <f>+AF64/AF75</f>
        <v>0.75435797319502629</v>
      </c>
      <c r="AG68" s="35"/>
      <c r="AH68" s="226">
        <f>+AH64/AH75</f>
        <v>0.74762049550765508</v>
      </c>
      <c r="AI68" s="92"/>
      <c r="AJ68" s="223">
        <f>+AJ64/AJ75</f>
        <v>0.75614315501052276</v>
      </c>
      <c r="AK68" s="35"/>
      <c r="AL68" s="226">
        <f>+AL64/AL75</f>
        <v>0.80517938252416665</v>
      </c>
      <c r="AM68" s="92"/>
      <c r="AN68" s="223">
        <f>+AN64/AN75</f>
        <v>0.94812409481602145</v>
      </c>
      <c r="AO68" s="35"/>
      <c r="AP68" s="464">
        <f>+AP64/AP75</f>
        <v>1.3271273265299934</v>
      </c>
      <c r="AQ68" s="472"/>
      <c r="AR68" s="572"/>
      <c r="AS68" s="574"/>
    </row>
    <row r="69" spans="1:46" s="187" customFormat="1" ht="12.75" customHeight="1" x14ac:dyDescent="0.25">
      <c r="A69" s="219" t="s">
        <v>96</v>
      </c>
      <c r="B69" s="223">
        <f>+B64/B76</f>
        <v>0.65859454229107273</v>
      </c>
      <c r="C69" s="35"/>
      <c r="D69" s="223">
        <f>+D64/D76</f>
        <v>0.66720539191621286</v>
      </c>
      <c r="E69" s="35"/>
      <c r="F69" s="223">
        <f>+F64/F76</f>
        <v>0.69243692065496776</v>
      </c>
      <c r="G69" s="35"/>
      <c r="H69" s="223">
        <f>+H64/H76</f>
        <v>0.77927541890026497</v>
      </c>
      <c r="I69" s="35"/>
      <c r="J69" s="223">
        <f>+J64/J76</f>
        <v>0.82995343045342118</v>
      </c>
      <c r="K69" s="35"/>
      <c r="L69" s="223">
        <f>+L64/L76</f>
        <v>0.77436999643568072</v>
      </c>
      <c r="M69" s="35"/>
      <c r="N69" s="223">
        <f>+N64/N76</f>
        <v>0.68356094615812768</v>
      </c>
      <c r="O69" s="35"/>
      <c r="P69" s="223">
        <f>+P64/P76</f>
        <v>0.55875605889687641</v>
      </c>
      <c r="Q69" s="35"/>
      <c r="R69" s="223">
        <f>+R64/R76</f>
        <v>0.46015572320113063</v>
      </c>
      <c r="S69" s="35"/>
      <c r="T69" s="223">
        <v>0.34585103448889254</v>
      </c>
      <c r="U69" s="35"/>
      <c r="V69" s="223">
        <v>0.30640828242259688</v>
      </c>
      <c r="W69" s="35"/>
      <c r="X69" s="223">
        <f>+X64/X76</f>
        <v>0.26487810471180129</v>
      </c>
      <c r="Y69" s="35"/>
      <c r="Z69" s="226">
        <f>+Z64/Z76</f>
        <v>0.32402270520342541</v>
      </c>
      <c r="AA69" s="92"/>
      <c r="AB69" s="226">
        <f>+AB64/AB76</f>
        <v>0.36256730632284434</v>
      </c>
      <c r="AC69" s="92"/>
      <c r="AD69" s="226">
        <f>+AD64/AD76</f>
        <v>0.44626722416016351</v>
      </c>
      <c r="AE69" s="92"/>
      <c r="AF69" s="223">
        <f>+AF64/AF76</f>
        <v>0.50643149211566962</v>
      </c>
      <c r="AG69" s="35"/>
      <c r="AH69" s="226">
        <f>+AH64/AH76</f>
        <v>0.52007111045692977</v>
      </c>
      <c r="AI69" s="92"/>
      <c r="AJ69" s="223">
        <f>+AJ64/AJ76</f>
        <v>0.49875606735972977</v>
      </c>
      <c r="AK69" s="35"/>
      <c r="AL69" s="226">
        <f>+AL64/AL76</f>
        <v>0.53553085985763493</v>
      </c>
      <c r="AM69" s="92"/>
      <c r="AN69" s="223">
        <f>+AN64/AN76</f>
        <v>0.58828444647669698</v>
      </c>
      <c r="AO69" s="35"/>
      <c r="AP69" s="464">
        <f>+AP64/AP76</f>
        <v>0.74997539570073135</v>
      </c>
      <c r="AQ69" s="472"/>
      <c r="AR69" s="572"/>
      <c r="AS69" s="574"/>
    </row>
    <row r="70" spans="1:46" s="30" customFormat="1" ht="12.75" customHeight="1" x14ac:dyDescent="0.3">
      <c r="A70" s="268"/>
      <c r="B70" s="29"/>
      <c r="C70" s="35"/>
      <c r="D70" s="29"/>
      <c r="E70" s="35"/>
      <c r="F70" s="29"/>
      <c r="G70" s="35"/>
      <c r="H70" s="29"/>
      <c r="I70" s="35"/>
      <c r="J70" s="29"/>
      <c r="K70" s="35"/>
      <c r="L70" s="29"/>
      <c r="M70" s="35"/>
      <c r="N70" s="29"/>
      <c r="O70" s="35"/>
      <c r="P70" s="29"/>
      <c r="Q70" s="35"/>
      <c r="R70" s="29"/>
      <c r="S70" s="35"/>
      <c r="T70" s="29"/>
      <c r="U70" s="35"/>
      <c r="V70" s="29"/>
      <c r="W70" s="35"/>
      <c r="X70" s="29"/>
      <c r="Y70" s="35"/>
      <c r="Z70" s="91"/>
      <c r="AA70" s="92"/>
      <c r="AB70" s="91"/>
      <c r="AC70" s="92"/>
      <c r="AD70" s="91"/>
      <c r="AE70" s="92"/>
      <c r="AF70" s="29"/>
      <c r="AG70" s="35"/>
      <c r="AH70" s="91"/>
      <c r="AI70" s="92"/>
      <c r="AJ70" s="29"/>
      <c r="AK70" s="35"/>
      <c r="AL70" s="91"/>
      <c r="AM70" s="92"/>
      <c r="AN70" s="29"/>
      <c r="AO70" s="35"/>
      <c r="AP70" s="468"/>
      <c r="AQ70" s="472"/>
      <c r="AR70" s="572"/>
      <c r="AS70" s="574"/>
    </row>
    <row r="71" spans="1:46" s="38" customFormat="1" ht="13.5" customHeight="1" x14ac:dyDescent="0.3">
      <c r="A71" s="268" t="s">
        <v>103</v>
      </c>
      <c r="B71" s="41">
        <f>+'Domestic Debt Colones'!B70/B90</f>
        <v>14536.759423417561</v>
      </c>
      <c r="C71" s="37"/>
      <c r="D71" s="41">
        <f>+'Domestic Debt Colones'!D70/D90</f>
        <v>15365.515746109522</v>
      </c>
      <c r="E71" s="37"/>
      <c r="F71" s="41">
        <f>+'Domestic Debt Colones'!F70/F90</f>
        <v>15737.742407798021</v>
      </c>
      <c r="G71" s="37"/>
      <c r="H71" s="41">
        <f>+'Domestic Debt Colones'!H70/H90</f>
        <v>16432.925332897496</v>
      </c>
      <c r="I71" s="37"/>
      <c r="J71" s="41">
        <f>+'Domestic Debt Colones'!J70/J90</f>
        <v>17731.567750943697</v>
      </c>
      <c r="K71" s="37"/>
      <c r="L71" s="41">
        <f>+'Domestic Debt Colones'!L70/L90</f>
        <v>19242.173608849371</v>
      </c>
      <c r="M71" s="37"/>
      <c r="N71" s="41">
        <f>+'Domestic Debt Colones'!N70/N90</f>
        <v>22410.018893145767</v>
      </c>
      <c r="O71" s="37"/>
      <c r="P71" s="41">
        <f>+'Domestic Debt Colones'!P70/P90</f>
        <v>27936.224854951623</v>
      </c>
      <c r="Q71" s="37"/>
      <c r="R71" s="41">
        <f>+'Domestic Debt Colones'!R70/R90</f>
        <v>29344.415334852361</v>
      </c>
      <c r="S71" s="37"/>
      <c r="T71" s="41">
        <f>+'Domestic Debt Colones'!T70/T90</f>
        <v>31357.672557900729</v>
      </c>
      <c r="U71" s="37"/>
      <c r="V71" s="41">
        <f>+'Domestic Debt Colones'!V70/V90</f>
        <v>38638.069449185561</v>
      </c>
      <c r="W71" s="37"/>
      <c r="X71" s="41">
        <f>+'Domestic Debt Colones'!X70/X90</f>
        <v>42331.006140090052</v>
      </c>
      <c r="Y71" s="37"/>
      <c r="Z71" s="89">
        <f>+'Domestic Debt Colones'!Z70/Z90</f>
        <v>46644.676412016575</v>
      </c>
      <c r="AA71" s="94"/>
      <c r="AB71" s="89">
        <f>+'Domestic Debt Colones'!AB70/AB90</f>
        <v>50675.571953256316</v>
      </c>
      <c r="AC71" s="94"/>
      <c r="AD71" s="89">
        <f>+'Domestic Debt Colones'!AD70/AD90</f>
        <v>51642.004390230904</v>
      </c>
      <c r="AE71" s="94"/>
      <c r="AF71" s="41">
        <f>+'Domestic Debt Colones'!AF70/AF90</f>
        <v>56101.44635413697</v>
      </c>
      <c r="AG71" s="37"/>
      <c r="AH71" s="89">
        <f>+'Domestic Debt Colones'!AH70/AH90</f>
        <v>57609.604291654083</v>
      </c>
      <c r="AI71" s="94"/>
      <c r="AJ71" s="41">
        <f>+'Domestic Debt Colones'!AJ70/AJ90</f>
        <v>60200.262051228237</v>
      </c>
      <c r="AK71" s="37"/>
      <c r="AL71" s="89">
        <f>+'Domestic Debt Colones'!AL70/AL90</f>
        <v>59053.107547510132</v>
      </c>
      <c r="AM71" s="94"/>
      <c r="AN71" s="41">
        <f>+'Domestic Debt Colones'!AN70/AN90</f>
        <v>65963.680714173621</v>
      </c>
      <c r="AO71" s="37"/>
      <c r="AP71" s="477">
        <f>+'Domestic Debt Colones'!AP70/AP90</f>
        <v>59270.546172085626</v>
      </c>
      <c r="AQ71" s="475"/>
      <c r="AR71" s="573"/>
      <c r="AS71" s="574"/>
    </row>
    <row r="72" spans="1:46" s="38" customFormat="1" ht="13.5" customHeight="1" x14ac:dyDescent="0.3">
      <c r="A72" s="268" t="s">
        <v>104</v>
      </c>
      <c r="B72" s="53">
        <f>+'Domestic Debt Colones'!B71</f>
        <v>2.9000000000000001E-2</v>
      </c>
      <c r="C72" s="37"/>
      <c r="D72" s="53">
        <f>+'Domestic Debt Colones'!D71</f>
        <v>5.6000000000000001E-2</v>
      </c>
      <c r="E72" s="37"/>
      <c r="F72" s="53">
        <f>+'Domestic Debt Colones'!F71</f>
        <v>2.9000000000000001E-2</v>
      </c>
      <c r="G72" s="37"/>
      <c r="H72" s="53">
        <f>+'Domestic Debt Colones'!H71</f>
        <v>5.6000000000000001E-2</v>
      </c>
      <c r="I72" s="37"/>
      <c r="J72" s="53">
        <f>+'Domestic Debt Colones'!J71</f>
        <v>4.2999999999999997E-2</v>
      </c>
      <c r="K72" s="37"/>
      <c r="L72" s="53">
        <f>+'Domestic Debt Colones'!L71</f>
        <v>5.8999999999999997E-2</v>
      </c>
      <c r="M72" s="37"/>
      <c r="N72" s="53">
        <f>+'Domestic Debt Colones'!N71</f>
        <v>8.7999999999999995E-2</v>
      </c>
      <c r="O72" s="37"/>
      <c r="P72" s="53">
        <f>+'Domestic Debt Colones'!P71</f>
        <v>6.8000000000000005E-2</v>
      </c>
      <c r="Q72" s="37"/>
      <c r="R72" s="53">
        <f>+'Domestic Debt Colones'!R71</f>
        <v>2.9000000000000001E-2</v>
      </c>
      <c r="S72" s="37"/>
      <c r="T72" s="53">
        <f>+'Domestic Debt Colones'!T71</f>
        <v>-1.2999999999999999E-2</v>
      </c>
      <c r="U72" s="37"/>
      <c r="V72" s="53">
        <f>+'Domestic Debt Colones'!V71</f>
        <v>4.2000000000000003E-2</v>
      </c>
      <c r="W72" s="37"/>
      <c r="X72" s="53">
        <f>+'Domestic Debt Colones'!X71</f>
        <v>4.4999999999999998E-2</v>
      </c>
      <c r="Y72" s="37"/>
      <c r="Z72" s="517">
        <f>+'Domestic Debt Colones'!Z71</f>
        <v>4.8000000000000001E-2</v>
      </c>
      <c r="AA72" s="94"/>
      <c r="AB72" s="170">
        <f>+'Domestic Debt Colones'!AB71</f>
        <v>3.4972883502778697E-2</v>
      </c>
      <c r="AC72" s="94"/>
      <c r="AD72" s="170">
        <f>+'Domestic Debt Colones'!AD71</f>
        <v>3.4972883502778697E-2</v>
      </c>
      <c r="AE72" s="94"/>
      <c r="AF72" s="212">
        <f>+'Domestic Debt Colones'!AF71</f>
        <v>3.5000000000000003E-2</v>
      </c>
      <c r="AG72" s="37"/>
      <c r="AH72" s="170">
        <f>+'Domestic Debt Colones'!AH71</f>
        <v>4.2999999999999997E-2</v>
      </c>
      <c r="AI72" s="94"/>
      <c r="AJ72" s="212">
        <f>+'Domestic Debt Colones'!AJ71</f>
        <v>3.2000000000000001E-2</v>
      </c>
      <c r="AK72" s="37"/>
      <c r="AL72" s="170">
        <f>+'Domestic Debt Colones'!AL71</f>
        <v>2.7E-2</v>
      </c>
      <c r="AM72" s="94"/>
      <c r="AN72" s="212">
        <f>+'Domestic Debt Colones'!AN71</f>
        <v>2.1000000000000001E-2</v>
      </c>
      <c r="AO72" s="37"/>
      <c r="AP72" s="479">
        <f>+'Domestic Debt Colones'!AP71</f>
        <v>2.1000000000000001E-2</v>
      </c>
      <c r="AQ72" s="475"/>
      <c r="AR72" s="573"/>
      <c r="AS72" s="574"/>
    </row>
    <row r="73" spans="1:46" s="38" customFormat="1" ht="13.5" customHeight="1" x14ac:dyDescent="0.3">
      <c r="A73" s="268" t="s">
        <v>105</v>
      </c>
      <c r="B73" s="41">
        <v>4179.8691350199997</v>
      </c>
      <c r="C73" s="37"/>
      <c r="D73" s="41">
        <v>4195.0207305900003</v>
      </c>
      <c r="E73" s="37"/>
      <c r="F73" s="41">
        <v>4268.8927847800005</v>
      </c>
      <c r="G73" s="37"/>
      <c r="H73" s="41">
        <v>4607.3523590999994</v>
      </c>
      <c r="I73" s="37"/>
      <c r="J73" s="41">
        <v>5120.4692103400002</v>
      </c>
      <c r="K73" s="37"/>
      <c r="L73" s="41">
        <v>5568.9473202500003</v>
      </c>
      <c r="M73" s="37"/>
      <c r="N73" s="41">
        <v>6310.7661585599999</v>
      </c>
      <c r="O73" s="37"/>
      <c r="P73" s="41">
        <v>6874.2094266600006</v>
      </c>
      <c r="Q73" s="37"/>
      <c r="R73" s="41">
        <v>7513.77685406</v>
      </c>
      <c r="S73" s="37"/>
      <c r="T73" s="41">
        <v>6622.8784836100003</v>
      </c>
      <c r="U73" s="37"/>
      <c r="V73" s="41">
        <v>7492.5460768499997</v>
      </c>
      <c r="W73" s="37"/>
      <c r="X73" s="41">
        <v>8301.3790727300002</v>
      </c>
      <c r="Y73" s="37"/>
      <c r="Z73" s="89">
        <v>11020</v>
      </c>
      <c r="AA73" s="94"/>
      <c r="AB73" s="41">
        <v>8866.3264055</v>
      </c>
      <c r="AC73" s="37"/>
      <c r="AD73" s="41">
        <v>9494.8377264699993</v>
      </c>
      <c r="AE73" s="37"/>
      <c r="AF73" s="41">
        <v>9296.8922754499999</v>
      </c>
      <c r="AG73" s="37"/>
      <c r="AH73" s="89">
        <v>10243</v>
      </c>
      <c r="AI73" s="94"/>
      <c r="AJ73" s="41">
        <v>10897</v>
      </c>
      <c r="AK73" s="37"/>
      <c r="AL73" s="89">
        <v>11454</v>
      </c>
      <c r="AM73" s="94"/>
      <c r="AN73" s="41">
        <v>11613</v>
      </c>
      <c r="AO73" s="37"/>
      <c r="AP73" s="477">
        <v>11707.5</v>
      </c>
      <c r="AQ73" s="475"/>
      <c r="AR73" s="573"/>
      <c r="AS73" s="574"/>
      <c r="AT73" s="116"/>
    </row>
    <row r="74" spans="1:46" s="38" customFormat="1" ht="13.5" customHeight="1" x14ac:dyDescent="0.3">
      <c r="A74" s="268" t="s">
        <v>106</v>
      </c>
      <c r="B74" s="41">
        <f>+'Domestic Debt Colones'!B73/B90</f>
        <v>1911.8372290292177</v>
      </c>
      <c r="C74" s="37"/>
      <c r="D74" s="41">
        <f>+'Domestic Debt Colones'!D73/D90</f>
        <v>2111.750307071416</v>
      </c>
      <c r="E74" s="37"/>
      <c r="F74" s="41">
        <f>+'Domestic Debt Colones'!F73/F90</f>
        <v>2133.6253792375674</v>
      </c>
      <c r="G74" s="37"/>
      <c r="H74" s="41">
        <f>+'Domestic Debt Colones'!H73/H90</f>
        <v>2273.0822199947493</v>
      </c>
      <c r="I74" s="37"/>
      <c r="J74" s="41">
        <f>+'Domestic Debt Colones'!J73/J90</f>
        <v>2409.7981028631107</v>
      </c>
      <c r="K74" s="37"/>
      <c r="L74" s="41">
        <f>+'Domestic Debt Colones'!L73/L90</f>
        <v>2654.7762526430452</v>
      </c>
      <c r="M74" s="37"/>
      <c r="N74" s="41">
        <f>+'Domestic Debt Colones'!N73/N90</f>
        <v>3160.4107812969391</v>
      </c>
      <c r="O74" s="37"/>
      <c r="P74" s="41">
        <f>+'Domestic Debt Colones'!P73/P90</f>
        <v>4232.8600931898145</v>
      </c>
      <c r="Q74" s="37"/>
      <c r="R74" s="41">
        <f>+'Domestic Debt Colones'!R73/R90</f>
        <v>4507.0354835831058</v>
      </c>
      <c r="S74" s="37"/>
      <c r="T74" s="41">
        <f>+'Domestic Debt Colones'!T73/T90</f>
        <v>4197.0079477820673</v>
      </c>
      <c r="U74" s="37"/>
      <c r="V74" s="41">
        <f>+'Domestic Debt Colones'!V73/V90</f>
        <v>5349.5130975877073</v>
      </c>
      <c r="W74" s="37"/>
      <c r="X74" s="41">
        <f>+'Domestic Debt Colones'!X73/X90</f>
        <v>5920.1556121304966</v>
      </c>
      <c r="Y74" s="37"/>
      <c r="Z74" s="89">
        <f>+'Domestic Debt Colones'!Z73/Z90</f>
        <v>6422.18240113921</v>
      </c>
      <c r="AA74" s="94"/>
      <c r="AB74" s="89">
        <f>+'Domestic Debt Colones'!AB73/AB90</f>
        <v>7037.6389572605322</v>
      </c>
      <c r="AC74" s="94"/>
      <c r="AD74" s="89">
        <f>+'Domestic Debt Colones'!AD73/AD90</f>
        <v>7003.6508777575518</v>
      </c>
      <c r="AE74" s="94"/>
      <c r="AF74" s="41">
        <f>+'Domestic Debt Colones'!AF73/AF90</f>
        <v>7772.5466363086043</v>
      </c>
      <c r="AG74" s="37"/>
      <c r="AH74" s="89">
        <f>+'Domestic Debt Colones'!AH73/AH90</f>
        <v>8197.1513593205182</v>
      </c>
      <c r="AI74" s="94"/>
      <c r="AJ74" s="41">
        <f>+'Domestic Debt Colones'!AJ73/AJ90</f>
        <v>8306.4455455557509</v>
      </c>
      <c r="AK74" s="37"/>
      <c r="AL74" s="89">
        <f>+'Domestic Debt Colones'!AL73/AL90</f>
        <v>8075.8953416639615</v>
      </c>
      <c r="AM74" s="94"/>
      <c r="AN74" s="41">
        <f>+'Domestic Debt Colones'!AN73/AN90</f>
        <v>9163.8555449225496</v>
      </c>
      <c r="AO74" s="37"/>
      <c r="AP74" s="477">
        <f>+'Domestic Debt Colones'!AP73/AP90</f>
        <v>7624.4973048375123</v>
      </c>
      <c r="AQ74" s="475"/>
      <c r="AR74" s="573"/>
      <c r="AS74" s="574"/>
      <c r="AT74" s="116"/>
    </row>
    <row r="75" spans="1:46" s="38" customFormat="1" ht="13.5" customHeight="1" x14ac:dyDescent="0.3">
      <c r="A75" s="268" t="s">
        <v>107</v>
      </c>
      <c r="B75" s="41">
        <f>+'Domestic Debt Colones'!B74/B90</f>
        <v>1896.7885328306629</v>
      </c>
      <c r="C75" s="37"/>
      <c r="D75" s="41">
        <f>+'Domestic Debt Colones'!D74/D90</f>
        <v>2084.9976604082585</v>
      </c>
      <c r="E75" s="37"/>
      <c r="F75" s="41">
        <f>+'Domestic Debt Colones'!F74/F90</f>
        <v>2114.2986413401927</v>
      </c>
      <c r="G75" s="37"/>
      <c r="H75" s="41">
        <f>+'Domestic Debt Colones'!H74/H90</f>
        <v>2224.1545094389153</v>
      </c>
      <c r="I75" s="37"/>
      <c r="J75" s="41">
        <f>+'Domestic Debt Colones'!J74/J90</f>
        <v>2362.6087807849622</v>
      </c>
      <c r="K75" s="37"/>
      <c r="L75" s="41">
        <f>+'Domestic Debt Colones'!L74/L90</f>
        <v>2605.508070992506</v>
      </c>
      <c r="M75" s="37"/>
      <c r="N75" s="41">
        <f>+'Domestic Debt Colones'!N74/N90</f>
        <v>3108.8217884560609</v>
      </c>
      <c r="O75" s="37"/>
      <c r="P75" s="41">
        <f>+'Domestic Debt Colones'!P74/P90</f>
        <v>4157.3064735590842</v>
      </c>
      <c r="Q75" s="37"/>
      <c r="R75" s="41">
        <f>+'Domestic Debt Colones'!R74/R90</f>
        <v>4439.6145928127889</v>
      </c>
      <c r="S75" s="37"/>
      <c r="T75" s="41">
        <f>+'Domestic Debt Colones'!T74/T90</f>
        <v>4121.4129899147838</v>
      </c>
      <c r="U75" s="37"/>
      <c r="V75" s="41">
        <f>+'Domestic Debt Colones'!V74/V90</f>
        <v>4981.1605650975607</v>
      </c>
      <c r="W75" s="37"/>
      <c r="X75" s="41">
        <f>+'Domestic Debt Colones'!X74/X90</f>
        <v>5552.0596232449789</v>
      </c>
      <c r="Y75" s="37"/>
      <c r="Z75" s="89">
        <f>+'Domestic Debt Colones'!Z74/Z90</f>
        <v>6052.2861331457298</v>
      </c>
      <c r="AA75" s="94"/>
      <c r="AB75" s="89">
        <f>+'Domestic Debt Colones'!AB74/AB90</f>
        <v>6664.2411600722426</v>
      </c>
      <c r="AC75" s="94"/>
      <c r="AD75" s="89">
        <f>+'Domestic Debt Colones'!AD74/AD90</f>
        <v>6606.8187884216741</v>
      </c>
      <c r="AE75" s="94"/>
      <c r="AF75" s="41">
        <f>+'Domestic Debt Colones'!AF74/AF90</f>
        <v>7298.8070289230409</v>
      </c>
      <c r="AG75" s="37"/>
      <c r="AH75" s="89">
        <f>+'Domestic Debt Colones'!AH74/AH90</f>
        <v>7752.2265668192795</v>
      </c>
      <c r="AI75" s="94"/>
      <c r="AJ75" s="41">
        <f>+'Domestic Debt Colones'!AJ74/AJ90</f>
        <v>7821.375166789252</v>
      </c>
      <c r="AK75" s="37"/>
      <c r="AL75" s="89">
        <f>+'Domestic Debt Colones'!AL74/AL90</f>
        <v>7628.7375171775948</v>
      </c>
      <c r="AM75" s="94"/>
      <c r="AN75" s="41">
        <f>+'Domestic Debt Colones'!AN74/AN90</f>
        <v>8525.3948631228886</v>
      </c>
      <c r="AO75" s="37"/>
      <c r="AP75" s="477">
        <f>+'Domestic Debt Colones'!AP74/AP90</f>
        <v>7050.5871954844406</v>
      </c>
      <c r="AQ75" s="475"/>
      <c r="AR75" s="573"/>
      <c r="AS75" s="574"/>
      <c r="AT75" s="116"/>
    </row>
    <row r="76" spans="1:46" s="38" customFormat="1" ht="13.5" customHeight="1" thickBot="1" x14ac:dyDescent="0.3">
      <c r="A76" s="9" t="s">
        <v>108</v>
      </c>
      <c r="B76" s="41">
        <f>+'Domestic Debt Colones'!B75/B90</f>
        <v>2377.3352183474708</v>
      </c>
      <c r="C76" s="37"/>
      <c r="D76" s="41">
        <f>+'Domestic Debt Colones'!D75/D90</f>
        <v>2580.1949757267357</v>
      </c>
      <c r="E76" s="37"/>
      <c r="F76" s="41">
        <f>+'Domestic Debt Colones'!F75/F90</f>
        <v>2817.8696741854637</v>
      </c>
      <c r="G76" s="37"/>
      <c r="H76" s="41">
        <f>+'Domestic Debt Colones'!H75/H90</f>
        <v>2799.600689418407</v>
      </c>
      <c r="I76" s="37"/>
      <c r="J76" s="41">
        <f>+'Domestic Debt Colones'!J75/J90</f>
        <v>2893.2466713079803</v>
      </c>
      <c r="K76" s="37"/>
      <c r="L76" s="41">
        <f>+'Domestic Debt Colones'!L75/L90</f>
        <v>3057.1819813484158</v>
      </c>
      <c r="M76" s="37"/>
      <c r="N76" s="41">
        <f>+'Domestic Debt Colones'!N75/N90</f>
        <v>3395.1032648128207</v>
      </c>
      <c r="O76" s="37"/>
      <c r="P76" s="41">
        <f>+'Domestic Debt Colones'!P75/P90</f>
        <v>4077.3428112758415</v>
      </c>
      <c r="Q76" s="37"/>
      <c r="R76" s="41">
        <f>+'Domestic Debt Colones'!R75/R90</f>
        <v>4454.3181724246424</v>
      </c>
      <c r="S76" s="37"/>
      <c r="T76" s="41">
        <f>+'Domestic Debt Colones'!T75/T90</f>
        <v>5223.8137543718194</v>
      </c>
      <c r="U76" s="37"/>
      <c r="V76" s="41">
        <f>+'Domestic Debt Colones'!V75/V90</f>
        <v>7267.4688684881949</v>
      </c>
      <c r="W76" s="37"/>
      <c r="X76" s="41">
        <f>+'Domestic Debt Colones'!X75/X90</f>
        <v>7575.6521276179474</v>
      </c>
      <c r="Y76" s="37"/>
      <c r="Z76" s="89">
        <f>+'Domestic Debt Colones'!Z75/Z90</f>
        <v>8395.9939638407996</v>
      </c>
      <c r="AA76" s="94"/>
      <c r="AB76" s="89">
        <f>+'Domestic Debt Colones'!AB75/AB90</f>
        <v>9696.6970440762634</v>
      </c>
      <c r="AC76" s="94"/>
      <c r="AD76" s="89">
        <f>+'Domestic Debt Colones'!AD75/AD90</f>
        <v>9824.3841083816533</v>
      </c>
      <c r="AE76" s="94"/>
      <c r="AF76" s="41">
        <f>+'Domestic Debt Colones'!AF75/AF90</f>
        <v>10871.980441181646</v>
      </c>
      <c r="AG76" s="37"/>
      <c r="AH76" s="89">
        <f>+'Domestic Debt Colones'!AH75/AH90</f>
        <v>11144.098087049995</v>
      </c>
      <c r="AI76" s="94"/>
      <c r="AJ76" s="41">
        <f>+'Domestic Debt Colones'!AJ75/AJ90</f>
        <v>11857.658848030465</v>
      </c>
      <c r="AK76" s="37"/>
      <c r="AL76" s="89">
        <f>+'Domestic Debt Colones'!AL75/AL90</f>
        <v>11469.93128491777</v>
      </c>
      <c r="AM76" s="94"/>
      <c r="AN76" s="41">
        <f>+'Domestic Debt Colones'!AN75/AN90</f>
        <v>13740.176773257146</v>
      </c>
      <c r="AO76" s="37"/>
      <c r="AP76" s="477">
        <f>+'Domestic Debt Colones'!AP75/AP90</f>
        <v>12476.445212535584</v>
      </c>
      <c r="AQ76" s="475"/>
      <c r="AR76" s="573"/>
      <c r="AS76" s="574"/>
      <c r="AT76" s="116"/>
    </row>
    <row r="77" spans="1:46" s="1" customFormat="1" ht="13.5" customHeight="1" thickBot="1" x14ac:dyDescent="0.3">
      <c r="A77" s="13"/>
      <c r="B77" s="98"/>
      <c r="C77" s="99"/>
      <c r="D77" s="98"/>
      <c r="E77" s="99"/>
      <c r="F77" s="98"/>
      <c r="G77" s="99"/>
      <c r="H77" s="98"/>
      <c r="I77" s="99"/>
      <c r="J77" s="98"/>
      <c r="K77" s="99"/>
      <c r="L77" s="98"/>
      <c r="M77" s="99"/>
      <c r="N77" s="98"/>
      <c r="O77" s="99"/>
      <c r="P77" s="98"/>
      <c r="Q77" s="99"/>
      <c r="R77" s="98"/>
      <c r="S77" s="99"/>
      <c r="T77" s="98"/>
      <c r="U77" s="99"/>
      <c r="V77" s="51"/>
      <c r="W77" s="52"/>
      <c r="X77" s="51"/>
      <c r="Y77" s="52"/>
      <c r="Z77" s="98"/>
      <c r="AA77" s="99"/>
      <c r="AB77" s="98"/>
      <c r="AC77" s="99"/>
      <c r="AD77" s="98"/>
      <c r="AE77" s="99"/>
      <c r="AF77" s="51"/>
      <c r="AG77" s="52"/>
      <c r="AH77" s="98"/>
      <c r="AI77" s="99"/>
      <c r="AJ77" s="51"/>
      <c r="AK77" s="52"/>
      <c r="AL77" s="98"/>
      <c r="AM77" s="99"/>
      <c r="AN77" s="51"/>
      <c r="AO77" s="52"/>
      <c r="AP77" s="480"/>
      <c r="AQ77" s="481"/>
      <c r="AR77" s="7"/>
    </row>
    <row r="78" spans="1:46" s="1" customFormat="1" ht="12.75" customHeight="1" x14ac:dyDescent="0.25">
      <c r="A78" s="746" t="s">
        <v>109</v>
      </c>
      <c r="B78" s="10"/>
      <c r="C78" s="16"/>
      <c r="D78" s="10"/>
      <c r="E78" s="16"/>
      <c r="F78" s="10"/>
      <c r="G78" s="16"/>
      <c r="H78" s="10"/>
      <c r="I78" s="16"/>
      <c r="K78" s="16"/>
      <c r="L78" s="10"/>
      <c r="M78" s="16"/>
      <c r="N78" s="10"/>
      <c r="O78" s="16"/>
      <c r="P78" s="10"/>
      <c r="Q78" s="16"/>
      <c r="R78" s="10"/>
      <c r="S78" s="16"/>
      <c r="T78" s="10"/>
      <c r="U78" s="16"/>
      <c r="Z78" s="11"/>
      <c r="AA78" s="11"/>
      <c r="AB78" s="11"/>
      <c r="AC78" s="11"/>
      <c r="AD78" s="11"/>
      <c r="AE78" s="11"/>
      <c r="AF78" s="38"/>
      <c r="AG78" s="38"/>
      <c r="AH78" s="38"/>
      <c r="AI78" s="38"/>
      <c r="AJ78" s="38"/>
      <c r="AK78" s="38"/>
      <c r="AL78" s="11"/>
      <c r="AM78" s="11"/>
      <c r="AN78" s="38"/>
      <c r="AO78" s="38"/>
      <c r="AR78" s="11"/>
    </row>
    <row r="79" spans="1:46" s="1" customFormat="1" ht="13.5" customHeight="1" x14ac:dyDescent="0.25">
      <c r="A79" s="38"/>
      <c r="B79" s="746"/>
      <c r="C79" s="746"/>
      <c r="D79" s="746"/>
      <c r="E79" s="746"/>
      <c r="F79" s="746"/>
      <c r="G79" s="746"/>
      <c r="H79" s="746"/>
      <c r="I79" s="746"/>
      <c r="J79" s="746"/>
      <c r="K79" s="746"/>
      <c r="L79" s="746"/>
      <c r="M79" s="746"/>
      <c r="N79" s="746"/>
      <c r="O79" s="746"/>
      <c r="P79" s="746"/>
      <c r="Q79" s="746"/>
      <c r="R79" s="746"/>
      <c r="S79" s="746"/>
      <c r="T79" s="746"/>
      <c r="U79" s="746"/>
      <c r="V79" s="746"/>
      <c r="W79" s="746"/>
      <c r="X79" s="746"/>
      <c r="Y79" s="746"/>
      <c r="Z79" s="746"/>
      <c r="AA79" s="746"/>
      <c r="AB79" s="746"/>
      <c r="AC79" s="746"/>
      <c r="AD79" s="746"/>
      <c r="AE79" s="746"/>
      <c r="AF79" s="746"/>
      <c r="AG79" s="746"/>
      <c r="AH79" s="746"/>
      <c r="AI79" s="746"/>
      <c r="AJ79" s="746"/>
      <c r="AK79" s="746"/>
      <c r="AL79" s="640"/>
      <c r="AM79" s="640"/>
      <c r="AN79" s="685"/>
      <c r="AO79" s="685"/>
      <c r="AP79" s="746"/>
      <c r="AQ79" s="746"/>
      <c r="AR79" s="15"/>
    </row>
    <row r="80" spans="1:46" s="1" customFormat="1" ht="13.5" customHeight="1" x14ac:dyDescent="0.3">
      <c r="A80" s="156"/>
      <c r="B80" s="163"/>
      <c r="C80" s="163"/>
      <c r="D80" s="104"/>
      <c r="E80" s="104"/>
      <c r="F80" s="163"/>
      <c r="G80" s="163"/>
      <c r="H80" s="104"/>
      <c r="I80" s="104"/>
      <c r="J80" s="104"/>
      <c r="K80" s="163"/>
      <c r="L80" s="163"/>
      <c r="M80" s="163"/>
      <c r="N80" s="163"/>
      <c r="O80" s="163"/>
      <c r="P80" s="163"/>
      <c r="Q80" s="163"/>
      <c r="R80" s="163"/>
      <c r="S80" s="163"/>
      <c r="T80" s="121"/>
      <c r="U80" s="163"/>
      <c r="V80" s="104"/>
      <c r="W80" s="104"/>
      <c r="X80" s="104"/>
      <c r="Y80" s="104"/>
      <c r="Z80" s="7"/>
      <c r="AA80" s="7"/>
      <c r="AB80" s="7"/>
      <c r="AC80" s="7"/>
      <c r="AD80" s="195"/>
      <c r="AE80" s="7"/>
      <c r="AF80" s="38"/>
      <c r="AG80" s="38"/>
      <c r="AH80" s="38"/>
      <c r="AI80" s="38"/>
      <c r="AJ80" s="38"/>
      <c r="AK80" s="38"/>
      <c r="AL80" s="779" t="s">
        <v>110</v>
      </c>
      <c r="AM80" s="779"/>
      <c r="AN80" s="783" t="s">
        <v>110</v>
      </c>
      <c r="AO80" s="783"/>
      <c r="AP80" s="779" t="s">
        <v>110</v>
      </c>
      <c r="AQ80" s="779"/>
      <c r="AR80" s="745"/>
    </row>
    <row r="81" spans="1:44" s="1" customFormat="1" ht="14.25" customHeight="1" x14ac:dyDescent="0.3">
      <c r="A81" s="426" t="s">
        <v>113</v>
      </c>
      <c r="B81" s="104"/>
      <c r="C81" s="163"/>
      <c r="D81" s="104"/>
      <c r="E81" s="104"/>
      <c r="F81" s="104"/>
      <c r="G81" s="163"/>
      <c r="H81" s="104"/>
      <c r="I81" s="104"/>
      <c r="J81" s="104"/>
      <c r="K81" s="163"/>
      <c r="L81" s="104"/>
      <c r="M81" s="163"/>
      <c r="N81" s="104"/>
      <c r="O81" s="163"/>
      <c r="P81" s="104"/>
      <c r="Q81" s="163"/>
      <c r="R81" s="104"/>
      <c r="S81" s="104"/>
      <c r="T81" s="103"/>
      <c r="U81" s="104"/>
      <c r="V81" s="104"/>
      <c r="W81" s="104"/>
      <c r="X81" s="104"/>
      <c r="Y81" s="104"/>
      <c r="Z81" s="7"/>
      <c r="AA81" s="7"/>
      <c r="AB81" s="7"/>
      <c r="AC81" s="7"/>
      <c r="AD81" s="195"/>
      <c r="AE81" s="7"/>
      <c r="AF81" s="38"/>
      <c r="AG81" s="38"/>
      <c r="AH81" s="38"/>
      <c r="AI81" s="38"/>
      <c r="AJ81" s="38"/>
      <c r="AK81" s="38"/>
      <c r="AL81" s="425" t="s">
        <v>111</v>
      </c>
      <c r="AM81" s="425" t="s">
        <v>112</v>
      </c>
      <c r="AN81" s="686" t="s">
        <v>111</v>
      </c>
      <c r="AO81" s="686" t="s">
        <v>112</v>
      </c>
      <c r="AP81" s="425" t="s">
        <v>111</v>
      </c>
      <c r="AQ81" s="425" t="s">
        <v>112</v>
      </c>
      <c r="AR81" s="425"/>
    </row>
    <row r="82" spans="1:44" s="1" customFormat="1" ht="18.75" customHeight="1" x14ac:dyDescent="0.3">
      <c r="A82" s="157" t="s">
        <v>116</v>
      </c>
      <c r="B82" s="427"/>
      <c r="C82" s="428"/>
      <c r="D82" s="427"/>
      <c r="E82" s="427"/>
      <c r="F82" s="427"/>
      <c r="G82" s="428"/>
      <c r="H82" s="427"/>
      <c r="I82" s="427"/>
      <c r="J82" s="427"/>
      <c r="K82" s="428"/>
      <c r="L82" s="427"/>
      <c r="M82" s="428"/>
      <c r="N82" s="427"/>
      <c r="O82" s="428"/>
      <c r="P82" s="427"/>
      <c r="Q82" s="428"/>
      <c r="R82" s="427"/>
      <c r="S82" s="427"/>
      <c r="T82" s="427"/>
      <c r="U82" s="427"/>
      <c r="V82" s="427"/>
      <c r="W82" s="427"/>
      <c r="X82" s="427"/>
      <c r="Y82" s="427"/>
      <c r="Z82" s="429"/>
      <c r="AA82" s="429"/>
      <c r="AB82" s="429"/>
      <c r="AC82" s="429"/>
      <c r="AD82" s="430"/>
      <c r="AE82" s="429"/>
      <c r="AF82" s="427"/>
      <c r="AG82" s="427"/>
      <c r="AH82" s="427"/>
      <c r="AI82" s="427"/>
      <c r="AJ82" s="427"/>
      <c r="AK82" s="427"/>
      <c r="AL82" s="431" t="str">
        <f>+'Domestic Debt Colones'!AL81</f>
        <v>B+</v>
      </c>
      <c r="AM82" s="431" t="str">
        <f>+'Domestic Debt Colones'!AM81</f>
        <v>Negativa</v>
      </c>
      <c r="AN82" s="687" t="str">
        <f>+'Domestic Debt Colones'!AN81</f>
        <v>B+</v>
      </c>
      <c r="AO82" s="687" t="str">
        <f>+'Domestic Debt Colones'!AO81</f>
        <v>Negativa</v>
      </c>
      <c r="AP82" s="431" t="str">
        <f>+'Domestic Debt Colones'!AP81</f>
        <v>B+</v>
      </c>
      <c r="AQ82" s="431" t="str">
        <f>+'Domestic Debt Colones'!AQ81</f>
        <v>Negativa</v>
      </c>
      <c r="AR82" s="745"/>
    </row>
    <row r="83" spans="1:44" s="1" customFormat="1" ht="18.75" customHeight="1" x14ac:dyDescent="0.3">
      <c r="A83" s="432" t="s">
        <v>118</v>
      </c>
      <c r="B83" s="104"/>
      <c r="C83" s="80"/>
      <c r="D83" s="104"/>
      <c r="E83" s="104"/>
      <c r="F83" s="104"/>
      <c r="G83" s="80"/>
      <c r="H83" s="104"/>
      <c r="I83" s="104"/>
      <c r="J83" s="104"/>
      <c r="K83" s="80"/>
      <c r="L83" s="104"/>
      <c r="M83" s="80"/>
      <c r="N83" s="104"/>
      <c r="O83" s="80"/>
      <c r="P83" s="104"/>
      <c r="Q83" s="80"/>
      <c r="R83" s="104"/>
      <c r="S83" s="104"/>
      <c r="T83" s="104"/>
      <c r="U83" s="104"/>
      <c r="V83" s="104"/>
      <c r="W83" s="104"/>
      <c r="X83" s="104"/>
      <c r="Y83" s="104"/>
      <c r="Z83" s="106"/>
      <c r="AA83" s="7"/>
      <c r="AB83" s="106"/>
      <c r="AC83" s="7"/>
      <c r="AD83" s="126"/>
      <c r="AE83" s="7"/>
      <c r="AF83" s="104"/>
      <c r="AG83" s="104"/>
      <c r="AH83" s="104"/>
      <c r="AI83" s="104"/>
      <c r="AJ83" s="104"/>
      <c r="AK83" s="104"/>
      <c r="AL83" s="745" t="str">
        <f>+'Domestic Debt Colones'!AL82</f>
        <v>B1</v>
      </c>
      <c r="AM83" s="745" t="str">
        <f>+'Domestic Debt Colones'!AM82</f>
        <v>Negativa</v>
      </c>
      <c r="AN83" s="747" t="str">
        <f>+'Domestic Debt Colones'!AN82</f>
        <v>B1</v>
      </c>
      <c r="AO83" s="747" t="str">
        <f>+'Domestic Debt Colones'!AO82</f>
        <v>Negativa</v>
      </c>
      <c r="AP83" s="745" t="str">
        <f>+'Domestic Debt Colones'!AP82</f>
        <v>B1</v>
      </c>
      <c r="AQ83" s="745" t="str">
        <f>+'Domestic Debt Colones'!AQ82</f>
        <v>Negativa</v>
      </c>
      <c r="AR83" s="745"/>
    </row>
    <row r="84" spans="1:44" s="1" customFormat="1" ht="18" customHeight="1" x14ac:dyDescent="0.25">
      <c r="A84" s="196"/>
      <c r="B84" s="433"/>
      <c r="C84" s="433"/>
      <c r="D84" s="433"/>
      <c r="E84" s="433"/>
      <c r="F84" s="433"/>
      <c r="G84" s="433"/>
      <c r="H84" s="433"/>
      <c r="I84" s="433"/>
      <c r="J84" s="433"/>
      <c r="K84" s="433"/>
      <c r="L84" s="433"/>
      <c r="M84" s="433"/>
      <c r="N84" s="433"/>
      <c r="O84" s="433"/>
      <c r="P84" s="433"/>
      <c r="Q84" s="433"/>
      <c r="R84" s="433"/>
      <c r="S84" s="433"/>
      <c r="T84" s="433"/>
      <c r="U84" s="433"/>
      <c r="V84" s="433"/>
      <c r="W84" s="433"/>
      <c r="X84" s="433"/>
      <c r="Y84" s="433"/>
      <c r="Z84" s="434"/>
      <c r="AA84" s="434"/>
      <c r="AB84" s="434"/>
      <c r="AC84" s="434"/>
      <c r="AD84" s="434"/>
      <c r="AE84" s="434"/>
      <c r="AF84" s="433"/>
      <c r="AG84" s="433"/>
      <c r="AH84" s="433"/>
      <c r="AI84" s="433"/>
      <c r="AJ84" s="433"/>
      <c r="AK84" s="433"/>
      <c r="AL84" s="435" t="str">
        <f>+'Domestic Debt Colones'!AL83</f>
        <v>B+</v>
      </c>
      <c r="AM84" s="435" t="str">
        <f>+'Domestic Debt Colones'!AM83</f>
        <v>Negativa</v>
      </c>
      <c r="AN84" s="688" t="str">
        <f>+'Domestic Debt Colones'!AN83</f>
        <v>B+</v>
      </c>
      <c r="AO84" s="688" t="str">
        <f>+'Domestic Debt Colones'!AO83</f>
        <v>Negativa</v>
      </c>
      <c r="AP84" s="435" t="str">
        <f>+'Domestic Debt Colones'!AP83</f>
        <v>B+</v>
      </c>
      <c r="AQ84" s="435" t="str">
        <f>+'Domestic Debt Colones'!AQ83</f>
        <v>Negativa</v>
      </c>
      <c r="AR84" s="745"/>
    </row>
    <row r="85" spans="1:44" s="1" customFormat="1" ht="13.5" customHeight="1" x14ac:dyDescent="0.25">
      <c r="A85" s="159" t="s">
        <v>119</v>
      </c>
      <c r="B85" s="102"/>
      <c r="C85" s="102"/>
      <c r="D85" s="30"/>
      <c r="E85" s="30"/>
      <c r="F85" s="102"/>
      <c r="G85" s="102"/>
      <c r="H85" s="30"/>
      <c r="I85" s="30"/>
      <c r="J85" s="30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30"/>
      <c r="W85" s="30"/>
      <c r="X85" s="30"/>
      <c r="Y85" s="30"/>
      <c r="Z85" s="12"/>
      <c r="AA85" s="12"/>
      <c r="AB85" s="12"/>
      <c r="AC85" s="12"/>
      <c r="AD85" s="12"/>
      <c r="AE85" s="12"/>
      <c r="AF85" s="102"/>
      <c r="AG85" s="102"/>
      <c r="AH85" s="102"/>
      <c r="AI85" s="102"/>
      <c r="AJ85" s="102"/>
      <c r="AK85" s="102"/>
      <c r="AL85" s="12"/>
      <c r="AM85" s="12"/>
      <c r="AN85" s="102"/>
      <c r="AO85" s="102"/>
      <c r="AP85" s="102"/>
      <c r="AQ85" s="102"/>
      <c r="AR85" s="12"/>
    </row>
    <row r="86" spans="1:44" s="1" customFormat="1" ht="13.5" customHeight="1" x14ac:dyDescent="0.25">
      <c r="A86" s="159" t="s">
        <v>120</v>
      </c>
      <c r="B86" s="78"/>
      <c r="C86" s="82"/>
      <c r="D86" s="61"/>
      <c r="E86" s="61"/>
      <c r="F86" s="158"/>
      <c r="G86" s="82"/>
      <c r="H86" s="61"/>
      <c r="I86" s="61"/>
      <c r="J86" s="61"/>
      <c r="K86" s="82"/>
      <c r="L86" s="82"/>
      <c r="M86" s="82"/>
      <c r="N86" s="82"/>
      <c r="O86" s="82"/>
      <c r="P86" s="82"/>
      <c r="Q86" s="82"/>
      <c r="R86" s="82"/>
      <c r="S86" s="82"/>
      <c r="T86" s="82"/>
      <c r="U86" s="82"/>
      <c r="V86" s="61"/>
      <c r="W86" s="61"/>
      <c r="X86" s="61"/>
      <c r="Y86" s="61"/>
      <c r="Z86" s="586"/>
      <c r="AA86" s="21"/>
      <c r="AB86" s="21"/>
      <c r="AC86" s="21"/>
      <c r="AD86" s="21"/>
      <c r="AE86" s="21"/>
      <c r="AF86" s="61"/>
      <c r="AG86" s="61"/>
      <c r="AH86" s="61"/>
      <c r="AI86" s="61"/>
      <c r="AJ86" s="61"/>
      <c r="AK86" s="61"/>
      <c r="AL86" s="586"/>
      <c r="AM86" s="21"/>
      <c r="AN86" s="159"/>
      <c r="AO86" s="82"/>
      <c r="AP86" s="159"/>
      <c r="AQ86" s="82"/>
      <c r="AR86" s="21"/>
    </row>
    <row r="87" spans="1:44" s="1" customFormat="1" ht="15" customHeight="1" x14ac:dyDescent="0.25">
      <c r="A87" s="63" t="s">
        <v>121</v>
      </c>
      <c r="B87" s="82"/>
      <c r="C87" s="82"/>
      <c r="D87" s="61"/>
      <c r="E87" s="61"/>
      <c r="F87" s="158"/>
      <c r="G87" s="82"/>
      <c r="H87" s="61"/>
      <c r="I87" s="61"/>
      <c r="J87" s="61"/>
      <c r="K87" s="82"/>
      <c r="L87" s="160"/>
      <c r="M87" s="82"/>
      <c r="N87" s="160"/>
      <c r="O87" s="82"/>
      <c r="P87" s="160"/>
      <c r="Q87" s="82"/>
      <c r="R87" s="82"/>
      <c r="S87" s="82"/>
      <c r="T87" s="82"/>
      <c r="U87" s="82"/>
      <c r="V87" s="61"/>
      <c r="W87" s="61"/>
      <c r="X87" s="61"/>
      <c r="Y87" s="61"/>
      <c r="Z87" s="21"/>
      <c r="AA87" s="21"/>
      <c r="AB87" s="21"/>
      <c r="AC87" s="21"/>
      <c r="AD87" s="21"/>
      <c r="AE87" s="21"/>
      <c r="AF87" s="61"/>
      <c r="AG87" s="61"/>
      <c r="AH87" s="61"/>
      <c r="AI87" s="61"/>
      <c r="AJ87" s="61"/>
      <c r="AK87" s="61"/>
      <c r="AL87" s="21"/>
      <c r="AM87" s="21"/>
      <c r="AN87" s="82"/>
      <c r="AO87" s="82"/>
      <c r="AP87" s="82"/>
      <c r="AQ87" s="82"/>
      <c r="AR87" s="21"/>
    </row>
    <row r="88" spans="1:44" ht="13.5" customHeight="1" x14ac:dyDescent="0.25">
      <c r="A88" s="63"/>
      <c r="B88" s="61"/>
      <c r="C88" s="61"/>
      <c r="D88" s="61"/>
      <c r="E88" s="61"/>
      <c r="F88" s="122"/>
      <c r="G88" s="61"/>
      <c r="H88" s="61"/>
      <c r="I88" s="61"/>
      <c r="J88" s="61"/>
      <c r="K88" s="61"/>
      <c r="L88" s="61"/>
      <c r="M88" s="61"/>
      <c r="N88" s="61"/>
      <c r="O88" s="61"/>
      <c r="P88" s="61"/>
      <c r="Q88" s="61"/>
      <c r="R88" s="61"/>
      <c r="S88" s="61"/>
      <c r="T88" s="61"/>
      <c r="U88" s="61"/>
      <c r="V88" s="61"/>
      <c r="W88" s="61"/>
      <c r="X88" s="61"/>
      <c r="Y88" s="61"/>
      <c r="Z88" s="62"/>
      <c r="AA88" s="62"/>
      <c r="AB88" s="62"/>
      <c r="AC88" s="62"/>
      <c r="AD88" s="62"/>
      <c r="AE88" s="62"/>
      <c r="AF88" s="61"/>
      <c r="AG88" s="61"/>
      <c r="AH88" s="61"/>
      <c r="AI88" s="61"/>
      <c r="AJ88" s="61"/>
      <c r="AK88" s="61"/>
      <c r="AL88" s="62"/>
      <c r="AM88" s="62"/>
      <c r="AN88" s="61"/>
      <c r="AO88" s="61"/>
      <c r="AP88" s="61"/>
      <c r="AQ88" s="61"/>
      <c r="AR88" s="62"/>
    </row>
    <row r="89" spans="1:44" ht="13.5" customHeight="1" thickBot="1" x14ac:dyDescent="0.3">
      <c r="A89" s="67" t="str">
        <f>+'Domestic Debt Colones'!A89</f>
        <v>Exchande Rate</v>
      </c>
      <c r="B89" s="61"/>
      <c r="C89" s="61"/>
      <c r="D89" s="61"/>
      <c r="E89" s="61"/>
      <c r="F89" s="122"/>
      <c r="G89" s="61"/>
      <c r="H89" s="61"/>
      <c r="I89" s="61"/>
      <c r="J89" s="61"/>
      <c r="K89" s="61"/>
      <c r="L89" s="61"/>
      <c r="M89" s="61"/>
      <c r="N89" s="61"/>
      <c r="O89" s="61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2"/>
      <c r="AA89" s="62"/>
      <c r="AB89" s="62"/>
      <c r="AC89" s="62"/>
      <c r="AD89" s="62"/>
      <c r="AE89" s="62"/>
      <c r="AF89" s="61"/>
      <c r="AG89" s="61"/>
      <c r="AH89" s="61"/>
      <c r="AI89" s="61"/>
      <c r="AJ89" s="61"/>
      <c r="AK89" s="61"/>
      <c r="AL89" s="62"/>
      <c r="AM89" s="62"/>
      <c r="AN89" s="61"/>
      <c r="AO89" s="61"/>
      <c r="AP89" s="61"/>
      <c r="AQ89" s="61"/>
      <c r="AR89" s="62"/>
    </row>
    <row r="90" spans="1:44" s="3" customFormat="1" ht="13.8" thickBot="1" x14ac:dyDescent="0.3">
      <c r="A90" s="585"/>
      <c r="B90" s="173">
        <v>318.3</v>
      </c>
      <c r="C90" s="8"/>
      <c r="D90" s="173">
        <v>341.94</v>
      </c>
      <c r="E90" s="8"/>
      <c r="F90" s="173">
        <v>379.05</v>
      </c>
      <c r="G90" s="8"/>
      <c r="H90" s="173">
        <v>419.01</v>
      </c>
      <c r="I90" s="8"/>
      <c r="J90" s="173">
        <v>459.64</v>
      </c>
      <c r="K90" s="8"/>
      <c r="L90" s="173">
        <v>497.71</v>
      </c>
      <c r="M90" s="8"/>
      <c r="N90" s="173">
        <v>518.22</v>
      </c>
      <c r="O90" s="8"/>
      <c r="P90" s="173">
        <v>497.17</v>
      </c>
      <c r="Q90" s="8"/>
      <c r="R90" s="173">
        <v>552.37</v>
      </c>
      <c r="S90" s="8"/>
      <c r="T90" s="173">
        <v>562.1</v>
      </c>
      <c r="U90" s="8"/>
      <c r="V90" s="173">
        <f>+'Domestic Debt Colones'!V89</f>
        <v>512.5</v>
      </c>
      <c r="W90" s="8"/>
      <c r="X90" s="173">
        <f>+'Domestic Debt Colones'!X89</f>
        <v>510.82</v>
      </c>
      <c r="Y90" s="8"/>
      <c r="Z90" s="173">
        <f>+'Domestic Debt Colones'!Z89</f>
        <v>509.23</v>
      </c>
      <c r="AA90" s="8"/>
      <c r="AB90" s="173">
        <f>+'Domestic Debt Colones'!AB89</f>
        <v>502.47</v>
      </c>
      <c r="AC90" s="8"/>
      <c r="AD90" s="173">
        <f>+'Domestic Debt Colones'!AD89</f>
        <v>542.22</v>
      </c>
      <c r="AE90" s="8"/>
      <c r="AF90" s="173">
        <f>+'Domestic Debt Colones'!AF89</f>
        <v>537.80999999999995</v>
      </c>
      <c r="AG90" s="8"/>
      <c r="AH90" s="173">
        <f>+'Domestic Debt Colones'!AH89</f>
        <v>556.44000000000005</v>
      </c>
      <c r="AI90" s="8"/>
      <c r="AJ90" s="173">
        <f>+'Domestic Debt Colones'!AJ89</f>
        <v>570.49</v>
      </c>
      <c r="AK90" s="8"/>
      <c r="AL90" s="173">
        <f>+'Domestic Debt Colones'!AL89</f>
        <v>609.87</v>
      </c>
      <c r="AM90" s="8"/>
      <c r="AN90" s="689">
        <f>+'Domestic Debt Colones'!AN89</f>
        <v>573.53</v>
      </c>
      <c r="AO90" s="105"/>
      <c r="AP90" s="441">
        <f>+'Domestic Debt Colones'!AP89</f>
        <v>615.74</v>
      </c>
      <c r="AR90" s="8"/>
    </row>
    <row r="91" spans="1:44" x14ac:dyDescent="0.25">
      <c r="A91" s="60"/>
      <c r="B91" s="136"/>
      <c r="F91" s="136"/>
      <c r="P91" s="4"/>
      <c r="Q91" s="4"/>
      <c r="AN91" s="30"/>
      <c r="AO91" s="30"/>
    </row>
    <row r="92" spans="1:44" x14ac:dyDescent="0.25">
      <c r="A92" s="60"/>
      <c r="P92" s="4"/>
      <c r="Q92" s="4"/>
    </row>
    <row r="93" spans="1:44" x14ac:dyDescent="0.25">
      <c r="A93" s="60"/>
      <c r="B93" s="137"/>
      <c r="F93" s="137"/>
      <c r="P93" s="4"/>
      <c r="Q93" s="4"/>
    </row>
    <row r="94" spans="1:44" x14ac:dyDescent="0.25">
      <c r="A94" s="61"/>
    </row>
    <row r="95" spans="1:44" x14ac:dyDescent="0.25">
      <c r="A95" s="61"/>
    </row>
    <row r="96" spans="1:44" x14ac:dyDescent="0.25">
      <c r="A96" s="62"/>
    </row>
    <row r="97" spans="1:1" x14ac:dyDescent="0.25">
      <c r="A97" s="585"/>
    </row>
    <row r="98" spans="1:1" x14ac:dyDescent="0.25">
      <c r="A98" s="585"/>
    </row>
    <row r="99" spans="1:1" x14ac:dyDescent="0.25">
      <c r="A99" s="585"/>
    </row>
    <row r="100" spans="1:1" x14ac:dyDescent="0.25">
      <c r="A100" s="585"/>
    </row>
    <row r="101" spans="1:1" x14ac:dyDescent="0.25">
      <c r="A101" s="585"/>
    </row>
    <row r="102" spans="1:1" x14ac:dyDescent="0.25">
      <c r="A102" s="585"/>
    </row>
    <row r="103" spans="1:1" x14ac:dyDescent="0.25">
      <c r="A103" s="585"/>
    </row>
  </sheetData>
  <mergeCells count="27">
    <mergeCell ref="A3:AO3"/>
    <mergeCell ref="A4:AO4"/>
    <mergeCell ref="A5:AO5"/>
    <mergeCell ref="F6:G6"/>
    <mergeCell ref="H6:I6"/>
    <mergeCell ref="J6:K6"/>
    <mergeCell ref="L6:M6"/>
    <mergeCell ref="N6:O6"/>
    <mergeCell ref="P6:Q6"/>
    <mergeCell ref="Z6:AA6"/>
    <mergeCell ref="R6:S6"/>
    <mergeCell ref="T6:U6"/>
    <mergeCell ref="AN6:AO6"/>
    <mergeCell ref="AL6:AM6"/>
    <mergeCell ref="AP6:AQ6"/>
    <mergeCell ref="AP80:AQ80"/>
    <mergeCell ref="AL80:AM80"/>
    <mergeCell ref="AN80:AO80"/>
    <mergeCell ref="B6:C6"/>
    <mergeCell ref="AB6:AC6"/>
    <mergeCell ref="D6:E6"/>
    <mergeCell ref="AH6:AI6"/>
    <mergeCell ref="AJ6:AK6"/>
    <mergeCell ref="AF6:AG6"/>
    <mergeCell ref="AD6:AE6"/>
    <mergeCell ref="V6:W6"/>
    <mergeCell ref="X6:Y6"/>
  </mergeCells>
  <hyperlinks>
    <hyperlink ref="AQ3" location="CONTENTS!B8" display="Å CONTENTS" xr:uid="{00000000-0004-0000-0200-000000000000}"/>
  </hyperlinks>
  <printOptions horizontalCentered="1" verticalCentered="1"/>
  <pageMargins left="0.19685039370078741" right="0.27559055118110237" top="0.27559055118110237" bottom="0.70866141732283472" header="0" footer="0.55118110236220474"/>
  <pageSetup scale="6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1">
    <tabColor theme="4" tint="0.79998168889431442"/>
  </sheetPr>
  <dimension ref="A1:Y128"/>
  <sheetViews>
    <sheetView showGridLines="0" zoomScaleNormal="100" workbookViewId="0">
      <selection activeCell="B2" sqref="B2"/>
    </sheetView>
  </sheetViews>
  <sheetFormatPr baseColWidth="10" defaultColWidth="11.44140625" defaultRowHeight="13.2" x14ac:dyDescent="0.25"/>
  <cols>
    <col min="1" max="1" width="3.109375" style="621" customWidth="1"/>
    <col min="2" max="2" width="20.5546875" style="621" bestFit="1" customWidth="1"/>
    <col min="3" max="3" width="14.44140625" style="621" customWidth="1"/>
    <col min="4" max="5" width="11.44140625" style="621"/>
    <col min="6" max="6" width="12.88671875" style="621" customWidth="1"/>
    <col min="7" max="7" width="14" style="621" customWidth="1"/>
    <col min="8" max="11" width="11.44140625" style="621"/>
    <col min="12" max="13" width="12" style="621" customWidth="1"/>
    <col min="14" max="14" width="14.33203125" style="621" bestFit="1" customWidth="1"/>
    <col min="15" max="16" width="9.109375" style="621" bestFit="1" customWidth="1"/>
    <col min="17" max="17" width="9.109375" style="621" customWidth="1"/>
    <col min="18" max="18" width="14" style="621" bestFit="1" customWidth="1"/>
    <col min="19" max="20" width="9.5546875" style="621" bestFit="1" customWidth="1"/>
    <col min="21" max="16384" width="11.44140625" style="621"/>
  </cols>
  <sheetData>
    <row r="1" spans="1:14" s="130" customFormat="1" x14ac:dyDescent="0.25">
      <c r="A1" s="585"/>
      <c r="B1" s="585"/>
      <c r="C1" s="585"/>
      <c r="D1" s="585"/>
      <c r="E1" s="585"/>
      <c r="F1" s="585"/>
      <c r="G1" s="585"/>
      <c r="H1" s="585"/>
      <c r="I1" s="585"/>
      <c r="J1" s="585"/>
      <c r="K1" s="585"/>
      <c r="L1" s="585"/>
      <c r="M1" s="585"/>
      <c r="N1" s="585"/>
    </row>
    <row r="2" spans="1:14" s="130" customFormat="1" ht="15.6" x14ac:dyDescent="0.3">
      <c r="A2" s="585"/>
      <c r="B2" s="585"/>
      <c r="C2" s="585"/>
      <c r="D2" s="585"/>
      <c r="E2" s="585"/>
      <c r="F2" s="585"/>
      <c r="G2" s="585"/>
      <c r="H2" s="585"/>
      <c r="I2" s="585"/>
      <c r="J2" s="585"/>
      <c r="K2" s="585"/>
      <c r="L2" s="585"/>
      <c r="M2" s="585"/>
      <c r="N2" s="311"/>
    </row>
    <row r="3" spans="1:14" s="312" customFormat="1" ht="15.6" x14ac:dyDescent="0.25">
      <c r="A3" s="790" t="s">
        <v>125</v>
      </c>
      <c r="B3" s="790"/>
      <c r="C3" s="790"/>
      <c r="D3" s="790"/>
      <c r="E3" s="790"/>
      <c r="F3" s="790"/>
      <c r="G3" s="790"/>
      <c r="H3" s="790"/>
      <c r="I3" s="790"/>
      <c r="J3" s="790"/>
      <c r="K3" s="790"/>
      <c r="L3" s="790"/>
      <c r="M3" s="790"/>
    </row>
    <row r="4" spans="1:14" s="130" customFormat="1" x14ac:dyDescent="0.25">
      <c r="A4" s="585"/>
      <c r="B4" s="585"/>
      <c r="C4" s="585"/>
      <c r="D4" s="585"/>
      <c r="E4" s="585"/>
      <c r="F4" s="585"/>
      <c r="G4" s="585"/>
      <c r="H4" s="585"/>
      <c r="I4" s="585"/>
      <c r="J4" s="585"/>
      <c r="K4" s="585"/>
      <c r="L4" s="585"/>
      <c r="M4" s="585"/>
      <c r="N4" s="585"/>
    </row>
    <row r="5" spans="1:14" s="130" customFormat="1" x14ac:dyDescent="0.25">
      <c r="A5" s="585"/>
      <c r="B5" s="585"/>
      <c r="C5" s="585"/>
      <c r="D5" s="585"/>
      <c r="E5" s="585"/>
      <c r="F5" s="585"/>
      <c r="G5" s="585"/>
      <c r="H5" s="585"/>
      <c r="I5" s="585"/>
      <c r="J5" s="585"/>
      <c r="K5" s="585"/>
      <c r="L5" s="585"/>
      <c r="M5" s="585"/>
      <c r="N5" s="585"/>
    </row>
    <row r="6" spans="1:14" s="130" customFormat="1" ht="13.8" x14ac:dyDescent="0.25">
      <c r="A6" s="585"/>
      <c r="B6" s="788" t="s">
        <v>126</v>
      </c>
      <c r="C6" s="788"/>
      <c r="D6" s="788"/>
      <c r="E6" s="788"/>
      <c r="F6" s="788"/>
      <c r="G6" s="585"/>
      <c r="H6" s="788" t="s">
        <v>127</v>
      </c>
      <c r="I6" s="788"/>
      <c r="J6" s="788"/>
      <c r="K6" s="788"/>
      <c r="L6" s="788"/>
      <c r="M6" s="788"/>
      <c r="N6" s="585"/>
    </row>
    <row r="7" spans="1:14" s="130" customFormat="1" ht="13.8" x14ac:dyDescent="0.25">
      <c r="A7" s="585"/>
      <c r="B7" s="788" t="s">
        <v>128</v>
      </c>
      <c r="C7" s="788"/>
      <c r="D7" s="788"/>
      <c r="E7" s="788"/>
      <c r="F7" s="788"/>
      <c r="G7" s="585"/>
      <c r="H7" s="788" t="str">
        <f>+B7</f>
        <v>Domestic Public Debt of the Central Goverment of Costa Rica</v>
      </c>
      <c r="I7" s="788"/>
      <c r="J7" s="788"/>
      <c r="K7" s="788"/>
      <c r="L7" s="788"/>
      <c r="M7" s="788"/>
      <c r="N7" s="585"/>
    </row>
    <row r="8" spans="1:14" s="130" customFormat="1" ht="13.8" x14ac:dyDescent="0.25">
      <c r="A8" s="585"/>
      <c r="B8" s="786" t="s">
        <v>129</v>
      </c>
      <c r="C8" s="786"/>
      <c r="D8" s="786"/>
      <c r="E8" s="786"/>
      <c r="F8" s="786"/>
      <c r="G8" s="585"/>
      <c r="H8" s="788" t="s">
        <v>130</v>
      </c>
      <c r="I8" s="788"/>
      <c r="J8" s="788"/>
      <c r="K8" s="788"/>
      <c r="L8" s="788"/>
      <c r="M8" s="788"/>
      <c r="N8" s="585"/>
    </row>
    <row r="9" spans="1:14" s="130" customFormat="1" ht="13.8" x14ac:dyDescent="0.25">
      <c r="A9" s="585"/>
      <c r="B9" s="787" t="s">
        <v>66</v>
      </c>
      <c r="C9" s="787"/>
      <c r="D9" s="787"/>
      <c r="E9" s="787"/>
      <c r="F9" s="787"/>
      <c r="G9" s="585"/>
      <c r="H9" s="787" t="str">
        <f>+B9</f>
        <v>December 2020</v>
      </c>
      <c r="I9" s="788"/>
      <c r="J9" s="788"/>
      <c r="K9" s="788"/>
      <c r="L9" s="788"/>
      <c r="M9" s="788"/>
      <c r="N9" s="585"/>
    </row>
    <row r="10" spans="1:14" s="130" customFormat="1" x14ac:dyDescent="0.25">
      <c r="A10" s="585"/>
      <c r="B10" s="585"/>
      <c r="C10" s="585"/>
      <c r="D10" s="585"/>
      <c r="E10" s="585"/>
      <c r="F10" s="585"/>
      <c r="G10" s="585"/>
      <c r="H10" s="585"/>
      <c r="I10" s="585"/>
      <c r="J10" s="585"/>
      <c r="K10" s="585"/>
      <c r="L10" s="585"/>
      <c r="M10" s="585"/>
      <c r="N10" s="585"/>
    </row>
    <row r="11" spans="1:14" s="130" customFormat="1" x14ac:dyDescent="0.25">
      <c r="A11" s="585"/>
      <c r="B11" s="585"/>
      <c r="C11" s="585"/>
      <c r="D11" s="585"/>
      <c r="E11" s="585"/>
      <c r="F11" s="585"/>
      <c r="G11" s="585"/>
      <c r="H11" s="585"/>
      <c r="I11" s="585"/>
      <c r="J11" s="585"/>
      <c r="K11" s="585"/>
      <c r="L11" s="585"/>
      <c r="M11" s="585"/>
      <c r="N11" s="585"/>
    </row>
    <row r="12" spans="1:14" s="130" customFormat="1" x14ac:dyDescent="0.25">
      <c r="A12" s="585"/>
      <c r="B12" s="585"/>
      <c r="C12" s="585"/>
      <c r="D12" s="585"/>
      <c r="E12" s="585"/>
      <c r="F12" s="585"/>
      <c r="G12" s="585"/>
      <c r="H12" s="585"/>
      <c r="I12" s="585"/>
      <c r="J12" s="585"/>
      <c r="K12" s="585"/>
      <c r="L12" s="585"/>
      <c r="M12" s="585"/>
      <c r="N12" s="585"/>
    </row>
    <row r="13" spans="1:14" s="130" customFormat="1" x14ac:dyDescent="0.25">
      <c r="A13" s="585"/>
      <c r="B13" s="585"/>
      <c r="C13" s="585"/>
      <c r="D13" s="585"/>
      <c r="E13" s="585"/>
      <c r="F13" s="585"/>
      <c r="G13" s="585"/>
      <c r="H13" s="585"/>
      <c r="I13" s="585"/>
      <c r="J13" s="585"/>
      <c r="K13" s="585"/>
      <c r="L13" s="585"/>
      <c r="M13" s="585"/>
      <c r="N13" s="585"/>
    </row>
    <row r="14" spans="1:14" s="130" customFormat="1" x14ac:dyDescent="0.25">
      <c r="A14" s="585"/>
      <c r="B14" s="585"/>
      <c r="C14" s="585"/>
      <c r="D14" s="585"/>
      <c r="E14" s="585"/>
      <c r="F14" s="585"/>
      <c r="G14" s="585"/>
      <c r="H14" s="585"/>
      <c r="I14" s="585"/>
      <c r="J14" s="585"/>
      <c r="K14" s="585"/>
      <c r="L14" s="585"/>
      <c r="M14" s="585"/>
      <c r="N14" s="585"/>
    </row>
    <row r="15" spans="1:14" s="130" customFormat="1" x14ac:dyDescent="0.25">
      <c r="A15" s="585"/>
      <c r="B15" s="585"/>
      <c r="C15" s="585"/>
      <c r="D15" s="585"/>
      <c r="E15" s="585"/>
      <c r="F15" s="585"/>
      <c r="G15" s="585"/>
      <c r="H15" s="585"/>
      <c r="I15" s="585"/>
      <c r="J15" s="585"/>
      <c r="K15" s="585"/>
      <c r="L15" s="585"/>
      <c r="M15" s="585"/>
      <c r="N15" s="585"/>
    </row>
    <row r="16" spans="1:14" s="130" customFormat="1" x14ac:dyDescent="0.25">
      <c r="A16" s="585"/>
      <c r="B16" s="585"/>
      <c r="C16" s="585"/>
      <c r="D16" s="585"/>
      <c r="E16" s="585"/>
      <c r="F16" s="585"/>
      <c r="G16" s="585"/>
      <c r="H16" s="585"/>
      <c r="I16" s="585"/>
      <c r="J16" s="585"/>
      <c r="K16" s="585"/>
      <c r="L16" s="585"/>
      <c r="M16" s="585"/>
      <c r="N16" s="585"/>
    </row>
    <row r="17" spans="2:13" s="130" customFormat="1" x14ac:dyDescent="0.25">
      <c r="B17" s="585"/>
      <c r="C17" s="585"/>
      <c r="D17" s="585"/>
      <c r="E17" s="585"/>
      <c r="F17" s="585"/>
      <c r="G17" s="585"/>
      <c r="H17" s="585"/>
      <c r="I17" s="585"/>
      <c r="J17" s="585"/>
      <c r="K17" s="585"/>
      <c r="L17" s="585"/>
      <c r="M17" s="585"/>
    </row>
    <row r="18" spans="2:13" s="130" customFormat="1" x14ac:dyDescent="0.25">
      <c r="B18" s="585"/>
      <c r="C18" s="585"/>
      <c r="D18" s="585"/>
      <c r="E18" s="585"/>
      <c r="F18" s="585"/>
      <c r="G18" s="585"/>
      <c r="H18" s="585"/>
      <c r="I18" s="585"/>
      <c r="J18" s="585"/>
      <c r="K18" s="585"/>
      <c r="L18" s="585"/>
      <c r="M18" s="585"/>
    </row>
    <row r="19" spans="2:13" s="130" customFormat="1" x14ac:dyDescent="0.25">
      <c r="B19" s="585"/>
      <c r="C19" s="585"/>
      <c r="D19" s="585"/>
      <c r="E19" s="585"/>
      <c r="F19" s="585"/>
      <c r="G19" s="585"/>
      <c r="H19" s="585"/>
      <c r="I19" s="585"/>
      <c r="J19" s="585"/>
      <c r="K19" s="585"/>
      <c r="L19" s="585"/>
      <c r="M19" s="585"/>
    </row>
    <row r="20" spans="2:13" s="130" customFormat="1" x14ac:dyDescent="0.25">
      <c r="B20" s="585"/>
      <c r="C20" s="585"/>
      <c r="D20" s="585"/>
      <c r="E20" s="585"/>
      <c r="F20" s="585"/>
      <c r="G20" s="585"/>
      <c r="H20" s="585"/>
      <c r="I20" s="585"/>
      <c r="J20" s="585"/>
      <c r="K20" s="585"/>
      <c r="L20" s="585"/>
      <c r="M20" s="585"/>
    </row>
    <row r="21" spans="2:13" s="130" customFormat="1" x14ac:dyDescent="0.25">
      <c r="B21" s="585"/>
      <c r="C21" s="585"/>
      <c r="D21" s="585"/>
      <c r="E21" s="585"/>
      <c r="F21" s="585"/>
      <c r="G21" s="585"/>
      <c r="H21" s="585"/>
      <c r="I21" s="585"/>
      <c r="J21" s="585"/>
      <c r="K21" s="585"/>
      <c r="L21" s="585"/>
      <c r="M21" s="585"/>
    </row>
    <row r="22" spans="2:13" s="130" customFormat="1" x14ac:dyDescent="0.25">
      <c r="B22" s="585"/>
      <c r="C22" s="585"/>
      <c r="D22" s="585"/>
      <c r="E22" s="585"/>
      <c r="F22" s="585"/>
      <c r="G22" s="585"/>
      <c r="H22" s="585"/>
      <c r="I22" s="585"/>
      <c r="J22" s="585"/>
      <c r="K22" s="585"/>
      <c r="L22" s="585"/>
      <c r="M22" s="585"/>
    </row>
    <row r="23" spans="2:13" s="130" customFormat="1" x14ac:dyDescent="0.25">
      <c r="B23" s="585"/>
      <c r="C23" s="585"/>
      <c r="D23" s="585"/>
      <c r="E23" s="585"/>
      <c r="F23" s="585"/>
      <c r="G23" s="585"/>
      <c r="H23" s="585"/>
      <c r="I23" s="585"/>
      <c r="J23" s="585"/>
      <c r="K23" s="585"/>
      <c r="L23" s="585"/>
      <c r="M23" s="585"/>
    </row>
    <row r="24" spans="2:13" s="130" customFormat="1" x14ac:dyDescent="0.25">
      <c r="B24" s="585"/>
      <c r="C24" s="585"/>
      <c r="D24" s="585"/>
      <c r="E24" s="585"/>
      <c r="F24" s="585"/>
      <c r="G24" s="585"/>
      <c r="H24" s="585"/>
      <c r="I24" s="585"/>
      <c r="J24" s="585"/>
      <c r="K24" s="585"/>
      <c r="L24" s="585"/>
      <c r="M24" s="585"/>
    </row>
    <row r="25" spans="2:13" s="130" customFormat="1" ht="25.5" customHeight="1" x14ac:dyDescent="0.25">
      <c r="B25" s="585"/>
      <c r="C25" s="585"/>
      <c r="D25" s="585"/>
      <c r="E25" s="585"/>
      <c r="F25" s="585"/>
      <c r="G25" s="316" t="s">
        <v>43</v>
      </c>
      <c r="H25" s="585"/>
      <c r="I25" s="585"/>
      <c r="J25" s="585"/>
      <c r="K25" s="585"/>
      <c r="L25" s="585"/>
      <c r="M25" s="585"/>
    </row>
    <row r="26" spans="2:13" s="130" customFormat="1" x14ac:dyDescent="0.25">
      <c r="B26" s="585"/>
      <c r="C26" s="585"/>
      <c r="D26" s="585"/>
      <c r="E26" s="585"/>
      <c r="F26" s="585"/>
      <c r="G26" s="585"/>
      <c r="H26" s="585"/>
      <c r="I26" s="585"/>
      <c r="J26" s="585"/>
      <c r="K26" s="585"/>
      <c r="L26" s="585"/>
      <c r="M26" s="585"/>
    </row>
    <row r="27" spans="2:13" s="393" customFormat="1" x14ac:dyDescent="0.25">
      <c r="B27" s="585"/>
      <c r="C27" s="585"/>
      <c r="D27" s="585"/>
      <c r="E27" s="585"/>
      <c r="F27" s="585"/>
      <c r="G27" s="585"/>
      <c r="H27" s="585"/>
      <c r="I27" s="585"/>
      <c r="J27" s="585"/>
      <c r="K27" s="585"/>
      <c r="L27" s="585"/>
      <c r="M27" s="585"/>
    </row>
    <row r="28" spans="2:13" s="130" customFormat="1" ht="13.8" x14ac:dyDescent="0.25">
      <c r="B28" s="788" t="s">
        <v>131</v>
      </c>
      <c r="C28" s="788"/>
      <c r="D28" s="788"/>
      <c r="E28" s="788"/>
      <c r="F28" s="788"/>
      <c r="G28" s="585"/>
      <c r="H28" s="788" t="s">
        <v>132</v>
      </c>
      <c r="I28" s="788"/>
      <c r="J28" s="788"/>
      <c r="K28" s="788"/>
      <c r="L28" s="788"/>
      <c r="M28" s="788"/>
    </row>
    <row r="29" spans="2:13" s="130" customFormat="1" ht="15" customHeight="1" x14ac:dyDescent="0.25">
      <c r="B29" s="788" t="s">
        <v>128</v>
      </c>
      <c r="C29" s="788"/>
      <c r="D29" s="788"/>
      <c r="E29" s="788"/>
      <c r="F29" s="788"/>
      <c r="G29" s="108"/>
      <c r="H29" s="788" t="s">
        <v>128</v>
      </c>
      <c r="I29" s="788"/>
      <c r="J29" s="788"/>
      <c r="K29" s="788"/>
      <c r="L29" s="788"/>
      <c r="M29" s="788"/>
    </row>
    <row r="30" spans="2:13" s="130" customFormat="1" ht="13.8" x14ac:dyDescent="0.25">
      <c r="B30" s="786" t="s">
        <v>133</v>
      </c>
      <c r="C30" s="786"/>
      <c r="D30" s="786"/>
      <c r="E30" s="786"/>
      <c r="F30" s="786"/>
      <c r="G30" s="108"/>
      <c r="H30" s="786" t="s">
        <v>134</v>
      </c>
      <c r="I30" s="786"/>
      <c r="J30" s="786"/>
      <c r="K30" s="786"/>
      <c r="L30" s="786"/>
      <c r="M30" s="786"/>
    </row>
    <row r="31" spans="2:13" s="130" customFormat="1" ht="13.8" x14ac:dyDescent="0.25">
      <c r="B31" s="787" t="str">
        <f>+B9</f>
        <v>December 2020</v>
      </c>
      <c r="C31" s="786"/>
      <c r="D31" s="786"/>
      <c r="E31" s="786"/>
      <c r="F31" s="786"/>
      <c r="G31" s="108"/>
      <c r="H31" s="787" t="str">
        <f>+B31</f>
        <v>December 2020</v>
      </c>
      <c r="I31" s="788"/>
      <c r="J31" s="788"/>
      <c r="K31" s="788"/>
      <c r="L31" s="788"/>
      <c r="M31" s="788"/>
    </row>
    <row r="32" spans="2:13" s="130" customFormat="1" x14ac:dyDescent="0.25">
      <c r="B32" s="585"/>
      <c r="C32" s="585"/>
      <c r="D32" s="585"/>
      <c r="E32" s="585"/>
      <c r="F32" s="585"/>
      <c r="G32" s="585"/>
      <c r="H32" s="585"/>
      <c r="I32" s="585"/>
      <c r="J32" s="585"/>
      <c r="K32" s="585"/>
      <c r="L32" s="585"/>
      <c r="M32" s="585"/>
    </row>
    <row r="33" spans="2:13" s="130" customFormat="1" x14ac:dyDescent="0.25">
      <c r="B33" s="585"/>
      <c r="C33" s="585"/>
      <c r="D33" s="585"/>
      <c r="E33" s="585"/>
      <c r="F33" s="585"/>
      <c r="G33" s="585"/>
      <c r="H33" s="585"/>
      <c r="I33" s="585"/>
      <c r="J33" s="585"/>
      <c r="K33" s="585"/>
      <c r="L33" s="585"/>
      <c r="M33" s="585"/>
    </row>
    <row r="34" spans="2:13" s="130" customFormat="1" x14ac:dyDescent="0.25">
      <c r="B34" s="585"/>
      <c r="C34" s="585"/>
      <c r="D34" s="585"/>
      <c r="E34" s="585"/>
      <c r="F34" s="585"/>
      <c r="G34" s="585"/>
      <c r="H34" s="585"/>
      <c r="I34" s="585"/>
      <c r="J34" s="585"/>
      <c r="K34" s="585"/>
      <c r="L34" s="585"/>
      <c r="M34" s="585"/>
    </row>
    <row r="35" spans="2:13" s="130" customFormat="1" x14ac:dyDescent="0.25">
      <c r="B35" s="585"/>
      <c r="C35" s="585"/>
      <c r="D35" s="585"/>
      <c r="E35" s="585"/>
      <c r="F35" s="585"/>
      <c r="G35" s="585"/>
      <c r="H35" s="585"/>
      <c r="I35" s="585"/>
      <c r="J35" s="585"/>
      <c r="K35" s="585"/>
      <c r="L35" s="585"/>
      <c r="M35" s="585"/>
    </row>
    <row r="36" spans="2:13" s="130" customFormat="1" x14ac:dyDescent="0.25">
      <c r="B36" s="585"/>
      <c r="C36" s="585"/>
      <c r="D36" s="585"/>
      <c r="E36" s="585"/>
      <c r="F36" s="585"/>
      <c r="G36" s="585"/>
      <c r="H36" s="585"/>
      <c r="I36" s="585"/>
      <c r="J36" s="585"/>
      <c r="K36" s="585"/>
      <c r="L36" s="585"/>
      <c r="M36" s="585"/>
    </row>
    <row r="37" spans="2:13" s="130" customFormat="1" x14ac:dyDescent="0.25">
      <c r="B37" s="585"/>
      <c r="C37" s="585"/>
      <c r="D37" s="585"/>
      <c r="E37" s="585"/>
      <c r="F37" s="585"/>
      <c r="G37" s="585"/>
      <c r="H37" s="585"/>
      <c r="I37" s="585"/>
      <c r="J37" s="585"/>
      <c r="K37" s="585"/>
      <c r="L37" s="585"/>
      <c r="M37" s="585"/>
    </row>
    <row r="38" spans="2:13" s="130" customFormat="1" x14ac:dyDescent="0.25">
      <c r="B38" s="585"/>
      <c r="C38" s="585"/>
      <c r="D38" s="585"/>
      <c r="E38" s="585"/>
      <c r="F38" s="585"/>
      <c r="G38" s="585"/>
      <c r="H38" s="585"/>
      <c r="I38" s="585"/>
      <c r="J38" s="585"/>
      <c r="K38" s="585"/>
      <c r="L38" s="585"/>
      <c r="M38" s="585"/>
    </row>
    <row r="39" spans="2:13" s="130" customFormat="1" x14ac:dyDescent="0.25">
      <c r="B39" s="585"/>
      <c r="C39" s="585"/>
      <c r="D39" s="585"/>
      <c r="E39" s="585"/>
      <c r="F39" s="585"/>
      <c r="G39" s="585"/>
      <c r="H39" s="585"/>
      <c r="I39" s="585"/>
      <c r="J39" s="585"/>
      <c r="K39" s="585"/>
      <c r="L39" s="585"/>
      <c r="M39" s="585"/>
    </row>
    <row r="40" spans="2:13" s="130" customFormat="1" x14ac:dyDescent="0.25">
      <c r="B40" s="585"/>
      <c r="C40" s="585"/>
      <c r="D40" s="585"/>
      <c r="E40" s="585"/>
      <c r="F40" s="585"/>
      <c r="G40" s="585"/>
      <c r="H40" s="585"/>
      <c r="I40" s="585"/>
      <c r="J40" s="585"/>
      <c r="K40" s="585"/>
      <c r="L40" s="585"/>
      <c r="M40" s="585"/>
    </row>
    <row r="41" spans="2:13" s="130" customFormat="1" x14ac:dyDescent="0.25">
      <c r="B41" s="585"/>
      <c r="C41" s="585"/>
      <c r="D41" s="585"/>
      <c r="E41" s="585"/>
      <c r="F41" s="585"/>
      <c r="G41" s="585"/>
      <c r="H41" s="585"/>
      <c r="I41" s="585"/>
      <c r="J41" s="585"/>
      <c r="K41" s="585"/>
      <c r="L41" s="585"/>
      <c r="M41" s="585"/>
    </row>
    <row r="42" spans="2:13" s="130" customFormat="1" x14ac:dyDescent="0.25">
      <c r="B42" s="585"/>
      <c r="C42" s="585"/>
      <c r="D42" s="585"/>
      <c r="E42" s="585"/>
      <c r="F42" s="585"/>
      <c r="G42" s="585"/>
      <c r="H42" s="585"/>
      <c r="I42" s="585"/>
      <c r="J42" s="585"/>
      <c r="K42" s="585"/>
      <c r="L42" s="585"/>
      <c r="M42" s="585"/>
    </row>
    <row r="43" spans="2:13" s="130" customFormat="1" x14ac:dyDescent="0.25">
      <c r="B43" s="585"/>
      <c r="C43" s="585"/>
      <c r="D43" s="585"/>
      <c r="E43" s="585"/>
      <c r="F43" s="585"/>
      <c r="G43" s="585"/>
      <c r="H43" s="585"/>
      <c r="I43" s="585"/>
      <c r="J43" s="585"/>
      <c r="K43" s="585"/>
      <c r="L43" s="585"/>
      <c r="M43" s="585"/>
    </row>
    <row r="44" spans="2:13" s="130" customFormat="1" x14ac:dyDescent="0.25">
      <c r="B44" s="585"/>
      <c r="C44" s="585"/>
      <c r="D44" s="585"/>
      <c r="E44" s="585"/>
      <c r="F44" s="585"/>
      <c r="G44" s="585"/>
      <c r="H44" s="585"/>
      <c r="I44" s="585"/>
      <c r="J44" s="585"/>
      <c r="K44" s="585"/>
      <c r="L44" s="585"/>
      <c r="M44" s="585"/>
    </row>
    <row r="45" spans="2:13" s="130" customFormat="1" x14ac:dyDescent="0.25">
      <c r="B45" s="585"/>
      <c r="C45" s="585"/>
      <c r="D45" s="585"/>
      <c r="E45" s="585"/>
      <c r="F45" s="585"/>
      <c r="G45" s="585"/>
      <c r="H45" s="585"/>
      <c r="I45" s="585"/>
      <c r="J45" s="585"/>
      <c r="K45" s="585"/>
      <c r="L45" s="585"/>
      <c r="M45" s="585"/>
    </row>
    <row r="46" spans="2:13" s="130" customFormat="1" x14ac:dyDescent="0.25">
      <c r="B46" s="585"/>
      <c r="C46" s="585"/>
      <c r="D46" s="585"/>
      <c r="E46" s="585"/>
      <c r="F46" s="585"/>
      <c r="G46" s="585"/>
      <c r="H46" s="585"/>
      <c r="I46" s="585"/>
      <c r="J46" s="585"/>
      <c r="K46" s="585"/>
      <c r="L46" s="585"/>
      <c r="M46" s="585"/>
    </row>
    <row r="47" spans="2:13" s="130" customFormat="1" ht="13.8" x14ac:dyDescent="0.25">
      <c r="B47" s="788"/>
      <c r="C47" s="788"/>
      <c r="D47" s="788"/>
      <c r="E47" s="788"/>
      <c r="F47" s="788"/>
      <c r="G47" s="585"/>
      <c r="H47" s="788"/>
      <c r="I47" s="788"/>
      <c r="J47" s="788"/>
      <c r="K47" s="788"/>
      <c r="L47" s="788"/>
      <c r="M47" s="750"/>
    </row>
    <row r="48" spans="2:13" s="130" customFormat="1" x14ac:dyDescent="0.25">
      <c r="B48" s="585"/>
      <c r="C48" s="585"/>
      <c r="D48" s="585"/>
      <c r="E48" s="585"/>
      <c r="F48" s="585"/>
      <c r="G48" s="585"/>
      <c r="H48" s="585"/>
      <c r="I48" s="585"/>
      <c r="J48" s="585"/>
      <c r="K48" s="585"/>
      <c r="L48" s="585"/>
      <c r="M48" s="585"/>
    </row>
    <row r="49" spans="4:10" s="130" customFormat="1" ht="13.8" x14ac:dyDescent="0.25">
      <c r="D49" s="788" t="s">
        <v>135</v>
      </c>
      <c r="E49" s="788"/>
      <c r="F49" s="788"/>
      <c r="G49" s="788"/>
      <c r="H49" s="788"/>
      <c r="I49" s="788"/>
      <c r="J49" s="585"/>
    </row>
    <row r="50" spans="4:10" s="130" customFormat="1" ht="13.8" x14ac:dyDescent="0.25">
      <c r="D50" s="788" t="s">
        <v>136</v>
      </c>
      <c r="E50" s="788"/>
      <c r="F50" s="788"/>
      <c r="G50" s="788"/>
      <c r="H50" s="788"/>
      <c r="I50" s="788"/>
      <c r="J50" s="788"/>
    </row>
    <row r="51" spans="4:10" s="130" customFormat="1" ht="13.8" x14ac:dyDescent="0.25">
      <c r="D51" s="788" t="s">
        <v>137</v>
      </c>
      <c r="E51" s="788"/>
      <c r="F51" s="788"/>
      <c r="G51" s="788"/>
      <c r="H51" s="788"/>
      <c r="I51" s="788"/>
      <c r="J51" s="788"/>
    </row>
    <row r="52" spans="4:10" s="130" customFormat="1" ht="13.8" x14ac:dyDescent="0.25">
      <c r="D52" s="789" t="s">
        <v>138</v>
      </c>
      <c r="E52" s="789"/>
      <c r="F52" s="789"/>
      <c r="G52" s="789"/>
      <c r="H52" s="789"/>
      <c r="I52" s="789"/>
      <c r="J52" s="789"/>
    </row>
    <row r="53" spans="4:10" s="130" customFormat="1" ht="13.8" x14ac:dyDescent="0.25">
      <c r="D53" s="788" t="s">
        <v>139</v>
      </c>
      <c r="E53" s="788"/>
      <c r="F53" s="788"/>
      <c r="G53" s="788"/>
      <c r="H53" s="788"/>
      <c r="I53" s="788"/>
      <c r="J53" s="788"/>
    </row>
    <row r="54" spans="4:10" s="130" customFormat="1" x14ac:dyDescent="0.25">
      <c r="D54" s="585"/>
      <c r="E54" s="585"/>
      <c r="F54" s="585"/>
      <c r="G54" s="585"/>
      <c r="H54" s="585"/>
      <c r="I54" s="585"/>
      <c r="J54" s="585"/>
    </row>
    <row r="55" spans="4:10" s="130" customFormat="1" x14ac:dyDescent="0.25">
      <c r="D55" s="585"/>
      <c r="E55" s="585"/>
      <c r="F55" s="585"/>
      <c r="G55" s="585"/>
      <c r="H55" s="585"/>
      <c r="I55" s="585"/>
      <c r="J55" s="585"/>
    </row>
    <row r="56" spans="4:10" s="130" customFormat="1" x14ac:dyDescent="0.25">
      <c r="D56" s="585"/>
      <c r="E56" s="585"/>
      <c r="F56" s="585"/>
      <c r="G56" s="585"/>
      <c r="H56" s="585"/>
      <c r="I56" s="585"/>
      <c r="J56" s="585"/>
    </row>
    <row r="57" spans="4:10" s="130" customFormat="1" x14ac:dyDescent="0.25">
      <c r="D57" s="585"/>
      <c r="E57" s="585"/>
      <c r="F57" s="585"/>
      <c r="G57" s="585"/>
      <c r="H57" s="585"/>
      <c r="I57" s="585"/>
      <c r="J57" s="585"/>
    </row>
    <row r="58" spans="4:10" s="130" customFormat="1" x14ac:dyDescent="0.25">
      <c r="D58" s="585"/>
      <c r="E58" s="585"/>
      <c r="F58" s="585"/>
      <c r="G58" s="585"/>
      <c r="H58" s="585"/>
      <c r="I58" s="585"/>
      <c r="J58" s="585"/>
    </row>
    <row r="59" spans="4:10" s="130" customFormat="1" x14ac:dyDescent="0.25">
      <c r="D59" s="585"/>
      <c r="E59" s="585"/>
      <c r="F59" s="585"/>
      <c r="G59" s="585"/>
      <c r="H59" s="585"/>
      <c r="I59" s="585"/>
      <c r="J59" s="585"/>
    </row>
    <row r="60" spans="4:10" s="130" customFormat="1" x14ac:dyDescent="0.25">
      <c r="D60" s="585"/>
      <c r="E60" s="585"/>
      <c r="F60" s="585"/>
      <c r="G60" s="585"/>
      <c r="H60" s="585"/>
      <c r="I60" s="585"/>
      <c r="J60" s="585"/>
    </row>
    <row r="61" spans="4:10" s="130" customFormat="1" x14ac:dyDescent="0.25">
      <c r="D61" s="585"/>
      <c r="E61" s="585"/>
      <c r="F61" s="585"/>
      <c r="G61" s="585"/>
      <c r="H61" s="585"/>
      <c r="I61" s="585"/>
      <c r="J61" s="585"/>
    </row>
    <row r="62" spans="4:10" s="130" customFormat="1" x14ac:dyDescent="0.25">
      <c r="D62" s="585"/>
      <c r="E62" s="585"/>
      <c r="F62" s="585"/>
      <c r="G62" s="585"/>
      <c r="H62" s="585"/>
      <c r="I62" s="585"/>
      <c r="J62" s="585"/>
    </row>
    <row r="63" spans="4:10" s="130" customFormat="1" x14ac:dyDescent="0.25">
      <c r="D63" s="585"/>
      <c r="E63" s="585"/>
      <c r="F63" s="585"/>
      <c r="G63" s="585"/>
      <c r="H63" s="585"/>
      <c r="I63" s="585"/>
      <c r="J63" s="585"/>
    </row>
    <row r="64" spans="4:10" s="130" customFormat="1" x14ac:dyDescent="0.25">
      <c r="D64" s="585"/>
      <c r="E64" s="585"/>
      <c r="F64" s="585"/>
      <c r="G64" s="585"/>
      <c r="H64" s="585"/>
      <c r="I64" s="585"/>
      <c r="J64" s="585"/>
    </row>
    <row r="65" spans="7:7" s="130" customFormat="1" x14ac:dyDescent="0.25">
      <c r="G65" s="585"/>
    </row>
    <row r="66" spans="7:7" s="130" customFormat="1" x14ac:dyDescent="0.25">
      <c r="G66" s="585"/>
    </row>
    <row r="67" spans="7:7" s="130" customFormat="1" x14ac:dyDescent="0.25">
      <c r="G67" s="585"/>
    </row>
    <row r="68" spans="7:7" s="130" customFormat="1" x14ac:dyDescent="0.25">
      <c r="G68" s="585"/>
    </row>
    <row r="69" spans="7:7" s="130" customFormat="1" x14ac:dyDescent="0.25">
      <c r="G69" s="585"/>
    </row>
    <row r="70" spans="7:7" s="130" customFormat="1" x14ac:dyDescent="0.25">
      <c r="G70" s="585"/>
    </row>
    <row r="71" spans="7:7" s="130" customFormat="1" x14ac:dyDescent="0.25">
      <c r="G71" s="585"/>
    </row>
    <row r="72" spans="7:7" s="130" customFormat="1" x14ac:dyDescent="0.25">
      <c r="G72" s="585"/>
    </row>
    <row r="73" spans="7:7" s="130" customFormat="1" x14ac:dyDescent="0.25">
      <c r="G73" s="585"/>
    </row>
    <row r="74" spans="7:7" s="130" customFormat="1" x14ac:dyDescent="0.25">
      <c r="G74" s="585"/>
    </row>
    <row r="75" spans="7:7" s="130" customFormat="1" x14ac:dyDescent="0.25">
      <c r="G75" s="585"/>
    </row>
    <row r="76" spans="7:7" s="130" customFormat="1" x14ac:dyDescent="0.25">
      <c r="G76" s="585"/>
    </row>
    <row r="77" spans="7:7" s="585" customFormat="1" ht="26.25" customHeight="1" x14ac:dyDescent="0.25">
      <c r="G77" s="316" t="s">
        <v>43</v>
      </c>
    </row>
    <row r="81" spans="2:17" x14ac:dyDescent="0.25">
      <c r="B81" s="785" t="s">
        <v>140</v>
      </c>
      <c r="C81" s="785"/>
      <c r="D81" s="785"/>
      <c r="E81" s="785"/>
      <c r="F81" s="785"/>
      <c r="G81" s="785"/>
      <c r="H81" s="785"/>
    </row>
    <row r="82" spans="2:17" x14ac:dyDescent="0.25">
      <c r="B82" s="785" t="s">
        <v>141</v>
      </c>
      <c r="C82" s="785"/>
      <c r="D82" s="785"/>
      <c r="E82" s="785"/>
      <c r="F82" s="785"/>
      <c r="G82" s="785"/>
      <c r="H82" s="785"/>
      <c r="N82" s="664"/>
      <c r="P82" s="622"/>
      <c r="Q82" s="622"/>
    </row>
    <row r="83" spans="2:17" x14ac:dyDescent="0.25">
      <c r="H83" s="623" t="s">
        <v>142</v>
      </c>
      <c r="N83" s="664"/>
      <c r="P83" s="622"/>
      <c r="Q83" s="622"/>
    </row>
    <row r="84" spans="2:17" x14ac:dyDescent="0.25">
      <c r="B84" s="665" t="s">
        <v>143</v>
      </c>
      <c r="C84" s="665" t="s">
        <v>144</v>
      </c>
      <c r="D84" s="665" t="s">
        <v>145</v>
      </c>
      <c r="E84" s="666" t="s">
        <v>146</v>
      </c>
      <c r="F84" s="665" t="s">
        <v>147</v>
      </c>
      <c r="G84" s="665" t="s">
        <v>145</v>
      </c>
      <c r="H84" s="666" t="s">
        <v>146</v>
      </c>
      <c r="N84" s="664"/>
      <c r="P84" s="622"/>
      <c r="Q84" s="622"/>
    </row>
    <row r="85" spans="2:17" x14ac:dyDescent="0.25">
      <c r="B85" s="624" t="s">
        <v>148</v>
      </c>
      <c r="C85" s="699">
        <v>1145345.5873106807</v>
      </c>
      <c r="D85" s="622">
        <f>+C85/$C$91</f>
        <v>6.1840194069954418E-2</v>
      </c>
      <c r="E85" s="622">
        <f>+D85</f>
        <v>6.1840194069954418E-2</v>
      </c>
      <c r="F85" s="625">
        <f>+C85/$C$93</f>
        <v>1860.1123644893635</v>
      </c>
      <c r="G85" s="622">
        <f>+F85/$F$91</f>
        <v>6.1840194069954418E-2</v>
      </c>
      <c r="H85" s="622">
        <f>+G85</f>
        <v>6.1840194069954418E-2</v>
      </c>
      <c r="N85" s="664"/>
      <c r="P85" s="622"/>
      <c r="Q85" s="622"/>
    </row>
    <row r="86" spans="2:17" x14ac:dyDescent="0.25">
      <c r="B86" s="624" t="s">
        <v>149</v>
      </c>
      <c r="C86" s="699">
        <v>1204885.9082164958</v>
      </c>
      <c r="D86" s="622">
        <f>+C86/$C$91</f>
        <v>6.5054931211823028E-2</v>
      </c>
      <c r="E86" s="622">
        <f>+E85+D86</f>
        <v>0.12689512528177743</v>
      </c>
      <c r="F86" s="625">
        <f>+C86/$C$93</f>
        <v>1956.8095433405265</v>
      </c>
      <c r="G86" s="622">
        <f>+F86/$F$91</f>
        <v>6.5054931211823042E-2</v>
      </c>
      <c r="H86" s="622">
        <f>+H85+G86</f>
        <v>0.12689512528177746</v>
      </c>
      <c r="N86" s="664"/>
      <c r="P86" s="622"/>
      <c r="Q86" s="622"/>
    </row>
    <row r="87" spans="2:17" x14ac:dyDescent="0.25">
      <c r="B87" s="624" t="s">
        <v>150</v>
      </c>
      <c r="C87" s="699">
        <v>2043325.4948499373</v>
      </c>
      <c r="D87" s="622">
        <f>+C87/$C$91</f>
        <v>0.11032447022937722</v>
      </c>
      <c r="E87" s="622">
        <f>+E86+D87</f>
        <v>0.23721959551115465</v>
      </c>
      <c r="F87" s="625">
        <f>+C87/$C$93</f>
        <v>3318.4875025983974</v>
      </c>
      <c r="G87" s="622">
        <f>+F87/$F$91</f>
        <v>0.11032447022937723</v>
      </c>
      <c r="H87" s="622">
        <f>+H86+G87</f>
        <v>0.23721959551115468</v>
      </c>
      <c r="N87" s="664"/>
      <c r="P87" s="622"/>
      <c r="Q87" s="622"/>
    </row>
    <row r="88" spans="2:17" x14ac:dyDescent="0.25">
      <c r="B88" s="624" t="s">
        <v>151</v>
      </c>
      <c r="C88" s="699">
        <v>3558856.0861061318</v>
      </c>
      <c r="D88" s="622">
        <f>+C88/$C$91</f>
        <v>0.19215191770075218</v>
      </c>
      <c r="E88" s="622">
        <f>+E87+D88</f>
        <v>0.42937151321190681</v>
      </c>
      <c r="F88" s="625">
        <f>+C88/$C$93</f>
        <v>5779.8033035146846</v>
      </c>
      <c r="G88" s="622">
        <f>+F88/$F$91</f>
        <v>0.19215191770075221</v>
      </c>
      <c r="H88" s="622">
        <f>+H87+G88</f>
        <v>0.42937151321190692</v>
      </c>
      <c r="N88" s="664"/>
      <c r="P88" s="622"/>
      <c r="Q88" s="622"/>
    </row>
    <row r="89" spans="2:17" x14ac:dyDescent="0.25">
      <c r="B89" s="624" t="s">
        <v>152</v>
      </c>
      <c r="C89" s="699">
        <v>10568641.142962623</v>
      </c>
      <c r="D89" s="622">
        <f>+C89/$C$91</f>
        <v>0.57062848678809308</v>
      </c>
      <c r="E89" s="622">
        <f>+E88+D89</f>
        <v>0.99999999999999989</v>
      </c>
      <c r="F89" s="625">
        <f>+C89/$C$93</f>
        <v>17164.129572486152</v>
      </c>
      <c r="G89" s="622">
        <f>+F89/$F$91</f>
        <v>0.57062848678809308</v>
      </c>
      <c r="H89" s="622">
        <f>+H88+G89</f>
        <v>1</v>
      </c>
      <c r="N89" s="664"/>
      <c r="P89" s="622"/>
      <c r="Q89" s="622"/>
    </row>
    <row r="90" spans="2:17" x14ac:dyDescent="0.25">
      <c r="B90" s="667"/>
      <c r="C90" s="668"/>
      <c r="D90" s="667"/>
      <c r="E90" s="667"/>
      <c r="H90" s="622"/>
      <c r="N90" s="664"/>
      <c r="P90" s="622"/>
      <c r="Q90" s="622"/>
    </row>
    <row r="91" spans="2:17" x14ac:dyDescent="0.25">
      <c r="B91" s="669"/>
      <c r="C91" s="664">
        <f>SUM(C85:C90)</f>
        <v>18521054.219445869</v>
      </c>
      <c r="D91" s="665">
        <f>SUM(D85:D90)</f>
        <v>0.99999999999999989</v>
      </c>
      <c r="E91" s="665"/>
      <c r="F91" s="670">
        <f>SUM(F85:F90)</f>
        <v>30079.342286429124</v>
      </c>
      <c r="G91" s="665">
        <f>SUM(G85:G90)</f>
        <v>1</v>
      </c>
      <c r="N91" s="664"/>
      <c r="P91" s="622"/>
      <c r="Q91" s="622"/>
    </row>
    <row r="92" spans="2:17" x14ac:dyDescent="0.25">
      <c r="B92" s="664"/>
      <c r="C92" s="623"/>
      <c r="F92" s="671"/>
      <c r="N92" s="664"/>
      <c r="P92" s="622"/>
      <c r="Q92" s="622"/>
    </row>
    <row r="93" spans="2:17" x14ac:dyDescent="0.25">
      <c r="B93" s="621" t="s">
        <v>153</v>
      </c>
      <c r="C93" s="672">
        <f>+'Domestic Debt Colones'!AP89</f>
        <v>615.74</v>
      </c>
      <c r="N93" s="664"/>
      <c r="P93" s="622"/>
      <c r="Q93" s="622"/>
    </row>
    <row r="94" spans="2:17" x14ac:dyDescent="0.25">
      <c r="N94" s="664"/>
      <c r="P94" s="622"/>
      <c r="Q94" s="622"/>
    </row>
    <row r="95" spans="2:17" x14ac:dyDescent="0.25">
      <c r="B95" s="624" t="s">
        <v>148</v>
      </c>
      <c r="C95" s="625">
        <f>+C86</f>
        <v>1204885.9082164958</v>
      </c>
      <c r="E95" s="622">
        <f>+C96/$C$101</f>
        <v>6.1840194069954418E-2</v>
      </c>
      <c r="N95" s="664"/>
      <c r="P95" s="622"/>
      <c r="Q95" s="622"/>
    </row>
    <row r="96" spans="2:17" x14ac:dyDescent="0.25">
      <c r="B96" s="624" t="s">
        <v>149</v>
      </c>
      <c r="C96" s="625">
        <f>+C85</f>
        <v>1145345.5873106807</v>
      </c>
      <c r="E96" s="622">
        <f>+C95/$C$101</f>
        <v>6.5054931211823028E-2</v>
      </c>
      <c r="N96" s="664"/>
      <c r="P96" s="622"/>
      <c r="Q96" s="622"/>
    </row>
    <row r="97" spans="2:25" x14ac:dyDescent="0.25">
      <c r="B97" s="624" t="s">
        <v>150</v>
      </c>
      <c r="C97" s="625">
        <f>+C87</f>
        <v>2043325.4948499373</v>
      </c>
      <c r="E97" s="622">
        <f>+C97/$C$101</f>
        <v>0.11032447022937722</v>
      </c>
      <c r="N97" s="664"/>
      <c r="P97" s="622"/>
      <c r="Q97" s="622"/>
    </row>
    <row r="98" spans="2:25" x14ac:dyDescent="0.25">
      <c r="B98" s="624" t="s">
        <v>151</v>
      </c>
      <c r="C98" s="625">
        <f>+C88</f>
        <v>3558856.0861061318</v>
      </c>
      <c r="E98" s="622">
        <f>+C98/$C$101</f>
        <v>0.19215191770075218</v>
      </c>
      <c r="N98" s="664"/>
      <c r="P98" s="622"/>
      <c r="Q98" s="622"/>
    </row>
    <row r="99" spans="2:25" x14ac:dyDescent="0.25">
      <c r="B99" s="624" t="s">
        <v>152</v>
      </c>
      <c r="C99" s="625">
        <f>+C89</f>
        <v>10568641.142962623</v>
      </c>
      <c r="E99" s="622">
        <f>+C99/$C$101</f>
        <v>0.57062848678809308</v>
      </c>
      <c r="N99" s="664"/>
      <c r="P99" s="622"/>
      <c r="Q99" s="622"/>
    </row>
    <row r="100" spans="2:25" x14ac:dyDescent="0.25">
      <c r="E100" s="667"/>
      <c r="N100" s="664"/>
      <c r="P100" s="622"/>
      <c r="Q100" s="622"/>
    </row>
    <row r="101" spans="2:25" x14ac:dyDescent="0.25">
      <c r="C101" s="664">
        <f>SUM(C95:C100)</f>
        <v>18521054.219445869</v>
      </c>
      <c r="E101" s="622">
        <f>SUM(E95:E100)</f>
        <v>0.99999999999999989</v>
      </c>
      <c r="N101" s="664"/>
      <c r="P101" s="622"/>
      <c r="Q101" s="622"/>
    </row>
    <row r="102" spans="2:25" x14ac:dyDescent="0.25">
      <c r="B102" s="664"/>
      <c r="C102" s="623"/>
      <c r="N102" s="664"/>
      <c r="P102" s="622"/>
      <c r="Q102" s="622"/>
    </row>
    <row r="103" spans="2:25" x14ac:dyDescent="0.25">
      <c r="C103" s="672"/>
      <c r="N103" s="664"/>
      <c r="P103" s="622"/>
      <c r="Q103" s="622"/>
    </row>
    <row r="104" spans="2:25" x14ac:dyDescent="0.25">
      <c r="N104" s="664"/>
      <c r="P104" s="622"/>
      <c r="Q104" s="622"/>
    </row>
    <row r="105" spans="2:25" x14ac:dyDescent="0.25">
      <c r="N105" s="664"/>
      <c r="P105" s="622"/>
      <c r="Q105" s="622"/>
    </row>
    <row r="106" spans="2:25" x14ac:dyDescent="0.25">
      <c r="N106" s="664"/>
      <c r="P106" s="622"/>
      <c r="Q106" s="622"/>
    </row>
    <row r="107" spans="2:25" x14ac:dyDescent="0.25">
      <c r="N107" s="664"/>
      <c r="P107" s="622"/>
      <c r="Q107" s="622"/>
    </row>
    <row r="108" spans="2:25" x14ac:dyDescent="0.25">
      <c r="N108" s="664"/>
      <c r="P108" s="622"/>
      <c r="Q108" s="622"/>
    </row>
    <row r="109" spans="2:25" x14ac:dyDescent="0.25">
      <c r="N109" s="673"/>
    </row>
    <row r="110" spans="2:25" x14ac:dyDescent="0.25">
      <c r="B110" s="621" t="s">
        <v>154</v>
      </c>
      <c r="C110" s="674">
        <v>1998</v>
      </c>
      <c r="D110" s="674">
        <v>1999</v>
      </c>
      <c r="E110" s="674">
        <v>2000</v>
      </c>
      <c r="F110" s="674">
        <v>2001</v>
      </c>
      <c r="G110" s="674">
        <v>2002</v>
      </c>
      <c r="H110" s="674">
        <v>2003</v>
      </c>
      <c r="I110" s="674">
        <v>2004</v>
      </c>
      <c r="J110" s="674">
        <v>2005</v>
      </c>
      <c r="K110" s="674">
        <v>2006</v>
      </c>
      <c r="L110" s="748">
        <v>2007</v>
      </c>
      <c r="M110" s="748">
        <v>2008</v>
      </c>
      <c r="N110" s="748">
        <v>2009</v>
      </c>
      <c r="O110" s="748">
        <v>2010</v>
      </c>
      <c r="P110" s="748">
        <v>2011</v>
      </c>
      <c r="Q110" s="748">
        <v>2012</v>
      </c>
      <c r="R110" s="748">
        <v>2013</v>
      </c>
      <c r="S110" s="748">
        <v>2014</v>
      </c>
      <c r="T110" s="748">
        <v>2015</v>
      </c>
      <c r="U110" s="748">
        <v>2016</v>
      </c>
      <c r="V110" s="748">
        <v>2017</v>
      </c>
      <c r="W110" s="748">
        <v>2018</v>
      </c>
      <c r="X110" s="748">
        <v>2019</v>
      </c>
      <c r="Y110" s="748">
        <v>2020</v>
      </c>
    </row>
    <row r="111" spans="2:25" x14ac:dyDescent="0.25">
      <c r="B111" s="621" t="s">
        <v>71</v>
      </c>
      <c r="C111" s="675">
        <v>2.857022671039602E-2</v>
      </c>
      <c r="D111" s="675">
        <v>3.1658496247742487E-2</v>
      </c>
      <c r="E111" s="675">
        <v>3.2459270359974597E-2</v>
      </c>
      <c r="F111" s="675">
        <v>3.3251495099801527E-2</v>
      </c>
      <c r="G111" s="675">
        <v>3.5566946343028455E-2</v>
      </c>
      <c r="H111" s="675">
        <v>3.4602961187832154E-2</v>
      </c>
      <c r="I111" s="675">
        <v>3.2154453375404519E-2</v>
      </c>
      <c r="J111" s="675">
        <v>3.2801600908598801E-2</v>
      </c>
      <c r="K111" s="675">
        <v>3.0237317663925442E-2</v>
      </c>
      <c r="L111" s="551">
        <v>2.4001237939351265E-2</v>
      </c>
      <c r="M111" s="551">
        <v>1.5847600872617801E-2</v>
      </c>
      <c r="N111" s="551">
        <v>1.6016463175041049E-2</v>
      </c>
      <c r="O111" s="551">
        <v>1.7178158546678715E-2</v>
      </c>
      <c r="P111" s="551">
        <v>1.828947194204943E-2</v>
      </c>
      <c r="Q111" s="551">
        <v>1.872282196340392E-2</v>
      </c>
      <c r="R111" s="551">
        <v>2.2880474219698479E-2</v>
      </c>
      <c r="S111" s="551">
        <v>2.2039084839346638E-2</v>
      </c>
      <c r="T111" s="551">
        <v>2.2444009892816669E-2</v>
      </c>
      <c r="U111" s="551">
        <v>2.2344645591451613E-2</v>
      </c>
      <c r="V111" s="551">
        <v>2.5348418469056246E-2</v>
      </c>
      <c r="W111" s="626">
        <v>2.9512737966259604E-2</v>
      </c>
      <c r="X111" s="626">
        <v>3.6108817388776401E-2</v>
      </c>
      <c r="Y111" s="626">
        <f>+'Domestic Debt Colones'!AP46</f>
        <v>3.9506642562350668E-2</v>
      </c>
    </row>
    <row r="112" spans="2:25" x14ac:dyDescent="0.25">
      <c r="B112" s="621" t="s">
        <v>95</v>
      </c>
      <c r="C112" s="675">
        <v>0.23302591381619486</v>
      </c>
      <c r="D112" s="675">
        <v>0.26097610964893692</v>
      </c>
      <c r="E112" s="675">
        <v>0.24962305990397268</v>
      </c>
      <c r="F112" s="675">
        <v>0.24714076357742307</v>
      </c>
      <c r="G112" s="675">
        <v>0.27017643943832037</v>
      </c>
      <c r="H112" s="675">
        <v>0.25631606290173675</v>
      </c>
      <c r="I112" s="675">
        <v>0.24167385367222716</v>
      </c>
      <c r="J112" s="675">
        <v>0.24234441818293048</v>
      </c>
      <c r="K112" s="675">
        <v>0.2183930759335817</v>
      </c>
      <c r="L112" s="551">
        <v>0.16143458158536084</v>
      </c>
      <c r="M112" s="551">
        <v>0.10254808248221711</v>
      </c>
      <c r="N112" s="551">
        <v>0.11895234030799891</v>
      </c>
      <c r="O112" s="551">
        <v>0.12278820914316019</v>
      </c>
      <c r="P112" s="551">
        <v>0.12940613563016726</v>
      </c>
      <c r="Q112" s="551">
        <v>0.1298287060053806</v>
      </c>
      <c r="R112" s="551">
        <v>0.16085905513472037</v>
      </c>
      <c r="S112" s="551">
        <v>0.1574946998875755</v>
      </c>
      <c r="T112" s="551">
        <v>0.15647531858303274</v>
      </c>
      <c r="U112" s="551">
        <v>0.15207993628760516</v>
      </c>
      <c r="V112" s="551">
        <v>0.17486642546508352</v>
      </c>
      <c r="W112" s="626">
        <v>0.20787347885015375</v>
      </c>
      <c r="X112" s="626">
        <v>0.24925290551252494</v>
      </c>
      <c r="Y112" s="626">
        <f>+'Domestic Debt Colones'!AP47</f>
        <v>0.30711274310638509</v>
      </c>
    </row>
    <row r="113" spans="2:25" x14ac:dyDescent="0.25">
      <c r="B113" s="621" t="s">
        <v>96</v>
      </c>
      <c r="C113" s="675">
        <v>0.19399229136461651</v>
      </c>
      <c r="D113" s="675">
        <v>0.22101151147225656</v>
      </c>
      <c r="E113" s="675">
        <v>0.20229227779600886</v>
      </c>
      <c r="F113" s="675">
        <v>0.20512051320646896</v>
      </c>
      <c r="G113" s="675">
        <v>0.20676464450014115</v>
      </c>
      <c r="H113" s="675">
        <v>0.20791389221925322</v>
      </c>
      <c r="I113" s="675">
        <v>0.2037444143056247</v>
      </c>
      <c r="J113" s="675">
        <v>0.21695741419924069</v>
      </c>
      <c r="K113" s="675">
        <v>0.208216361271642</v>
      </c>
      <c r="L113" s="551">
        <v>0.16855317217008825</v>
      </c>
      <c r="M113" s="551">
        <v>0.10376174272545508</v>
      </c>
      <c r="N113" s="551">
        <v>9.5570771273210037E-2</v>
      </c>
      <c r="O113" s="551">
        <v>9.0383206731839819E-2</v>
      </c>
      <c r="P113" s="551">
        <v>0.10100789073919833</v>
      </c>
      <c r="Q113" s="551">
        <v>7.1127564741609792E-2</v>
      </c>
      <c r="R113" s="551">
        <v>0.1167477902741177</v>
      </c>
      <c r="S113" s="551">
        <v>0.1092852892025262</v>
      </c>
      <c r="T113" s="551">
        <v>0.10607282943689754</v>
      </c>
      <c r="U113" s="551">
        <v>0.11186389842530996</v>
      </c>
      <c r="V113" s="551">
        <v>0.12242743065339341</v>
      </c>
      <c r="W113" s="626">
        <v>0.14636220721817433</v>
      </c>
      <c r="X113" s="626">
        <v>0.16623640714103793</v>
      </c>
      <c r="Y113" s="626">
        <f>+'Domestic Debt Colones'!AP48</f>
        <v>0.18768008372634931</v>
      </c>
    </row>
    <row r="116" spans="2:25" x14ac:dyDescent="0.25">
      <c r="Q116" s="551"/>
    </row>
    <row r="117" spans="2:25" x14ac:dyDescent="0.25">
      <c r="D117" s="671"/>
      <c r="F117" s="671"/>
      <c r="H117" s="671"/>
      <c r="J117" s="671"/>
      <c r="L117" s="671"/>
      <c r="N117" s="671"/>
      <c r="P117" s="671"/>
      <c r="Q117" s="671"/>
      <c r="S117" s="671"/>
      <c r="U117" s="671"/>
      <c r="W117" s="671"/>
    </row>
    <row r="118" spans="2:25" x14ac:dyDescent="0.25">
      <c r="D118" s="671"/>
      <c r="E118" s="671"/>
      <c r="F118" s="671"/>
      <c r="G118" s="671"/>
      <c r="H118" s="671"/>
      <c r="I118" s="676"/>
      <c r="J118" s="671"/>
      <c r="K118" s="671"/>
      <c r="L118" s="671"/>
      <c r="M118" s="671"/>
      <c r="N118" s="671"/>
    </row>
    <row r="119" spans="2:25" x14ac:dyDescent="0.25">
      <c r="D119" s="677"/>
      <c r="E119" s="677"/>
      <c r="F119" s="677"/>
      <c r="G119" s="677"/>
      <c r="H119" s="677"/>
      <c r="I119" s="677"/>
      <c r="J119" s="677"/>
      <c r="K119" s="677"/>
      <c r="L119" s="677"/>
      <c r="M119" s="677"/>
      <c r="N119" s="677"/>
    </row>
    <row r="120" spans="2:25" x14ac:dyDescent="0.25">
      <c r="D120" s="677"/>
      <c r="E120" s="677"/>
      <c r="F120" s="677"/>
      <c r="G120" s="677"/>
      <c r="H120" s="677"/>
      <c r="I120" s="677"/>
      <c r="J120" s="677"/>
      <c r="K120" s="677"/>
      <c r="L120" s="677"/>
      <c r="M120" s="677"/>
      <c r="N120" s="677"/>
    </row>
    <row r="121" spans="2:25" s="187" customFormat="1" x14ac:dyDescent="0.25">
      <c r="D121" s="653"/>
      <c r="E121" s="653"/>
      <c r="F121" s="653"/>
      <c r="G121" s="653"/>
      <c r="H121" s="653"/>
      <c r="I121" s="653"/>
      <c r="J121" s="653"/>
      <c r="K121" s="653"/>
      <c r="L121" s="653"/>
      <c r="M121" s="653"/>
      <c r="N121" s="653"/>
    </row>
    <row r="122" spans="2:25" s="187" customFormat="1" x14ac:dyDescent="0.25"/>
    <row r="123" spans="2:25" s="187" customFormat="1" x14ac:dyDescent="0.25"/>
    <row r="124" spans="2:25" s="187" customFormat="1" x14ac:dyDescent="0.25">
      <c r="D124" s="652"/>
      <c r="E124" s="652"/>
      <c r="F124" s="652"/>
      <c r="G124" s="652"/>
      <c r="H124" s="652"/>
      <c r="I124" s="652"/>
      <c r="J124" s="652"/>
      <c r="K124" s="652"/>
      <c r="L124" s="652"/>
      <c r="M124" s="652"/>
      <c r="N124" s="652"/>
    </row>
    <row r="125" spans="2:25" s="187" customFormat="1" x14ac:dyDescent="0.25">
      <c r="D125" s="652"/>
      <c r="E125" s="652"/>
      <c r="F125" s="652"/>
      <c r="G125" s="652"/>
      <c r="H125" s="652"/>
      <c r="I125" s="652"/>
      <c r="J125" s="652"/>
      <c r="K125" s="652"/>
      <c r="L125" s="652"/>
      <c r="M125" s="652"/>
      <c r="N125" s="652"/>
    </row>
    <row r="126" spans="2:25" s="187" customFormat="1" x14ac:dyDescent="0.25">
      <c r="D126" s="652"/>
      <c r="E126" s="652"/>
      <c r="F126" s="652"/>
      <c r="G126" s="652"/>
      <c r="H126" s="652"/>
      <c r="I126" s="652"/>
      <c r="J126" s="652"/>
      <c r="K126" s="652"/>
      <c r="L126" s="652"/>
      <c r="M126" s="652"/>
      <c r="N126" s="652"/>
    </row>
    <row r="127" spans="2:25" s="187" customFormat="1" x14ac:dyDescent="0.25"/>
    <row r="128" spans="2:25" s="187" customFormat="1" x14ac:dyDescent="0.25"/>
  </sheetData>
  <mergeCells count="26">
    <mergeCell ref="A3:M3"/>
    <mergeCell ref="B29:F29"/>
    <mergeCell ref="B30:F30"/>
    <mergeCell ref="B31:F31"/>
    <mergeCell ref="H30:M30"/>
    <mergeCell ref="H31:M31"/>
    <mergeCell ref="H6:M6"/>
    <mergeCell ref="H28:M28"/>
    <mergeCell ref="H29:M29"/>
    <mergeCell ref="B6:F6"/>
    <mergeCell ref="B28:F28"/>
    <mergeCell ref="B81:H81"/>
    <mergeCell ref="B82:H82"/>
    <mergeCell ref="B8:F8"/>
    <mergeCell ref="B9:F9"/>
    <mergeCell ref="B7:F7"/>
    <mergeCell ref="H7:M7"/>
    <mergeCell ref="H8:M8"/>
    <mergeCell ref="H9:M9"/>
    <mergeCell ref="D50:J50"/>
    <mergeCell ref="D51:J51"/>
    <mergeCell ref="D52:J52"/>
    <mergeCell ref="B47:F47"/>
    <mergeCell ref="H47:L47"/>
    <mergeCell ref="D53:J53"/>
    <mergeCell ref="D49:I49"/>
  </mergeCells>
  <phoneticPr fontId="0" type="noConversion"/>
  <hyperlinks>
    <hyperlink ref="G25" location="CONTENTS!B8" display="Å CONTENTS" xr:uid="{00000000-0004-0000-0300-000000000000}"/>
    <hyperlink ref="G77" location="CONTENTS!B8" display="Å CONTENTS" xr:uid="{00000000-0004-0000-0300-000001000000}"/>
  </hyperlinks>
  <printOptions horizontalCentered="1" verticalCentered="1"/>
  <pageMargins left="0.25" right="0.5" top="0.25" bottom="0.26" header="0.25" footer="0"/>
  <pageSetup scale="58" orientation="landscape" horizontalDpi="300" verticalDpi="300" r:id="rId1"/>
  <headerFooter alignWithMargins="0"/>
  <rowBreaks count="1" manualBreakCount="1">
    <brk id="79" min="1" max="12" man="1"/>
  </rowBreaks>
  <colBreaks count="1" manualBreakCount="1">
    <brk id="13" min="2" max="78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79998168889431442"/>
  </sheetPr>
  <dimension ref="A1:AM357"/>
  <sheetViews>
    <sheetView showGridLines="0" zoomScaleNormal="100" workbookViewId="0">
      <selection activeCell="J190" sqref="J190"/>
    </sheetView>
  </sheetViews>
  <sheetFormatPr baseColWidth="10" defaultColWidth="11.44140625" defaultRowHeight="12" x14ac:dyDescent="0.25"/>
  <cols>
    <col min="1" max="1" width="3.33203125" style="184" customWidth="1"/>
    <col min="2" max="2" width="13.44140625" style="184" bestFit="1" customWidth="1"/>
    <col min="3" max="7" width="11.109375" style="184" bestFit="1" customWidth="1"/>
    <col min="8" max="15" width="9.88671875" style="184" bestFit="1" customWidth="1"/>
    <col min="16" max="16" width="9" style="184" bestFit="1" customWidth="1"/>
    <col min="17" max="18" width="9.88671875" style="184" bestFit="1" customWidth="1"/>
    <col min="19" max="19" width="13.44140625" style="184" bestFit="1" customWidth="1"/>
    <col min="20" max="20" width="6.88671875" style="318" bestFit="1" customWidth="1"/>
    <col min="21" max="21" width="13.5546875" style="186" customWidth="1"/>
    <col min="22" max="22" width="10.88671875" style="186" customWidth="1"/>
    <col min="23" max="23" width="9.88671875" style="186" bestFit="1" customWidth="1"/>
    <col min="24" max="24" width="12.6640625" style="186" customWidth="1"/>
    <col min="25" max="25" width="9.109375" style="186" customWidth="1"/>
    <col min="26" max="26" width="12.88671875" style="186" customWidth="1"/>
    <col min="27" max="27" width="9" style="186" bestFit="1" customWidth="1"/>
    <col min="28" max="28" width="9.88671875" style="186" bestFit="1" customWidth="1"/>
    <col min="29" max="29" width="13.6640625" style="186" customWidth="1"/>
    <col min="30" max="30" width="4.44140625" style="186" bestFit="1" customWidth="1"/>
    <col min="31" max="31" width="9" style="186" bestFit="1" customWidth="1"/>
    <col min="32" max="32" width="12.33203125" style="186" customWidth="1"/>
    <col min="33" max="33" width="10.33203125" style="186" customWidth="1"/>
    <col min="34" max="35" width="12" style="186" bestFit="1" customWidth="1"/>
    <col min="36" max="36" width="7.5546875" style="186" bestFit="1" customWidth="1"/>
    <col min="37" max="37" width="4.6640625" style="186" bestFit="1" customWidth="1"/>
    <col min="38" max="38" width="11.109375" style="184" bestFit="1" customWidth="1"/>
    <col min="39" max="39" width="12.44140625" style="184" bestFit="1" customWidth="1"/>
    <col min="40" max="16384" width="11.44140625" style="184"/>
  </cols>
  <sheetData>
    <row r="1" spans="2:37" x14ac:dyDescent="0.25">
      <c r="B1" s="582"/>
      <c r="C1" s="582"/>
      <c r="D1" s="582"/>
      <c r="E1" s="582"/>
      <c r="F1" s="582"/>
      <c r="G1" s="582"/>
      <c r="H1" s="582"/>
      <c r="I1" s="582"/>
      <c r="J1" s="582"/>
      <c r="K1" s="582"/>
      <c r="L1" s="582"/>
      <c r="M1" s="582"/>
      <c r="N1" s="582"/>
      <c r="O1" s="582"/>
      <c r="P1" s="582"/>
      <c r="Q1" s="317"/>
      <c r="R1" s="582"/>
      <c r="S1" s="582"/>
      <c r="T1" s="583"/>
    </row>
    <row r="2" spans="2:37" ht="23.25" customHeight="1" x14ac:dyDescent="0.25">
      <c r="B2" s="791" t="s">
        <v>155</v>
      </c>
      <c r="C2" s="791"/>
      <c r="D2" s="791"/>
      <c r="E2" s="791"/>
      <c r="F2" s="791"/>
      <c r="G2" s="791"/>
      <c r="H2" s="791"/>
      <c r="I2" s="791"/>
      <c r="J2" s="791"/>
      <c r="K2" s="791"/>
      <c r="L2" s="791"/>
      <c r="M2" s="791"/>
      <c r="N2" s="791"/>
      <c r="O2" s="791"/>
      <c r="P2" s="791"/>
      <c r="Q2" s="791"/>
      <c r="R2" s="792"/>
      <c r="S2" s="316" t="s">
        <v>43</v>
      </c>
      <c r="T2" s="583"/>
    </row>
    <row r="3" spans="2:37" ht="15.6" x14ac:dyDescent="0.25">
      <c r="B3" s="755"/>
      <c r="C3" s="755"/>
      <c r="D3" s="755"/>
      <c r="E3" s="755"/>
      <c r="F3" s="755"/>
      <c r="G3" s="755"/>
      <c r="H3" s="755"/>
      <c r="I3" s="755"/>
      <c r="J3" s="755"/>
      <c r="K3" s="755"/>
      <c r="L3" s="755"/>
      <c r="M3" s="755"/>
      <c r="N3" s="755"/>
      <c r="O3" s="755"/>
      <c r="P3" s="755"/>
      <c r="Q3" s="755"/>
      <c r="R3" s="755"/>
      <c r="S3" s="582"/>
      <c r="T3" s="583"/>
    </row>
    <row r="4" spans="2:37" ht="15.6" x14ac:dyDescent="0.25">
      <c r="B4" s="755"/>
      <c r="C4" s="755"/>
      <c r="D4" s="755"/>
      <c r="E4" s="755"/>
      <c r="F4" s="755"/>
      <c r="G4" s="755"/>
      <c r="H4" s="755"/>
      <c r="I4" s="755"/>
      <c r="J4" s="755"/>
      <c r="K4" s="755"/>
      <c r="L4" s="755"/>
      <c r="M4" s="755"/>
      <c r="N4" s="755"/>
      <c r="O4" s="755"/>
      <c r="P4" s="755"/>
      <c r="Q4" s="755"/>
      <c r="R4" s="319"/>
      <c r="S4" s="582"/>
      <c r="T4" s="583"/>
    </row>
    <row r="6" spans="2:37" ht="12.75" customHeight="1" x14ac:dyDescent="0.25">
      <c r="B6" s="794" t="s">
        <v>136</v>
      </c>
      <c r="C6" s="794"/>
      <c r="D6" s="794"/>
      <c r="E6" s="794"/>
      <c r="F6" s="794"/>
      <c r="G6" s="794"/>
      <c r="H6" s="794" t="s">
        <v>136</v>
      </c>
      <c r="I6" s="794"/>
      <c r="J6" s="794"/>
      <c r="K6" s="794"/>
      <c r="L6" s="794"/>
      <c r="M6" s="794"/>
      <c r="N6" s="582"/>
      <c r="O6" s="793" t="s">
        <v>136</v>
      </c>
      <c r="P6" s="793"/>
      <c r="Q6" s="793"/>
      <c r="R6" s="793"/>
      <c r="S6" s="793"/>
      <c r="T6" s="793"/>
    </row>
    <row r="7" spans="2:37" s="320" customFormat="1" ht="12.75" customHeight="1" x14ac:dyDescent="0.25">
      <c r="B7" s="794" t="s">
        <v>156</v>
      </c>
      <c r="C7" s="794"/>
      <c r="D7" s="794"/>
      <c r="E7" s="794"/>
      <c r="F7" s="794"/>
      <c r="G7" s="794"/>
      <c r="H7" s="794" t="s">
        <v>156</v>
      </c>
      <c r="I7" s="794"/>
      <c r="J7" s="794"/>
      <c r="K7" s="794"/>
      <c r="L7" s="794"/>
      <c r="M7" s="794"/>
      <c r="N7" s="751"/>
      <c r="O7" s="793" t="s">
        <v>17</v>
      </c>
      <c r="P7" s="793"/>
      <c r="Q7" s="793"/>
      <c r="R7" s="793"/>
      <c r="S7" s="793"/>
      <c r="T7" s="793"/>
      <c r="U7" s="321"/>
      <c r="V7" s="321"/>
      <c r="W7" s="321"/>
      <c r="X7" s="321"/>
      <c r="Y7" s="321"/>
      <c r="Z7" s="321"/>
      <c r="AA7" s="321"/>
      <c r="AB7" s="321"/>
      <c r="AC7" s="321"/>
      <c r="AD7" s="321"/>
      <c r="AE7" s="321"/>
      <c r="AF7" s="321"/>
      <c r="AG7" s="321"/>
      <c r="AH7" s="321"/>
      <c r="AI7" s="321"/>
      <c r="AJ7" s="321"/>
      <c r="AK7" s="321"/>
    </row>
    <row r="8" spans="2:37" ht="12.75" customHeight="1" x14ac:dyDescent="0.25">
      <c r="B8" s="797">
        <f>+C119</f>
        <v>2021</v>
      </c>
      <c r="C8" s="797"/>
      <c r="D8" s="797"/>
      <c r="E8" s="797"/>
      <c r="F8" s="797"/>
      <c r="G8" s="797"/>
      <c r="H8" s="797">
        <f>+B8</f>
        <v>2021</v>
      </c>
      <c r="I8" s="797"/>
      <c r="J8" s="797"/>
      <c r="K8" s="797"/>
      <c r="L8" s="797"/>
      <c r="M8" s="797"/>
      <c r="N8" s="582"/>
      <c r="O8" s="798">
        <f>+B8</f>
        <v>2021</v>
      </c>
      <c r="P8" s="798"/>
      <c r="Q8" s="798"/>
      <c r="R8" s="798"/>
      <c r="S8" s="798"/>
      <c r="T8" s="798"/>
    </row>
    <row r="9" spans="2:37" ht="15.6" x14ac:dyDescent="0.25">
      <c r="B9" s="799" t="s">
        <v>157</v>
      </c>
      <c r="C9" s="799"/>
      <c r="D9" s="799"/>
      <c r="E9" s="799"/>
      <c r="F9" s="799"/>
      <c r="G9" s="799"/>
      <c r="H9" s="799" t="str">
        <f>+B9</f>
        <v>December 31st  2020</v>
      </c>
      <c r="I9" s="799"/>
      <c r="J9" s="799"/>
      <c r="K9" s="799"/>
      <c r="L9" s="799"/>
      <c r="M9" s="799"/>
      <c r="N9" s="582"/>
      <c r="O9" s="798" t="str">
        <f>+B9</f>
        <v>December 31st  2020</v>
      </c>
      <c r="P9" s="798"/>
      <c r="Q9" s="798"/>
      <c r="R9" s="798"/>
      <c r="S9" s="798"/>
      <c r="T9" s="798"/>
    </row>
    <row r="10" spans="2:37" ht="13.2" x14ac:dyDescent="0.25">
      <c r="B10" s="797" t="s">
        <v>44</v>
      </c>
      <c r="C10" s="797"/>
      <c r="D10" s="797"/>
      <c r="E10" s="797"/>
      <c r="F10" s="797"/>
      <c r="G10" s="797"/>
      <c r="H10" s="803" t="s">
        <v>123</v>
      </c>
      <c r="I10" s="803"/>
      <c r="J10" s="803"/>
      <c r="K10" s="803"/>
      <c r="L10" s="803"/>
      <c r="M10" s="803"/>
      <c r="N10" s="582"/>
      <c r="O10" s="753"/>
      <c r="P10" s="753"/>
      <c r="Q10" s="753"/>
      <c r="R10" s="753"/>
      <c r="S10" s="582"/>
      <c r="T10" s="583"/>
    </row>
    <row r="21" spans="2:20" x14ac:dyDescent="0.25">
      <c r="B21" s="322"/>
      <c r="C21" s="582"/>
      <c r="D21" s="582"/>
      <c r="E21" s="582"/>
      <c r="F21" s="582"/>
      <c r="G21" s="582"/>
      <c r="H21" s="582"/>
      <c r="I21" s="582"/>
      <c r="J21" s="582"/>
      <c r="K21" s="582"/>
      <c r="L21" s="582"/>
      <c r="M21" s="582"/>
      <c r="N21" s="582"/>
      <c r="O21" s="582"/>
      <c r="P21" s="582"/>
      <c r="Q21" s="582"/>
      <c r="R21" s="582"/>
      <c r="S21" s="582"/>
      <c r="T21" s="583"/>
    </row>
    <row r="23" spans="2:20" x14ac:dyDescent="0.25">
      <c r="B23" s="795"/>
      <c r="C23" s="795"/>
      <c r="D23" s="795"/>
      <c r="E23" s="795"/>
      <c r="F23" s="795"/>
      <c r="G23" s="795"/>
      <c r="H23" s="582"/>
      <c r="I23" s="582"/>
      <c r="J23" s="582"/>
      <c r="K23" s="582"/>
      <c r="L23" s="582"/>
      <c r="M23" s="582"/>
      <c r="N23" s="582"/>
      <c r="O23" s="582"/>
      <c r="P23" s="582"/>
      <c r="Q23" s="582"/>
      <c r="R23" s="582"/>
      <c r="S23" s="582"/>
      <c r="T23" s="583"/>
    </row>
    <row r="24" spans="2:20" ht="12.75" customHeight="1" x14ac:dyDescent="0.25">
      <c r="B24" s="794" t="str">
        <f>+B6</f>
        <v>Central Goverment of Costa Rica</v>
      </c>
      <c r="C24" s="794"/>
      <c r="D24" s="794"/>
      <c r="E24" s="794"/>
      <c r="F24" s="794"/>
      <c r="G24" s="794"/>
      <c r="H24" s="798" t="str">
        <f>+H6</f>
        <v>Central Goverment of Costa Rica</v>
      </c>
      <c r="I24" s="798"/>
      <c r="J24" s="798"/>
      <c r="K24" s="798"/>
      <c r="L24" s="798"/>
      <c r="M24" s="798"/>
      <c r="N24" s="794" t="str">
        <f>+O6</f>
        <v>Central Goverment of Costa Rica</v>
      </c>
      <c r="O24" s="794"/>
      <c r="P24" s="794"/>
      <c r="Q24" s="794"/>
      <c r="R24" s="794"/>
      <c r="S24" s="794"/>
      <c r="T24" s="794"/>
    </row>
    <row r="25" spans="2:20" ht="12.75" customHeight="1" x14ac:dyDescent="0.25">
      <c r="B25" s="794" t="str">
        <f>+B7</f>
        <v>Maturity Profile Domestic Public Debt</v>
      </c>
      <c r="C25" s="794"/>
      <c r="D25" s="794"/>
      <c r="E25" s="794"/>
      <c r="F25" s="794"/>
      <c r="G25" s="794"/>
      <c r="H25" s="798" t="str">
        <f>+H7</f>
        <v>Maturity Profile Domestic Public Debt</v>
      </c>
      <c r="I25" s="798"/>
      <c r="J25" s="798"/>
      <c r="K25" s="798"/>
      <c r="L25" s="798"/>
      <c r="M25" s="798"/>
      <c r="N25" s="794" t="str">
        <f>+O7</f>
        <v>Maturity Profile Domestic Public Debt as percentage by Total Debt</v>
      </c>
      <c r="O25" s="794"/>
      <c r="P25" s="794"/>
      <c r="Q25" s="794"/>
      <c r="R25" s="794"/>
      <c r="S25" s="794"/>
      <c r="T25" s="794"/>
    </row>
    <row r="26" spans="2:20" ht="13.2" x14ac:dyDescent="0.25">
      <c r="B26" s="797">
        <f>+D119</f>
        <v>2022</v>
      </c>
      <c r="C26" s="797"/>
      <c r="D26" s="797"/>
      <c r="E26" s="797"/>
      <c r="F26" s="797"/>
      <c r="G26" s="797"/>
      <c r="H26" s="797">
        <f>+B26</f>
        <v>2022</v>
      </c>
      <c r="I26" s="797"/>
      <c r="J26" s="797"/>
      <c r="K26" s="797"/>
      <c r="L26" s="797"/>
      <c r="M26" s="797"/>
      <c r="N26" s="794">
        <f>+B26</f>
        <v>2022</v>
      </c>
      <c r="O26" s="794"/>
      <c r="P26" s="794"/>
      <c r="Q26" s="794"/>
      <c r="R26" s="794"/>
      <c r="S26" s="794"/>
      <c r="T26" s="794"/>
    </row>
    <row r="27" spans="2:20" ht="13.2" x14ac:dyDescent="0.25">
      <c r="B27" s="799" t="str">
        <f>+B9</f>
        <v>December 31st  2020</v>
      </c>
      <c r="C27" s="799"/>
      <c r="D27" s="799"/>
      <c r="E27" s="799"/>
      <c r="F27" s="799"/>
      <c r="G27" s="799"/>
      <c r="H27" s="799" t="str">
        <f>+B27</f>
        <v>December 31st  2020</v>
      </c>
      <c r="I27" s="799"/>
      <c r="J27" s="799"/>
      <c r="K27" s="799"/>
      <c r="L27" s="799"/>
      <c r="M27" s="799"/>
      <c r="N27" s="799" t="str">
        <f>+B27</f>
        <v>December 31st  2020</v>
      </c>
      <c r="O27" s="799"/>
      <c r="P27" s="799"/>
      <c r="Q27" s="799"/>
      <c r="R27" s="799"/>
      <c r="S27" s="799"/>
      <c r="T27" s="799"/>
    </row>
    <row r="28" spans="2:20" ht="13.2" x14ac:dyDescent="0.25">
      <c r="B28" s="797" t="str">
        <f>+B10</f>
        <v>(Millions of colones)</v>
      </c>
      <c r="C28" s="797"/>
      <c r="D28" s="797"/>
      <c r="E28" s="797"/>
      <c r="F28" s="797"/>
      <c r="G28" s="797"/>
      <c r="H28" s="800" t="str">
        <f>+H10</f>
        <v>(USD million)</v>
      </c>
      <c r="I28" s="800"/>
      <c r="J28" s="800"/>
      <c r="K28" s="800"/>
      <c r="L28" s="800"/>
      <c r="M28" s="800"/>
      <c r="N28" s="795"/>
      <c r="O28" s="795"/>
      <c r="P28" s="795"/>
      <c r="Q28" s="795"/>
      <c r="R28" s="795"/>
      <c r="S28" s="795"/>
      <c r="T28" s="795"/>
    </row>
    <row r="29" spans="2:20" ht="13.2" x14ac:dyDescent="0.25">
      <c r="B29" s="753"/>
      <c r="C29" s="753"/>
      <c r="D29" s="753"/>
      <c r="E29" s="753"/>
      <c r="F29" s="753"/>
      <c r="G29" s="323"/>
      <c r="H29" s="800"/>
      <c r="I29" s="800"/>
      <c r="J29" s="800"/>
      <c r="K29" s="800"/>
      <c r="L29" s="800"/>
      <c r="M29" s="800"/>
      <c r="N29" s="799"/>
      <c r="O29" s="799"/>
      <c r="P29" s="799"/>
      <c r="Q29" s="799"/>
      <c r="R29" s="799"/>
      <c r="S29" s="799"/>
      <c r="T29" s="799"/>
    </row>
    <row r="30" spans="2:20" x14ac:dyDescent="0.25">
      <c r="B30" s="323"/>
      <c r="C30" s="323"/>
      <c r="D30" s="323"/>
      <c r="E30" s="323"/>
      <c r="F30" s="323"/>
      <c r="G30" s="323"/>
      <c r="H30" s="323"/>
      <c r="I30" s="323"/>
      <c r="J30" s="323"/>
      <c r="K30" s="323"/>
      <c r="L30" s="323"/>
      <c r="M30" s="323"/>
      <c r="N30" s="323"/>
      <c r="O30" s="323"/>
      <c r="P30" s="323"/>
      <c r="Q30" s="323"/>
      <c r="R30" s="323"/>
      <c r="S30" s="582"/>
      <c r="T30" s="583"/>
    </row>
    <row r="35" spans="2:19" x14ac:dyDescent="0.25">
      <c r="B35" s="582"/>
      <c r="C35" s="582"/>
      <c r="D35" s="582"/>
      <c r="E35" s="582"/>
      <c r="F35" s="582"/>
      <c r="G35" s="582"/>
      <c r="H35" s="582" t="s">
        <v>142</v>
      </c>
      <c r="I35" s="582"/>
      <c r="J35" s="582"/>
      <c r="K35" s="582"/>
      <c r="L35" s="582"/>
      <c r="M35" s="582"/>
      <c r="N35" s="582"/>
      <c r="O35" s="582"/>
      <c r="P35" s="582"/>
      <c r="Q35" s="582"/>
      <c r="R35" s="582"/>
      <c r="S35" s="582"/>
    </row>
    <row r="46" spans="2:19" ht="12" customHeight="1" x14ac:dyDescent="0.25">
      <c r="B46" s="794" t="str">
        <f>+B6</f>
        <v>Central Goverment of Costa Rica</v>
      </c>
      <c r="C46" s="794"/>
      <c r="D46" s="794"/>
      <c r="E46" s="794"/>
      <c r="F46" s="794"/>
      <c r="G46" s="794"/>
      <c r="H46" s="793" t="str">
        <f>+H6</f>
        <v>Central Goverment of Costa Rica</v>
      </c>
      <c r="I46" s="793"/>
      <c r="J46" s="793"/>
      <c r="K46" s="793"/>
      <c r="L46" s="793"/>
      <c r="M46" s="793"/>
      <c r="N46" s="794" t="str">
        <f>+O6</f>
        <v>Central Goverment of Costa Rica</v>
      </c>
      <c r="O46" s="794"/>
      <c r="P46" s="794"/>
      <c r="Q46" s="794"/>
      <c r="R46" s="794"/>
      <c r="S46" s="794"/>
    </row>
    <row r="47" spans="2:19" ht="12" customHeight="1" x14ac:dyDescent="0.25">
      <c r="B47" s="794" t="str">
        <f>+B7</f>
        <v>Maturity Profile Domestic Public Debt</v>
      </c>
      <c r="C47" s="794"/>
      <c r="D47" s="794"/>
      <c r="E47" s="794"/>
      <c r="F47" s="794"/>
      <c r="G47" s="794"/>
      <c r="H47" s="793" t="str">
        <f>+H7</f>
        <v>Maturity Profile Domestic Public Debt</v>
      </c>
      <c r="I47" s="793"/>
      <c r="J47" s="793"/>
      <c r="K47" s="793"/>
      <c r="L47" s="793"/>
      <c r="M47" s="793"/>
      <c r="N47" s="794" t="str">
        <f>+O7</f>
        <v>Maturity Profile Domestic Public Debt as percentage by Total Debt</v>
      </c>
      <c r="O47" s="794"/>
      <c r="P47" s="794"/>
      <c r="Q47" s="794"/>
      <c r="R47" s="794"/>
      <c r="S47" s="794"/>
    </row>
    <row r="48" spans="2:19" ht="12.75" customHeight="1" x14ac:dyDescent="0.25">
      <c r="B48" s="797">
        <f>+E119</f>
        <v>2023</v>
      </c>
      <c r="C48" s="797"/>
      <c r="D48" s="797"/>
      <c r="E48" s="797"/>
      <c r="F48" s="797"/>
      <c r="G48" s="797"/>
      <c r="H48" s="797">
        <f>+B48</f>
        <v>2023</v>
      </c>
      <c r="I48" s="797"/>
      <c r="J48" s="797"/>
      <c r="K48" s="797"/>
      <c r="L48" s="797"/>
      <c r="M48" s="797"/>
      <c r="N48" s="794">
        <f>+B48</f>
        <v>2023</v>
      </c>
      <c r="O48" s="794"/>
      <c r="P48" s="794"/>
      <c r="Q48" s="794"/>
      <c r="R48" s="794"/>
      <c r="S48" s="794"/>
    </row>
    <row r="49" spans="1:39" ht="13.2" x14ac:dyDescent="0.25">
      <c r="A49" s="582"/>
      <c r="B49" s="799" t="str">
        <f>+B27</f>
        <v>December 31st  2020</v>
      </c>
      <c r="C49" s="799"/>
      <c r="D49" s="799"/>
      <c r="E49" s="799"/>
      <c r="F49" s="799"/>
      <c r="G49" s="799"/>
      <c r="H49" s="799" t="str">
        <f>+B49</f>
        <v>December 31st  2020</v>
      </c>
      <c r="I49" s="799"/>
      <c r="J49" s="799"/>
      <c r="K49" s="799"/>
      <c r="L49" s="799"/>
      <c r="M49" s="799"/>
      <c r="N49" s="797" t="str">
        <f>+B49</f>
        <v>December 31st  2020</v>
      </c>
      <c r="O49" s="797"/>
      <c r="P49" s="797"/>
      <c r="Q49" s="797"/>
      <c r="R49" s="797"/>
      <c r="S49" s="797"/>
      <c r="T49" s="583"/>
      <c r="AL49" s="582"/>
      <c r="AM49" s="582"/>
    </row>
    <row r="50" spans="1:39" s="318" customFormat="1" ht="13.2" x14ac:dyDescent="0.25">
      <c r="A50" s="582"/>
      <c r="B50" s="797" t="str">
        <f>+B10</f>
        <v>(Millions of colones)</v>
      </c>
      <c r="C50" s="797"/>
      <c r="D50" s="797"/>
      <c r="E50" s="797"/>
      <c r="F50" s="797"/>
      <c r="G50" s="797"/>
      <c r="H50" s="800" t="str">
        <f>+H10</f>
        <v>(USD million)</v>
      </c>
      <c r="I50" s="800"/>
      <c r="J50" s="800"/>
      <c r="K50" s="800"/>
      <c r="L50" s="800"/>
      <c r="M50" s="800"/>
      <c r="N50" s="796"/>
      <c r="O50" s="796"/>
      <c r="P50" s="796"/>
      <c r="Q50" s="796"/>
      <c r="R50" s="796"/>
      <c r="S50" s="796"/>
      <c r="T50" s="583"/>
      <c r="U50" s="186"/>
      <c r="V50" s="186"/>
      <c r="W50" s="186"/>
      <c r="X50" s="186"/>
      <c r="Y50" s="186"/>
      <c r="Z50" s="186"/>
      <c r="AA50" s="186"/>
      <c r="AB50" s="186"/>
      <c r="AC50" s="186"/>
      <c r="AD50" s="186"/>
      <c r="AE50" s="186"/>
      <c r="AF50" s="186"/>
      <c r="AG50" s="186"/>
      <c r="AH50" s="186"/>
      <c r="AI50" s="186"/>
      <c r="AJ50" s="186"/>
      <c r="AK50" s="186"/>
      <c r="AL50" s="582"/>
      <c r="AM50" s="582"/>
    </row>
    <row r="51" spans="1:39" x14ac:dyDescent="0.25">
      <c r="A51" s="582"/>
      <c r="B51" s="795"/>
      <c r="C51" s="795"/>
      <c r="D51" s="795"/>
      <c r="E51" s="795"/>
      <c r="F51" s="795"/>
      <c r="G51" s="795"/>
      <c r="H51" s="795"/>
      <c r="I51" s="795"/>
      <c r="J51" s="795"/>
      <c r="K51" s="795"/>
      <c r="L51" s="795"/>
      <c r="M51" s="795"/>
      <c r="N51" s="582"/>
      <c r="O51" s="582"/>
      <c r="P51" s="582"/>
      <c r="Q51" s="582"/>
      <c r="R51" s="582"/>
      <c r="S51" s="582"/>
      <c r="T51" s="583"/>
      <c r="AL51" s="582"/>
      <c r="AM51" s="582"/>
    </row>
    <row r="59" spans="1:39" s="318" customFormat="1" x14ac:dyDescent="0.25">
      <c r="A59" s="582"/>
      <c r="B59" s="322"/>
      <c r="C59" s="582"/>
      <c r="D59" s="582"/>
      <c r="E59" s="582"/>
      <c r="F59" s="582"/>
      <c r="G59" s="582"/>
      <c r="H59" s="582"/>
      <c r="I59" s="582"/>
      <c r="J59" s="582"/>
      <c r="K59" s="582"/>
      <c r="L59" s="582"/>
      <c r="M59" s="582"/>
      <c r="N59" s="582"/>
      <c r="O59" s="582"/>
      <c r="P59" s="582"/>
      <c r="Q59" s="582"/>
      <c r="R59" s="582"/>
      <c r="S59" s="582"/>
      <c r="T59" s="583"/>
      <c r="U59" s="186"/>
      <c r="V59" s="186"/>
      <c r="W59" s="186"/>
      <c r="X59" s="186"/>
      <c r="Y59" s="186"/>
      <c r="Z59" s="186"/>
      <c r="AA59" s="186"/>
      <c r="AB59" s="186"/>
      <c r="AC59" s="186"/>
      <c r="AD59" s="186"/>
      <c r="AE59" s="186"/>
      <c r="AF59" s="186"/>
      <c r="AG59" s="186"/>
      <c r="AH59" s="186"/>
      <c r="AI59" s="186"/>
      <c r="AJ59" s="186"/>
      <c r="AK59" s="186"/>
      <c r="AL59" s="582"/>
      <c r="AM59" s="582"/>
    </row>
    <row r="60" spans="1:39" s="318" customFormat="1" x14ac:dyDescent="0.25">
      <c r="A60" s="582"/>
      <c r="B60" s="582"/>
      <c r="C60" s="582"/>
      <c r="D60" s="582"/>
      <c r="E60" s="582"/>
      <c r="F60" s="582"/>
      <c r="G60" s="582"/>
      <c r="H60" s="582"/>
      <c r="I60" s="582"/>
      <c r="J60" s="582"/>
      <c r="K60" s="582"/>
      <c r="L60" s="317"/>
      <c r="M60" s="317"/>
      <c r="N60" s="317"/>
      <c r="O60" s="317"/>
      <c r="P60" s="317"/>
      <c r="Q60" s="317"/>
      <c r="R60" s="317"/>
      <c r="S60" s="317"/>
      <c r="T60" s="583"/>
      <c r="U60" s="186"/>
      <c r="V60" s="186"/>
      <c r="W60" s="186"/>
      <c r="X60" s="186"/>
      <c r="Y60" s="186"/>
      <c r="Z60" s="186"/>
      <c r="AA60" s="186"/>
      <c r="AB60" s="186"/>
      <c r="AC60" s="186"/>
      <c r="AD60" s="186"/>
      <c r="AE60" s="186"/>
      <c r="AF60" s="186"/>
      <c r="AG60" s="186"/>
      <c r="AH60" s="186"/>
      <c r="AI60" s="186"/>
      <c r="AJ60" s="186"/>
      <c r="AK60" s="186"/>
      <c r="AL60" s="582"/>
      <c r="AM60" s="582"/>
    </row>
    <row r="61" spans="1:39" s="318" customFormat="1" x14ac:dyDescent="0.25">
      <c r="A61" s="582"/>
      <c r="B61" s="582"/>
      <c r="C61" s="582"/>
      <c r="D61" s="582"/>
      <c r="E61" s="582"/>
      <c r="F61" s="582"/>
      <c r="G61" s="582"/>
      <c r="H61" s="582"/>
      <c r="I61" s="582"/>
      <c r="J61" s="582"/>
      <c r="K61" s="582"/>
      <c r="L61" s="317"/>
      <c r="M61" s="317"/>
      <c r="N61" s="317"/>
      <c r="O61" s="317"/>
      <c r="P61" s="317"/>
      <c r="Q61" s="317"/>
      <c r="R61" s="317"/>
      <c r="S61" s="317"/>
      <c r="T61" s="583"/>
      <c r="U61" s="186"/>
      <c r="V61" s="186"/>
      <c r="W61" s="186"/>
      <c r="X61" s="186"/>
      <c r="Y61" s="186"/>
      <c r="Z61" s="186"/>
      <c r="AA61" s="186"/>
      <c r="AB61" s="186"/>
      <c r="AC61" s="186"/>
      <c r="AD61" s="186"/>
      <c r="AE61" s="186"/>
      <c r="AF61" s="186"/>
      <c r="AG61" s="186"/>
      <c r="AH61" s="186"/>
      <c r="AI61" s="186"/>
      <c r="AJ61" s="186"/>
      <c r="AK61" s="186"/>
      <c r="AL61" s="582"/>
      <c r="AM61" s="582"/>
    </row>
    <row r="62" spans="1:39" s="318" customFormat="1" x14ac:dyDescent="0.25">
      <c r="A62" s="582"/>
      <c r="B62" s="582"/>
      <c r="C62" s="582"/>
      <c r="D62" s="582"/>
      <c r="E62" s="582"/>
      <c r="F62" s="582"/>
      <c r="G62" s="582"/>
      <c r="H62" s="582"/>
      <c r="I62" s="582"/>
      <c r="J62" s="582"/>
      <c r="K62" s="582"/>
      <c r="L62" s="317"/>
      <c r="M62" s="317"/>
      <c r="N62" s="317"/>
      <c r="O62" s="317"/>
      <c r="P62" s="317"/>
      <c r="Q62" s="317"/>
      <c r="R62" s="317"/>
      <c r="S62" s="317"/>
      <c r="T62" s="583"/>
      <c r="U62" s="186"/>
      <c r="V62" s="186"/>
      <c r="W62" s="186"/>
      <c r="X62" s="186"/>
      <c r="Y62" s="186"/>
      <c r="Z62" s="186"/>
      <c r="AA62" s="186"/>
      <c r="AB62" s="186"/>
      <c r="AC62" s="186"/>
      <c r="AD62" s="186"/>
      <c r="AE62" s="186"/>
      <c r="AF62" s="186"/>
      <c r="AG62" s="186"/>
      <c r="AH62" s="186"/>
      <c r="AI62" s="186"/>
      <c r="AJ62" s="186"/>
      <c r="AK62" s="186"/>
      <c r="AL62" s="582"/>
      <c r="AM62" s="582"/>
    </row>
    <row r="68" spans="1:39" s="318" customFormat="1" ht="24" customHeight="1" x14ac:dyDescent="0.25">
      <c r="A68" s="582"/>
      <c r="B68" s="804" t="str">
        <f>+B2</f>
        <v>Graphics Maturity Profile Domestic Public Debt Central Goverment of Costa Rica</v>
      </c>
      <c r="C68" s="804"/>
      <c r="D68" s="804"/>
      <c r="E68" s="804"/>
      <c r="F68" s="804"/>
      <c r="G68" s="804"/>
      <c r="H68" s="804"/>
      <c r="I68" s="804"/>
      <c r="J68" s="804"/>
      <c r="K68" s="804"/>
      <c r="L68" s="804"/>
      <c r="M68" s="804"/>
      <c r="N68" s="804"/>
      <c r="O68" s="804"/>
      <c r="P68" s="804"/>
      <c r="Q68" s="804"/>
      <c r="R68" s="805"/>
      <c r="S68" s="316" t="s">
        <v>43</v>
      </c>
      <c r="T68" s="583"/>
      <c r="U68" s="186"/>
      <c r="V68" s="186"/>
      <c r="W68" s="186"/>
      <c r="X68" s="186"/>
      <c r="Y68" s="186"/>
      <c r="Z68" s="186"/>
      <c r="AA68" s="186"/>
      <c r="AB68" s="186"/>
      <c r="AC68" s="186"/>
      <c r="AD68" s="186"/>
      <c r="AE68" s="186"/>
      <c r="AF68" s="186"/>
      <c r="AG68" s="186"/>
      <c r="AH68" s="186"/>
      <c r="AI68" s="186"/>
      <c r="AJ68" s="186"/>
      <c r="AK68" s="186"/>
      <c r="AL68" s="582"/>
      <c r="AM68" s="582"/>
    </row>
    <row r="69" spans="1:39" s="318" customFormat="1" ht="15.6" x14ac:dyDescent="0.25">
      <c r="A69" s="582"/>
      <c r="B69" s="755"/>
      <c r="C69" s="755"/>
      <c r="D69" s="755"/>
      <c r="E69" s="755"/>
      <c r="F69" s="755"/>
      <c r="G69" s="755"/>
      <c r="H69" s="755"/>
      <c r="I69" s="755"/>
      <c r="J69" s="755"/>
      <c r="K69" s="755"/>
      <c r="L69" s="755"/>
      <c r="M69" s="755"/>
      <c r="N69" s="755"/>
      <c r="O69" s="755"/>
      <c r="P69" s="755"/>
      <c r="Q69" s="755"/>
      <c r="R69" s="755"/>
      <c r="S69" s="582"/>
      <c r="T69" s="583"/>
      <c r="U69" s="186"/>
      <c r="V69" s="186"/>
      <c r="W69" s="186"/>
      <c r="X69" s="186"/>
      <c r="Y69" s="186"/>
      <c r="Z69" s="186"/>
      <c r="AA69" s="186"/>
      <c r="AB69" s="186"/>
      <c r="AC69" s="186"/>
      <c r="AD69" s="186"/>
      <c r="AE69" s="186"/>
      <c r="AF69" s="186"/>
      <c r="AG69" s="186"/>
      <c r="AH69" s="186"/>
      <c r="AI69" s="186"/>
      <c r="AJ69" s="186"/>
      <c r="AK69" s="186"/>
      <c r="AL69" s="582"/>
      <c r="AM69" s="582"/>
    </row>
    <row r="71" spans="1:39" s="318" customFormat="1" ht="12" customHeight="1" x14ac:dyDescent="0.25">
      <c r="A71" s="582"/>
      <c r="B71" s="794" t="str">
        <f>+B6</f>
        <v>Central Goverment of Costa Rica</v>
      </c>
      <c r="C71" s="794"/>
      <c r="D71" s="794"/>
      <c r="E71" s="794"/>
      <c r="F71" s="794"/>
      <c r="G71" s="794"/>
      <c r="H71" s="793" t="str">
        <f>+H6</f>
        <v>Central Goverment of Costa Rica</v>
      </c>
      <c r="I71" s="793"/>
      <c r="J71" s="793"/>
      <c r="K71" s="793"/>
      <c r="L71" s="793"/>
      <c r="M71" s="793"/>
      <c r="N71" s="794" t="str">
        <f>+O6</f>
        <v>Central Goverment of Costa Rica</v>
      </c>
      <c r="O71" s="794"/>
      <c r="P71" s="794"/>
      <c r="Q71" s="794"/>
      <c r="R71" s="794"/>
      <c r="S71" s="794"/>
      <c r="T71" s="583"/>
      <c r="U71" s="186"/>
      <c r="V71" s="186"/>
      <c r="W71" s="186"/>
      <c r="X71" s="186"/>
      <c r="Y71" s="186"/>
      <c r="Z71" s="186"/>
      <c r="AA71" s="186"/>
      <c r="AB71" s="186"/>
      <c r="AC71" s="186"/>
      <c r="AD71" s="186"/>
      <c r="AE71" s="186"/>
      <c r="AF71" s="186"/>
      <c r="AG71" s="186"/>
      <c r="AH71" s="186"/>
      <c r="AI71" s="186"/>
      <c r="AJ71" s="186"/>
      <c r="AK71" s="186"/>
      <c r="AL71" s="582"/>
      <c r="AM71" s="582"/>
    </row>
    <row r="72" spans="1:39" s="318" customFormat="1" ht="12.75" customHeight="1" x14ac:dyDescent="0.25">
      <c r="A72" s="582"/>
      <c r="B72" s="794" t="str">
        <f>+B7</f>
        <v>Maturity Profile Domestic Public Debt</v>
      </c>
      <c r="C72" s="794"/>
      <c r="D72" s="794"/>
      <c r="E72" s="794"/>
      <c r="F72" s="794"/>
      <c r="G72" s="794"/>
      <c r="H72" s="793" t="str">
        <f>+H7</f>
        <v>Maturity Profile Domestic Public Debt</v>
      </c>
      <c r="I72" s="793"/>
      <c r="J72" s="793"/>
      <c r="K72" s="793"/>
      <c r="L72" s="793"/>
      <c r="M72" s="793"/>
      <c r="N72" s="794" t="str">
        <f>+O7</f>
        <v>Maturity Profile Domestic Public Debt as percentage by Total Debt</v>
      </c>
      <c r="O72" s="794"/>
      <c r="P72" s="794"/>
      <c r="Q72" s="794"/>
      <c r="R72" s="794"/>
      <c r="S72" s="794"/>
      <c r="T72" s="583"/>
      <c r="U72" s="186"/>
      <c r="V72" s="186"/>
      <c r="W72" s="186"/>
      <c r="X72" s="186"/>
      <c r="Y72" s="186"/>
      <c r="Z72" s="186"/>
      <c r="AA72" s="186"/>
      <c r="AB72" s="186"/>
      <c r="AC72" s="186"/>
      <c r="AD72" s="186"/>
      <c r="AE72" s="186"/>
      <c r="AF72" s="186"/>
      <c r="AG72" s="186"/>
      <c r="AH72" s="186"/>
      <c r="AI72" s="186"/>
      <c r="AJ72" s="186"/>
      <c r="AK72" s="186"/>
      <c r="AL72" s="582"/>
      <c r="AM72" s="582"/>
    </row>
    <row r="73" spans="1:39" s="318" customFormat="1" ht="13.2" x14ac:dyDescent="0.25">
      <c r="A73" s="582"/>
      <c r="B73" s="802">
        <f>+F119</f>
        <v>2024</v>
      </c>
      <c r="C73" s="802"/>
      <c r="D73" s="802"/>
      <c r="E73" s="802"/>
      <c r="F73" s="802"/>
      <c r="G73" s="802"/>
      <c r="H73" s="797">
        <f>+B73</f>
        <v>2024</v>
      </c>
      <c r="I73" s="797"/>
      <c r="J73" s="797"/>
      <c r="K73" s="797"/>
      <c r="L73" s="797"/>
      <c r="M73" s="797"/>
      <c r="N73" s="794">
        <f>+B73</f>
        <v>2024</v>
      </c>
      <c r="O73" s="794"/>
      <c r="P73" s="794"/>
      <c r="Q73" s="794"/>
      <c r="R73" s="794"/>
      <c r="S73" s="794"/>
      <c r="T73" s="583"/>
      <c r="U73" s="186"/>
      <c r="V73" s="186"/>
      <c r="W73" s="186"/>
      <c r="X73" s="186"/>
      <c r="Y73" s="186"/>
      <c r="Z73" s="186"/>
      <c r="AA73" s="186"/>
      <c r="AB73" s="186"/>
      <c r="AC73" s="186"/>
      <c r="AD73" s="186"/>
      <c r="AE73" s="186"/>
      <c r="AF73" s="186"/>
      <c r="AG73" s="186"/>
      <c r="AH73" s="186"/>
      <c r="AI73" s="186"/>
      <c r="AJ73" s="186"/>
      <c r="AK73" s="186"/>
      <c r="AL73" s="582"/>
      <c r="AM73" s="582"/>
    </row>
    <row r="74" spans="1:39" s="318" customFormat="1" ht="13.2" x14ac:dyDescent="0.25">
      <c r="A74" s="582"/>
      <c r="B74" s="799" t="str">
        <f>+B49</f>
        <v>December 31st  2020</v>
      </c>
      <c r="C74" s="799"/>
      <c r="D74" s="799"/>
      <c r="E74" s="799"/>
      <c r="F74" s="799"/>
      <c r="G74" s="799"/>
      <c r="H74" s="799" t="str">
        <f>+B74</f>
        <v>December 31st  2020</v>
      </c>
      <c r="I74" s="799"/>
      <c r="J74" s="799"/>
      <c r="K74" s="799"/>
      <c r="L74" s="799"/>
      <c r="M74" s="799"/>
      <c r="N74" s="797" t="str">
        <f>+B74</f>
        <v>December 31st  2020</v>
      </c>
      <c r="O74" s="797"/>
      <c r="P74" s="797"/>
      <c r="Q74" s="797"/>
      <c r="R74" s="797"/>
      <c r="S74" s="797"/>
      <c r="T74" s="583"/>
      <c r="U74" s="186"/>
      <c r="V74" s="186"/>
      <c r="W74" s="186"/>
      <c r="X74" s="186"/>
      <c r="Y74" s="186"/>
      <c r="Z74" s="186"/>
      <c r="AA74" s="186"/>
      <c r="AB74" s="186"/>
      <c r="AC74" s="186"/>
      <c r="AD74" s="186"/>
      <c r="AE74" s="186"/>
      <c r="AF74" s="186"/>
      <c r="AG74" s="186"/>
      <c r="AH74" s="186"/>
      <c r="AI74" s="186"/>
      <c r="AJ74" s="186"/>
      <c r="AK74" s="186"/>
      <c r="AL74" s="582"/>
      <c r="AM74" s="582"/>
    </row>
    <row r="75" spans="1:39" s="318" customFormat="1" ht="13.2" x14ac:dyDescent="0.25">
      <c r="A75" s="582"/>
      <c r="B75" s="797" t="str">
        <f>+B10</f>
        <v>(Millions of colones)</v>
      </c>
      <c r="C75" s="797"/>
      <c r="D75" s="797"/>
      <c r="E75" s="797"/>
      <c r="F75" s="797"/>
      <c r="G75" s="797"/>
      <c r="H75" s="800" t="str">
        <f>+H10</f>
        <v>(USD million)</v>
      </c>
      <c r="I75" s="800"/>
      <c r="J75" s="800"/>
      <c r="K75" s="800"/>
      <c r="L75" s="800"/>
      <c r="M75" s="800"/>
      <c r="N75" s="796"/>
      <c r="O75" s="796"/>
      <c r="P75" s="796"/>
      <c r="Q75" s="796"/>
      <c r="R75" s="796"/>
      <c r="S75" s="796"/>
      <c r="T75" s="583"/>
      <c r="U75" s="186"/>
      <c r="V75" s="186"/>
      <c r="W75" s="186"/>
      <c r="X75" s="186"/>
      <c r="Y75" s="186"/>
      <c r="Z75" s="186"/>
      <c r="AA75" s="186"/>
      <c r="AB75" s="186"/>
      <c r="AC75" s="186"/>
      <c r="AD75" s="186"/>
      <c r="AE75" s="186"/>
      <c r="AF75" s="186"/>
      <c r="AG75" s="186"/>
      <c r="AH75" s="186"/>
      <c r="AI75" s="186"/>
      <c r="AJ75" s="186"/>
      <c r="AK75" s="186"/>
      <c r="AL75" s="582"/>
      <c r="AM75" s="582"/>
    </row>
    <row r="76" spans="1:39" x14ac:dyDescent="0.25">
      <c r="A76" s="582"/>
      <c r="B76" s="795"/>
      <c r="C76" s="795"/>
      <c r="D76" s="795"/>
      <c r="E76" s="795"/>
      <c r="F76" s="795"/>
      <c r="G76" s="795"/>
      <c r="H76" s="795"/>
      <c r="I76" s="795"/>
      <c r="J76" s="795"/>
      <c r="K76" s="795"/>
      <c r="L76" s="795"/>
      <c r="M76" s="795"/>
      <c r="N76" s="582"/>
      <c r="O76" s="582"/>
      <c r="P76" s="582"/>
      <c r="Q76" s="582"/>
      <c r="R76" s="582"/>
      <c r="S76" s="582"/>
      <c r="T76" s="583"/>
      <c r="AL76" s="582"/>
      <c r="AM76" s="582"/>
    </row>
    <row r="92" spans="2:19" ht="12" customHeight="1" x14ac:dyDescent="0.25">
      <c r="B92" s="794" t="str">
        <f>+B6</f>
        <v>Central Goverment of Costa Rica</v>
      </c>
      <c r="C92" s="794"/>
      <c r="D92" s="794"/>
      <c r="E92" s="794"/>
      <c r="F92" s="794"/>
      <c r="G92" s="794"/>
      <c r="H92" s="793" t="str">
        <f>+H6</f>
        <v>Central Goverment of Costa Rica</v>
      </c>
      <c r="I92" s="793"/>
      <c r="J92" s="793"/>
      <c r="K92" s="793"/>
      <c r="L92" s="793"/>
      <c r="M92" s="793"/>
      <c r="N92" s="794" t="str">
        <f>+O6</f>
        <v>Central Goverment of Costa Rica</v>
      </c>
      <c r="O92" s="794"/>
      <c r="P92" s="794"/>
      <c r="Q92" s="794"/>
      <c r="R92" s="794"/>
      <c r="S92" s="794"/>
    </row>
    <row r="93" spans="2:19" ht="12" customHeight="1" x14ac:dyDescent="0.25">
      <c r="B93" s="794" t="str">
        <f>+B7</f>
        <v>Maturity Profile Domestic Public Debt</v>
      </c>
      <c r="C93" s="794"/>
      <c r="D93" s="794"/>
      <c r="E93" s="794"/>
      <c r="F93" s="794"/>
      <c r="G93" s="794"/>
      <c r="H93" s="793" t="str">
        <f>+H7</f>
        <v>Maturity Profile Domestic Public Debt</v>
      </c>
      <c r="I93" s="793"/>
      <c r="J93" s="793"/>
      <c r="K93" s="793"/>
      <c r="L93" s="793"/>
      <c r="M93" s="793"/>
      <c r="N93" s="794" t="str">
        <f>+O7</f>
        <v>Maturity Profile Domestic Public Debt as percentage by Total Debt</v>
      </c>
      <c r="O93" s="794"/>
      <c r="P93" s="794"/>
      <c r="Q93" s="794"/>
      <c r="R93" s="794"/>
      <c r="S93" s="794"/>
    </row>
    <row r="94" spans="2:19" ht="13.2" x14ac:dyDescent="0.25">
      <c r="B94" s="802">
        <f>+G119</f>
        <v>2025</v>
      </c>
      <c r="C94" s="802"/>
      <c r="D94" s="802"/>
      <c r="E94" s="802"/>
      <c r="F94" s="802"/>
      <c r="G94" s="802"/>
      <c r="H94" s="797">
        <f>+B94</f>
        <v>2025</v>
      </c>
      <c r="I94" s="797"/>
      <c r="J94" s="797"/>
      <c r="K94" s="797"/>
      <c r="L94" s="797"/>
      <c r="M94" s="797"/>
      <c r="N94" s="794">
        <f>+B94</f>
        <v>2025</v>
      </c>
      <c r="O94" s="794"/>
      <c r="P94" s="794"/>
      <c r="Q94" s="794"/>
      <c r="R94" s="794"/>
      <c r="S94" s="794"/>
    </row>
    <row r="95" spans="2:19" ht="12.75" customHeight="1" x14ac:dyDescent="0.25">
      <c r="B95" s="799" t="str">
        <f>+B74</f>
        <v>December 31st  2020</v>
      </c>
      <c r="C95" s="799"/>
      <c r="D95" s="799"/>
      <c r="E95" s="799"/>
      <c r="F95" s="799"/>
      <c r="G95" s="799"/>
      <c r="H95" s="799" t="str">
        <f>+B95</f>
        <v>December 31st  2020</v>
      </c>
      <c r="I95" s="799"/>
      <c r="J95" s="799"/>
      <c r="K95" s="799"/>
      <c r="L95" s="799"/>
      <c r="M95" s="799"/>
      <c r="N95" s="794" t="str">
        <f>+B95</f>
        <v>December 31st  2020</v>
      </c>
      <c r="O95" s="794"/>
      <c r="P95" s="794"/>
      <c r="Q95" s="794"/>
      <c r="R95" s="794"/>
      <c r="S95" s="794"/>
    </row>
    <row r="96" spans="2:19" ht="13.2" x14ac:dyDescent="0.25">
      <c r="B96" s="797" t="str">
        <f>+B10</f>
        <v>(Millions of colones)</v>
      </c>
      <c r="C96" s="797"/>
      <c r="D96" s="797"/>
      <c r="E96" s="797"/>
      <c r="F96" s="797"/>
      <c r="G96" s="797"/>
      <c r="H96" s="800" t="str">
        <f>+H10</f>
        <v>(USD million)</v>
      </c>
      <c r="I96" s="800"/>
      <c r="J96" s="800"/>
      <c r="K96" s="800"/>
      <c r="L96" s="800"/>
      <c r="M96" s="800"/>
      <c r="N96" s="795"/>
      <c r="O96" s="795"/>
      <c r="P96" s="795"/>
      <c r="Q96" s="795"/>
      <c r="R96" s="795"/>
      <c r="S96" s="795"/>
    </row>
    <row r="97" spans="2:19" x14ac:dyDescent="0.25">
      <c r="B97" s="582"/>
      <c r="C97" s="582"/>
      <c r="D97" s="582"/>
      <c r="E97" s="582"/>
      <c r="F97" s="582"/>
      <c r="G97" s="582"/>
      <c r="H97" s="795"/>
      <c r="I97" s="795"/>
      <c r="J97" s="795"/>
      <c r="K97" s="795"/>
      <c r="L97" s="795"/>
      <c r="M97" s="795"/>
      <c r="N97" s="795"/>
      <c r="O97" s="795"/>
      <c r="P97" s="795"/>
      <c r="Q97" s="795"/>
      <c r="R97" s="795"/>
      <c r="S97" s="795"/>
    </row>
    <row r="106" spans="2:19" x14ac:dyDescent="0.25">
      <c r="B106" s="322"/>
      <c r="C106" s="582"/>
      <c r="D106" s="582"/>
      <c r="E106" s="582"/>
      <c r="F106" s="582"/>
      <c r="G106" s="582"/>
      <c r="H106" s="582"/>
      <c r="I106" s="582"/>
      <c r="J106" s="582"/>
      <c r="K106" s="582"/>
      <c r="L106" s="582"/>
      <c r="M106" s="582"/>
      <c r="N106" s="582"/>
      <c r="O106" s="582"/>
      <c r="P106" s="582"/>
      <c r="Q106" s="582"/>
      <c r="R106" s="582"/>
      <c r="S106" s="582"/>
    </row>
    <row r="109" spans="2:19" x14ac:dyDescent="0.25">
      <c r="B109" s="582"/>
      <c r="C109" s="582"/>
      <c r="D109" s="582"/>
      <c r="E109" s="582"/>
      <c r="F109" s="582"/>
      <c r="G109" s="582"/>
      <c r="H109" s="582"/>
      <c r="I109" s="582"/>
      <c r="J109" s="317"/>
      <c r="K109" s="317"/>
      <c r="L109" s="317"/>
      <c r="M109" s="317"/>
      <c r="N109" s="317"/>
      <c r="O109" s="317"/>
      <c r="P109" s="317"/>
      <c r="Q109" s="317"/>
      <c r="R109" s="317"/>
      <c r="S109" s="317"/>
    </row>
    <row r="110" spans="2:19" x14ac:dyDescent="0.25">
      <c r="B110" s="582"/>
      <c r="C110" s="582"/>
      <c r="D110" s="582"/>
      <c r="E110" s="582"/>
      <c r="F110" s="582"/>
      <c r="G110" s="582"/>
      <c r="H110" s="582"/>
      <c r="I110" s="582"/>
      <c r="J110" s="322"/>
      <c r="K110" s="185"/>
      <c r="L110" s="185"/>
      <c r="M110" s="185"/>
      <c r="N110" s="185"/>
      <c r="O110" s="185"/>
      <c r="P110" s="185"/>
      <c r="Q110" s="185"/>
      <c r="R110" s="185"/>
      <c r="S110" s="185"/>
    </row>
    <row r="111" spans="2:19" x14ac:dyDescent="0.25">
      <c r="B111" s="582"/>
      <c r="C111" s="582"/>
      <c r="D111" s="582"/>
      <c r="E111" s="582"/>
      <c r="F111" s="582"/>
      <c r="G111" s="582"/>
      <c r="H111" s="582"/>
      <c r="I111" s="582"/>
      <c r="J111" s="322"/>
      <c r="K111" s="185"/>
      <c r="L111" s="185"/>
      <c r="M111" s="185"/>
      <c r="N111" s="185"/>
      <c r="O111" s="185"/>
      <c r="P111" s="185"/>
      <c r="Q111" s="185"/>
      <c r="R111" s="185"/>
      <c r="S111" s="185"/>
    </row>
    <row r="112" spans="2:19" ht="23.25" customHeight="1" x14ac:dyDescent="0.25">
      <c r="B112" s="316" t="s">
        <v>43</v>
      </c>
      <c r="C112" s="582"/>
      <c r="D112" s="582"/>
      <c r="E112" s="582"/>
      <c r="F112" s="582"/>
      <c r="G112" s="582"/>
      <c r="H112" s="582"/>
      <c r="I112" s="582"/>
      <c r="J112" s="322"/>
      <c r="K112" s="185"/>
      <c r="L112" s="185"/>
      <c r="M112" s="185"/>
      <c r="N112" s="185"/>
      <c r="O112" s="185"/>
      <c r="P112" s="185"/>
      <c r="Q112" s="185"/>
      <c r="R112" s="582"/>
      <c r="S112" s="185"/>
    </row>
    <row r="113" spans="2:37" ht="13.2" x14ac:dyDescent="0.25">
      <c r="B113" s="582"/>
      <c r="C113" s="582"/>
      <c r="D113" s="582"/>
      <c r="E113" s="582"/>
      <c r="F113" s="582"/>
      <c r="G113" s="582"/>
      <c r="H113" s="582"/>
      <c r="I113" s="582"/>
      <c r="J113" s="322"/>
      <c r="K113" s="185"/>
      <c r="L113" s="185"/>
      <c r="M113" s="185"/>
      <c r="N113" s="185"/>
      <c r="O113" s="185"/>
      <c r="P113" s="185"/>
      <c r="Q113" s="185"/>
      <c r="R113" s="324"/>
      <c r="S113" s="185"/>
      <c r="T113" s="583"/>
    </row>
    <row r="114" spans="2:37" ht="14.4" x14ac:dyDescent="0.3">
      <c r="B114" s="801" t="str">
        <f>+B6</f>
        <v>Central Goverment of Costa Rica</v>
      </c>
      <c r="C114" s="801"/>
      <c r="D114" s="801"/>
      <c r="E114" s="801"/>
      <c r="F114" s="801"/>
      <c r="G114" s="801"/>
      <c r="H114" s="801"/>
      <c r="I114" s="801"/>
      <c r="J114" s="801"/>
      <c r="K114" s="801"/>
      <c r="L114" s="801"/>
      <c r="M114" s="801"/>
      <c r="N114" s="801"/>
      <c r="O114" s="801"/>
      <c r="P114" s="801"/>
      <c r="Q114" s="801"/>
      <c r="R114" s="801"/>
      <c r="S114" s="801"/>
      <c r="T114" s="801"/>
      <c r="U114" s="801"/>
      <c r="V114" s="801"/>
      <c r="W114" s="801"/>
      <c r="X114" s="801"/>
      <c r="Y114" s="801"/>
      <c r="Z114" s="801"/>
      <c r="AA114" s="801"/>
      <c r="AB114" s="801"/>
      <c r="AC114" s="801"/>
      <c r="AD114" s="801"/>
      <c r="AE114" s="801"/>
      <c r="AF114" s="801"/>
      <c r="AG114" s="801"/>
      <c r="AH114" s="801"/>
      <c r="AI114" s="801"/>
      <c r="AJ114" s="801"/>
      <c r="AK114" s="582"/>
    </row>
    <row r="115" spans="2:37" ht="14.4" x14ac:dyDescent="0.3">
      <c r="B115" s="801" t="str">
        <f>+B7</f>
        <v>Maturity Profile Domestic Public Debt</v>
      </c>
      <c r="C115" s="801"/>
      <c r="D115" s="801"/>
      <c r="E115" s="801"/>
      <c r="F115" s="801"/>
      <c r="G115" s="801"/>
      <c r="H115" s="801"/>
      <c r="I115" s="801"/>
      <c r="J115" s="801"/>
      <c r="K115" s="801"/>
      <c r="L115" s="801"/>
      <c r="M115" s="801"/>
      <c r="N115" s="801"/>
      <c r="O115" s="801"/>
      <c r="P115" s="801"/>
      <c r="Q115" s="801"/>
      <c r="R115" s="801"/>
      <c r="S115" s="801"/>
      <c r="T115" s="801"/>
      <c r="U115" s="801"/>
      <c r="V115" s="801"/>
      <c r="W115" s="801"/>
      <c r="X115" s="801"/>
      <c r="Y115" s="801"/>
      <c r="Z115" s="801"/>
      <c r="AA115" s="801"/>
      <c r="AB115" s="801"/>
      <c r="AC115" s="801"/>
      <c r="AD115" s="801"/>
      <c r="AE115" s="801"/>
      <c r="AF115" s="801"/>
      <c r="AG115" s="801"/>
      <c r="AH115" s="801"/>
      <c r="AI115" s="801"/>
      <c r="AJ115" s="801"/>
      <c r="AK115" s="582"/>
    </row>
    <row r="116" spans="2:37" ht="14.4" x14ac:dyDescent="0.3">
      <c r="B116" s="801" t="str">
        <f>+B9</f>
        <v>December 31st  2020</v>
      </c>
      <c r="C116" s="801"/>
      <c r="D116" s="801"/>
      <c r="E116" s="801"/>
      <c r="F116" s="801"/>
      <c r="G116" s="801"/>
      <c r="H116" s="801"/>
      <c r="I116" s="801"/>
      <c r="J116" s="801"/>
      <c r="K116" s="801"/>
      <c r="L116" s="801"/>
      <c r="M116" s="801"/>
      <c r="N116" s="801"/>
      <c r="O116" s="801"/>
      <c r="P116" s="801"/>
      <c r="Q116" s="801"/>
      <c r="R116" s="801"/>
      <c r="S116" s="801"/>
      <c r="T116" s="801"/>
      <c r="U116" s="801"/>
      <c r="V116" s="801"/>
      <c r="W116" s="801"/>
      <c r="X116" s="801"/>
      <c r="Y116" s="801"/>
      <c r="Z116" s="801"/>
      <c r="AA116" s="801"/>
      <c r="AB116" s="801"/>
      <c r="AC116" s="801"/>
      <c r="AD116" s="801"/>
      <c r="AE116" s="801"/>
      <c r="AF116" s="801"/>
      <c r="AG116" s="801"/>
      <c r="AH116" s="801"/>
      <c r="AI116" s="801"/>
      <c r="AJ116" s="801"/>
      <c r="AK116" s="582"/>
    </row>
    <row r="117" spans="2:37" ht="14.4" x14ac:dyDescent="0.3">
      <c r="B117" s="801" t="s">
        <v>158</v>
      </c>
      <c r="C117" s="801"/>
      <c r="D117" s="801"/>
      <c r="E117" s="801"/>
      <c r="F117" s="801"/>
      <c r="G117" s="801"/>
      <c r="H117" s="801"/>
      <c r="I117" s="801"/>
      <c r="J117" s="801"/>
      <c r="K117" s="801"/>
      <c r="L117" s="801"/>
      <c r="M117" s="801"/>
      <c r="N117" s="801"/>
      <c r="O117" s="801"/>
      <c r="P117" s="801"/>
      <c r="Q117" s="801"/>
      <c r="R117" s="801"/>
      <c r="S117" s="801"/>
      <c r="T117" s="801"/>
      <c r="U117" s="801"/>
      <c r="V117" s="801"/>
      <c r="W117" s="801"/>
      <c r="X117" s="801"/>
      <c r="Y117" s="801"/>
      <c r="Z117" s="801"/>
      <c r="AA117" s="801"/>
      <c r="AB117" s="801"/>
      <c r="AC117" s="801"/>
      <c r="AD117" s="801"/>
      <c r="AE117" s="801"/>
      <c r="AF117" s="801"/>
      <c r="AG117" s="801"/>
      <c r="AH117" s="801"/>
      <c r="AI117" s="801"/>
      <c r="AJ117" s="801"/>
      <c r="AK117" s="582"/>
    </row>
    <row r="118" spans="2:37" ht="14.4" x14ac:dyDescent="0.3">
      <c r="B118" s="754"/>
      <c r="C118" s="754"/>
      <c r="D118" s="754"/>
      <c r="E118" s="754"/>
      <c r="F118" s="754"/>
      <c r="G118" s="754"/>
      <c r="H118" s="754"/>
      <c r="I118" s="754"/>
      <c r="J118" s="754"/>
      <c r="K118" s="754"/>
      <c r="L118" s="754"/>
      <c r="M118" s="754"/>
      <c r="N118" s="754"/>
      <c r="O118" s="754"/>
      <c r="P118" s="754"/>
      <c r="Q118" s="754"/>
      <c r="R118" s="754"/>
      <c r="S118" s="754"/>
      <c r="T118" s="754"/>
      <c r="U118" s="754"/>
      <c r="V118" s="754"/>
      <c r="W118" s="754"/>
      <c r="X118" s="754"/>
      <c r="Y118" s="754"/>
      <c r="Z118" s="754"/>
      <c r="AA118" s="754"/>
      <c r="AB118" s="754"/>
      <c r="AC118" s="754"/>
      <c r="AD118" s="754"/>
      <c r="AE118" s="754"/>
      <c r="AF118" s="754"/>
      <c r="AG118" s="754"/>
      <c r="AH118" s="754"/>
      <c r="AI118" s="754"/>
      <c r="AJ118" s="754"/>
      <c r="AK118" s="582"/>
    </row>
    <row r="119" spans="2:37" x14ac:dyDescent="0.25">
      <c r="B119" s="325" t="s">
        <v>159</v>
      </c>
      <c r="C119" s="326">
        <v>2021</v>
      </c>
      <c r="D119" s="326">
        <f>+C119+1</f>
        <v>2022</v>
      </c>
      <c r="E119" s="326">
        <f t="shared" ref="E119:AH119" si="0">+D119+1</f>
        <v>2023</v>
      </c>
      <c r="F119" s="326">
        <f t="shared" si="0"/>
        <v>2024</v>
      </c>
      <c r="G119" s="326">
        <f t="shared" si="0"/>
        <v>2025</v>
      </c>
      <c r="H119" s="326">
        <f t="shared" si="0"/>
        <v>2026</v>
      </c>
      <c r="I119" s="326">
        <f t="shared" si="0"/>
        <v>2027</v>
      </c>
      <c r="J119" s="326">
        <f t="shared" si="0"/>
        <v>2028</v>
      </c>
      <c r="K119" s="326">
        <f t="shared" si="0"/>
        <v>2029</v>
      </c>
      <c r="L119" s="326">
        <f t="shared" si="0"/>
        <v>2030</v>
      </c>
      <c r="M119" s="326">
        <f t="shared" si="0"/>
        <v>2031</v>
      </c>
      <c r="N119" s="326">
        <f t="shared" si="0"/>
        <v>2032</v>
      </c>
      <c r="O119" s="326">
        <f t="shared" si="0"/>
        <v>2033</v>
      </c>
      <c r="P119" s="326">
        <f t="shared" si="0"/>
        <v>2034</v>
      </c>
      <c r="Q119" s="326">
        <f t="shared" si="0"/>
        <v>2035</v>
      </c>
      <c r="R119" s="326">
        <f t="shared" si="0"/>
        <v>2036</v>
      </c>
      <c r="S119" s="326">
        <f t="shared" si="0"/>
        <v>2037</v>
      </c>
      <c r="T119" s="326">
        <f t="shared" si="0"/>
        <v>2038</v>
      </c>
      <c r="U119" s="326">
        <f t="shared" si="0"/>
        <v>2039</v>
      </c>
      <c r="V119" s="326">
        <f t="shared" si="0"/>
        <v>2040</v>
      </c>
      <c r="W119" s="326">
        <f t="shared" si="0"/>
        <v>2041</v>
      </c>
      <c r="X119" s="326">
        <f t="shared" si="0"/>
        <v>2042</v>
      </c>
      <c r="Y119" s="326">
        <f t="shared" si="0"/>
        <v>2043</v>
      </c>
      <c r="Z119" s="326">
        <f t="shared" si="0"/>
        <v>2044</v>
      </c>
      <c r="AA119" s="326">
        <f t="shared" si="0"/>
        <v>2045</v>
      </c>
      <c r="AB119" s="326">
        <f t="shared" si="0"/>
        <v>2046</v>
      </c>
      <c r="AC119" s="326">
        <f t="shared" si="0"/>
        <v>2047</v>
      </c>
      <c r="AD119" s="326">
        <f t="shared" si="0"/>
        <v>2048</v>
      </c>
      <c r="AE119" s="326">
        <f t="shared" si="0"/>
        <v>2049</v>
      </c>
      <c r="AF119" s="326">
        <f t="shared" si="0"/>
        <v>2050</v>
      </c>
      <c r="AG119" s="326">
        <f t="shared" si="0"/>
        <v>2051</v>
      </c>
      <c r="AH119" s="326">
        <f t="shared" si="0"/>
        <v>2052</v>
      </c>
      <c r="AI119" s="352"/>
      <c r="AJ119" s="582"/>
      <c r="AK119" s="582"/>
    </row>
    <row r="120" spans="2:37" ht="13.2" x14ac:dyDescent="0.25">
      <c r="B120" s="327" t="s">
        <v>160</v>
      </c>
      <c r="C120" s="328">
        <v>227259.57331590628</v>
      </c>
      <c r="D120" s="328">
        <v>252267.03933410862</v>
      </c>
      <c r="E120" s="328">
        <v>526.50784001964996</v>
      </c>
      <c r="F120" s="328">
        <v>421584.79214033461</v>
      </c>
      <c r="G120" s="329">
        <v>448.79215452840009</v>
      </c>
      <c r="H120" s="329">
        <v>61483.713483034771</v>
      </c>
      <c r="I120" s="329">
        <v>487.95782272380001</v>
      </c>
      <c r="J120" s="329">
        <v>469339.61227772827</v>
      </c>
      <c r="K120" s="329">
        <v>172693.19040152841</v>
      </c>
      <c r="L120" s="329">
        <v>494.16714912360004</v>
      </c>
      <c r="M120" s="329">
        <v>504.47906389419995</v>
      </c>
      <c r="N120" s="329">
        <v>521.32080900380004</v>
      </c>
      <c r="O120" s="329">
        <v>545.94454715900008</v>
      </c>
      <c r="P120" s="329">
        <v>63.98277530595</v>
      </c>
      <c r="Q120" s="329">
        <v>60.308314649099998</v>
      </c>
      <c r="R120" s="329"/>
      <c r="S120" s="329"/>
      <c r="T120" s="329"/>
      <c r="U120" s="329"/>
      <c r="V120" s="329">
        <v>156138.42449999999</v>
      </c>
      <c r="W120" s="329"/>
      <c r="X120" s="329"/>
      <c r="Y120" s="329"/>
      <c r="Z120" s="329"/>
      <c r="AA120" s="329"/>
      <c r="AB120" s="329"/>
      <c r="AC120" s="329"/>
      <c r="AD120" s="329"/>
      <c r="AE120" s="329"/>
      <c r="AF120" s="329"/>
      <c r="AG120" s="329"/>
      <c r="AH120" s="329"/>
      <c r="AI120" s="12"/>
      <c r="AJ120" s="582"/>
      <c r="AK120" s="582"/>
    </row>
    <row r="121" spans="2:37" ht="13.2" x14ac:dyDescent="0.25">
      <c r="B121" s="327" t="s">
        <v>161</v>
      </c>
      <c r="C121" s="328">
        <v>145444.72844420222</v>
      </c>
      <c r="D121" s="328">
        <v>220721.47461309997</v>
      </c>
      <c r="E121" s="328">
        <v>429142.20246111753</v>
      </c>
      <c r="F121" s="328">
        <v>283172.10527178878</v>
      </c>
      <c r="G121" s="329">
        <v>496707.78013193334</v>
      </c>
      <c r="H121" s="329">
        <v>470.21185610014999</v>
      </c>
      <c r="I121" s="329">
        <v>480734.54982547532</v>
      </c>
      <c r="J121" s="329">
        <v>291404.97721129371</v>
      </c>
      <c r="K121" s="329">
        <v>428066.19917733897</v>
      </c>
      <c r="L121" s="329">
        <v>379054.66982944758</v>
      </c>
      <c r="M121" s="329">
        <v>542.51805655070007</v>
      </c>
      <c r="N121" s="329">
        <v>539.71247646210008</v>
      </c>
      <c r="O121" s="329">
        <v>578.38042169344999</v>
      </c>
      <c r="P121" s="329">
        <v>81.513725263649988</v>
      </c>
      <c r="Q121" s="329">
        <v>33.486309558000002</v>
      </c>
      <c r="R121" s="329">
        <v>274781.59999999998</v>
      </c>
      <c r="S121" s="329"/>
      <c r="T121" s="329"/>
      <c r="U121" s="329"/>
      <c r="V121" s="329"/>
      <c r="W121" s="329"/>
      <c r="X121" s="329"/>
      <c r="Y121" s="329"/>
      <c r="Z121" s="329"/>
      <c r="AA121" s="329"/>
      <c r="AB121" s="329"/>
      <c r="AC121" s="329"/>
      <c r="AD121" s="329"/>
      <c r="AE121" s="329"/>
      <c r="AF121" s="329"/>
      <c r="AG121" s="329"/>
      <c r="AH121" s="329"/>
      <c r="AI121" s="12"/>
      <c r="AJ121" s="582"/>
      <c r="AK121" s="582"/>
    </row>
    <row r="122" spans="2:37" ht="13.2" x14ac:dyDescent="0.25">
      <c r="B122" s="327" t="s">
        <v>162</v>
      </c>
      <c r="C122" s="328">
        <v>234608.39999197281</v>
      </c>
      <c r="D122" s="328">
        <v>2271.6982152131995</v>
      </c>
      <c r="E122" s="328">
        <v>185251.83167606324</v>
      </c>
      <c r="F122" s="328">
        <v>290569.42105795065</v>
      </c>
      <c r="G122" s="329">
        <v>9621.6144884204477</v>
      </c>
      <c r="H122" s="329">
        <v>439244.6946198431</v>
      </c>
      <c r="I122" s="329">
        <v>444101.63443220814</v>
      </c>
      <c r="J122" s="329">
        <v>8344.1335189695983</v>
      </c>
      <c r="K122" s="329">
        <v>584.58572979745009</v>
      </c>
      <c r="L122" s="329">
        <v>531.78889342670004</v>
      </c>
      <c r="M122" s="329">
        <v>510.77213401055002</v>
      </c>
      <c r="N122" s="329">
        <v>526.96928142159993</v>
      </c>
      <c r="O122" s="329">
        <v>624.35107812219997</v>
      </c>
      <c r="P122" s="329">
        <v>2.0349887979000001</v>
      </c>
      <c r="Q122" s="329">
        <v>235893.34877956039</v>
      </c>
      <c r="R122" s="329"/>
      <c r="S122" s="329"/>
      <c r="T122" s="329"/>
      <c r="U122" s="329"/>
      <c r="V122" s="329"/>
      <c r="W122" s="329"/>
      <c r="X122" s="329"/>
      <c r="Y122" s="329"/>
      <c r="Z122" s="329"/>
      <c r="AA122" s="329"/>
      <c r="AB122" s="329"/>
      <c r="AC122" s="329"/>
      <c r="AD122" s="329"/>
      <c r="AE122" s="329"/>
      <c r="AF122" s="329"/>
      <c r="AG122" s="329"/>
      <c r="AH122" s="329"/>
      <c r="AI122" s="12"/>
      <c r="AJ122" s="582"/>
      <c r="AK122" s="582"/>
    </row>
    <row r="123" spans="2:37" x14ac:dyDescent="0.25">
      <c r="B123" s="327" t="s">
        <v>163</v>
      </c>
      <c r="C123" s="328">
        <v>205831.3297495814</v>
      </c>
      <c r="D123" s="328">
        <v>3568.840229800599</v>
      </c>
      <c r="E123" s="328">
        <v>22024.11171467571</v>
      </c>
      <c r="F123" s="328">
        <v>4132.7520893259998</v>
      </c>
      <c r="G123" s="329">
        <v>731.62002670640015</v>
      </c>
      <c r="H123" s="329">
        <v>43405.876948410594</v>
      </c>
      <c r="I123" s="329">
        <v>42079.73449923766</v>
      </c>
      <c r="J123" s="329">
        <v>477.58873381335002</v>
      </c>
      <c r="K123" s="329">
        <v>208013.45873437877</v>
      </c>
      <c r="L123" s="329">
        <v>522.24047306650004</v>
      </c>
      <c r="M123" s="329">
        <v>577.82148003170005</v>
      </c>
      <c r="N123" s="329">
        <v>59841.306758323051</v>
      </c>
      <c r="O123" s="329">
        <v>578.96246574485008</v>
      </c>
      <c r="P123" s="329">
        <v>118246.72154641525</v>
      </c>
      <c r="Q123" s="329">
        <v>27646.568809420798</v>
      </c>
      <c r="R123" s="329">
        <v>897</v>
      </c>
      <c r="S123" s="329"/>
      <c r="T123" s="329"/>
      <c r="U123" s="329">
        <v>135453.5</v>
      </c>
      <c r="V123" s="329"/>
      <c r="W123" s="329"/>
      <c r="X123" s="329"/>
      <c r="Y123" s="329"/>
      <c r="Z123" s="329">
        <v>376168.75</v>
      </c>
      <c r="AA123" s="329"/>
      <c r="AB123" s="329"/>
      <c r="AC123" s="329">
        <v>15599.9</v>
      </c>
      <c r="AD123" s="329"/>
      <c r="AE123" s="329"/>
      <c r="AF123" s="329">
        <v>98498.95</v>
      </c>
      <c r="AG123" s="329">
        <v>21301.45</v>
      </c>
      <c r="AH123" s="329"/>
      <c r="AI123" s="329"/>
      <c r="AJ123" s="582"/>
      <c r="AK123" s="582"/>
    </row>
    <row r="124" spans="2:37" ht="13.2" x14ac:dyDescent="0.25">
      <c r="B124" s="327" t="s">
        <v>164</v>
      </c>
      <c r="C124" s="328">
        <v>212913.16849384061</v>
      </c>
      <c r="D124" s="328">
        <v>258780.47064933172</v>
      </c>
      <c r="E124" s="328">
        <v>45382.539521748055</v>
      </c>
      <c r="F124" s="328">
        <v>163099.58697121602</v>
      </c>
      <c r="G124" s="329">
        <v>432.95248267279999</v>
      </c>
      <c r="H124" s="329">
        <v>446.34938414880003</v>
      </c>
      <c r="I124" s="329">
        <v>246749.29898907541</v>
      </c>
      <c r="J124" s="329">
        <v>72302.609760093837</v>
      </c>
      <c r="K124" s="329">
        <v>482.98973789419995</v>
      </c>
      <c r="L124" s="329">
        <v>500.97212903899998</v>
      </c>
      <c r="M124" s="329">
        <v>518.67609167174999</v>
      </c>
      <c r="N124" s="329">
        <v>528.35626040119996</v>
      </c>
      <c r="O124" s="329">
        <v>94925.489132520364</v>
      </c>
      <c r="P124" s="329"/>
      <c r="Q124" s="329">
        <v>70.837390154250002</v>
      </c>
      <c r="R124" s="329"/>
      <c r="S124" s="329">
        <v>2521.4553000000001</v>
      </c>
      <c r="T124" s="329"/>
      <c r="U124" s="329"/>
      <c r="V124" s="329"/>
      <c r="W124" s="329"/>
      <c r="X124" s="329"/>
      <c r="Y124" s="329"/>
      <c r="Z124" s="329"/>
      <c r="AA124" s="329"/>
      <c r="AB124" s="329"/>
      <c r="AC124" s="329"/>
      <c r="AD124" s="329"/>
      <c r="AE124" s="329"/>
      <c r="AF124" s="329"/>
      <c r="AG124" s="329"/>
      <c r="AH124" s="329"/>
      <c r="AI124" s="12"/>
      <c r="AJ124" s="582"/>
      <c r="AK124" s="582"/>
    </row>
    <row r="125" spans="2:37" ht="13.2" x14ac:dyDescent="0.25">
      <c r="B125" s="327" t="s">
        <v>165</v>
      </c>
      <c r="C125" s="328">
        <v>119288.38731517758</v>
      </c>
      <c r="D125" s="328">
        <v>239146.23376139518</v>
      </c>
      <c r="E125" s="328">
        <v>293307.14925214293</v>
      </c>
      <c r="F125" s="328">
        <v>107470.78639034792</v>
      </c>
      <c r="G125" s="329">
        <v>150610.83909693797</v>
      </c>
      <c r="H125" s="329">
        <v>231756.31436115538</v>
      </c>
      <c r="I125" s="329">
        <v>41979.1262115258</v>
      </c>
      <c r="J125" s="329">
        <v>269180.60340501362</v>
      </c>
      <c r="K125" s="329">
        <v>6436.9062570847991</v>
      </c>
      <c r="L125" s="329">
        <v>500503.67181028199</v>
      </c>
      <c r="M125" s="329">
        <v>322278.30711997626</v>
      </c>
      <c r="N125" s="329">
        <v>32273.350956781702</v>
      </c>
      <c r="O125" s="329">
        <v>546.48556322895001</v>
      </c>
      <c r="P125" s="329">
        <v>66980.469730630401</v>
      </c>
      <c r="Q125" s="329">
        <v>69.204947744699993</v>
      </c>
      <c r="R125" s="329"/>
      <c r="S125" s="329"/>
      <c r="T125" s="329"/>
      <c r="U125" s="329"/>
      <c r="V125" s="329"/>
      <c r="W125" s="329"/>
      <c r="X125" s="329"/>
      <c r="Y125" s="329"/>
      <c r="Z125" s="329"/>
      <c r="AA125" s="329"/>
      <c r="AB125" s="329"/>
      <c r="AC125" s="329"/>
      <c r="AD125" s="329"/>
      <c r="AE125" s="329"/>
      <c r="AF125" s="329"/>
      <c r="AG125" s="329"/>
      <c r="AH125" s="329"/>
      <c r="AI125" s="12"/>
      <c r="AJ125" s="582"/>
      <c r="AK125" s="582"/>
    </row>
    <row r="126" spans="2:37" ht="13.2" x14ac:dyDescent="0.25">
      <c r="B126" s="327" t="s">
        <v>166</v>
      </c>
      <c r="C126" s="328">
        <v>184544.48755117992</v>
      </c>
      <c r="D126" s="328">
        <v>366655.33516601776</v>
      </c>
      <c r="E126" s="328">
        <v>254978.85784822059</v>
      </c>
      <c r="F126" s="328">
        <v>276449.09886253643</v>
      </c>
      <c r="G126" s="329">
        <v>87358.117241197979</v>
      </c>
      <c r="H126" s="329">
        <v>222381.38913226058</v>
      </c>
      <c r="I126" s="329">
        <v>72712.988693771331</v>
      </c>
      <c r="J126" s="329">
        <v>473.76799079360001</v>
      </c>
      <c r="K126" s="329">
        <v>486.53806894959996</v>
      </c>
      <c r="L126" s="329">
        <v>32266.587328316804</v>
      </c>
      <c r="M126" s="329">
        <v>200803.57661972157</v>
      </c>
      <c r="N126" s="329">
        <v>585.8021855280499</v>
      </c>
      <c r="O126" s="329">
        <v>6514.5781331667004</v>
      </c>
      <c r="P126" s="329">
        <v>10.33344703245</v>
      </c>
      <c r="Q126" s="329"/>
      <c r="R126" s="329">
        <v>6535.4643599999999</v>
      </c>
      <c r="S126" s="329"/>
      <c r="T126" s="329"/>
      <c r="U126" s="329"/>
      <c r="V126" s="329"/>
      <c r="W126" s="329"/>
      <c r="X126" s="329"/>
      <c r="Y126" s="329">
        <v>37176.494467500001</v>
      </c>
      <c r="Z126" s="329"/>
      <c r="AA126" s="329"/>
      <c r="AB126" s="329"/>
      <c r="AC126" s="329"/>
      <c r="AD126" s="329"/>
      <c r="AE126" s="329"/>
      <c r="AF126" s="329"/>
      <c r="AG126" s="329"/>
      <c r="AH126" s="329"/>
      <c r="AI126" s="12"/>
      <c r="AJ126" s="582"/>
      <c r="AK126" s="582"/>
    </row>
    <row r="127" spans="2:37" ht="13.2" x14ac:dyDescent="0.25">
      <c r="B127" s="327" t="s">
        <v>167</v>
      </c>
      <c r="C127" s="328">
        <v>25934.905907782351</v>
      </c>
      <c r="D127" s="328">
        <v>287340.81769569317</v>
      </c>
      <c r="E127" s="328">
        <v>220924.98298957018</v>
      </c>
      <c r="F127" s="328">
        <v>425.86083884299995</v>
      </c>
      <c r="G127" s="329">
        <v>136301.3274883964</v>
      </c>
      <c r="H127" s="329">
        <v>343105.98679157905</v>
      </c>
      <c r="I127" s="329">
        <v>458.95699930580003</v>
      </c>
      <c r="J127" s="329">
        <v>481.20161925815</v>
      </c>
      <c r="K127" s="329">
        <v>524.10178782435003</v>
      </c>
      <c r="L127" s="329">
        <v>508.94461664350001</v>
      </c>
      <c r="M127" s="329">
        <v>561.03907347655002</v>
      </c>
      <c r="N127" s="329">
        <v>619.96816134674998</v>
      </c>
      <c r="O127" s="329">
        <v>40.130436560850001</v>
      </c>
      <c r="P127" s="329">
        <v>65.181940488150005</v>
      </c>
      <c r="Q127" s="329">
        <v>8.7048965824499991</v>
      </c>
      <c r="R127" s="329"/>
      <c r="S127" s="329"/>
      <c r="T127" s="329"/>
      <c r="U127" s="329"/>
      <c r="V127" s="329"/>
      <c r="W127" s="329"/>
      <c r="X127" s="329"/>
      <c r="Y127" s="329"/>
      <c r="Z127" s="329"/>
      <c r="AA127" s="329"/>
      <c r="AB127" s="329"/>
      <c r="AC127" s="329"/>
      <c r="AD127" s="329"/>
      <c r="AE127" s="329"/>
      <c r="AF127" s="329"/>
      <c r="AG127" s="329"/>
      <c r="AH127" s="329"/>
      <c r="AI127" s="12"/>
      <c r="AJ127" s="582"/>
      <c r="AK127" s="582"/>
    </row>
    <row r="128" spans="2:37" ht="13.2" x14ac:dyDescent="0.25">
      <c r="B128" s="327" t="s">
        <v>168</v>
      </c>
      <c r="C128" s="328">
        <v>59964.640491320206</v>
      </c>
      <c r="D128" s="328">
        <v>205225.2351645868</v>
      </c>
      <c r="E128" s="328">
        <v>228028.06679479059</v>
      </c>
      <c r="F128" s="328">
        <v>233172.68520999578</v>
      </c>
      <c r="G128" s="329">
        <v>310060.50437147415</v>
      </c>
      <c r="H128" s="329">
        <v>361201.14208426519</v>
      </c>
      <c r="I128" s="329">
        <v>494.48624243655001</v>
      </c>
      <c r="J128" s="329">
        <v>477.63935136779997</v>
      </c>
      <c r="K128" s="329">
        <v>457568.27927861654</v>
      </c>
      <c r="L128" s="329">
        <v>16557.052412440251</v>
      </c>
      <c r="M128" s="329">
        <v>149337.3009092063</v>
      </c>
      <c r="N128" s="329">
        <v>553.00337705020002</v>
      </c>
      <c r="O128" s="329">
        <v>100397.54838823939</v>
      </c>
      <c r="P128" s="329"/>
      <c r="Q128" s="329"/>
      <c r="R128" s="329"/>
      <c r="S128" s="329"/>
      <c r="T128" s="329"/>
      <c r="U128" s="329"/>
      <c r="V128" s="329"/>
      <c r="W128" s="329"/>
      <c r="X128" s="329"/>
      <c r="Y128" s="329"/>
      <c r="Z128" s="329"/>
      <c r="AA128" s="329"/>
      <c r="AB128" s="329"/>
      <c r="AC128" s="329"/>
      <c r="AD128" s="329"/>
      <c r="AE128" s="329"/>
      <c r="AF128" s="329"/>
      <c r="AG128" s="329"/>
      <c r="AH128" s="329"/>
      <c r="AI128" s="12"/>
      <c r="AJ128" s="582"/>
      <c r="AK128" s="582"/>
    </row>
    <row r="129" spans="2:37" ht="13.2" x14ac:dyDescent="0.25">
      <c r="B129" s="327" t="s">
        <v>169</v>
      </c>
      <c r="C129" s="328">
        <v>161802.98473499992</v>
      </c>
      <c r="D129" s="328">
        <v>2194.4743498555999</v>
      </c>
      <c r="E129" s="328">
        <v>1019.4968072202</v>
      </c>
      <c r="F129" s="328">
        <v>725.89592910179999</v>
      </c>
      <c r="G129" s="329">
        <v>733.31991243919992</v>
      </c>
      <c r="H129" s="329">
        <v>752.55277300559999</v>
      </c>
      <c r="I129" s="329">
        <v>770.53041109439982</v>
      </c>
      <c r="J129" s="329">
        <v>494.7152522559</v>
      </c>
      <c r="K129" s="329">
        <v>486.26110294019998</v>
      </c>
      <c r="L129" s="329">
        <v>509.01913658059999</v>
      </c>
      <c r="M129" s="329">
        <v>514.66751404144998</v>
      </c>
      <c r="N129" s="329">
        <v>537.1762433092</v>
      </c>
      <c r="O129" s="329">
        <v>40.906887091500018</v>
      </c>
      <c r="P129" s="329">
        <v>34.530955665299999</v>
      </c>
      <c r="Q129" s="329">
        <v>43.043839709100006</v>
      </c>
      <c r="R129" s="329"/>
      <c r="S129" s="329"/>
      <c r="T129" s="329"/>
      <c r="U129" s="329"/>
      <c r="V129" s="329"/>
      <c r="W129" s="329"/>
      <c r="X129" s="329"/>
      <c r="Y129" s="329"/>
      <c r="Z129" s="329"/>
      <c r="AA129" s="329"/>
      <c r="AB129" s="329"/>
      <c r="AC129" s="329"/>
      <c r="AD129" s="329"/>
      <c r="AE129" s="329"/>
      <c r="AF129" s="329"/>
      <c r="AG129" s="329"/>
      <c r="AH129" s="329"/>
      <c r="AI129" s="12"/>
      <c r="AJ129" s="582"/>
      <c r="AK129" s="582"/>
    </row>
    <row r="130" spans="2:37" ht="13.2" x14ac:dyDescent="0.25">
      <c r="B130" s="327" t="s">
        <v>170</v>
      </c>
      <c r="C130" s="328">
        <v>455571.63141550001</v>
      </c>
      <c r="D130" s="328">
        <v>2138.2418196076001</v>
      </c>
      <c r="E130" s="328">
        <v>721.86973826240001</v>
      </c>
      <c r="F130" s="328">
        <v>95733.285829498782</v>
      </c>
      <c r="G130" s="329">
        <v>244489.99025287744</v>
      </c>
      <c r="H130" s="329">
        <v>562.04940445310001</v>
      </c>
      <c r="I130" s="329">
        <v>457.56357352840001</v>
      </c>
      <c r="J130" s="329">
        <v>476.64855797640001</v>
      </c>
      <c r="K130" s="329">
        <v>87087.171303305775</v>
      </c>
      <c r="L130" s="329">
        <v>127301.2545909586</v>
      </c>
      <c r="M130" s="329">
        <v>555.81732916990006</v>
      </c>
      <c r="N130" s="329">
        <v>604.11704609075002</v>
      </c>
      <c r="O130" s="329">
        <v>128.41941934155</v>
      </c>
      <c r="P130" s="329">
        <v>11.555632741350001</v>
      </c>
      <c r="Q130" s="329"/>
      <c r="R130" s="329"/>
      <c r="S130" s="329"/>
      <c r="T130" s="329"/>
      <c r="U130" s="329"/>
      <c r="V130" s="329"/>
      <c r="W130" s="329"/>
      <c r="X130" s="329"/>
      <c r="Y130" s="329"/>
      <c r="Z130" s="329"/>
      <c r="AA130" s="329"/>
      <c r="AB130" s="329"/>
      <c r="AC130" s="329"/>
      <c r="AD130" s="329"/>
      <c r="AE130" s="329"/>
      <c r="AF130" s="329"/>
      <c r="AG130" s="329"/>
      <c r="AH130" s="329"/>
      <c r="AI130" s="12"/>
      <c r="AJ130" s="582"/>
      <c r="AK130" s="582"/>
    </row>
    <row r="131" spans="2:37" ht="13.2" x14ac:dyDescent="0.25">
      <c r="B131" s="327" t="s">
        <v>171</v>
      </c>
      <c r="C131" s="328">
        <v>317067.25811571314</v>
      </c>
      <c r="D131" s="328">
        <v>203015.63385122723</v>
      </c>
      <c r="E131" s="328">
        <v>527.38636874730003</v>
      </c>
      <c r="F131" s="328">
        <v>484.81250261360003</v>
      </c>
      <c r="G131" s="329">
        <v>3831.2432874014498</v>
      </c>
      <c r="H131" s="329">
        <v>478.80004315170004</v>
      </c>
      <c r="I131" s="329">
        <v>464.13868938475002</v>
      </c>
      <c r="J131" s="329">
        <v>488.42897689170002</v>
      </c>
      <c r="K131" s="329">
        <v>502.73561387040002</v>
      </c>
      <c r="L131" s="329">
        <v>628.49891569570002</v>
      </c>
      <c r="M131" s="329">
        <v>540.17473997435002</v>
      </c>
      <c r="N131" s="329">
        <v>543.00563861119997</v>
      </c>
      <c r="O131" s="329">
        <v>3.8273235787500002</v>
      </c>
      <c r="P131" s="329">
        <v>35.555893551899999</v>
      </c>
      <c r="Q131" s="329">
        <v>5.1479491818000005</v>
      </c>
      <c r="R131" s="329"/>
      <c r="S131" s="329"/>
      <c r="T131" s="329"/>
      <c r="U131" s="329"/>
      <c r="V131" s="329"/>
      <c r="W131" s="329"/>
      <c r="X131" s="329"/>
      <c r="Y131" s="329"/>
      <c r="Z131" s="329"/>
      <c r="AA131" s="329"/>
      <c r="AB131" s="329"/>
      <c r="AC131" s="329"/>
      <c r="AD131" s="329"/>
      <c r="AE131" s="329"/>
      <c r="AF131" s="329"/>
      <c r="AG131" s="329"/>
      <c r="AH131" s="329"/>
      <c r="AI131" s="12"/>
      <c r="AJ131" s="582"/>
      <c r="AK131" s="582"/>
    </row>
    <row r="132" spans="2:37" x14ac:dyDescent="0.25">
      <c r="B132" s="330" t="s">
        <v>172</v>
      </c>
      <c r="C132" s="331">
        <f>SUM(C120:C131)</f>
        <v>2350231.4955271767</v>
      </c>
      <c r="D132" s="331">
        <f t="shared" ref="D132:AH132" si="1">SUM(D120:D131)</f>
        <v>2043325.4948499375</v>
      </c>
      <c r="E132" s="331">
        <f t="shared" si="1"/>
        <v>1681835.0030125782</v>
      </c>
      <c r="F132" s="331">
        <f t="shared" si="1"/>
        <v>1877021.0830935535</v>
      </c>
      <c r="G132" s="331">
        <f t="shared" si="1"/>
        <v>1441328.100934986</v>
      </c>
      <c r="H132" s="331">
        <f t="shared" si="1"/>
        <v>1705289.080881408</v>
      </c>
      <c r="I132" s="331">
        <f t="shared" si="1"/>
        <v>1331490.9663897676</v>
      </c>
      <c r="J132" s="331">
        <f t="shared" si="1"/>
        <v>1113941.926655456</v>
      </c>
      <c r="K132" s="331">
        <f t="shared" si="1"/>
        <v>1362932.4171935294</v>
      </c>
      <c r="L132" s="331">
        <f t="shared" si="1"/>
        <v>1059378.8672850209</v>
      </c>
      <c r="M132" s="331">
        <f t="shared" si="1"/>
        <v>677245.15013172524</v>
      </c>
      <c r="N132" s="331">
        <f t="shared" si="1"/>
        <v>97674.089194329601</v>
      </c>
      <c r="O132" s="331">
        <f t="shared" si="1"/>
        <v>204925.02379644755</v>
      </c>
      <c r="P132" s="331">
        <f t="shared" si="1"/>
        <v>185531.8806358923</v>
      </c>
      <c r="Q132" s="331">
        <f t="shared" si="1"/>
        <v>263830.6512365606</v>
      </c>
      <c r="R132" s="331">
        <f>SUM(R120:R131)</f>
        <v>282214.06435999996</v>
      </c>
      <c r="S132" s="331">
        <f t="shared" si="1"/>
        <v>2521.4553000000001</v>
      </c>
      <c r="T132" s="331">
        <f t="shared" si="1"/>
        <v>0</v>
      </c>
      <c r="U132" s="331">
        <f t="shared" si="1"/>
        <v>135453.5</v>
      </c>
      <c r="V132" s="331">
        <f t="shared" si="1"/>
        <v>156138.42449999999</v>
      </c>
      <c r="W132" s="331">
        <f t="shared" si="1"/>
        <v>0</v>
      </c>
      <c r="X132" s="331">
        <f t="shared" si="1"/>
        <v>0</v>
      </c>
      <c r="Y132" s="331">
        <f t="shared" si="1"/>
        <v>37176.494467500001</v>
      </c>
      <c r="Z132" s="331">
        <f t="shared" si="1"/>
        <v>376168.75</v>
      </c>
      <c r="AA132" s="331">
        <f t="shared" si="1"/>
        <v>0</v>
      </c>
      <c r="AB132" s="331">
        <f t="shared" si="1"/>
        <v>0</v>
      </c>
      <c r="AC132" s="331">
        <f t="shared" si="1"/>
        <v>15599.9</v>
      </c>
      <c r="AD132" s="331">
        <f t="shared" si="1"/>
        <v>0</v>
      </c>
      <c r="AE132" s="331">
        <f t="shared" si="1"/>
        <v>0</v>
      </c>
      <c r="AF132" s="331">
        <f t="shared" si="1"/>
        <v>98498.95</v>
      </c>
      <c r="AG132" s="331">
        <f t="shared" si="1"/>
        <v>21301.45</v>
      </c>
      <c r="AH132" s="331">
        <f t="shared" si="1"/>
        <v>0</v>
      </c>
      <c r="AI132" s="333"/>
      <c r="AJ132" s="333"/>
      <c r="AK132" s="582"/>
    </row>
    <row r="133" spans="2:37" ht="13.5" customHeight="1" x14ac:dyDescent="0.25">
      <c r="B133" s="332" t="s">
        <v>142</v>
      </c>
      <c r="C133" s="333" t="s">
        <v>142</v>
      </c>
      <c r="D133" s="333" t="s">
        <v>142</v>
      </c>
      <c r="E133" s="333" t="s">
        <v>142</v>
      </c>
      <c r="F133" s="333" t="s">
        <v>142</v>
      </c>
      <c r="G133" s="333" t="s">
        <v>142</v>
      </c>
      <c r="H133" s="333" t="s">
        <v>142</v>
      </c>
      <c r="I133" s="333" t="s">
        <v>142</v>
      </c>
      <c r="J133" s="333" t="s">
        <v>142</v>
      </c>
      <c r="K133" s="333" t="s">
        <v>142</v>
      </c>
      <c r="L133" s="333"/>
      <c r="M133" s="582"/>
      <c r="N133" s="334"/>
      <c r="O133" s="335"/>
      <c r="P133" s="582"/>
      <c r="Q133" s="583"/>
      <c r="R133" s="186"/>
      <c r="S133" s="186"/>
      <c r="T133" s="186"/>
      <c r="AH133" s="333">
        <f>SUM(C132:AH132)</f>
        <v>18521054.219445866</v>
      </c>
      <c r="AK133" s="582"/>
    </row>
    <row r="134" spans="2:37" x14ac:dyDescent="0.25">
      <c r="B134" s="337"/>
      <c r="C134" s="337"/>
      <c r="D134" s="337"/>
      <c r="E134" s="337"/>
      <c r="F134" s="337"/>
      <c r="G134" s="337"/>
      <c r="H134" s="337"/>
      <c r="I134" s="337"/>
      <c r="J134" s="337"/>
      <c r="K134" s="337"/>
      <c r="L134" s="337"/>
      <c r="M134" s="337"/>
      <c r="N134" s="337"/>
      <c r="O134" s="337"/>
      <c r="P134" s="582"/>
      <c r="Q134" s="582"/>
      <c r="R134" s="582"/>
      <c r="S134" s="583"/>
      <c r="T134" s="186"/>
      <c r="AH134" s="336">
        <f>+AH133-'Domestic Debt Colones'!AP7</f>
        <v>0</v>
      </c>
      <c r="AK134" s="338"/>
    </row>
    <row r="135" spans="2:37" ht="21" customHeight="1" x14ac:dyDescent="0.25">
      <c r="B135" s="316" t="s">
        <v>43</v>
      </c>
      <c r="C135" s="337"/>
      <c r="D135" s="337"/>
      <c r="E135" s="337"/>
      <c r="F135" s="337"/>
      <c r="G135" s="337"/>
      <c r="H135" s="337"/>
      <c r="I135" s="337"/>
      <c r="J135" s="337"/>
      <c r="K135" s="337"/>
      <c r="L135" s="337"/>
      <c r="M135" s="337"/>
      <c r="N135" s="337"/>
      <c r="O135" s="337"/>
      <c r="P135" s="582"/>
      <c r="Q135" s="582"/>
      <c r="R135" s="582"/>
      <c r="S135" s="583"/>
      <c r="T135" s="186"/>
      <c r="AK135" s="338"/>
    </row>
    <row r="136" spans="2:37" x14ac:dyDescent="0.25">
      <c r="B136" s="339"/>
      <c r="C136" s="186"/>
      <c r="D136" s="186"/>
      <c r="E136" s="186"/>
      <c r="F136" s="186"/>
      <c r="G136" s="186"/>
      <c r="H136" s="186"/>
      <c r="I136" s="186"/>
      <c r="J136" s="186"/>
      <c r="K136" s="186"/>
      <c r="L136" s="186"/>
      <c r="M136" s="186"/>
      <c r="N136" s="186"/>
      <c r="O136" s="186"/>
      <c r="P136" s="582"/>
      <c r="Q136" s="582"/>
      <c r="R136" s="582"/>
      <c r="S136" s="583"/>
      <c r="T136" s="186"/>
      <c r="AK136" s="582"/>
    </row>
    <row r="137" spans="2:37" ht="14.4" x14ac:dyDescent="0.3">
      <c r="B137" s="801" t="str">
        <f>+H6</f>
        <v>Central Goverment of Costa Rica</v>
      </c>
      <c r="C137" s="801"/>
      <c r="D137" s="801"/>
      <c r="E137" s="801"/>
      <c r="F137" s="801"/>
      <c r="G137" s="801"/>
      <c r="H137" s="801"/>
      <c r="I137" s="801"/>
      <c r="J137" s="801"/>
      <c r="K137" s="801"/>
      <c r="L137" s="801"/>
      <c r="M137" s="801"/>
      <c r="N137" s="801"/>
      <c r="O137" s="801"/>
      <c r="P137" s="801"/>
      <c r="Q137" s="801"/>
      <c r="R137" s="801"/>
      <c r="S137" s="801"/>
      <c r="T137" s="801"/>
      <c r="U137" s="801"/>
      <c r="V137" s="801"/>
      <c r="W137" s="801"/>
      <c r="X137" s="801"/>
      <c r="Y137" s="801"/>
      <c r="Z137" s="801"/>
      <c r="AA137" s="801"/>
      <c r="AB137" s="801"/>
      <c r="AC137" s="801"/>
      <c r="AD137" s="801"/>
      <c r="AE137" s="801"/>
      <c r="AF137" s="801"/>
      <c r="AG137" s="801"/>
      <c r="AH137" s="801"/>
      <c r="AI137" s="801"/>
      <c r="AJ137" s="801"/>
      <c r="AK137" s="582"/>
    </row>
    <row r="138" spans="2:37" ht="14.4" x14ac:dyDescent="0.3">
      <c r="B138" s="801" t="str">
        <f>+H7</f>
        <v>Maturity Profile Domestic Public Debt</v>
      </c>
      <c r="C138" s="801"/>
      <c r="D138" s="801"/>
      <c r="E138" s="801"/>
      <c r="F138" s="801"/>
      <c r="G138" s="801"/>
      <c r="H138" s="801" t="str">
        <f>+H7</f>
        <v>Maturity Profile Domestic Public Debt</v>
      </c>
      <c r="I138" s="801"/>
      <c r="J138" s="801"/>
      <c r="K138" s="801"/>
      <c r="L138" s="801"/>
      <c r="M138" s="801"/>
      <c r="N138" s="801"/>
      <c r="O138" s="801"/>
      <c r="P138" s="801"/>
      <c r="Q138" s="801"/>
      <c r="R138" s="801"/>
      <c r="S138" s="801"/>
      <c r="T138" s="801"/>
      <c r="U138" s="801"/>
      <c r="V138" s="801"/>
      <c r="W138" s="801"/>
      <c r="X138" s="801"/>
      <c r="Y138" s="801"/>
      <c r="Z138" s="801"/>
      <c r="AA138" s="801"/>
      <c r="AB138" s="801"/>
      <c r="AC138" s="801"/>
      <c r="AD138" s="801"/>
      <c r="AE138" s="801"/>
      <c r="AF138" s="801"/>
      <c r="AG138" s="801"/>
      <c r="AH138" s="801"/>
      <c r="AI138" s="801"/>
      <c r="AJ138" s="801"/>
      <c r="AK138" s="582"/>
    </row>
    <row r="139" spans="2:37" ht="14.4" x14ac:dyDescent="0.3">
      <c r="B139" s="801" t="str">
        <f>+B116</f>
        <v>December 31st  2020</v>
      </c>
      <c r="C139" s="801"/>
      <c r="D139" s="801"/>
      <c r="E139" s="801"/>
      <c r="F139" s="801"/>
      <c r="G139" s="801"/>
      <c r="H139" s="801"/>
      <c r="I139" s="801"/>
      <c r="J139" s="801"/>
      <c r="K139" s="801"/>
      <c r="L139" s="801"/>
      <c r="M139" s="801"/>
      <c r="N139" s="801"/>
      <c r="O139" s="801"/>
      <c r="P139" s="801"/>
      <c r="Q139" s="801"/>
      <c r="R139" s="801"/>
      <c r="S139" s="801"/>
      <c r="T139" s="801"/>
      <c r="U139" s="801"/>
      <c r="V139" s="801"/>
      <c r="W139" s="801"/>
      <c r="X139" s="801"/>
      <c r="Y139" s="801"/>
      <c r="Z139" s="801"/>
      <c r="AA139" s="801"/>
      <c r="AB139" s="801"/>
      <c r="AC139" s="801"/>
      <c r="AD139" s="801"/>
      <c r="AE139" s="801"/>
      <c r="AF139" s="801"/>
      <c r="AG139" s="801"/>
      <c r="AH139" s="801"/>
      <c r="AI139" s="801"/>
      <c r="AJ139" s="801"/>
      <c r="AK139" s="582"/>
    </row>
    <row r="140" spans="2:37" ht="14.4" x14ac:dyDescent="0.3">
      <c r="B140" s="801" t="str">
        <f>+H10</f>
        <v>(USD million)</v>
      </c>
      <c r="C140" s="801"/>
      <c r="D140" s="801"/>
      <c r="E140" s="801"/>
      <c r="F140" s="801"/>
      <c r="G140" s="801"/>
      <c r="H140" s="801"/>
      <c r="I140" s="801"/>
      <c r="J140" s="801"/>
      <c r="K140" s="801"/>
      <c r="L140" s="801"/>
      <c r="M140" s="801"/>
      <c r="N140" s="801"/>
      <c r="O140" s="801"/>
      <c r="P140" s="801"/>
      <c r="Q140" s="801"/>
      <c r="R140" s="801"/>
      <c r="S140" s="801"/>
      <c r="T140" s="801"/>
      <c r="U140" s="801"/>
      <c r="V140" s="801"/>
      <c r="W140" s="801"/>
      <c r="X140" s="801"/>
      <c r="Y140" s="801"/>
      <c r="Z140" s="801"/>
      <c r="AA140" s="801"/>
      <c r="AB140" s="801"/>
      <c r="AC140" s="801"/>
      <c r="AD140" s="801"/>
      <c r="AE140" s="801"/>
      <c r="AF140" s="801"/>
      <c r="AG140" s="801"/>
      <c r="AH140" s="801"/>
      <c r="AI140" s="801"/>
      <c r="AJ140" s="801"/>
      <c r="AK140" s="582"/>
    </row>
    <row r="141" spans="2:37" x14ac:dyDescent="0.25">
      <c r="B141" s="325" t="s">
        <v>159</v>
      </c>
      <c r="C141" s="326">
        <v>2021</v>
      </c>
      <c r="D141" s="326">
        <f>+C141+1</f>
        <v>2022</v>
      </c>
      <c r="E141" s="326">
        <f t="shared" ref="E141:AH141" si="2">+D141+1</f>
        <v>2023</v>
      </c>
      <c r="F141" s="326">
        <f t="shared" si="2"/>
        <v>2024</v>
      </c>
      <c r="G141" s="326">
        <f t="shared" si="2"/>
        <v>2025</v>
      </c>
      <c r="H141" s="326">
        <f t="shared" si="2"/>
        <v>2026</v>
      </c>
      <c r="I141" s="326">
        <f t="shared" si="2"/>
        <v>2027</v>
      </c>
      <c r="J141" s="326">
        <f t="shared" si="2"/>
        <v>2028</v>
      </c>
      <c r="K141" s="326">
        <f t="shared" si="2"/>
        <v>2029</v>
      </c>
      <c r="L141" s="326">
        <f t="shared" si="2"/>
        <v>2030</v>
      </c>
      <c r="M141" s="326">
        <f t="shared" si="2"/>
        <v>2031</v>
      </c>
      <c r="N141" s="326">
        <f t="shared" si="2"/>
        <v>2032</v>
      </c>
      <c r="O141" s="326">
        <f t="shared" si="2"/>
        <v>2033</v>
      </c>
      <c r="P141" s="326">
        <f t="shared" si="2"/>
        <v>2034</v>
      </c>
      <c r="Q141" s="326">
        <f t="shared" si="2"/>
        <v>2035</v>
      </c>
      <c r="R141" s="326">
        <f t="shared" si="2"/>
        <v>2036</v>
      </c>
      <c r="S141" s="326">
        <f t="shared" si="2"/>
        <v>2037</v>
      </c>
      <c r="T141" s="326">
        <f t="shared" si="2"/>
        <v>2038</v>
      </c>
      <c r="U141" s="326">
        <f t="shared" si="2"/>
        <v>2039</v>
      </c>
      <c r="V141" s="326">
        <f t="shared" si="2"/>
        <v>2040</v>
      </c>
      <c r="W141" s="326">
        <f t="shared" si="2"/>
        <v>2041</v>
      </c>
      <c r="X141" s="326">
        <f t="shared" si="2"/>
        <v>2042</v>
      </c>
      <c r="Y141" s="326">
        <f t="shared" si="2"/>
        <v>2043</v>
      </c>
      <c r="Z141" s="326">
        <f t="shared" si="2"/>
        <v>2044</v>
      </c>
      <c r="AA141" s="326">
        <f t="shared" si="2"/>
        <v>2045</v>
      </c>
      <c r="AB141" s="326">
        <f t="shared" si="2"/>
        <v>2046</v>
      </c>
      <c r="AC141" s="326">
        <f t="shared" si="2"/>
        <v>2047</v>
      </c>
      <c r="AD141" s="326">
        <f t="shared" si="2"/>
        <v>2048</v>
      </c>
      <c r="AE141" s="326">
        <f t="shared" si="2"/>
        <v>2049</v>
      </c>
      <c r="AF141" s="326">
        <f t="shared" si="2"/>
        <v>2050</v>
      </c>
      <c r="AG141" s="326">
        <f t="shared" si="2"/>
        <v>2051</v>
      </c>
      <c r="AH141" s="326">
        <f t="shared" si="2"/>
        <v>2052</v>
      </c>
      <c r="AI141" s="352"/>
      <c r="AJ141" s="582"/>
      <c r="AK141" s="582"/>
    </row>
    <row r="142" spans="2:37" ht="13.2" x14ac:dyDescent="0.25">
      <c r="B142" s="327" t="s">
        <v>160</v>
      </c>
      <c r="C142" s="328">
        <v>369.08366082422157</v>
      </c>
      <c r="D142" s="328">
        <v>409.69733870482457</v>
      </c>
      <c r="E142" s="328">
        <v>0.85508143050581398</v>
      </c>
      <c r="F142" s="328">
        <v>684.67988459469018</v>
      </c>
      <c r="G142" s="328">
        <v>0.72886633080261154</v>
      </c>
      <c r="H142" s="328">
        <v>99.853369089282523</v>
      </c>
      <c r="I142" s="328">
        <v>0.79247380830188074</v>
      </c>
      <c r="J142" s="328">
        <v>762.23667826960786</v>
      </c>
      <c r="K142" s="328">
        <v>280.46446617326848</v>
      </c>
      <c r="L142" s="328">
        <v>0.80255814000000003</v>
      </c>
      <c r="M142" s="328">
        <v>0.81930533000000005</v>
      </c>
      <c r="N142" s="328">
        <v>0.84665736999999996</v>
      </c>
      <c r="O142" s="328">
        <v>0.88664785000000013</v>
      </c>
      <c r="P142" s="328">
        <v>0.10391200069176927</v>
      </c>
      <c r="Q142" s="328">
        <v>9.7944448385844679E-2</v>
      </c>
      <c r="R142" s="328"/>
      <c r="S142" s="328"/>
      <c r="T142" s="328"/>
      <c r="U142" s="328"/>
      <c r="V142" s="328">
        <v>253.57849822977232</v>
      </c>
      <c r="W142" s="328"/>
      <c r="X142" s="328"/>
      <c r="Y142" s="328"/>
      <c r="Z142" s="328"/>
      <c r="AA142" s="328"/>
      <c r="AB142" s="328"/>
      <c r="AC142" s="328"/>
      <c r="AD142" s="328"/>
      <c r="AE142" s="328"/>
      <c r="AF142" s="328"/>
      <c r="AG142" s="328"/>
      <c r="AH142" s="328"/>
      <c r="AI142" s="12"/>
      <c r="AJ142" s="582"/>
      <c r="AK142" s="582"/>
    </row>
    <row r="143" spans="2:37" ht="13.2" x14ac:dyDescent="0.25">
      <c r="B143" s="327" t="s">
        <v>161</v>
      </c>
      <c r="C143" s="328">
        <v>236.21127171241463</v>
      </c>
      <c r="D143" s="328">
        <v>358.46538248790068</v>
      </c>
      <c r="E143" s="328">
        <v>696.95358830207147</v>
      </c>
      <c r="F143" s="328">
        <v>459.88908511999995</v>
      </c>
      <c r="G143" s="328">
        <v>806.68428254122409</v>
      </c>
      <c r="H143" s="328">
        <v>0.76365325640716875</v>
      </c>
      <c r="I143" s="328">
        <v>780.74276451988726</v>
      </c>
      <c r="J143" s="328">
        <v>473.25978044514505</v>
      </c>
      <c r="K143" s="328">
        <v>695.2060921449621</v>
      </c>
      <c r="L143" s="328">
        <v>615.60832466535817</v>
      </c>
      <c r="M143" s="328">
        <v>0.88108301645288589</v>
      </c>
      <c r="N143" s="328">
        <v>0.87652658015087537</v>
      </c>
      <c r="O143" s="328">
        <v>0.93932572464587316</v>
      </c>
      <c r="P143" s="328">
        <v>0.13238335216755448</v>
      </c>
      <c r="Q143" s="328">
        <v>5.4383846360476829E-2</v>
      </c>
      <c r="R143" s="328">
        <v>446.26238347354399</v>
      </c>
      <c r="S143" s="328"/>
      <c r="T143" s="328"/>
      <c r="U143" s="328"/>
      <c r="V143" s="328"/>
      <c r="W143" s="328"/>
      <c r="X143" s="328"/>
      <c r="Y143" s="328"/>
      <c r="Z143" s="328"/>
      <c r="AA143" s="328"/>
      <c r="AB143" s="328"/>
      <c r="AC143" s="328"/>
      <c r="AD143" s="328"/>
      <c r="AE143" s="328"/>
      <c r="AF143" s="328"/>
      <c r="AG143" s="328"/>
      <c r="AH143" s="328"/>
      <c r="AI143" s="12"/>
      <c r="AJ143" s="582"/>
      <c r="AK143" s="582"/>
    </row>
    <row r="144" spans="2:37" ht="13.2" x14ac:dyDescent="0.25">
      <c r="B144" s="327" t="s">
        <v>162</v>
      </c>
      <c r="C144" s="328">
        <v>381.01861173867667</v>
      </c>
      <c r="D144" s="328">
        <v>3.6893789833585604</v>
      </c>
      <c r="E144" s="328">
        <v>300.86047954666446</v>
      </c>
      <c r="F144" s="328">
        <v>471.9027853606238</v>
      </c>
      <c r="G144" s="328">
        <v>15.626099471238591</v>
      </c>
      <c r="H144" s="328">
        <v>713.36066297437742</v>
      </c>
      <c r="I144" s="328">
        <v>721.24863486570314</v>
      </c>
      <c r="J144" s="328">
        <v>13.551391039999997</v>
      </c>
      <c r="K144" s="328">
        <v>0.94940353038206049</v>
      </c>
      <c r="L144" s="328">
        <v>0.86365818921411641</v>
      </c>
      <c r="M144" s="328">
        <v>0.82952566669462768</v>
      </c>
      <c r="N144" s="328">
        <v>0.85583083999999998</v>
      </c>
      <c r="O144" s="328">
        <v>1.0139849256540099</v>
      </c>
      <c r="P144" s="328">
        <v>3.3049481890083474E-3</v>
      </c>
      <c r="Q144" s="328">
        <v>383.10544837035178</v>
      </c>
      <c r="R144" s="328"/>
      <c r="S144" s="328"/>
      <c r="T144" s="328"/>
      <c r="U144" s="328"/>
      <c r="V144" s="328"/>
      <c r="W144" s="328"/>
      <c r="X144" s="328"/>
      <c r="Y144" s="328"/>
      <c r="Z144" s="328"/>
      <c r="AA144" s="328"/>
      <c r="AB144" s="328"/>
      <c r="AC144" s="328"/>
      <c r="AD144" s="328"/>
      <c r="AE144" s="328"/>
      <c r="AF144" s="328"/>
      <c r="AG144" s="328"/>
      <c r="AH144" s="328"/>
      <c r="AI144" s="12"/>
      <c r="AJ144" s="582"/>
      <c r="AK144" s="582"/>
    </row>
    <row r="145" spans="2:37" x14ac:dyDescent="0.25">
      <c r="B145" s="327" t="s">
        <v>163</v>
      </c>
      <c r="C145" s="328">
        <v>334.28286248998177</v>
      </c>
      <c r="D145" s="328">
        <v>5.7960181729311078</v>
      </c>
      <c r="E145" s="328">
        <v>35.768525213037492</v>
      </c>
      <c r="F145" s="328">
        <v>6.7118460540585296</v>
      </c>
      <c r="G145" s="328">
        <v>1.1881963599999998</v>
      </c>
      <c r="H145" s="328">
        <v>70.493839848654616</v>
      </c>
      <c r="I145" s="328">
        <v>68.340102152268273</v>
      </c>
      <c r="J145" s="328">
        <v>0.77563376394801375</v>
      </c>
      <c r="K145" s="328">
        <v>337.82677548052544</v>
      </c>
      <c r="L145" s="328">
        <v>0.84815096155276581</v>
      </c>
      <c r="M145" s="328">
        <v>0.93841796867460281</v>
      </c>
      <c r="N145" s="328">
        <v>97.18599856810188</v>
      </c>
      <c r="O145" s="328">
        <v>0.94027100033268929</v>
      </c>
      <c r="P145" s="328">
        <v>192.04001940172029</v>
      </c>
      <c r="Q145" s="328">
        <v>44.899744712737188</v>
      </c>
      <c r="R145" s="328">
        <v>1.4567837074089713</v>
      </c>
      <c r="S145" s="328"/>
      <c r="T145" s="328"/>
      <c r="U145" s="328">
        <v>219.98489622243153</v>
      </c>
      <c r="V145" s="328"/>
      <c r="W145" s="328"/>
      <c r="X145" s="328"/>
      <c r="Y145" s="328"/>
      <c r="Z145" s="328">
        <v>610.92141163478095</v>
      </c>
      <c r="AA145" s="328"/>
      <c r="AB145" s="328"/>
      <c r="AC145" s="328">
        <v>25.335206418293435</v>
      </c>
      <c r="AD145" s="328"/>
      <c r="AE145" s="328"/>
      <c r="AF145" s="328">
        <v>159.96841199207455</v>
      </c>
      <c r="AG145" s="328">
        <v>34.594877708123555</v>
      </c>
      <c r="AH145" s="328"/>
      <c r="AI145" s="328"/>
      <c r="AJ145" s="582"/>
      <c r="AK145" s="582"/>
    </row>
    <row r="146" spans="2:37" ht="13.2" x14ac:dyDescent="0.25">
      <c r="B146" s="327" t="s">
        <v>164</v>
      </c>
      <c r="C146" s="328">
        <v>345.78420842212739</v>
      </c>
      <c r="D146" s="328">
        <v>420.27555567176358</v>
      </c>
      <c r="E146" s="328">
        <v>73.704062626673689</v>
      </c>
      <c r="F146" s="328">
        <v>264.88385840000001</v>
      </c>
      <c r="G146" s="328">
        <v>0.70314171999999997</v>
      </c>
      <c r="H146" s="328">
        <v>0.7248991199999999</v>
      </c>
      <c r="I146" s="328">
        <v>400.73618570999997</v>
      </c>
      <c r="J146" s="328">
        <v>117.42392854141984</v>
      </c>
      <c r="K146" s="328">
        <v>0.78440533000000012</v>
      </c>
      <c r="L146" s="328">
        <v>0.81360985000000008</v>
      </c>
      <c r="M146" s="328">
        <v>0.84236218480486902</v>
      </c>
      <c r="N146" s="328">
        <v>0.85808337999999995</v>
      </c>
      <c r="O146" s="328">
        <v>154.16488961659201</v>
      </c>
      <c r="P146" s="328"/>
      <c r="Q146" s="328">
        <v>0.11504432090533342</v>
      </c>
      <c r="R146" s="328"/>
      <c r="S146" s="328">
        <v>4.0949999999999998</v>
      </c>
      <c r="T146" s="328"/>
      <c r="U146" s="328"/>
      <c r="V146" s="328"/>
      <c r="W146" s="328"/>
      <c r="X146" s="328"/>
      <c r="Y146" s="328"/>
      <c r="Z146" s="328"/>
      <c r="AA146" s="328"/>
      <c r="AB146" s="328"/>
      <c r="AC146" s="328"/>
      <c r="AD146" s="328"/>
      <c r="AE146" s="328"/>
      <c r="AF146" s="328"/>
      <c r="AG146" s="328"/>
      <c r="AH146" s="328"/>
      <c r="AI146" s="12"/>
      <c r="AJ146" s="582"/>
      <c r="AK146" s="582"/>
    </row>
    <row r="147" spans="2:37" ht="13.2" x14ac:dyDescent="0.25">
      <c r="B147" s="327" t="s">
        <v>165</v>
      </c>
      <c r="C147" s="328">
        <v>193.73174930194176</v>
      </c>
      <c r="D147" s="328">
        <v>388.38833559845904</v>
      </c>
      <c r="E147" s="328">
        <v>476.34902597223356</v>
      </c>
      <c r="F147" s="328">
        <v>174.53923147813668</v>
      </c>
      <c r="G147" s="328">
        <v>244.60135624929018</v>
      </c>
      <c r="H147" s="328">
        <v>376.38664754791847</v>
      </c>
      <c r="I147" s="328">
        <v>68.176708044833561</v>
      </c>
      <c r="J147" s="328">
        <v>437.16601715823828</v>
      </c>
      <c r="K147" s="328">
        <v>10.45393552</v>
      </c>
      <c r="L147" s="328">
        <v>812.8490463674309</v>
      </c>
      <c r="M147" s="328">
        <v>523.39998557828994</v>
      </c>
      <c r="N147" s="328">
        <v>52.413926262353755</v>
      </c>
      <c r="O147" s="328">
        <v>0.88752649369693382</v>
      </c>
      <c r="P147" s="328">
        <v>108.78044260666906</v>
      </c>
      <c r="Q147" s="328">
        <v>0.11239313305080068</v>
      </c>
      <c r="R147" s="328"/>
      <c r="S147" s="328"/>
      <c r="T147" s="328"/>
      <c r="U147" s="328"/>
      <c r="V147" s="328"/>
      <c r="W147" s="328"/>
      <c r="X147" s="328"/>
      <c r="Y147" s="328"/>
      <c r="Z147" s="328"/>
      <c r="AA147" s="328"/>
      <c r="AB147" s="328"/>
      <c r="AC147" s="328"/>
      <c r="AD147" s="328"/>
      <c r="AE147" s="328"/>
      <c r="AF147" s="328"/>
      <c r="AG147" s="328"/>
      <c r="AH147" s="328"/>
      <c r="AI147" s="12"/>
      <c r="AJ147" s="582"/>
      <c r="AK147" s="582"/>
    </row>
    <row r="148" spans="2:37" ht="13.2" x14ac:dyDescent="0.25">
      <c r="B148" s="327" t="s">
        <v>166</v>
      </c>
      <c r="C148" s="328">
        <v>299.71170875885923</v>
      </c>
      <c r="D148" s="328">
        <v>595.4710351219959</v>
      </c>
      <c r="E148" s="328">
        <v>414.10150038688499</v>
      </c>
      <c r="F148" s="328">
        <v>448.97050518487748</v>
      </c>
      <c r="G148" s="328">
        <v>141.87500769999997</v>
      </c>
      <c r="H148" s="328">
        <v>361.16118675457273</v>
      </c>
      <c r="I148" s="328">
        <v>118.09040941594074</v>
      </c>
      <c r="J148" s="328">
        <v>0.76942864000000011</v>
      </c>
      <c r="K148" s="328">
        <v>0.79016804000000007</v>
      </c>
      <c r="L148" s="328">
        <v>52.402941709677464</v>
      </c>
      <c r="M148" s="328">
        <v>326.11747916283093</v>
      </c>
      <c r="N148" s="328">
        <v>0.95137913003548569</v>
      </c>
      <c r="O148" s="328">
        <v>10.580079470501673</v>
      </c>
      <c r="P148" s="328">
        <v>1.6782159730486891E-2</v>
      </c>
      <c r="Q148" s="328"/>
      <c r="R148" s="328">
        <v>10.614000000000001</v>
      </c>
      <c r="S148" s="328"/>
      <c r="T148" s="328"/>
      <c r="U148" s="328"/>
      <c r="V148" s="328"/>
      <c r="W148" s="328"/>
      <c r="X148" s="328"/>
      <c r="Y148" s="328">
        <v>60.376935829246108</v>
      </c>
      <c r="Z148" s="328"/>
      <c r="AA148" s="328"/>
      <c r="AB148" s="328"/>
      <c r="AC148" s="328"/>
      <c r="AD148" s="328"/>
      <c r="AE148" s="328"/>
      <c r="AF148" s="328"/>
      <c r="AG148" s="328"/>
      <c r="AH148" s="328"/>
      <c r="AI148" s="12"/>
      <c r="AJ148" s="582"/>
      <c r="AK148" s="582"/>
    </row>
    <row r="149" spans="2:37" ht="13.2" x14ac:dyDescent="0.25">
      <c r="B149" s="327" t="s">
        <v>167</v>
      </c>
      <c r="C149" s="328">
        <v>42.119897859132678</v>
      </c>
      <c r="D149" s="328">
        <v>466.65933299069923</v>
      </c>
      <c r="E149" s="328">
        <v>358.79589272999988</v>
      </c>
      <c r="F149" s="328">
        <v>0.69162444999999995</v>
      </c>
      <c r="G149" s="328">
        <v>221.36182071718</v>
      </c>
      <c r="H149" s="328">
        <v>557.22543085000007</v>
      </c>
      <c r="I149" s="328">
        <v>0.74537466999999991</v>
      </c>
      <c r="J149" s="328">
        <v>0.78150131428549396</v>
      </c>
      <c r="K149" s="328">
        <v>0.85117385231485687</v>
      </c>
      <c r="L149" s="328">
        <v>0.8265576649941534</v>
      </c>
      <c r="M149" s="328">
        <v>0.91116229817219929</v>
      </c>
      <c r="N149" s="328">
        <v>1.0068667966134246</v>
      </c>
      <c r="O149" s="328">
        <v>6.5174321240864655E-2</v>
      </c>
      <c r="P149" s="328">
        <v>0.10585951942077823</v>
      </c>
      <c r="Q149" s="328">
        <v>1.4137292659970116E-2</v>
      </c>
      <c r="R149" s="328"/>
      <c r="S149" s="328"/>
      <c r="T149" s="328"/>
      <c r="U149" s="328"/>
      <c r="V149" s="328"/>
      <c r="W149" s="328"/>
      <c r="X149" s="328"/>
      <c r="Y149" s="328"/>
      <c r="Z149" s="328"/>
      <c r="AA149" s="328"/>
      <c r="AB149" s="328"/>
      <c r="AC149" s="328"/>
      <c r="AD149" s="328"/>
      <c r="AE149" s="328"/>
      <c r="AF149" s="328"/>
      <c r="AG149" s="328"/>
      <c r="AH149" s="328"/>
      <c r="AI149" s="12"/>
      <c r="AJ149" s="582"/>
      <c r="AK149" s="582"/>
    </row>
    <row r="150" spans="2:37" ht="13.2" x14ac:dyDescent="0.25">
      <c r="B150" s="327" t="s">
        <v>168</v>
      </c>
      <c r="C150" s="328">
        <v>97.386300210024018</v>
      </c>
      <c r="D150" s="328">
        <v>333.29852724297075</v>
      </c>
      <c r="E150" s="328">
        <v>370.33174196055245</v>
      </c>
      <c r="F150" s="328">
        <v>378.68692176892159</v>
      </c>
      <c r="G150" s="328">
        <v>503.557515138653</v>
      </c>
      <c r="H150" s="328">
        <v>586.61308682928689</v>
      </c>
      <c r="I150" s="328">
        <v>0.80307636735724486</v>
      </c>
      <c r="J150" s="328">
        <v>0.77571596999999992</v>
      </c>
      <c r="K150" s="328">
        <v>743.11930243059851</v>
      </c>
      <c r="L150" s="328">
        <v>26.889681379218906</v>
      </c>
      <c r="M150" s="328">
        <v>242.53305114042666</v>
      </c>
      <c r="N150" s="328">
        <v>0.89811182812583235</v>
      </c>
      <c r="O150" s="328">
        <v>163.05185368538571</v>
      </c>
      <c r="P150" s="328"/>
      <c r="Q150" s="328"/>
      <c r="R150" s="328"/>
      <c r="S150" s="328"/>
      <c r="T150" s="328"/>
      <c r="U150" s="328"/>
      <c r="V150" s="328"/>
      <c r="W150" s="328"/>
      <c r="X150" s="328"/>
      <c r="Y150" s="328"/>
      <c r="Z150" s="328"/>
      <c r="AA150" s="328"/>
      <c r="AB150" s="328"/>
      <c r="AC150" s="328"/>
      <c r="AD150" s="328"/>
      <c r="AE150" s="328"/>
      <c r="AF150" s="328"/>
      <c r="AG150" s="328"/>
      <c r="AH150" s="328"/>
      <c r="AI150" s="12"/>
      <c r="AJ150" s="582"/>
      <c r="AK150" s="582"/>
    </row>
    <row r="151" spans="2:37" ht="13.2" x14ac:dyDescent="0.25">
      <c r="B151" s="327" t="s">
        <v>169</v>
      </c>
      <c r="C151" s="328">
        <v>262.77809584402502</v>
      </c>
      <c r="D151" s="328">
        <v>3.563962630096468</v>
      </c>
      <c r="E151" s="328">
        <v>1.6557261298928119</v>
      </c>
      <c r="F151" s="328">
        <v>1.1789000699999999</v>
      </c>
      <c r="G151" s="328">
        <v>1.19095708</v>
      </c>
      <c r="H151" s="328">
        <v>1.2221924399999999</v>
      </c>
      <c r="I151" s="328">
        <v>1.2513892407418716</v>
      </c>
      <c r="J151" s="328">
        <v>0.80344829352632607</v>
      </c>
      <c r="K151" s="328">
        <v>0.78971822999999997</v>
      </c>
      <c r="L151" s="328">
        <v>0.82667869000000005</v>
      </c>
      <c r="M151" s="328">
        <v>0.83585200578401597</v>
      </c>
      <c r="N151" s="328">
        <v>0.87240757999999996</v>
      </c>
      <c r="O151" s="328">
        <v>6.6435325123428715E-2</v>
      </c>
      <c r="P151" s="328">
        <v>5.6080416515574764E-2</v>
      </c>
      <c r="Q151" s="328">
        <v>6.990586888800468E-2</v>
      </c>
      <c r="R151" s="328"/>
      <c r="S151" s="328"/>
      <c r="T151" s="328"/>
      <c r="U151" s="328"/>
      <c r="V151" s="328"/>
      <c r="W151" s="328"/>
      <c r="X151" s="328"/>
      <c r="Y151" s="328"/>
      <c r="Z151" s="328"/>
      <c r="AA151" s="328"/>
      <c r="AB151" s="328"/>
      <c r="AC151" s="328"/>
      <c r="AD151" s="328"/>
      <c r="AE151" s="328"/>
      <c r="AF151" s="328"/>
      <c r="AG151" s="328"/>
      <c r="AH151" s="328"/>
      <c r="AI151" s="12"/>
      <c r="AJ151" s="338"/>
      <c r="AK151" s="582"/>
    </row>
    <row r="152" spans="2:37" ht="13.2" x14ac:dyDescent="0.25">
      <c r="B152" s="327" t="s">
        <v>170</v>
      </c>
      <c r="C152" s="328">
        <v>739.87662230080878</v>
      </c>
      <c r="D152" s="328">
        <v>3.4726375087010739</v>
      </c>
      <c r="E152" s="328">
        <v>1.1723612860337156</v>
      </c>
      <c r="F152" s="328">
        <v>155.47680162000003</v>
      </c>
      <c r="G152" s="328">
        <v>397.06692800999997</v>
      </c>
      <c r="H152" s="328">
        <v>0.91280313842384775</v>
      </c>
      <c r="I152" s="328">
        <v>0.74311166000000006</v>
      </c>
      <c r="J152" s="328">
        <v>0.77410686000000006</v>
      </c>
      <c r="K152" s="328">
        <v>141.43497467</v>
      </c>
      <c r="L152" s="328">
        <v>206.74514338999998</v>
      </c>
      <c r="M152" s="328">
        <v>0.90268186112628712</v>
      </c>
      <c r="N152" s="328">
        <v>0.98112360101788099</v>
      </c>
      <c r="O152" s="328">
        <v>0.20856111238761496</v>
      </c>
      <c r="P152" s="328">
        <v>1.8767065224526588E-2</v>
      </c>
      <c r="Q152" s="328"/>
      <c r="R152" s="328"/>
      <c r="S152" s="328"/>
      <c r="T152" s="328"/>
      <c r="U152" s="328"/>
      <c r="V152" s="328"/>
      <c r="W152" s="328"/>
      <c r="X152" s="328"/>
      <c r="Y152" s="328"/>
      <c r="Z152" s="328"/>
      <c r="AA152" s="328"/>
      <c r="AB152" s="328"/>
      <c r="AC152" s="328"/>
      <c r="AD152" s="328"/>
      <c r="AE152" s="328"/>
      <c r="AF152" s="328"/>
      <c r="AG152" s="328"/>
      <c r="AH152" s="328"/>
      <c r="AI152" s="12"/>
      <c r="AJ152" s="582"/>
      <c r="AK152" s="582"/>
    </row>
    <row r="153" spans="2:37" ht="13.2" x14ac:dyDescent="0.25">
      <c r="B153" s="327" t="s">
        <v>171</v>
      </c>
      <c r="C153" s="328">
        <v>514.93691836767664</v>
      </c>
      <c r="D153" s="328">
        <v>329.70999748469683</v>
      </c>
      <c r="E153" s="328">
        <v>0.85650821571978419</v>
      </c>
      <c r="F153" s="328">
        <v>0.78736561310553144</v>
      </c>
      <c r="G153" s="328">
        <v>6.2221770347897642</v>
      </c>
      <c r="H153" s="328">
        <v>0.77760100554081257</v>
      </c>
      <c r="I153" s="328">
        <v>0.75379005649259434</v>
      </c>
      <c r="J153" s="328">
        <v>0.7932389919311722</v>
      </c>
      <c r="K153" s="328">
        <v>0.81647385888589341</v>
      </c>
      <c r="L153" s="328">
        <v>1.0207212714712379</v>
      </c>
      <c r="M153" s="328">
        <v>0.87727732480324494</v>
      </c>
      <c r="N153" s="328">
        <v>0.88187488000000014</v>
      </c>
      <c r="O153" s="328">
        <v>6.2158111845096956E-3</v>
      </c>
      <c r="P153" s="328">
        <v>5.7744979296293887E-2</v>
      </c>
      <c r="Q153" s="328">
        <v>8.3605891801734507E-3</v>
      </c>
      <c r="R153" s="328"/>
      <c r="S153" s="328"/>
      <c r="T153" s="328"/>
      <c r="U153" s="328"/>
      <c r="V153" s="328"/>
      <c r="W153" s="328"/>
      <c r="X153" s="328"/>
      <c r="Y153" s="328"/>
      <c r="Z153" s="328"/>
      <c r="AA153" s="328"/>
      <c r="AB153" s="328"/>
      <c r="AC153" s="328"/>
      <c r="AD153" s="328"/>
      <c r="AE153" s="328"/>
      <c r="AF153" s="328"/>
      <c r="AG153" s="328"/>
      <c r="AH153" s="328"/>
      <c r="AI153" s="12"/>
      <c r="AJ153" s="582"/>
      <c r="AK153" s="582"/>
    </row>
    <row r="154" spans="2:37" x14ac:dyDescent="0.25">
      <c r="B154" s="330" t="s">
        <v>172</v>
      </c>
      <c r="C154" s="331">
        <f t="shared" ref="C154:AH154" si="3">SUM(C142:C153)</f>
        <v>3816.9219078298902</v>
      </c>
      <c r="D154" s="331">
        <f t="shared" si="3"/>
        <v>3318.4875025983974</v>
      </c>
      <c r="E154" s="331">
        <f t="shared" si="3"/>
        <v>2731.4044938002698</v>
      </c>
      <c r="F154" s="331">
        <f t="shared" si="3"/>
        <v>3048.3988097144138</v>
      </c>
      <c r="G154" s="331">
        <f t="shared" si="3"/>
        <v>2340.8063483531782</v>
      </c>
      <c r="H154" s="331">
        <f t="shared" si="3"/>
        <v>2769.4953728544651</v>
      </c>
      <c r="I154" s="331">
        <f t="shared" si="3"/>
        <v>2162.4240205115266</v>
      </c>
      <c r="J154" s="331">
        <f t="shared" si="3"/>
        <v>1809.1108692881021</v>
      </c>
      <c r="K154" s="331">
        <f t="shared" si="3"/>
        <v>2213.486889260937</v>
      </c>
      <c r="L154" s="331">
        <f t="shared" si="3"/>
        <v>1720.497072278918</v>
      </c>
      <c r="M154" s="331">
        <f t="shared" si="3"/>
        <v>1099.8881835380603</v>
      </c>
      <c r="N154" s="331">
        <f t="shared" si="3"/>
        <v>158.6287868163991</v>
      </c>
      <c r="O154" s="331">
        <f t="shared" si="3"/>
        <v>332.81096533674531</v>
      </c>
      <c r="P154" s="331">
        <f t="shared" si="3"/>
        <v>301.31529644962535</v>
      </c>
      <c r="Q154" s="331">
        <f t="shared" si="3"/>
        <v>428.47736258251956</v>
      </c>
      <c r="R154" s="331">
        <f t="shared" si="3"/>
        <v>458.33316718095296</v>
      </c>
      <c r="S154" s="331">
        <f t="shared" si="3"/>
        <v>4.0949999999999998</v>
      </c>
      <c r="T154" s="331">
        <f t="shared" si="3"/>
        <v>0</v>
      </c>
      <c r="U154" s="331">
        <f t="shared" si="3"/>
        <v>219.98489622243153</v>
      </c>
      <c r="V154" s="331">
        <f t="shared" si="3"/>
        <v>253.57849822977232</v>
      </c>
      <c r="W154" s="331">
        <f t="shared" si="3"/>
        <v>0</v>
      </c>
      <c r="X154" s="331">
        <f t="shared" si="3"/>
        <v>0</v>
      </c>
      <c r="Y154" s="331">
        <f t="shared" si="3"/>
        <v>60.376935829246108</v>
      </c>
      <c r="Z154" s="331">
        <f t="shared" si="3"/>
        <v>610.92141163478095</v>
      </c>
      <c r="AA154" s="331">
        <f t="shared" si="3"/>
        <v>0</v>
      </c>
      <c r="AB154" s="331">
        <f t="shared" si="3"/>
        <v>0</v>
      </c>
      <c r="AC154" s="331">
        <f t="shared" si="3"/>
        <v>25.335206418293435</v>
      </c>
      <c r="AD154" s="331">
        <f t="shared" si="3"/>
        <v>0</v>
      </c>
      <c r="AE154" s="331">
        <f t="shared" si="3"/>
        <v>0</v>
      </c>
      <c r="AF154" s="331">
        <f t="shared" si="3"/>
        <v>159.96841199207455</v>
      </c>
      <c r="AG154" s="331">
        <f t="shared" si="3"/>
        <v>34.594877708123555</v>
      </c>
      <c r="AH154" s="331">
        <f t="shared" si="3"/>
        <v>0</v>
      </c>
      <c r="AI154" s="333"/>
      <c r="AJ154" s="582"/>
      <c r="AK154" s="582"/>
    </row>
    <row r="155" spans="2:37" x14ac:dyDescent="0.25">
      <c r="B155" s="340"/>
      <c r="C155" s="333" t="s">
        <v>142</v>
      </c>
      <c r="D155" s="333" t="s">
        <v>142</v>
      </c>
      <c r="E155" s="333" t="s">
        <v>142</v>
      </c>
      <c r="F155" s="333" t="s">
        <v>142</v>
      </c>
      <c r="G155" s="333" t="s">
        <v>142</v>
      </c>
      <c r="H155" s="333" t="s">
        <v>142</v>
      </c>
      <c r="I155" s="333" t="s">
        <v>142</v>
      </c>
      <c r="J155" s="333" t="s">
        <v>142</v>
      </c>
      <c r="K155" s="333" t="s">
        <v>142</v>
      </c>
      <c r="L155" s="333" t="s">
        <v>142</v>
      </c>
      <c r="M155" s="333"/>
      <c r="N155" s="582"/>
      <c r="O155" s="338"/>
      <c r="P155" s="335"/>
      <c r="Q155" s="582"/>
      <c r="R155" s="583"/>
      <c r="S155" s="186"/>
      <c r="T155" s="186"/>
      <c r="AH155" s="333">
        <f>SUM(C154:AI154)</f>
        <v>30079.342286429131</v>
      </c>
      <c r="AK155" s="582"/>
    </row>
    <row r="156" spans="2:37" x14ac:dyDescent="0.25">
      <c r="B156" s="341"/>
      <c r="C156" s="341"/>
      <c r="D156" s="341"/>
      <c r="E156" s="341"/>
      <c r="F156" s="341"/>
      <c r="G156" s="341"/>
      <c r="H156" s="341"/>
      <c r="I156" s="341"/>
      <c r="J156" s="341"/>
      <c r="K156" s="341"/>
      <c r="L156" s="341"/>
      <c r="M156" s="341"/>
      <c r="N156" s="341"/>
      <c r="O156" s="341"/>
      <c r="P156" s="338"/>
      <c r="Q156" s="582"/>
      <c r="R156" s="582"/>
      <c r="S156" s="583"/>
      <c r="T156" s="186"/>
      <c r="AH156" s="338">
        <f>+AH155-'Domestic Debt USD'!AP8</f>
        <v>3.2741809263825417E-11</v>
      </c>
      <c r="AK156" s="338"/>
    </row>
    <row r="157" spans="2:37" x14ac:dyDescent="0.25">
      <c r="B157" s="341"/>
      <c r="C157" s="341"/>
      <c r="D157" s="341"/>
      <c r="E157" s="341"/>
      <c r="F157" s="341"/>
      <c r="G157" s="341"/>
      <c r="H157" s="341"/>
      <c r="I157" s="341"/>
      <c r="J157" s="341"/>
      <c r="K157" s="341"/>
      <c r="L157" s="341"/>
      <c r="M157" s="341"/>
      <c r="N157" s="341"/>
      <c r="O157" s="341"/>
      <c r="P157" s="338"/>
      <c r="Q157" s="582"/>
      <c r="R157" s="582"/>
      <c r="S157" s="583"/>
      <c r="T157" s="186"/>
      <c r="AK157" s="338"/>
    </row>
    <row r="158" spans="2:37" ht="23.25" customHeight="1" x14ac:dyDescent="0.25">
      <c r="B158" s="316" t="s">
        <v>43</v>
      </c>
      <c r="C158" s="341"/>
      <c r="D158" s="341"/>
      <c r="E158" s="341"/>
      <c r="F158" s="341"/>
      <c r="G158" s="341"/>
      <c r="H158" s="341"/>
      <c r="I158" s="341"/>
      <c r="J158" s="341"/>
      <c r="K158" s="341"/>
      <c r="L158" s="341"/>
      <c r="M158" s="341"/>
      <c r="N158" s="341"/>
      <c r="O158" s="341"/>
      <c r="P158" s="338"/>
      <c r="Q158" s="582"/>
      <c r="R158" s="582"/>
      <c r="S158" s="583"/>
      <c r="T158" s="186"/>
      <c r="AK158" s="338"/>
    </row>
    <row r="159" spans="2:37" x14ac:dyDescent="0.25">
      <c r="B159" s="583"/>
      <c r="C159" s="186"/>
      <c r="D159" s="186"/>
      <c r="E159" s="186"/>
      <c r="F159" s="186"/>
      <c r="G159" s="186"/>
      <c r="H159" s="186"/>
      <c r="I159" s="186"/>
      <c r="J159" s="186"/>
      <c r="K159" s="186"/>
      <c r="L159" s="186"/>
      <c r="M159" s="186"/>
      <c r="N159" s="186"/>
      <c r="O159" s="186"/>
      <c r="P159" s="582"/>
      <c r="Q159" s="582"/>
      <c r="R159" s="582"/>
      <c r="S159" s="583"/>
      <c r="T159" s="186"/>
      <c r="AK159" s="338"/>
    </row>
    <row r="160" spans="2:37" ht="14.4" x14ac:dyDescent="0.3">
      <c r="B160" s="801" t="str">
        <f>+O6</f>
        <v>Central Goverment of Costa Rica</v>
      </c>
      <c r="C160" s="801"/>
      <c r="D160" s="801"/>
      <c r="E160" s="801"/>
      <c r="F160" s="801"/>
      <c r="G160" s="801"/>
      <c r="H160" s="801"/>
      <c r="I160" s="801"/>
      <c r="J160" s="801"/>
      <c r="K160" s="801"/>
      <c r="L160" s="801"/>
      <c r="M160" s="801"/>
      <c r="N160" s="801"/>
      <c r="O160" s="801"/>
      <c r="P160" s="801"/>
      <c r="Q160" s="801"/>
      <c r="R160" s="801"/>
      <c r="S160" s="801"/>
      <c r="T160" s="801"/>
      <c r="U160" s="801"/>
      <c r="V160" s="801"/>
      <c r="W160" s="801"/>
      <c r="X160" s="801"/>
      <c r="Y160" s="801"/>
      <c r="Z160" s="801"/>
      <c r="AA160" s="801"/>
      <c r="AB160" s="801"/>
      <c r="AC160" s="801"/>
      <c r="AD160" s="801"/>
      <c r="AE160" s="801"/>
      <c r="AF160" s="801"/>
      <c r="AG160" s="801"/>
      <c r="AH160" s="801"/>
      <c r="AI160" s="801"/>
      <c r="AJ160" s="801"/>
      <c r="AK160" s="582"/>
    </row>
    <row r="161" spans="2:37" ht="14.4" x14ac:dyDescent="0.3">
      <c r="B161" s="801" t="str">
        <f>+O7</f>
        <v>Maturity Profile Domestic Public Debt as percentage by Total Debt</v>
      </c>
      <c r="C161" s="801"/>
      <c r="D161" s="801"/>
      <c r="E161" s="801"/>
      <c r="F161" s="801"/>
      <c r="G161" s="801"/>
      <c r="H161" s="801"/>
      <c r="I161" s="801"/>
      <c r="J161" s="801"/>
      <c r="K161" s="801"/>
      <c r="L161" s="801"/>
      <c r="M161" s="801"/>
      <c r="N161" s="801"/>
      <c r="O161" s="801"/>
      <c r="P161" s="801"/>
      <c r="Q161" s="801"/>
      <c r="R161" s="801"/>
      <c r="S161" s="801"/>
      <c r="T161" s="801"/>
      <c r="U161" s="801"/>
      <c r="V161" s="801"/>
      <c r="W161" s="801"/>
      <c r="X161" s="801"/>
      <c r="Y161" s="801"/>
      <c r="Z161" s="801"/>
      <c r="AA161" s="801"/>
      <c r="AB161" s="801"/>
      <c r="AC161" s="801"/>
      <c r="AD161" s="801"/>
      <c r="AE161" s="801"/>
      <c r="AF161" s="801"/>
      <c r="AG161" s="801"/>
      <c r="AH161" s="801"/>
      <c r="AI161" s="801"/>
      <c r="AJ161" s="801"/>
      <c r="AK161" s="582"/>
    </row>
    <row r="162" spans="2:37" ht="14.4" x14ac:dyDescent="0.3">
      <c r="B162" s="801" t="str">
        <f>+B116</f>
        <v>December 31st  2020</v>
      </c>
      <c r="C162" s="801"/>
      <c r="D162" s="801"/>
      <c r="E162" s="801"/>
      <c r="F162" s="801"/>
      <c r="G162" s="801"/>
      <c r="H162" s="801"/>
      <c r="I162" s="801"/>
      <c r="J162" s="801"/>
      <c r="K162" s="801"/>
      <c r="L162" s="801"/>
      <c r="M162" s="801"/>
      <c r="N162" s="801"/>
      <c r="O162" s="801"/>
      <c r="P162" s="801"/>
      <c r="Q162" s="801"/>
      <c r="R162" s="801"/>
      <c r="S162" s="801"/>
      <c r="T162" s="801"/>
      <c r="U162" s="801"/>
      <c r="V162" s="801"/>
      <c r="W162" s="801"/>
      <c r="X162" s="801"/>
      <c r="Y162" s="801"/>
      <c r="Z162" s="801"/>
      <c r="AA162" s="801"/>
      <c r="AB162" s="801"/>
      <c r="AC162" s="801"/>
      <c r="AD162" s="801"/>
      <c r="AE162" s="801"/>
      <c r="AF162" s="801"/>
      <c r="AG162" s="801"/>
      <c r="AH162" s="801"/>
      <c r="AI162" s="801"/>
      <c r="AJ162" s="801"/>
      <c r="AK162" s="582"/>
    </row>
    <row r="163" spans="2:37" x14ac:dyDescent="0.25">
      <c r="B163" s="582"/>
      <c r="C163" s="582"/>
      <c r="D163" s="582"/>
      <c r="E163" s="582"/>
      <c r="F163" s="582"/>
      <c r="G163" s="582"/>
      <c r="H163" s="582"/>
      <c r="I163" s="582"/>
      <c r="J163" s="582"/>
      <c r="K163" s="582"/>
      <c r="L163" s="582"/>
      <c r="M163" s="582"/>
      <c r="N163" s="582"/>
      <c r="O163" s="582"/>
      <c r="P163" s="582"/>
      <c r="Q163" s="582"/>
      <c r="R163" s="582"/>
      <c r="S163" s="582"/>
      <c r="T163" s="583"/>
      <c r="AK163" s="582"/>
    </row>
    <row r="164" spans="2:37" x14ac:dyDescent="0.25">
      <c r="B164" s="325" t="s">
        <v>159</v>
      </c>
      <c r="C164" s="326">
        <v>2020</v>
      </c>
      <c r="D164" s="326">
        <v>2021</v>
      </c>
      <c r="E164" s="326">
        <v>2022</v>
      </c>
      <c r="F164" s="326">
        <v>2023</v>
      </c>
      <c r="G164" s="326">
        <v>2024</v>
      </c>
      <c r="H164" s="326">
        <v>2025</v>
      </c>
      <c r="I164" s="326">
        <v>2026</v>
      </c>
      <c r="J164" s="326">
        <v>2027</v>
      </c>
      <c r="K164" s="326">
        <v>2028</v>
      </c>
      <c r="L164" s="326">
        <v>2029</v>
      </c>
      <c r="M164" s="326">
        <v>2030</v>
      </c>
      <c r="N164" s="326">
        <v>2031</v>
      </c>
      <c r="O164" s="326">
        <v>2032</v>
      </c>
      <c r="P164" s="326">
        <v>2033</v>
      </c>
      <c r="Q164" s="326">
        <v>2034</v>
      </c>
      <c r="R164" s="326">
        <v>2035</v>
      </c>
      <c r="S164" s="326">
        <v>2036</v>
      </c>
      <c r="T164" s="326">
        <v>2037</v>
      </c>
      <c r="U164" s="326">
        <v>2038</v>
      </c>
      <c r="V164" s="326">
        <v>2039</v>
      </c>
      <c r="W164" s="326">
        <v>2040</v>
      </c>
      <c r="X164" s="326">
        <v>2041</v>
      </c>
      <c r="Y164" s="326">
        <v>2042</v>
      </c>
      <c r="Z164" s="326">
        <v>2043</v>
      </c>
      <c r="AA164" s="326">
        <v>2044</v>
      </c>
      <c r="AB164" s="326">
        <v>2045</v>
      </c>
      <c r="AC164" s="326">
        <v>2046</v>
      </c>
      <c r="AD164" s="326">
        <v>2047</v>
      </c>
      <c r="AE164" s="326">
        <v>2048</v>
      </c>
      <c r="AF164" s="326">
        <v>2049</v>
      </c>
      <c r="AG164" s="326">
        <v>2050</v>
      </c>
      <c r="AH164" s="326">
        <v>2051</v>
      </c>
      <c r="AI164" s="352"/>
      <c r="AJ164" s="582"/>
      <c r="AK164" s="582"/>
    </row>
    <row r="165" spans="2:37" x14ac:dyDescent="0.25">
      <c r="B165" s="327" t="s">
        <v>160</v>
      </c>
      <c r="C165" s="342">
        <f t="shared" ref="C165:AH165" si="4">+C120/$AH$133</f>
        <v>1.2270336808220072E-2</v>
      </c>
      <c r="D165" s="342">
        <f t="shared" si="4"/>
        <v>1.3620555090716443E-2</v>
      </c>
      <c r="E165" s="342">
        <f t="shared" si="4"/>
        <v>2.8427530840380134E-5</v>
      </c>
      <c r="F165" s="342">
        <f t="shared" si="4"/>
        <v>2.2762461960599351E-2</v>
      </c>
      <c r="G165" s="342">
        <f t="shared" si="4"/>
        <v>2.4231458383032993E-5</v>
      </c>
      <c r="H165" s="342">
        <f t="shared" si="4"/>
        <v>3.3196659733591726E-3</v>
      </c>
      <c r="I165" s="342">
        <f t="shared" si="4"/>
        <v>2.6346114910212671E-5</v>
      </c>
      <c r="J165" s="342">
        <f t="shared" si="4"/>
        <v>2.5340869192259755E-2</v>
      </c>
      <c r="K165" s="342">
        <f t="shared" si="4"/>
        <v>9.3241555451099613E-3</v>
      </c>
      <c r="L165" s="342">
        <f t="shared" si="4"/>
        <v>2.6681372629683123E-5</v>
      </c>
      <c r="M165" s="342">
        <f t="shared" si="4"/>
        <v>2.7238139790365213E-5</v>
      </c>
      <c r="N165" s="342">
        <f t="shared" si="4"/>
        <v>2.8147469513719587E-5</v>
      </c>
      <c r="O165" s="342">
        <f t="shared" si="4"/>
        <v>2.9476969328549068E-5</v>
      </c>
      <c r="P165" s="342">
        <f t="shared" si="4"/>
        <v>3.4545968360036641E-6</v>
      </c>
      <c r="Q165" s="342">
        <f t="shared" si="4"/>
        <v>3.2562031261579221E-6</v>
      </c>
      <c r="R165" s="342">
        <f t="shared" si="4"/>
        <v>0</v>
      </c>
      <c r="S165" s="342">
        <f t="shared" si="4"/>
        <v>0</v>
      </c>
      <c r="T165" s="342">
        <f t="shared" si="4"/>
        <v>0</v>
      </c>
      <c r="U165" s="342">
        <f t="shared" si="4"/>
        <v>0</v>
      </c>
      <c r="V165" s="342">
        <f t="shared" si="4"/>
        <v>8.4303205773278884E-3</v>
      </c>
      <c r="W165" s="342">
        <f t="shared" si="4"/>
        <v>0</v>
      </c>
      <c r="X165" s="342">
        <f t="shared" si="4"/>
        <v>0</v>
      </c>
      <c r="Y165" s="342">
        <f t="shared" si="4"/>
        <v>0</v>
      </c>
      <c r="Z165" s="342">
        <f t="shared" si="4"/>
        <v>0</v>
      </c>
      <c r="AA165" s="342">
        <f t="shared" si="4"/>
        <v>0</v>
      </c>
      <c r="AB165" s="342">
        <f t="shared" si="4"/>
        <v>0</v>
      </c>
      <c r="AC165" s="342">
        <f t="shared" si="4"/>
        <v>0</v>
      </c>
      <c r="AD165" s="342">
        <f t="shared" si="4"/>
        <v>0</v>
      </c>
      <c r="AE165" s="342">
        <f t="shared" si="4"/>
        <v>0</v>
      </c>
      <c r="AF165" s="342">
        <f t="shared" si="4"/>
        <v>0</v>
      </c>
      <c r="AG165" s="342">
        <f t="shared" si="4"/>
        <v>0</v>
      </c>
      <c r="AH165" s="342">
        <f t="shared" si="4"/>
        <v>0</v>
      </c>
      <c r="AI165" s="342"/>
      <c r="AJ165" s="582"/>
      <c r="AK165" s="582"/>
    </row>
    <row r="166" spans="2:37" x14ac:dyDescent="0.25">
      <c r="B166" s="327" t="s">
        <v>161</v>
      </c>
      <c r="C166" s="342">
        <f t="shared" ref="C166:AH166" si="5">+C121/$AH$133</f>
        <v>7.85294004978912E-3</v>
      </c>
      <c r="D166" s="342">
        <f t="shared" si="5"/>
        <v>1.1917327815031027E-2</v>
      </c>
      <c r="E166" s="342">
        <f t="shared" si="5"/>
        <v>2.317050624529499E-2</v>
      </c>
      <c r="F166" s="342">
        <f t="shared" si="5"/>
        <v>1.5289200167368283E-2</v>
      </c>
      <c r="G166" s="342">
        <f t="shared" si="5"/>
        <v>2.6818547921015394E-2</v>
      </c>
      <c r="H166" s="342">
        <f t="shared" si="5"/>
        <v>2.5387963910092064E-5</v>
      </c>
      <c r="I166" s="342">
        <f t="shared" si="5"/>
        <v>2.595611157602121E-2</v>
      </c>
      <c r="J166" s="342">
        <f t="shared" si="5"/>
        <v>1.5733714385725302E-2</v>
      </c>
      <c r="K166" s="342">
        <f t="shared" si="5"/>
        <v>2.3112410022961768E-2</v>
      </c>
      <c r="L166" s="342">
        <f t="shared" si="5"/>
        <v>2.0466149784900776E-2</v>
      </c>
      <c r="M166" s="342">
        <f t="shared" si="5"/>
        <v>2.9291964168059748E-5</v>
      </c>
      <c r="N166" s="342">
        <f t="shared" si="5"/>
        <v>2.9140483585185888E-5</v>
      </c>
      <c r="O166" s="342">
        <f t="shared" si="5"/>
        <v>3.1228266752018321E-5</v>
      </c>
      <c r="P166" s="342">
        <f t="shared" si="5"/>
        <v>4.4011385258008713E-6</v>
      </c>
      <c r="Q166" s="342">
        <f t="shared" si="5"/>
        <v>1.8080131487786273E-6</v>
      </c>
      <c r="R166" s="342">
        <f t="shared" si="5"/>
        <v>1.4836174914465599E-2</v>
      </c>
      <c r="S166" s="342">
        <f t="shared" si="5"/>
        <v>0</v>
      </c>
      <c r="T166" s="342">
        <f t="shared" si="5"/>
        <v>0</v>
      </c>
      <c r="U166" s="342">
        <f t="shared" si="5"/>
        <v>0</v>
      </c>
      <c r="V166" s="342">
        <f t="shared" si="5"/>
        <v>0</v>
      </c>
      <c r="W166" s="342">
        <f t="shared" si="5"/>
        <v>0</v>
      </c>
      <c r="X166" s="342">
        <f t="shared" si="5"/>
        <v>0</v>
      </c>
      <c r="Y166" s="342">
        <f t="shared" si="5"/>
        <v>0</v>
      </c>
      <c r="Z166" s="342">
        <f t="shared" si="5"/>
        <v>0</v>
      </c>
      <c r="AA166" s="342">
        <f t="shared" si="5"/>
        <v>0</v>
      </c>
      <c r="AB166" s="342">
        <f t="shared" si="5"/>
        <v>0</v>
      </c>
      <c r="AC166" s="342">
        <f t="shared" si="5"/>
        <v>0</v>
      </c>
      <c r="AD166" s="342">
        <f t="shared" si="5"/>
        <v>0</v>
      </c>
      <c r="AE166" s="342">
        <f t="shared" si="5"/>
        <v>0</v>
      </c>
      <c r="AF166" s="342">
        <f t="shared" si="5"/>
        <v>0</v>
      </c>
      <c r="AG166" s="342">
        <f t="shared" si="5"/>
        <v>0</v>
      </c>
      <c r="AH166" s="342">
        <f t="shared" si="5"/>
        <v>0</v>
      </c>
      <c r="AI166" s="342"/>
      <c r="AJ166" s="582"/>
      <c r="AK166" s="582"/>
    </row>
    <row r="167" spans="2:37" x14ac:dyDescent="0.25">
      <c r="B167" s="327" t="s">
        <v>162</v>
      </c>
      <c r="C167" s="342">
        <f t="shared" ref="C167:AH167" si="6">+C122/$AH$133</f>
        <v>1.2667119118179013E-2</v>
      </c>
      <c r="D167" s="342">
        <f t="shared" si="6"/>
        <v>1.2265490874855648E-4</v>
      </c>
      <c r="E167" s="342">
        <f t="shared" si="6"/>
        <v>1.0002229326749729E-2</v>
      </c>
      <c r="F167" s="342">
        <f t="shared" si="6"/>
        <v>1.5688600530787942E-2</v>
      </c>
      <c r="G167" s="342">
        <f t="shared" si="6"/>
        <v>5.194960488976053E-4</v>
      </c>
      <c r="H167" s="342">
        <f t="shared" si="6"/>
        <v>2.3715966133216412E-2</v>
      </c>
      <c r="I167" s="342">
        <f t="shared" si="6"/>
        <v>2.3978204975283274E-2</v>
      </c>
      <c r="J167" s="342">
        <f t="shared" si="6"/>
        <v>4.5052152108106339E-4</v>
      </c>
      <c r="K167" s="342">
        <f t="shared" si="6"/>
        <v>3.1563307513223208E-5</v>
      </c>
      <c r="L167" s="342">
        <f t="shared" si="6"/>
        <v>2.8712668681049339E-5</v>
      </c>
      <c r="M167" s="342">
        <f t="shared" si="6"/>
        <v>2.7577919051404401E-5</v>
      </c>
      <c r="N167" s="342">
        <f t="shared" si="6"/>
        <v>2.8452445264606888E-5</v>
      </c>
      <c r="O167" s="342">
        <f t="shared" si="6"/>
        <v>3.3710342333897667E-5</v>
      </c>
      <c r="P167" s="342">
        <f t="shared" si="6"/>
        <v>1.098743502280447E-7</v>
      </c>
      <c r="Q167" s="342">
        <f t="shared" si="6"/>
        <v>1.2736496852964675E-2</v>
      </c>
      <c r="R167" s="342">
        <f t="shared" si="6"/>
        <v>0</v>
      </c>
      <c r="S167" s="342">
        <f t="shared" si="6"/>
        <v>0</v>
      </c>
      <c r="T167" s="342">
        <f t="shared" si="6"/>
        <v>0</v>
      </c>
      <c r="U167" s="342">
        <f t="shared" si="6"/>
        <v>0</v>
      </c>
      <c r="V167" s="342">
        <f t="shared" si="6"/>
        <v>0</v>
      </c>
      <c r="W167" s="342">
        <f t="shared" si="6"/>
        <v>0</v>
      </c>
      <c r="X167" s="342">
        <f t="shared" si="6"/>
        <v>0</v>
      </c>
      <c r="Y167" s="342">
        <f t="shared" si="6"/>
        <v>0</v>
      </c>
      <c r="Z167" s="342">
        <f t="shared" si="6"/>
        <v>0</v>
      </c>
      <c r="AA167" s="342">
        <f t="shared" si="6"/>
        <v>0</v>
      </c>
      <c r="AB167" s="342">
        <f t="shared" si="6"/>
        <v>0</v>
      </c>
      <c r="AC167" s="342">
        <f t="shared" si="6"/>
        <v>0</v>
      </c>
      <c r="AD167" s="342">
        <f t="shared" si="6"/>
        <v>0</v>
      </c>
      <c r="AE167" s="342">
        <f t="shared" si="6"/>
        <v>0</v>
      </c>
      <c r="AF167" s="342">
        <f t="shared" si="6"/>
        <v>0</v>
      </c>
      <c r="AG167" s="342">
        <f t="shared" si="6"/>
        <v>0</v>
      </c>
      <c r="AH167" s="342">
        <f t="shared" si="6"/>
        <v>0</v>
      </c>
      <c r="AI167" s="342"/>
      <c r="AJ167" s="582"/>
      <c r="AK167" s="582"/>
    </row>
    <row r="168" spans="2:37" x14ac:dyDescent="0.25">
      <c r="B168" s="327" t="s">
        <v>163</v>
      </c>
      <c r="C168" s="342">
        <f t="shared" ref="C168:AH168" si="7">+C123/$AH$133</f>
        <v>1.1113370076605698E-2</v>
      </c>
      <c r="D168" s="342">
        <f t="shared" si="7"/>
        <v>1.9269098764656474E-4</v>
      </c>
      <c r="E168" s="342">
        <f t="shared" si="7"/>
        <v>1.1891392063175252E-3</v>
      </c>
      <c r="F168" s="342">
        <f t="shared" si="7"/>
        <v>2.2313805900891359E-4</v>
      </c>
      <c r="G168" s="342">
        <f t="shared" si="7"/>
        <v>3.9502072508283471E-5</v>
      </c>
      <c r="H168" s="342">
        <f t="shared" si="7"/>
        <v>2.3435964515906081E-3</v>
      </c>
      <c r="I168" s="342">
        <f t="shared" si="7"/>
        <v>2.27199456362785E-3</v>
      </c>
      <c r="J168" s="342">
        <f t="shared" si="7"/>
        <v>2.5786260768672328E-5</v>
      </c>
      <c r="K168" s="342">
        <f t="shared" si="7"/>
        <v>1.1231188909105324E-2</v>
      </c>
      <c r="L168" s="342">
        <f t="shared" si="7"/>
        <v>2.8197124573944745E-5</v>
      </c>
      <c r="M168" s="342">
        <f t="shared" si="7"/>
        <v>3.1198088034590721E-5</v>
      </c>
      <c r="N168" s="342">
        <f t="shared" si="7"/>
        <v>3.2309881526880737E-3</v>
      </c>
      <c r="O168" s="342">
        <f t="shared" si="7"/>
        <v>3.1259692827688951E-5</v>
      </c>
      <c r="P168" s="342">
        <f t="shared" si="7"/>
        <v>6.3844487546645227E-3</v>
      </c>
      <c r="Q168" s="342">
        <f t="shared" si="7"/>
        <v>1.4927103220935315E-3</v>
      </c>
      <c r="R168" s="342">
        <f t="shared" si="7"/>
        <v>4.8431368396849143E-5</v>
      </c>
      <c r="S168" s="342">
        <f t="shared" si="7"/>
        <v>0</v>
      </c>
      <c r="T168" s="342">
        <f t="shared" si="7"/>
        <v>0</v>
      </c>
      <c r="U168" s="342">
        <f t="shared" si="7"/>
        <v>7.3134875798691254E-3</v>
      </c>
      <c r="V168" s="342">
        <f t="shared" si="7"/>
        <v>0</v>
      </c>
      <c r="W168" s="342">
        <f t="shared" si="7"/>
        <v>0</v>
      </c>
      <c r="X168" s="342">
        <f t="shared" si="7"/>
        <v>0</v>
      </c>
      <c r="Y168" s="342">
        <f t="shared" si="7"/>
        <v>0</v>
      </c>
      <c r="Z168" s="342">
        <f t="shared" si="7"/>
        <v>2.0310331449980207E-2</v>
      </c>
      <c r="AA168" s="342">
        <f t="shared" si="7"/>
        <v>0</v>
      </c>
      <c r="AB168" s="342">
        <f t="shared" si="7"/>
        <v>0</v>
      </c>
      <c r="AC168" s="342">
        <f t="shared" si="7"/>
        <v>8.4227926851059866E-4</v>
      </c>
      <c r="AD168" s="342">
        <f t="shared" si="7"/>
        <v>0</v>
      </c>
      <c r="AE168" s="342">
        <f t="shared" si="7"/>
        <v>0</v>
      </c>
      <c r="AF168" s="342">
        <f t="shared" si="7"/>
        <v>5.3182150882417215E-3</v>
      </c>
      <c r="AG168" s="342">
        <f t="shared" si="7"/>
        <v>1.1501208164292778E-3</v>
      </c>
      <c r="AH168" s="342">
        <f t="shared" si="7"/>
        <v>0</v>
      </c>
      <c r="AI168" s="342"/>
      <c r="AJ168" s="582"/>
      <c r="AK168" s="582"/>
    </row>
    <row r="169" spans="2:37" x14ac:dyDescent="0.25">
      <c r="B169" s="327" t="s">
        <v>164</v>
      </c>
      <c r="C169" s="342">
        <f t="shared" ref="C169:AH169" si="8">+C124/$AH$133</f>
        <v>1.1495737012113276E-2</v>
      </c>
      <c r="D169" s="342">
        <f t="shared" si="8"/>
        <v>1.397223222734425E-2</v>
      </c>
      <c r="E169" s="342">
        <f t="shared" si="8"/>
        <v>2.4503216169033957E-3</v>
      </c>
      <c r="F169" s="342">
        <f t="shared" si="8"/>
        <v>8.8061718862618727E-3</v>
      </c>
      <c r="G169" s="342">
        <f t="shared" si="8"/>
        <v>2.3376233206975274E-5</v>
      </c>
      <c r="H169" s="342">
        <f t="shared" si="8"/>
        <v>2.4099566842159725E-5</v>
      </c>
      <c r="I169" s="342">
        <f t="shared" si="8"/>
        <v>1.3322637905244357E-2</v>
      </c>
      <c r="J169" s="342">
        <f t="shared" si="8"/>
        <v>3.9038063872293481E-3</v>
      </c>
      <c r="K169" s="342">
        <f t="shared" si="8"/>
        <v>2.6077875058920409E-5</v>
      </c>
      <c r="L169" s="342">
        <f t="shared" si="8"/>
        <v>2.7048791235274978E-5</v>
      </c>
      <c r="M169" s="342">
        <f t="shared" si="8"/>
        <v>2.8004674330426335E-5</v>
      </c>
      <c r="N169" s="342">
        <f t="shared" si="8"/>
        <v>2.8527331875442668E-5</v>
      </c>
      <c r="O169" s="342">
        <f t="shared" si="8"/>
        <v>5.1252746203212865E-3</v>
      </c>
      <c r="P169" s="342">
        <f t="shared" si="8"/>
        <v>0</v>
      </c>
      <c r="Q169" s="342">
        <f t="shared" si="8"/>
        <v>3.8246953610165176E-6</v>
      </c>
      <c r="R169" s="342">
        <f t="shared" si="8"/>
        <v>0</v>
      </c>
      <c r="S169" s="342">
        <f t="shared" si="8"/>
        <v>1.3613994485004211E-4</v>
      </c>
      <c r="T169" s="342">
        <f t="shared" si="8"/>
        <v>0</v>
      </c>
      <c r="U169" s="342">
        <f t="shared" si="8"/>
        <v>0</v>
      </c>
      <c r="V169" s="342">
        <f t="shared" si="8"/>
        <v>0</v>
      </c>
      <c r="W169" s="342">
        <f t="shared" si="8"/>
        <v>0</v>
      </c>
      <c r="X169" s="342">
        <f t="shared" si="8"/>
        <v>0</v>
      </c>
      <c r="Y169" s="342">
        <f t="shared" si="8"/>
        <v>0</v>
      </c>
      <c r="Z169" s="342">
        <f t="shared" si="8"/>
        <v>0</v>
      </c>
      <c r="AA169" s="342">
        <f t="shared" si="8"/>
        <v>0</v>
      </c>
      <c r="AB169" s="342">
        <f t="shared" si="8"/>
        <v>0</v>
      </c>
      <c r="AC169" s="342">
        <f t="shared" si="8"/>
        <v>0</v>
      </c>
      <c r="AD169" s="342">
        <f t="shared" si="8"/>
        <v>0</v>
      </c>
      <c r="AE169" s="342">
        <f t="shared" si="8"/>
        <v>0</v>
      </c>
      <c r="AF169" s="342">
        <f t="shared" si="8"/>
        <v>0</v>
      </c>
      <c r="AG169" s="342">
        <f t="shared" si="8"/>
        <v>0</v>
      </c>
      <c r="AH169" s="342">
        <f t="shared" si="8"/>
        <v>0</v>
      </c>
      <c r="AI169" s="342"/>
      <c r="AJ169" s="582"/>
      <c r="AK169" s="582"/>
    </row>
    <row r="170" spans="2:37" x14ac:dyDescent="0.25">
      <c r="B170" s="327" t="s">
        <v>165</v>
      </c>
      <c r="C170" s="342">
        <f t="shared" ref="C170:AH170" si="9">+C125/$AH$133</f>
        <v>6.4406910050472596E-3</v>
      </c>
      <c r="D170" s="342">
        <f t="shared" si="9"/>
        <v>1.2912128593107171E-2</v>
      </c>
      <c r="E170" s="342">
        <f t="shared" si="9"/>
        <v>1.5836417612999053E-2</v>
      </c>
      <c r="F170" s="342">
        <f t="shared" si="9"/>
        <v>5.8026279237123985E-3</v>
      </c>
      <c r="G170" s="342">
        <f t="shared" si="9"/>
        <v>8.1318718315076619E-3</v>
      </c>
      <c r="H170" s="342">
        <f t="shared" si="9"/>
        <v>1.2513127579845146E-2</v>
      </c>
      <c r="I170" s="342">
        <f t="shared" si="9"/>
        <v>2.2665624598976948E-3</v>
      </c>
      <c r="J170" s="342">
        <f t="shared" si="9"/>
        <v>1.4533762507017123E-2</v>
      </c>
      <c r="K170" s="342">
        <f t="shared" si="9"/>
        <v>3.4754534924510283E-4</v>
      </c>
      <c r="L170" s="342">
        <f t="shared" si="9"/>
        <v>2.7023498008271401E-2</v>
      </c>
      <c r="M170" s="342">
        <f t="shared" si="9"/>
        <v>1.7400645951438642E-2</v>
      </c>
      <c r="N170" s="342">
        <f t="shared" si="9"/>
        <v>1.7425223518268656E-3</v>
      </c>
      <c r="O170" s="342">
        <f t="shared" si="9"/>
        <v>2.9506180196545011E-5</v>
      </c>
      <c r="P170" s="342">
        <f t="shared" si="9"/>
        <v>3.616450172706983E-3</v>
      </c>
      <c r="Q170" s="342">
        <f t="shared" si="9"/>
        <v>3.7365555396970566E-6</v>
      </c>
      <c r="R170" s="342">
        <f t="shared" si="9"/>
        <v>0</v>
      </c>
      <c r="S170" s="342">
        <f t="shared" si="9"/>
        <v>0</v>
      </c>
      <c r="T170" s="342">
        <f t="shared" si="9"/>
        <v>0</v>
      </c>
      <c r="U170" s="342">
        <f t="shared" si="9"/>
        <v>0</v>
      </c>
      <c r="V170" s="342">
        <f t="shared" si="9"/>
        <v>0</v>
      </c>
      <c r="W170" s="342">
        <f t="shared" si="9"/>
        <v>0</v>
      </c>
      <c r="X170" s="342">
        <f t="shared" si="9"/>
        <v>0</v>
      </c>
      <c r="Y170" s="342">
        <f t="shared" si="9"/>
        <v>0</v>
      </c>
      <c r="Z170" s="342">
        <f t="shared" si="9"/>
        <v>0</v>
      </c>
      <c r="AA170" s="342">
        <f t="shared" si="9"/>
        <v>0</v>
      </c>
      <c r="AB170" s="342">
        <f t="shared" si="9"/>
        <v>0</v>
      </c>
      <c r="AC170" s="342">
        <f t="shared" si="9"/>
        <v>0</v>
      </c>
      <c r="AD170" s="342">
        <f t="shared" si="9"/>
        <v>0</v>
      </c>
      <c r="AE170" s="342">
        <f t="shared" si="9"/>
        <v>0</v>
      </c>
      <c r="AF170" s="342">
        <f t="shared" si="9"/>
        <v>0</v>
      </c>
      <c r="AG170" s="342">
        <f t="shared" si="9"/>
        <v>0</v>
      </c>
      <c r="AH170" s="342">
        <f t="shared" si="9"/>
        <v>0</v>
      </c>
      <c r="AI170" s="342"/>
      <c r="AJ170" s="582"/>
      <c r="AK170" s="582"/>
    </row>
    <row r="171" spans="2:37" x14ac:dyDescent="0.25">
      <c r="B171" s="327" t="s">
        <v>166</v>
      </c>
      <c r="C171" s="342">
        <f t="shared" ref="C171:AH171" si="10">+C126/$AH$133</f>
        <v>9.9640379734659262E-3</v>
      </c>
      <c r="D171" s="342">
        <f t="shared" si="10"/>
        <v>1.9796677382492311E-2</v>
      </c>
      <c r="E171" s="342">
        <f t="shared" si="10"/>
        <v>1.3766973241755855E-2</v>
      </c>
      <c r="F171" s="342">
        <f t="shared" si="10"/>
        <v>1.492620752507076E-2</v>
      </c>
      <c r="G171" s="342">
        <f t="shared" si="10"/>
        <v>4.7166924844633199E-3</v>
      </c>
      <c r="H171" s="342">
        <f t="shared" si="10"/>
        <v>1.2006950927165638E-2</v>
      </c>
      <c r="I171" s="342">
        <f t="shared" si="10"/>
        <v>3.9259638156788918E-3</v>
      </c>
      <c r="J171" s="342">
        <f t="shared" si="10"/>
        <v>2.5579968892708892E-5</v>
      </c>
      <c r="K171" s="342">
        <f t="shared" si="10"/>
        <v>2.6269458702775547E-5</v>
      </c>
      <c r="L171" s="342">
        <f t="shared" si="10"/>
        <v>1.7421571658938857E-3</v>
      </c>
      <c r="M171" s="342">
        <f t="shared" si="10"/>
        <v>1.0841908578232619E-2</v>
      </c>
      <c r="N171" s="342">
        <f t="shared" si="10"/>
        <v>3.1628987129306975E-5</v>
      </c>
      <c r="O171" s="342">
        <f t="shared" si="10"/>
        <v>3.5173905631823214E-4</v>
      </c>
      <c r="P171" s="342">
        <f t="shared" si="10"/>
        <v>5.5792974363201055E-7</v>
      </c>
      <c r="Q171" s="342">
        <f t="shared" si="10"/>
        <v>0</v>
      </c>
      <c r="R171" s="342">
        <f t="shared" si="10"/>
        <v>3.528667581534425E-4</v>
      </c>
      <c r="S171" s="342">
        <f t="shared" si="10"/>
        <v>0</v>
      </c>
      <c r="T171" s="342">
        <f t="shared" si="10"/>
        <v>0</v>
      </c>
      <c r="U171" s="342">
        <f t="shared" si="10"/>
        <v>0</v>
      </c>
      <c r="V171" s="342">
        <f t="shared" si="10"/>
        <v>0</v>
      </c>
      <c r="W171" s="342">
        <f t="shared" si="10"/>
        <v>0</v>
      </c>
      <c r="X171" s="342">
        <f t="shared" si="10"/>
        <v>0</v>
      </c>
      <c r="Y171" s="342">
        <f t="shared" si="10"/>
        <v>2.0072558520166294E-3</v>
      </c>
      <c r="Z171" s="342">
        <f t="shared" si="10"/>
        <v>0</v>
      </c>
      <c r="AA171" s="342">
        <f t="shared" si="10"/>
        <v>0</v>
      </c>
      <c r="AB171" s="342">
        <f t="shared" si="10"/>
        <v>0</v>
      </c>
      <c r="AC171" s="342">
        <f t="shared" si="10"/>
        <v>0</v>
      </c>
      <c r="AD171" s="342">
        <f t="shared" si="10"/>
        <v>0</v>
      </c>
      <c r="AE171" s="342">
        <f t="shared" si="10"/>
        <v>0</v>
      </c>
      <c r="AF171" s="342">
        <f t="shared" si="10"/>
        <v>0</v>
      </c>
      <c r="AG171" s="342">
        <f t="shared" si="10"/>
        <v>0</v>
      </c>
      <c r="AH171" s="342">
        <f t="shared" si="10"/>
        <v>0</v>
      </c>
      <c r="AI171" s="342"/>
      <c r="AJ171" s="582"/>
      <c r="AK171" s="582"/>
    </row>
    <row r="172" spans="2:37" x14ac:dyDescent="0.25">
      <c r="B172" s="327" t="s">
        <v>167</v>
      </c>
      <c r="C172" s="342">
        <f t="shared" ref="C172:AH172" si="11">+C127/$AH$133</f>
        <v>1.4002931798856482E-3</v>
      </c>
      <c r="D172" s="342">
        <f t="shared" si="11"/>
        <v>1.5514279818586383E-2</v>
      </c>
      <c r="E172" s="342">
        <f t="shared" si="11"/>
        <v>1.1928315762804353E-2</v>
      </c>
      <c r="F172" s="342">
        <f t="shared" si="11"/>
        <v>2.2993336869338388E-5</v>
      </c>
      <c r="G172" s="342">
        <f t="shared" si="11"/>
        <v>7.3592639961762626E-3</v>
      </c>
      <c r="H172" s="342">
        <f t="shared" si="11"/>
        <v>1.8525186672761897E-2</v>
      </c>
      <c r="I172" s="342">
        <f t="shared" si="11"/>
        <v>2.4780284851384213E-5</v>
      </c>
      <c r="J172" s="342">
        <f t="shared" si="11"/>
        <v>2.5981329872298552E-5</v>
      </c>
      <c r="K172" s="342">
        <f t="shared" si="11"/>
        <v>2.8297621809998172E-5</v>
      </c>
      <c r="L172" s="342">
        <f t="shared" si="11"/>
        <v>2.7479246624586966E-5</v>
      </c>
      <c r="M172" s="342">
        <f t="shared" si="11"/>
        <v>3.0291962154481283E-5</v>
      </c>
      <c r="N172" s="342">
        <f t="shared" si="11"/>
        <v>3.3473697231328495E-5</v>
      </c>
      <c r="O172" s="342">
        <f t="shared" si="11"/>
        <v>2.1667468862930996E-6</v>
      </c>
      <c r="P172" s="342">
        <f t="shared" si="11"/>
        <v>3.5193428903044481E-6</v>
      </c>
      <c r="Q172" s="342">
        <f t="shared" si="11"/>
        <v>4.700000593546366E-7</v>
      </c>
      <c r="R172" s="342">
        <f t="shared" si="11"/>
        <v>0</v>
      </c>
      <c r="S172" s="342">
        <f t="shared" si="11"/>
        <v>0</v>
      </c>
      <c r="T172" s="342">
        <f t="shared" si="11"/>
        <v>0</v>
      </c>
      <c r="U172" s="342">
        <f t="shared" si="11"/>
        <v>0</v>
      </c>
      <c r="V172" s="342">
        <f t="shared" si="11"/>
        <v>0</v>
      </c>
      <c r="W172" s="342">
        <f t="shared" si="11"/>
        <v>0</v>
      </c>
      <c r="X172" s="342">
        <f t="shared" si="11"/>
        <v>0</v>
      </c>
      <c r="Y172" s="342">
        <f t="shared" si="11"/>
        <v>0</v>
      </c>
      <c r="Z172" s="342">
        <f t="shared" si="11"/>
        <v>0</v>
      </c>
      <c r="AA172" s="342">
        <f t="shared" si="11"/>
        <v>0</v>
      </c>
      <c r="AB172" s="342">
        <f t="shared" si="11"/>
        <v>0</v>
      </c>
      <c r="AC172" s="342">
        <f t="shared" si="11"/>
        <v>0</v>
      </c>
      <c r="AD172" s="342">
        <f t="shared" si="11"/>
        <v>0</v>
      </c>
      <c r="AE172" s="342">
        <f t="shared" si="11"/>
        <v>0</v>
      </c>
      <c r="AF172" s="342">
        <f t="shared" si="11"/>
        <v>0</v>
      </c>
      <c r="AG172" s="342">
        <f t="shared" si="11"/>
        <v>0</v>
      </c>
      <c r="AH172" s="342">
        <f t="shared" si="11"/>
        <v>0</v>
      </c>
      <c r="AI172" s="342"/>
      <c r="AJ172" s="582"/>
      <c r="AK172" s="582"/>
    </row>
    <row r="173" spans="2:37" x14ac:dyDescent="0.25">
      <c r="B173" s="327" t="s">
        <v>168</v>
      </c>
      <c r="C173" s="342">
        <f t="shared" ref="C173:AH173" si="12">+C128/$AH$133</f>
        <v>3.2376472624523365E-3</v>
      </c>
      <c r="D173" s="342">
        <f t="shared" si="12"/>
        <v>1.1080645449928766E-2</v>
      </c>
      <c r="E173" s="342">
        <f t="shared" si="12"/>
        <v>1.2311829774537153E-2</v>
      </c>
      <c r="F173" s="342">
        <f t="shared" si="12"/>
        <v>1.2589601134323126E-2</v>
      </c>
      <c r="G173" s="342">
        <f t="shared" si="12"/>
        <v>1.6740974930354202E-2</v>
      </c>
      <c r="H173" s="342">
        <f t="shared" si="12"/>
        <v>1.9502191279426644E-2</v>
      </c>
      <c r="I173" s="342">
        <f t="shared" si="12"/>
        <v>2.6698601309496337E-5</v>
      </c>
      <c r="J173" s="342">
        <f t="shared" si="12"/>
        <v>2.5788993742392409E-5</v>
      </c>
      <c r="K173" s="342">
        <f t="shared" si="12"/>
        <v>2.4705304236850648E-2</v>
      </c>
      <c r="L173" s="342">
        <f t="shared" si="12"/>
        <v>8.9395842246692715E-4</v>
      </c>
      <c r="M173" s="342">
        <f t="shared" si="12"/>
        <v>8.0631101847546092E-3</v>
      </c>
      <c r="N173" s="342">
        <f t="shared" si="12"/>
        <v>2.9858093956098003E-5</v>
      </c>
      <c r="O173" s="342">
        <f t="shared" si="12"/>
        <v>5.4207253646948832E-3</v>
      </c>
      <c r="P173" s="342">
        <f t="shared" si="12"/>
        <v>0</v>
      </c>
      <c r="Q173" s="342">
        <f t="shared" si="12"/>
        <v>0</v>
      </c>
      <c r="R173" s="342">
        <f t="shared" si="12"/>
        <v>0</v>
      </c>
      <c r="S173" s="342">
        <f t="shared" si="12"/>
        <v>0</v>
      </c>
      <c r="T173" s="342">
        <f t="shared" si="12"/>
        <v>0</v>
      </c>
      <c r="U173" s="342">
        <f t="shared" si="12"/>
        <v>0</v>
      </c>
      <c r="V173" s="342">
        <f t="shared" si="12"/>
        <v>0</v>
      </c>
      <c r="W173" s="342">
        <f t="shared" si="12"/>
        <v>0</v>
      </c>
      <c r="X173" s="342">
        <f t="shared" si="12"/>
        <v>0</v>
      </c>
      <c r="Y173" s="342">
        <f t="shared" si="12"/>
        <v>0</v>
      </c>
      <c r="Z173" s="342">
        <f t="shared" si="12"/>
        <v>0</v>
      </c>
      <c r="AA173" s="342">
        <f t="shared" si="12"/>
        <v>0</v>
      </c>
      <c r="AB173" s="342">
        <f t="shared" si="12"/>
        <v>0</v>
      </c>
      <c r="AC173" s="342">
        <f t="shared" si="12"/>
        <v>0</v>
      </c>
      <c r="AD173" s="342">
        <f t="shared" si="12"/>
        <v>0</v>
      </c>
      <c r="AE173" s="342">
        <f t="shared" si="12"/>
        <v>0</v>
      </c>
      <c r="AF173" s="342">
        <f t="shared" si="12"/>
        <v>0</v>
      </c>
      <c r="AG173" s="342">
        <f t="shared" si="12"/>
        <v>0</v>
      </c>
      <c r="AH173" s="342">
        <f t="shared" si="12"/>
        <v>0</v>
      </c>
      <c r="AI173" s="342"/>
      <c r="AJ173" s="582"/>
      <c r="AK173" s="582"/>
    </row>
    <row r="174" spans="2:37" x14ac:dyDescent="0.25">
      <c r="B174" s="327" t="s">
        <v>169</v>
      </c>
      <c r="C174" s="342">
        <f t="shared" ref="C174:AH174" si="13">+C129/$AH$133</f>
        <v>8.7361649514052838E-3</v>
      </c>
      <c r="D174" s="342">
        <f t="shared" si="13"/>
        <v>1.1848539094235516E-4</v>
      </c>
      <c r="E174" s="342">
        <f t="shared" si="13"/>
        <v>5.504529035662542E-5</v>
      </c>
      <c r="F174" s="342">
        <f t="shared" si="13"/>
        <v>3.9193013556412892E-5</v>
      </c>
      <c r="G174" s="342">
        <f t="shared" si="13"/>
        <v>3.9593853770443759E-5</v>
      </c>
      <c r="H174" s="342">
        <f t="shared" si="13"/>
        <v>4.0632286050729768E-5</v>
      </c>
      <c r="I174" s="342">
        <f t="shared" si="13"/>
        <v>4.1602945597200109E-5</v>
      </c>
      <c r="J174" s="342">
        <f t="shared" si="13"/>
        <v>2.6710966146650666E-5</v>
      </c>
      <c r="K174" s="342">
        <f t="shared" si="13"/>
        <v>2.6254504585903022E-5</v>
      </c>
      <c r="L174" s="342">
        <f t="shared" si="13"/>
        <v>2.7483270150257647E-5</v>
      </c>
      <c r="M174" s="342">
        <f t="shared" si="13"/>
        <v>2.7788240774171677E-5</v>
      </c>
      <c r="N174" s="342">
        <f t="shared" si="13"/>
        <v>2.9003545745533261E-5</v>
      </c>
      <c r="O174" s="342">
        <f t="shared" si="13"/>
        <v>2.208669474578317E-6</v>
      </c>
      <c r="P174" s="342">
        <f t="shared" si="13"/>
        <v>1.864416315408483E-6</v>
      </c>
      <c r="Q174" s="342">
        <f t="shared" si="13"/>
        <v>2.3240491172423034E-6</v>
      </c>
      <c r="R174" s="342">
        <f t="shared" si="13"/>
        <v>0</v>
      </c>
      <c r="S174" s="342">
        <f t="shared" si="13"/>
        <v>0</v>
      </c>
      <c r="T174" s="342">
        <f t="shared" si="13"/>
        <v>0</v>
      </c>
      <c r="U174" s="342">
        <f t="shared" si="13"/>
        <v>0</v>
      </c>
      <c r="V174" s="342">
        <f t="shared" si="13"/>
        <v>0</v>
      </c>
      <c r="W174" s="342">
        <f t="shared" si="13"/>
        <v>0</v>
      </c>
      <c r="X174" s="342">
        <f t="shared" si="13"/>
        <v>0</v>
      </c>
      <c r="Y174" s="342">
        <f t="shared" si="13"/>
        <v>0</v>
      </c>
      <c r="Z174" s="342">
        <f t="shared" si="13"/>
        <v>0</v>
      </c>
      <c r="AA174" s="342">
        <f t="shared" si="13"/>
        <v>0</v>
      </c>
      <c r="AB174" s="342">
        <f t="shared" si="13"/>
        <v>0</v>
      </c>
      <c r="AC174" s="342">
        <f t="shared" si="13"/>
        <v>0</v>
      </c>
      <c r="AD174" s="342">
        <f t="shared" si="13"/>
        <v>0</v>
      </c>
      <c r="AE174" s="342">
        <f t="shared" si="13"/>
        <v>0</v>
      </c>
      <c r="AF174" s="342">
        <f t="shared" si="13"/>
        <v>0</v>
      </c>
      <c r="AG174" s="342">
        <f t="shared" si="13"/>
        <v>0</v>
      </c>
      <c r="AH174" s="342">
        <f t="shared" si="13"/>
        <v>0</v>
      </c>
      <c r="AI174" s="342"/>
      <c r="AJ174" s="582"/>
      <c r="AK174" s="582"/>
    </row>
    <row r="175" spans="2:37" x14ac:dyDescent="0.25">
      <c r="B175" s="327" t="s">
        <v>170</v>
      </c>
      <c r="C175" s="342">
        <f t="shared" ref="C175:AH175" si="14">+C130/$AH$133</f>
        <v>2.4597500013642869E-2</v>
      </c>
      <c r="D175" s="342">
        <f t="shared" si="14"/>
        <v>1.1544925004120929E-4</v>
      </c>
      <c r="E175" s="342">
        <f t="shared" si="14"/>
        <v>3.8975629017082906E-5</v>
      </c>
      <c r="F175" s="342">
        <f t="shared" si="14"/>
        <v>5.1688896698431587E-3</v>
      </c>
      <c r="G175" s="342">
        <f t="shared" si="14"/>
        <v>1.3200651936766068E-2</v>
      </c>
      <c r="H175" s="342">
        <f t="shared" si="14"/>
        <v>3.0346512557745542E-5</v>
      </c>
      <c r="I175" s="342">
        <f t="shared" si="14"/>
        <v>2.4705050161128999E-5</v>
      </c>
      <c r="J175" s="342">
        <f t="shared" si="14"/>
        <v>2.5735498224283095E-5</v>
      </c>
      <c r="K175" s="342">
        <f t="shared" si="14"/>
        <v>4.7020634069452746E-3</v>
      </c>
      <c r="L175" s="342">
        <f t="shared" si="14"/>
        <v>6.8733265980778146E-3</v>
      </c>
      <c r="M175" s="342">
        <f t="shared" si="14"/>
        <v>3.0010026566756071E-5</v>
      </c>
      <c r="N175" s="342">
        <f t="shared" si="14"/>
        <v>3.2617854196251292E-5</v>
      </c>
      <c r="O175" s="342">
        <f t="shared" si="14"/>
        <v>6.9336992279153428E-6</v>
      </c>
      <c r="P175" s="342">
        <f t="shared" si="14"/>
        <v>6.2391873618173204E-7</v>
      </c>
      <c r="Q175" s="342">
        <f t="shared" si="14"/>
        <v>0</v>
      </c>
      <c r="R175" s="342">
        <f t="shared" si="14"/>
        <v>0</v>
      </c>
      <c r="S175" s="342">
        <f t="shared" si="14"/>
        <v>0</v>
      </c>
      <c r="T175" s="342">
        <f t="shared" si="14"/>
        <v>0</v>
      </c>
      <c r="U175" s="342">
        <f t="shared" si="14"/>
        <v>0</v>
      </c>
      <c r="V175" s="342">
        <f t="shared" si="14"/>
        <v>0</v>
      </c>
      <c r="W175" s="342">
        <f t="shared" si="14"/>
        <v>0</v>
      </c>
      <c r="X175" s="342">
        <f t="shared" si="14"/>
        <v>0</v>
      </c>
      <c r="Y175" s="342">
        <f t="shared" si="14"/>
        <v>0</v>
      </c>
      <c r="Z175" s="342">
        <f t="shared" si="14"/>
        <v>0</v>
      </c>
      <c r="AA175" s="342">
        <f t="shared" si="14"/>
        <v>0</v>
      </c>
      <c r="AB175" s="342">
        <f t="shared" si="14"/>
        <v>0</v>
      </c>
      <c r="AC175" s="342">
        <f t="shared" si="14"/>
        <v>0</v>
      </c>
      <c r="AD175" s="342">
        <f t="shared" si="14"/>
        <v>0</v>
      </c>
      <c r="AE175" s="342">
        <f t="shared" si="14"/>
        <v>0</v>
      </c>
      <c r="AF175" s="342">
        <f t="shared" si="14"/>
        <v>0</v>
      </c>
      <c r="AG175" s="342">
        <f t="shared" si="14"/>
        <v>0</v>
      </c>
      <c r="AH175" s="342">
        <f t="shared" si="14"/>
        <v>0</v>
      </c>
      <c r="AI175" s="342"/>
      <c r="AJ175" s="582"/>
      <c r="AK175" s="582"/>
    </row>
    <row r="176" spans="2:37" x14ac:dyDescent="0.25">
      <c r="B176" s="327" t="s">
        <v>171</v>
      </c>
      <c r="C176" s="342">
        <f t="shared" ref="C176:AH176" si="15">+C131/$AH$133</f>
        <v>1.711928783097097E-2</v>
      </c>
      <c r="D176" s="342">
        <f t="shared" si="15"/>
        <v>1.0961343314792224E-2</v>
      </c>
      <c r="E176" s="342">
        <f t="shared" si="15"/>
        <v>2.8474964896629897E-5</v>
      </c>
      <c r="F176" s="342">
        <f t="shared" si="15"/>
        <v>2.6176290877901506E-5</v>
      </c>
      <c r="G176" s="342">
        <f t="shared" si="15"/>
        <v>2.0685881278717391E-4</v>
      </c>
      <c r="H176" s="342">
        <f t="shared" si="15"/>
        <v>2.5851662517622354E-5</v>
      </c>
      <c r="I176" s="342">
        <f t="shared" si="15"/>
        <v>2.5060057806938199E-5</v>
      </c>
      <c r="J176" s="342">
        <f t="shared" si="15"/>
        <v>2.6371553751993358E-5</v>
      </c>
      <c r="K176" s="342">
        <f t="shared" si="15"/>
        <v>2.7144006378565715E-5</v>
      </c>
      <c r="L176" s="342">
        <f t="shared" si="15"/>
        <v>3.3934294897523614E-5</v>
      </c>
      <c r="M176" s="342">
        <f t="shared" si="15"/>
        <v>2.9165442397290902E-5</v>
      </c>
      <c r="N176" s="342">
        <f t="shared" si="15"/>
        <v>2.9318289994587913E-5</v>
      </c>
      <c r="O176" s="342">
        <f t="shared" si="15"/>
        <v>2.0664717749876068E-7</v>
      </c>
      <c r="P176" s="342">
        <f t="shared" si="15"/>
        <v>1.9197553838252196E-6</v>
      </c>
      <c r="Q176" s="342">
        <f t="shared" si="15"/>
        <v>2.7795119655742917E-7</v>
      </c>
      <c r="R176" s="342">
        <f t="shared" si="15"/>
        <v>0</v>
      </c>
      <c r="S176" s="342">
        <f t="shared" si="15"/>
        <v>0</v>
      </c>
      <c r="T176" s="342">
        <f t="shared" si="15"/>
        <v>0</v>
      </c>
      <c r="U176" s="342">
        <f t="shared" si="15"/>
        <v>0</v>
      </c>
      <c r="V176" s="342">
        <f t="shared" si="15"/>
        <v>0</v>
      </c>
      <c r="W176" s="342">
        <f t="shared" si="15"/>
        <v>0</v>
      </c>
      <c r="X176" s="342">
        <f t="shared" si="15"/>
        <v>0</v>
      </c>
      <c r="Y176" s="342">
        <f t="shared" si="15"/>
        <v>0</v>
      </c>
      <c r="Z176" s="342">
        <f t="shared" si="15"/>
        <v>0</v>
      </c>
      <c r="AA176" s="342">
        <f t="shared" si="15"/>
        <v>0</v>
      </c>
      <c r="AB176" s="342">
        <f t="shared" si="15"/>
        <v>0</v>
      </c>
      <c r="AC176" s="342">
        <f t="shared" si="15"/>
        <v>0</v>
      </c>
      <c r="AD176" s="342">
        <f t="shared" si="15"/>
        <v>0</v>
      </c>
      <c r="AE176" s="342">
        <f t="shared" si="15"/>
        <v>0</v>
      </c>
      <c r="AF176" s="342">
        <f t="shared" si="15"/>
        <v>0</v>
      </c>
      <c r="AG176" s="342">
        <f t="shared" si="15"/>
        <v>0</v>
      </c>
      <c r="AH176" s="342">
        <f t="shared" si="15"/>
        <v>0</v>
      </c>
      <c r="AI176" s="342"/>
      <c r="AJ176" s="582"/>
      <c r="AK176" s="582"/>
    </row>
    <row r="177" spans="2:37" x14ac:dyDescent="0.25">
      <c r="B177" s="330" t="s">
        <v>172</v>
      </c>
      <c r="C177" s="343">
        <f>SUM(C165:C176)</f>
        <v>0.12689512528177746</v>
      </c>
      <c r="D177" s="343">
        <f t="shared" ref="D177:AH177" si="16">SUM(D165:D176)</f>
        <v>0.11032447022937725</v>
      </c>
      <c r="E177" s="343">
        <f t="shared" si="16"/>
        <v>9.0806656202472788E-2</v>
      </c>
      <c r="F177" s="343">
        <f t="shared" si="16"/>
        <v>0.10134526149827948</v>
      </c>
      <c r="G177" s="343">
        <f t="shared" si="16"/>
        <v>7.7821061579836426E-2</v>
      </c>
      <c r="H177" s="343">
        <f t="shared" si="16"/>
        <v>9.2073003009243856E-2</v>
      </c>
      <c r="I177" s="343">
        <f t="shared" si="16"/>
        <v>7.1890668350389611E-2</v>
      </c>
      <c r="J177" s="343">
        <f t="shared" si="16"/>
        <v>6.0144628564711582E-2</v>
      </c>
      <c r="K177" s="343">
        <f t="shared" si="16"/>
        <v>7.3588274244267463E-2</v>
      </c>
      <c r="L177" s="343">
        <f t="shared" si="16"/>
        <v>5.719862674840312E-2</v>
      </c>
      <c r="M177" s="343">
        <f t="shared" si="16"/>
        <v>3.6566231171693414E-2</v>
      </c>
      <c r="N177" s="343">
        <f t="shared" si="16"/>
        <v>5.2736787030070002E-3</v>
      </c>
      <c r="O177" s="343">
        <f t="shared" si="16"/>
        <v>1.1064436255539387E-2</v>
      </c>
      <c r="P177" s="343">
        <f t="shared" si="16"/>
        <v>1.0017349900152892E-2</v>
      </c>
      <c r="Q177" s="343">
        <f t="shared" si="16"/>
        <v>1.424490464260701E-2</v>
      </c>
      <c r="R177" s="343">
        <f t="shared" si="16"/>
        <v>1.5237473041015892E-2</v>
      </c>
      <c r="S177" s="343">
        <f t="shared" si="16"/>
        <v>1.3613994485004211E-4</v>
      </c>
      <c r="T177" s="343">
        <f t="shared" si="16"/>
        <v>0</v>
      </c>
      <c r="U177" s="343">
        <f t="shared" si="16"/>
        <v>7.3134875798691254E-3</v>
      </c>
      <c r="V177" s="343">
        <f t="shared" si="16"/>
        <v>8.4303205773278884E-3</v>
      </c>
      <c r="W177" s="343">
        <f t="shared" si="16"/>
        <v>0</v>
      </c>
      <c r="X177" s="343">
        <f t="shared" si="16"/>
        <v>0</v>
      </c>
      <c r="Y177" s="343">
        <f t="shared" si="16"/>
        <v>2.0072558520166294E-3</v>
      </c>
      <c r="Z177" s="343">
        <f t="shared" si="16"/>
        <v>2.0310331449980207E-2</v>
      </c>
      <c r="AA177" s="343">
        <f t="shared" si="16"/>
        <v>0</v>
      </c>
      <c r="AB177" s="343">
        <f t="shared" si="16"/>
        <v>0</v>
      </c>
      <c r="AC177" s="343">
        <f t="shared" si="16"/>
        <v>8.4227926851059866E-4</v>
      </c>
      <c r="AD177" s="343">
        <f t="shared" si="16"/>
        <v>0</v>
      </c>
      <c r="AE177" s="343">
        <f t="shared" si="16"/>
        <v>0</v>
      </c>
      <c r="AF177" s="343">
        <f t="shared" si="16"/>
        <v>5.3182150882417215E-3</v>
      </c>
      <c r="AG177" s="343">
        <f t="shared" si="16"/>
        <v>1.1501208164292778E-3</v>
      </c>
      <c r="AH177" s="343">
        <f t="shared" si="16"/>
        <v>0</v>
      </c>
      <c r="AI177" s="655"/>
      <c r="AJ177" s="582"/>
      <c r="AK177" s="582"/>
    </row>
    <row r="178" spans="2:37" x14ac:dyDescent="0.25">
      <c r="B178" s="583"/>
      <c r="C178" s="186"/>
      <c r="D178" s="186"/>
      <c r="E178" s="186"/>
      <c r="F178" s="186"/>
      <c r="G178" s="186"/>
      <c r="H178" s="186"/>
      <c r="I178" s="186"/>
      <c r="J178" s="186"/>
      <c r="K178" s="186"/>
      <c r="L178" s="186"/>
      <c r="M178" s="186"/>
      <c r="N178" s="582"/>
      <c r="O178" s="582"/>
      <c r="P178" s="582"/>
      <c r="Q178" s="582"/>
      <c r="R178" s="340"/>
      <c r="S178" s="344"/>
      <c r="T178" s="344"/>
      <c r="U178" s="327"/>
      <c r="V178" s="327"/>
      <c r="W178" s="327"/>
      <c r="AH178" s="345">
        <f>SUM(C177:AH177)</f>
        <v>1</v>
      </c>
      <c r="AJ178" s="582"/>
      <c r="AK178" s="582"/>
    </row>
    <row r="179" spans="2:37" x14ac:dyDescent="0.25">
      <c r="B179" s="583"/>
      <c r="C179" s="346"/>
      <c r="D179" s="346"/>
      <c r="E179" s="346"/>
      <c r="F179" s="346"/>
      <c r="G179" s="346"/>
      <c r="H179" s="346"/>
      <c r="I179" s="346"/>
      <c r="J179" s="346"/>
      <c r="K179" s="346"/>
      <c r="L179" s="346"/>
      <c r="M179" s="346"/>
      <c r="N179" s="346"/>
      <c r="O179" s="346"/>
      <c r="P179" s="582"/>
      <c r="Q179" s="582"/>
      <c r="R179" s="582"/>
      <c r="S179" s="340"/>
      <c r="T179" s="327"/>
      <c r="U179" s="327"/>
      <c r="V179" s="327"/>
      <c r="W179" s="327"/>
      <c r="X179" s="327"/>
      <c r="AK179" s="582"/>
    </row>
    <row r="180" spans="2:37" x14ac:dyDescent="0.25">
      <c r="B180" s="583"/>
      <c r="C180" s="186"/>
      <c r="D180" s="186"/>
      <c r="E180" s="186"/>
      <c r="F180" s="186"/>
      <c r="G180" s="186"/>
      <c r="H180" s="186"/>
      <c r="I180" s="186"/>
      <c r="J180" s="186"/>
      <c r="K180" s="186"/>
      <c r="L180" s="186"/>
      <c r="M180" s="186"/>
      <c r="N180" s="186"/>
      <c r="O180" s="186"/>
      <c r="P180" s="582"/>
      <c r="Q180" s="582"/>
      <c r="R180" s="582"/>
      <c r="S180" s="340"/>
      <c r="T180" s="347"/>
      <c r="U180" s="347"/>
      <c r="V180" s="327"/>
      <c r="W180" s="327"/>
      <c r="X180" s="327"/>
      <c r="AK180" s="582"/>
    </row>
    <row r="181" spans="2:37" x14ac:dyDescent="0.25">
      <c r="B181" s="583"/>
      <c r="C181" s="186"/>
      <c r="D181" s="186"/>
      <c r="E181" s="186"/>
      <c r="F181" s="186"/>
      <c r="G181" s="186"/>
      <c r="H181" s="186"/>
      <c r="I181" s="186"/>
      <c r="J181" s="186"/>
      <c r="K181" s="186"/>
      <c r="L181" s="186"/>
      <c r="M181" s="186"/>
      <c r="N181" s="186"/>
      <c r="O181" s="186"/>
      <c r="P181" s="186"/>
      <c r="Q181" s="582"/>
      <c r="R181" s="582"/>
      <c r="S181" s="582"/>
      <c r="T181" s="340"/>
      <c r="U181" s="347"/>
      <c r="V181" s="347"/>
      <c r="W181" s="327"/>
      <c r="X181" s="327"/>
      <c r="Y181" s="327"/>
    </row>
    <row r="182" spans="2:37" x14ac:dyDescent="0.25">
      <c r="B182" s="583"/>
      <c r="C182" s="186"/>
      <c r="D182" s="186"/>
      <c r="E182" s="186"/>
      <c r="F182" s="186"/>
      <c r="G182" s="186"/>
      <c r="H182" s="186"/>
      <c r="I182" s="186"/>
      <c r="J182" s="186"/>
      <c r="K182" s="186"/>
      <c r="L182" s="186"/>
      <c r="M182" s="186"/>
      <c r="N182" s="186"/>
      <c r="O182" s="186"/>
      <c r="P182" s="186"/>
      <c r="Q182" s="582"/>
      <c r="R182" s="582"/>
      <c r="S182" s="582"/>
      <c r="T182" s="340"/>
      <c r="U182" s="347"/>
      <c r="V182" s="347"/>
      <c r="W182" s="327"/>
      <c r="X182" s="327"/>
      <c r="Y182" s="327"/>
    </row>
    <row r="183" spans="2:37" x14ac:dyDescent="0.25">
      <c r="B183" s="583"/>
      <c r="C183" s="186"/>
      <c r="D183" s="186"/>
      <c r="E183" s="186"/>
      <c r="F183" s="186"/>
      <c r="G183" s="186"/>
      <c r="H183" s="186"/>
      <c r="I183" s="186"/>
      <c r="J183" s="186"/>
      <c r="K183" s="186"/>
      <c r="L183" s="186"/>
      <c r="M183" s="186"/>
      <c r="N183" s="186"/>
      <c r="O183" s="186"/>
      <c r="P183" s="186"/>
      <c r="Q183" s="582"/>
      <c r="R183" s="582"/>
      <c r="S183" s="582"/>
      <c r="T183" s="340"/>
      <c r="U183" s="347"/>
      <c r="V183" s="347"/>
      <c r="W183" s="327"/>
      <c r="X183" s="327"/>
      <c r="Y183" s="327"/>
    </row>
    <row r="184" spans="2:37" x14ac:dyDescent="0.25">
      <c r="B184" s="583"/>
      <c r="C184" s="186"/>
      <c r="D184" s="186"/>
      <c r="E184" s="186"/>
      <c r="F184" s="186"/>
      <c r="G184" s="186"/>
      <c r="H184" s="186"/>
      <c r="I184" s="186"/>
      <c r="J184" s="186"/>
      <c r="K184" s="186"/>
      <c r="L184" s="186"/>
      <c r="M184" s="186"/>
      <c r="N184" s="186"/>
      <c r="O184" s="186"/>
      <c r="P184" s="186"/>
      <c r="Q184" s="582"/>
      <c r="R184" s="582"/>
      <c r="S184" s="582"/>
      <c r="T184" s="340"/>
      <c r="U184" s="347"/>
      <c r="V184" s="347"/>
      <c r="W184" s="327"/>
      <c r="X184" s="327"/>
      <c r="Y184" s="327"/>
    </row>
    <row r="185" spans="2:37" x14ac:dyDescent="0.25">
      <c r="B185" s="583"/>
      <c r="C185" s="186"/>
      <c r="D185" s="186"/>
      <c r="E185" s="186"/>
      <c r="F185" s="186"/>
      <c r="G185" s="186"/>
      <c r="H185" s="186"/>
      <c r="I185" s="186"/>
      <c r="J185" s="186"/>
      <c r="K185" s="186"/>
      <c r="L185" s="186"/>
      <c r="M185" s="186"/>
      <c r="N185" s="186"/>
      <c r="O185" s="186"/>
      <c r="P185" s="186"/>
      <c r="Q185" s="582"/>
      <c r="R185" s="582"/>
      <c r="S185" s="582"/>
      <c r="T185" s="340"/>
      <c r="U185" s="347"/>
      <c r="V185" s="347"/>
      <c r="W185" s="327"/>
      <c r="X185" s="327"/>
      <c r="Y185" s="327"/>
    </row>
    <row r="186" spans="2:37" x14ac:dyDescent="0.25">
      <c r="B186" s="583"/>
      <c r="C186" s="186"/>
      <c r="D186" s="186"/>
      <c r="E186" s="186"/>
      <c r="F186" s="186"/>
      <c r="G186" s="186"/>
      <c r="H186" s="186"/>
      <c r="I186" s="186"/>
      <c r="J186" s="186"/>
      <c r="K186" s="186"/>
      <c r="L186" s="186"/>
      <c r="M186" s="186"/>
      <c r="N186" s="186"/>
      <c r="O186" s="186"/>
      <c r="P186" s="186"/>
      <c r="Q186" s="582"/>
      <c r="R186" s="582"/>
      <c r="S186" s="582"/>
      <c r="T186" s="340"/>
      <c r="U186" s="347"/>
      <c r="V186" s="347"/>
      <c r="W186" s="327"/>
      <c r="X186" s="327"/>
      <c r="Y186" s="327"/>
    </row>
    <row r="187" spans="2:37" x14ac:dyDescent="0.25">
      <c r="B187" s="583"/>
      <c r="C187" s="186"/>
      <c r="D187" s="186"/>
      <c r="E187" s="186"/>
      <c r="F187" s="186"/>
      <c r="G187" s="186"/>
      <c r="H187" s="186"/>
      <c r="I187" s="186"/>
      <c r="J187" s="186"/>
      <c r="K187" s="186"/>
      <c r="L187" s="186"/>
      <c r="M187" s="186"/>
      <c r="N187" s="186"/>
      <c r="O187" s="186"/>
      <c r="P187" s="186"/>
      <c r="Q187" s="582"/>
      <c r="R187" s="582"/>
      <c r="S187" s="582"/>
      <c r="T187" s="340"/>
      <c r="U187" s="347"/>
      <c r="V187" s="347"/>
      <c r="W187" s="327"/>
      <c r="X187" s="327"/>
      <c r="Y187" s="327"/>
    </row>
    <row r="188" spans="2:37" x14ac:dyDescent="0.25">
      <c r="B188" s="583"/>
      <c r="C188" s="186"/>
      <c r="D188" s="186"/>
      <c r="E188" s="186"/>
      <c r="F188" s="186"/>
      <c r="G188" s="186"/>
      <c r="H188" s="186"/>
      <c r="I188" s="186"/>
      <c r="J188" s="186"/>
      <c r="K188" s="186"/>
      <c r="L188" s="186"/>
      <c r="M188" s="186"/>
      <c r="N188" s="186"/>
      <c r="O188" s="186"/>
      <c r="P188" s="186"/>
      <c r="Q188" s="582"/>
      <c r="R188" s="582"/>
      <c r="S188" s="582"/>
      <c r="T188" s="340"/>
      <c r="U188" s="347"/>
      <c r="V188" s="347"/>
      <c r="W188" s="327"/>
      <c r="X188" s="327"/>
      <c r="Y188" s="327"/>
    </row>
    <row r="189" spans="2:37" x14ac:dyDescent="0.25">
      <c r="B189" s="583"/>
      <c r="C189" s="186"/>
      <c r="D189" s="186"/>
      <c r="E189" s="186"/>
      <c r="F189" s="186"/>
      <c r="G189" s="186"/>
      <c r="H189" s="186"/>
      <c r="I189" s="186"/>
      <c r="J189" s="186"/>
      <c r="K189" s="186"/>
      <c r="L189" s="186"/>
      <c r="M189" s="186"/>
      <c r="N189" s="186"/>
      <c r="O189" s="186"/>
      <c r="P189" s="186"/>
      <c r="Q189" s="582"/>
      <c r="R189" s="582"/>
      <c r="S189" s="582"/>
      <c r="T189" s="340"/>
      <c r="U189" s="347"/>
      <c r="V189" s="347"/>
      <c r="W189" s="327"/>
      <c r="X189" s="327"/>
      <c r="Y189" s="327"/>
    </row>
    <row r="190" spans="2:37" x14ac:dyDescent="0.25">
      <c r="B190" s="583"/>
      <c r="C190" s="348"/>
      <c r="D190" s="348"/>
      <c r="E190" s="348"/>
      <c r="F190" s="186"/>
      <c r="G190" s="186"/>
      <c r="H190" s="186"/>
      <c r="I190" s="186"/>
      <c r="J190" s="186"/>
      <c r="K190" s="186"/>
      <c r="L190" s="186"/>
      <c r="M190" s="186"/>
      <c r="N190" s="186"/>
      <c r="O190" s="186"/>
      <c r="P190" s="186"/>
      <c r="Q190" s="582"/>
      <c r="R190" s="582"/>
      <c r="S190" s="582"/>
      <c r="T190" s="340"/>
      <c r="U190" s="347"/>
      <c r="V190" s="347"/>
      <c r="W190" s="327"/>
      <c r="X190" s="327"/>
      <c r="Y190" s="327"/>
    </row>
    <row r="191" spans="2:37" x14ac:dyDescent="0.25">
      <c r="B191" s="349"/>
      <c r="C191" s="327"/>
      <c r="D191" s="327"/>
      <c r="E191" s="327"/>
      <c r="F191" s="327"/>
      <c r="G191" s="327"/>
      <c r="H191" s="186"/>
      <c r="I191" s="186"/>
      <c r="J191" s="186"/>
      <c r="K191" s="186"/>
      <c r="L191" s="186"/>
      <c r="M191" s="186"/>
      <c r="N191" s="186"/>
      <c r="O191" s="186"/>
      <c r="P191" s="186"/>
      <c r="Q191" s="582"/>
      <c r="R191" s="582"/>
      <c r="S191" s="582"/>
      <c r="T191" s="340"/>
      <c r="U191" s="347"/>
      <c r="V191" s="347"/>
      <c r="W191" s="327"/>
      <c r="X191" s="327"/>
      <c r="Y191" s="327"/>
    </row>
    <row r="192" spans="2:37" x14ac:dyDescent="0.25">
      <c r="B192" s="350"/>
      <c r="C192" s="351"/>
      <c r="D192" s="351"/>
      <c r="E192" s="351"/>
      <c r="F192" s="351"/>
      <c r="G192" s="348"/>
      <c r="H192" s="348"/>
      <c r="I192" s="348"/>
      <c r="J192" s="186"/>
      <c r="K192" s="186"/>
      <c r="L192" s="186"/>
      <c r="M192" s="186"/>
      <c r="N192" s="186"/>
      <c r="O192" s="186"/>
      <c r="P192" s="186"/>
      <c r="Q192" s="582"/>
      <c r="R192" s="582"/>
      <c r="S192" s="582"/>
      <c r="T192" s="340"/>
      <c r="U192" s="347"/>
      <c r="V192" s="347"/>
      <c r="W192" s="327"/>
      <c r="X192" s="327"/>
      <c r="Y192" s="327"/>
    </row>
    <row r="193" spans="1:39" x14ac:dyDescent="0.25">
      <c r="A193" s="582"/>
      <c r="B193" s="340"/>
      <c r="C193" s="327"/>
      <c r="D193" s="327"/>
      <c r="E193" s="352"/>
      <c r="F193" s="327"/>
      <c r="G193" s="327"/>
      <c r="H193" s="186"/>
      <c r="I193" s="186"/>
      <c r="J193" s="186"/>
      <c r="K193" s="186"/>
      <c r="L193" s="186"/>
      <c r="M193" s="186"/>
      <c r="N193" s="186"/>
      <c r="O193" s="186"/>
      <c r="P193" s="186"/>
      <c r="Q193" s="582"/>
      <c r="R193" s="582"/>
      <c r="S193" s="582"/>
      <c r="T193" s="340"/>
      <c r="U193" s="347"/>
      <c r="V193" s="347"/>
      <c r="W193" s="327"/>
      <c r="X193" s="327"/>
      <c r="Y193" s="327"/>
      <c r="AL193" s="582"/>
      <c r="AM193" s="582"/>
    </row>
    <row r="194" spans="1:39" x14ac:dyDescent="0.25">
      <c r="A194" s="582"/>
      <c r="B194" s="352"/>
      <c r="C194" s="353"/>
      <c r="D194" s="353"/>
      <c r="E194" s="353"/>
      <c r="F194" s="327"/>
      <c r="G194" s="354"/>
      <c r="H194" s="186"/>
      <c r="I194" s="186"/>
      <c r="J194" s="186"/>
      <c r="K194" s="186"/>
      <c r="L194" s="186"/>
      <c r="M194" s="186"/>
      <c r="N194" s="186"/>
      <c r="O194" s="186"/>
      <c r="P194" s="186"/>
      <c r="Q194" s="582"/>
      <c r="R194" s="582"/>
      <c r="S194" s="582"/>
      <c r="T194" s="340"/>
      <c r="U194" s="347"/>
      <c r="V194" s="347"/>
      <c r="W194" s="327"/>
      <c r="X194" s="327"/>
      <c r="Y194" s="327"/>
      <c r="AL194" s="582"/>
      <c r="AM194" s="582"/>
    </row>
    <row r="195" spans="1:39" s="186" customFormat="1" x14ac:dyDescent="0.25">
      <c r="A195" s="582"/>
      <c r="B195" s="352"/>
      <c r="C195" s="347"/>
      <c r="D195" s="355"/>
      <c r="E195" s="356"/>
      <c r="F195" s="327"/>
      <c r="G195" s="354"/>
      <c r="Q195" s="582"/>
      <c r="R195" s="582"/>
      <c r="S195" s="582"/>
      <c r="T195" s="340"/>
      <c r="U195" s="347"/>
      <c r="V195" s="347"/>
      <c r="W195" s="327"/>
      <c r="X195" s="327"/>
      <c r="Y195" s="327"/>
      <c r="AL195" s="582"/>
      <c r="AM195" s="582"/>
    </row>
    <row r="196" spans="1:39" s="186" customFormat="1" x14ac:dyDescent="0.25">
      <c r="A196" s="582"/>
      <c r="B196" s="352"/>
      <c r="C196" s="347"/>
      <c r="D196" s="355"/>
      <c r="E196" s="356"/>
      <c r="F196" s="327"/>
      <c r="G196" s="354"/>
      <c r="Q196" s="582"/>
      <c r="R196" s="582"/>
      <c r="S196" s="582"/>
      <c r="T196" s="340"/>
      <c r="U196" s="347"/>
      <c r="V196" s="347"/>
      <c r="W196" s="333"/>
      <c r="X196" s="327"/>
      <c r="Y196" s="327"/>
      <c r="AL196" s="582"/>
      <c r="AM196" s="582"/>
    </row>
    <row r="197" spans="1:39" s="186" customFormat="1" x14ac:dyDescent="0.25">
      <c r="A197" s="582"/>
      <c r="B197" s="352"/>
      <c r="C197" s="347"/>
      <c r="D197" s="355"/>
      <c r="E197" s="356"/>
      <c r="F197" s="327"/>
      <c r="G197" s="354"/>
      <c r="Q197" s="582"/>
      <c r="R197" s="582"/>
      <c r="S197" s="582"/>
      <c r="T197" s="340"/>
      <c r="U197" s="327"/>
      <c r="V197" s="327"/>
      <c r="W197" s="327"/>
      <c r="X197" s="327"/>
      <c r="Y197" s="327"/>
      <c r="AL197" s="582"/>
      <c r="AM197" s="582"/>
    </row>
    <row r="198" spans="1:39" s="186" customFormat="1" x14ac:dyDescent="0.25">
      <c r="A198" s="582"/>
      <c r="B198" s="352"/>
      <c r="C198" s="347"/>
      <c r="D198" s="355"/>
      <c r="E198" s="356"/>
      <c r="F198" s="327"/>
      <c r="G198" s="354"/>
      <c r="Q198" s="582"/>
      <c r="R198" s="582"/>
      <c r="S198" s="582"/>
      <c r="T198" s="340"/>
      <c r="U198" s="333"/>
      <c r="V198" s="333"/>
      <c r="W198" s="327"/>
      <c r="X198" s="327"/>
      <c r="Y198" s="327"/>
      <c r="AL198" s="582"/>
      <c r="AM198" s="582"/>
    </row>
    <row r="199" spans="1:39" s="186" customFormat="1" x14ac:dyDescent="0.25">
      <c r="A199" s="582"/>
      <c r="B199" s="352"/>
      <c r="C199" s="347"/>
      <c r="D199" s="355"/>
      <c r="E199" s="356"/>
      <c r="F199" s="327"/>
      <c r="G199" s="354"/>
      <c r="Q199" s="582"/>
      <c r="R199" s="582"/>
      <c r="S199" s="582"/>
      <c r="T199" s="340"/>
      <c r="U199" s="327"/>
      <c r="V199" s="327"/>
      <c r="W199" s="327"/>
      <c r="X199" s="327"/>
      <c r="Y199" s="327"/>
      <c r="AL199" s="582"/>
      <c r="AM199" s="582"/>
    </row>
    <row r="200" spans="1:39" s="186" customFormat="1" x14ac:dyDescent="0.25">
      <c r="A200" s="582"/>
      <c r="B200" s="352"/>
      <c r="C200" s="347"/>
      <c r="D200" s="355"/>
      <c r="E200" s="356"/>
      <c r="F200" s="327"/>
      <c r="G200" s="354"/>
      <c r="Q200" s="582"/>
      <c r="R200" s="582"/>
      <c r="S200" s="582"/>
      <c r="T200" s="340"/>
      <c r="U200" s="327"/>
      <c r="V200" s="327"/>
      <c r="W200" s="327"/>
      <c r="X200" s="327"/>
      <c r="Y200" s="327"/>
      <c r="AL200" s="582"/>
      <c r="AM200" s="582"/>
    </row>
    <row r="201" spans="1:39" s="186" customFormat="1" x14ac:dyDescent="0.25">
      <c r="A201" s="582"/>
      <c r="B201" s="352"/>
      <c r="C201" s="347"/>
      <c r="D201" s="355"/>
      <c r="E201" s="356"/>
      <c r="F201" s="327"/>
      <c r="G201" s="354"/>
      <c r="Q201" s="582"/>
      <c r="R201" s="582"/>
      <c r="S201" s="582"/>
      <c r="T201" s="340"/>
      <c r="U201" s="327"/>
      <c r="V201" s="327"/>
      <c r="W201" s="327"/>
      <c r="X201" s="327"/>
      <c r="Y201" s="327"/>
      <c r="AL201" s="582"/>
      <c r="AM201" s="582"/>
    </row>
    <row r="202" spans="1:39" s="186" customFormat="1" x14ac:dyDescent="0.25">
      <c r="A202" s="582"/>
      <c r="B202" s="352"/>
      <c r="C202" s="347"/>
      <c r="D202" s="355"/>
      <c r="E202" s="356"/>
      <c r="F202" s="327"/>
      <c r="G202" s="354"/>
      <c r="Q202" s="582"/>
      <c r="R202" s="582"/>
      <c r="S202" s="582"/>
      <c r="T202" s="340"/>
      <c r="U202" s="327"/>
      <c r="V202" s="327"/>
      <c r="W202" s="327"/>
      <c r="X202" s="327"/>
      <c r="Y202" s="327"/>
      <c r="AL202" s="582"/>
      <c r="AM202" s="582"/>
    </row>
    <row r="203" spans="1:39" s="186" customFormat="1" x14ac:dyDescent="0.25">
      <c r="A203" s="582"/>
      <c r="B203" s="352"/>
      <c r="C203" s="347"/>
      <c r="D203" s="355"/>
      <c r="E203" s="356"/>
      <c r="F203" s="327"/>
      <c r="G203" s="354"/>
      <c r="Q203" s="582"/>
      <c r="R203" s="582"/>
      <c r="S203" s="582"/>
      <c r="T203" s="340"/>
      <c r="U203" s="327"/>
      <c r="V203" s="327"/>
      <c r="W203" s="327"/>
      <c r="X203" s="327"/>
      <c r="Y203" s="327"/>
      <c r="AL203" s="582"/>
      <c r="AM203" s="582"/>
    </row>
    <row r="204" spans="1:39" s="186" customFormat="1" x14ac:dyDescent="0.25">
      <c r="A204" s="582"/>
      <c r="B204" s="352"/>
      <c r="C204" s="347"/>
      <c r="D204" s="355"/>
      <c r="E204" s="356"/>
      <c r="F204" s="327"/>
      <c r="G204" s="354"/>
      <c r="Q204" s="582"/>
      <c r="R204" s="582"/>
      <c r="S204" s="582"/>
      <c r="T204" s="340"/>
      <c r="U204" s="327"/>
      <c r="V204" s="327"/>
      <c r="W204" s="327"/>
      <c r="X204" s="327"/>
      <c r="Y204" s="327"/>
      <c r="AL204" s="582"/>
      <c r="AM204" s="582"/>
    </row>
    <row r="205" spans="1:39" s="186" customFormat="1" x14ac:dyDescent="0.25">
      <c r="A205" s="582"/>
      <c r="B205" s="352"/>
      <c r="C205" s="347"/>
      <c r="D205" s="355"/>
      <c r="E205" s="356"/>
      <c r="F205" s="327"/>
      <c r="G205" s="354"/>
      <c r="Q205" s="582"/>
      <c r="R205" s="582"/>
      <c r="S205" s="582"/>
      <c r="T205" s="340"/>
      <c r="U205" s="327"/>
      <c r="V205" s="327"/>
      <c r="W205" s="327"/>
      <c r="X205" s="327"/>
      <c r="Y205" s="327"/>
      <c r="AL205" s="582"/>
      <c r="AM205" s="582"/>
    </row>
    <row r="206" spans="1:39" s="186" customFormat="1" x14ac:dyDescent="0.25">
      <c r="A206" s="582"/>
      <c r="B206" s="352"/>
      <c r="C206" s="347"/>
      <c r="D206" s="355"/>
      <c r="E206" s="356"/>
      <c r="F206" s="327"/>
      <c r="G206" s="354"/>
      <c r="Q206" s="582"/>
      <c r="R206" s="582"/>
      <c r="S206" s="582"/>
      <c r="T206" s="340"/>
      <c r="U206" s="327"/>
      <c r="V206" s="327"/>
      <c r="W206" s="327"/>
      <c r="X206" s="327"/>
      <c r="Y206" s="327"/>
      <c r="AL206" s="582"/>
      <c r="AM206" s="582"/>
    </row>
    <row r="207" spans="1:39" s="186" customFormat="1" x14ac:dyDescent="0.25">
      <c r="A207" s="582"/>
      <c r="B207" s="352"/>
      <c r="C207" s="347"/>
      <c r="D207" s="355"/>
      <c r="E207" s="356"/>
      <c r="F207" s="327"/>
      <c r="G207" s="354"/>
      <c r="Q207" s="582"/>
      <c r="R207" s="582"/>
      <c r="S207" s="582"/>
      <c r="T207" s="340"/>
      <c r="U207" s="327"/>
      <c r="V207" s="327"/>
      <c r="W207" s="327"/>
      <c r="X207" s="327"/>
      <c r="Y207" s="327"/>
      <c r="AL207" s="582"/>
      <c r="AM207" s="582"/>
    </row>
    <row r="208" spans="1:39" s="186" customFormat="1" x14ac:dyDescent="0.25">
      <c r="A208" s="582"/>
      <c r="B208" s="352"/>
      <c r="C208" s="347"/>
      <c r="D208" s="355"/>
      <c r="E208" s="356"/>
      <c r="F208" s="327"/>
      <c r="G208" s="354"/>
      <c r="Q208" s="582"/>
      <c r="R208" s="582"/>
      <c r="S208" s="582"/>
      <c r="T208" s="583"/>
      <c r="U208" s="327"/>
      <c r="V208" s="327"/>
      <c r="W208" s="327"/>
      <c r="X208" s="327"/>
      <c r="Y208" s="327"/>
      <c r="AL208" s="582"/>
      <c r="AM208" s="582"/>
    </row>
    <row r="209" spans="1:39" s="186" customFormat="1" x14ac:dyDescent="0.25">
      <c r="A209" s="582"/>
      <c r="B209" s="352"/>
      <c r="C209" s="347"/>
      <c r="D209" s="355"/>
      <c r="E209" s="356"/>
      <c r="F209" s="327"/>
      <c r="G209" s="354"/>
      <c r="Q209" s="582"/>
      <c r="R209" s="582"/>
      <c r="S209" s="582"/>
      <c r="T209" s="583"/>
      <c r="U209" s="327"/>
      <c r="V209" s="327"/>
      <c r="W209" s="327"/>
      <c r="X209" s="327"/>
      <c r="Y209" s="327"/>
      <c r="AL209" s="582"/>
      <c r="AM209" s="582"/>
    </row>
    <row r="210" spans="1:39" s="186" customFormat="1" x14ac:dyDescent="0.25">
      <c r="A210" s="582"/>
      <c r="B210" s="352"/>
      <c r="C210" s="347"/>
      <c r="D210" s="357"/>
      <c r="E210" s="356"/>
      <c r="F210" s="327"/>
      <c r="G210" s="354"/>
      <c r="Q210" s="582"/>
      <c r="R210" s="582"/>
      <c r="S210" s="582"/>
      <c r="T210" s="583"/>
      <c r="U210" s="327"/>
      <c r="V210" s="327"/>
      <c r="W210" s="327"/>
      <c r="X210" s="327"/>
      <c r="Y210" s="327"/>
      <c r="AL210" s="582"/>
      <c r="AM210" s="582"/>
    </row>
    <row r="211" spans="1:39" s="186" customFormat="1" x14ac:dyDescent="0.25">
      <c r="A211" s="582"/>
      <c r="B211" s="352"/>
      <c r="C211" s="327"/>
      <c r="D211" s="357"/>
      <c r="E211" s="356"/>
      <c r="F211" s="327"/>
      <c r="G211" s="354"/>
      <c r="Q211" s="582"/>
      <c r="R211" s="582"/>
      <c r="S211" s="582"/>
      <c r="T211" s="583"/>
      <c r="U211" s="327"/>
      <c r="V211" s="327"/>
      <c r="W211" s="327"/>
      <c r="X211" s="327"/>
      <c r="Y211" s="327"/>
      <c r="AL211" s="582"/>
      <c r="AM211" s="582"/>
    </row>
    <row r="212" spans="1:39" s="186" customFormat="1" x14ac:dyDescent="0.25">
      <c r="A212" s="582"/>
      <c r="B212" s="352"/>
      <c r="C212" s="327"/>
      <c r="D212" s="356"/>
      <c r="E212" s="356"/>
      <c r="F212" s="327"/>
      <c r="G212" s="327"/>
      <c r="Q212" s="582"/>
      <c r="R212" s="582"/>
      <c r="S212" s="582"/>
      <c r="T212" s="583"/>
      <c r="U212" s="327"/>
      <c r="V212" s="327"/>
      <c r="W212" s="327"/>
      <c r="X212" s="327"/>
      <c r="Y212" s="327"/>
      <c r="AL212" s="582"/>
      <c r="AM212" s="582"/>
    </row>
    <row r="213" spans="1:39" s="186" customFormat="1" x14ac:dyDescent="0.25">
      <c r="A213" s="582"/>
      <c r="B213" s="352"/>
      <c r="C213" s="327"/>
      <c r="D213" s="327"/>
      <c r="E213" s="356"/>
      <c r="F213" s="327"/>
      <c r="G213" s="327"/>
      <c r="Q213" s="582"/>
      <c r="R213" s="582"/>
      <c r="S213" s="582"/>
      <c r="T213" s="583"/>
      <c r="U213" s="327"/>
      <c r="V213" s="327"/>
      <c r="W213" s="327"/>
      <c r="X213" s="327"/>
      <c r="Y213" s="327"/>
      <c r="AL213" s="582"/>
      <c r="AM213" s="582"/>
    </row>
    <row r="214" spans="1:39" s="186" customFormat="1" x14ac:dyDescent="0.25">
      <c r="A214" s="582"/>
      <c r="B214" s="352"/>
      <c r="C214" s="327"/>
      <c r="D214" s="327"/>
      <c r="E214" s="356"/>
      <c r="F214" s="327"/>
      <c r="G214" s="327"/>
      <c r="Q214" s="582"/>
      <c r="R214" s="582"/>
      <c r="S214" s="582"/>
      <c r="T214" s="583"/>
      <c r="U214" s="327"/>
      <c r="V214" s="327"/>
      <c r="W214" s="327"/>
      <c r="X214" s="327"/>
      <c r="Y214" s="327"/>
      <c r="AL214" s="582"/>
      <c r="AM214" s="582"/>
    </row>
    <row r="215" spans="1:39" s="186" customFormat="1" x14ac:dyDescent="0.25">
      <c r="A215" s="582"/>
      <c r="B215" s="352"/>
      <c r="C215" s="327"/>
      <c r="D215" s="327"/>
      <c r="E215" s="356"/>
      <c r="F215" s="327"/>
      <c r="G215" s="327"/>
      <c r="Q215" s="582"/>
      <c r="R215" s="582"/>
      <c r="S215" s="582"/>
      <c r="T215" s="583"/>
      <c r="U215" s="327"/>
      <c r="V215" s="327"/>
      <c r="W215" s="327"/>
      <c r="X215" s="327"/>
      <c r="Y215" s="327"/>
      <c r="AL215" s="582"/>
      <c r="AM215" s="582"/>
    </row>
    <row r="216" spans="1:39" s="186" customFormat="1" x14ac:dyDescent="0.25">
      <c r="A216" s="582"/>
      <c r="B216" s="352"/>
      <c r="C216" s="327"/>
      <c r="D216" s="327"/>
      <c r="E216" s="356"/>
      <c r="F216" s="327"/>
      <c r="G216" s="347"/>
      <c r="Q216" s="582"/>
      <c r="R216" s="582"/>
      <c r="S216" s="582"/>
      <c r="T216" s="583"/>
      <c r="U216" s="327"/>
      <c r="V216" s="327"/>
      <c r="W216" s="327"/>
      <c r="X216" s="327"/>
      <c r="Y216" s="327"/>
      <c r="AL216" s="582"/>
      <c r="AM216" s="582"/>
    </row>
    <row r="217" spans="1:39" s="186" customFormat="1" x14ac:dyDescent="0.25">
      <c r="A217" s="582"/>
      <c r="B217" s="352"/>
      <c r="C217" s="327"/>
      <c r="D217" s="327"/>
      <c r="E217" s="356"/>
      <c r="F217" s="327"/>
      <c r="G217" s="347"/>
      <c r="Q217" s="582"/>
      <c r="R217" s="582"/>
      <c r="S217" s="582"/>
      <c r="T217" s="583"/>
      <c r="U217" s="327"/>
      <c r="V217" s="327"/>
      <c r="W217" s="327"/>
      <c r="X217" s="327"/>
      <c r="Y217" s="327"/>
      <c r="AL217" s="582"/>
      <c r="AM217" s="582"/>
    </row>
    <row r="218" spans="1:39" s="186" customFormat="1" x14ac:dyDescent="0.25">
      <c r="A218" s="582"/>
      <c r="B218" s="352"/>
      <c r="C218" s="327"/>
      <c r="D218" s="327"/>
      <c r="E218" s="356"/>
      <c r="F218" s="327"/>
      <c r="G218" s="347"/>
      <c r="Q218" s="582"/>
      <c r="R218" s="582"/>
      <c r="S218" s="582"/>
      <c r="T218" s="583"/>
      <c r="U218" s="327"/>
      <c r="V218" s="327"/>
      <c r="W218" s="327"/>
      <c r="X218" s="327"/>
      <c r="Y218" s="327"/>
      <c r="AL218" s="582"/>
      <c r="AM218" s="582"/>
    </row>
    <row r="219" spans="1:39" s="186" customFormat="1" x14ac:dyDescent="0.25">
      <c r="A219" s="582"/>
      <c r="B219" s="352"/>
      <c r="C219" s="327"/>
      <c r="D219" s="327"/>
      <c r="E219" s="356"/>
      <c r="F219" s="327"/>
      <c r="G219" s="347"/>
      <c r="Q219" s="582"/>
      <c r="R219" s="582"/>
      <c r="S219" s="582"/>
      <c r="T219" s="583"/>
      <c r="U219" s="327"/>
      <c r="V219" s="327"/>
      <c r="W219" s="327"/>
      <c r="X219" s="327"/>
      <c r="Y219" s="327"/>
      <c r="AL219" s="582"/>
      <c r="AM219" s="582"/>
    </row>
    <row r="220" spans="1:39" s="186" customFormat="1" x14ac:dyDescent="0.25">
      <c r="A220" s="582"/>
      <c r="B220" s="340"/>
      <c r="C220" s="327"/>
      <c r="D220" s="327"/>
      <c r="E220" s="356"/>
      <c r="F220" s="327"/>
      <c r="G220" s="347"/>
      <c r="Q220" s="582"/>
      <c r="R220" s="582"/>
      <c r="S220" s="582"/>
      <c r="T220" s="583"/>
      <c r="U220" s="327"/>
      <c r="V220" s="327"/>
      <c r="W220" s="327"/>
      <c r="X220" s="327"/>
      <c r="Y220" s="327"/>
      <c r="AL220" s="582"/>
      <c r="AM220" s="582"/>
    </row>
    <row r="221" spans="1:39" s="186" customFormat="1" x14ac:dyDescent="0.25">
      <c r="A221" s="582"/>
      <c r="B221" s="340"/>
      <c r="C221" s="327"/>
      <c r="D221" s="327"/>
      <c r="E221" s="327"/>
      <c r="F221" s="327"/>
      <c r="G221" s="347"/>
      <c r="Q221" s="582"/>
      <c r="R221" s="582"/>
      <c r="S221" s="582"/>
      <c r="T221" s="583"/>
      <c r="U221" s="327"/>
      <c r="V221" s="327"/>
      <c r="W221" s="327"/>
      <c r="X221" s="327"/>
      <c r="Y221" s="327"/>
      <c r="AL221" s="582"/>
      <c r="AM221" s="582"/>
    </row>
    <row r="222" spans="1:39" s="186" customFormat="1" x14ac:dyDescent="0.25">
      <c r="A222" s="582"/>
      <c r="B222" s="340"/>
      <c r="C222" s="327"/>
      <c r="D222" s="327"/>
      <c r="E222" s="327"/>
      <c r="F222" s="327"/>
      <c r="G222" s="347"/>
      <c r="Q222" s="582"/>
      <c r="R222" s="582"/>
      <c r="S222" s="582"/>
      <c r="T222" s="583"/>
      <c r="U222" s="327"/>
      <c r="V222" s="327"/>
      <c r="W222" s="327"/>
      <c r="X222" s="327"/>
      <c r="Y222" s="327"/>
      <c r="AL222" s="582"/>
      <c r="AM222" s="582"/>
    </row>
    <row r="223" spans="1:39" s="186" customFormat="1" x14ac:dyDescent="0.25">
      <c r="A223" s="582"/>
      <c r="B223" s="349"/>
      <c r="C223" s="327"/>
      <c r="D223" s="327"/>
      <c r="E223" s="327"/>
      <c r="F223" s="327"/>
      <c r="G223" s="347"/>
      <c r="Q223" s="582"/>
      <c r="R223" s="582"/>
      <c r="S223" s="582"/>
      <c r="T223" s="583"/>
      <c r="U223" s="327"/>
      <c r="V223" s="327"/>
      <c r="W223" s="327"/>
      <c r="X223" s="327"/>
      <c r="Y223" s="327"/>
      <c r="AL223" s="582"/>
      <c r="AM223" s="582"/>
    </row>
    <row r="224" spans="1:39" s="186" customFormat="1" x14ac:dyDescent="0.25">
      <c r="A224" s="582"/>
      <c r="B224" s="352"/>
      <c r="C224" s="327"/>
      <c r="D224" s="327"/>
      <c r="E224" s="327"/>
      <c r="F224" s="327"/>
      <c r="G224" s="347"/>
      <c r="Q224" s="582"/>
      <c r="R224" s="582"/>
      <c r="S224" s="582"/>
      <c r="T224" s="583"/>
      <c r="U224" s="327"/>
      <c r="V224" s="327"/>
      <c r="W224" s="327"/>
      <c r="X224" s="327"/>
      <c r="Y224" s="327"/>
      <c r="AL224" s="582"/>
      <c r="AM224" s="582"/>
    </row>
    <row r="225" spans="1:39" s="186" customFormat="1" x14ac:dyDescent="0.25">
      <c r="A225" s="582"/>
      <c r="B225" s="340"/>
      <c r="C225" s="327"/>
      <c r="D225" s="327"/>
      <c r="E225" s="352"/>
      <c r="F225" s="327"/>
      <c r="G225" s="347"/>
      <c r="Q225" s="582"/>
      <c r="R225" s="582"/>
      <c r="S225" s="582"/>
      <c r="T225" s="583"/>
      <c r="U225" s="327"/>
      <c r="V225" s="327"/>
      <c r="W225" s="327"/>
      <c r="X225" s="327"/>
      <c r="Y225" s="327"/>
      <c r="AL225" s="582"/>
      <c r="AM225" s="582"/>
    </row>
    <row r="226" spans="1:39" s="186" customFormat="1" x14ac:dyDescent="0.25">
      <c r="A226" s="582"/>
      <c r="B226" s="352"/>
      <c r="C226" s="358"/>
      <c r="D226" s="359"/>
      <c r="E226" s="356"/>
      <c r="F226" s="327"/>
      <c r="G226" s="347"/>
      <c r="Q226" s="582"/>
      <c r="R226" s="582"/>
      <c r="S226" s="582"/>
      <c r="T226" s="583"/>
      <c r="U226" s="327"/>
      <c r="V226" s="327"/>
      <c r="W226" s="327"/>
      <c r="X226" s="327"/>
      <c r="Y226" s="327"/>
      <c r="AL226" s="582"/>
      <c r="AM226" s="582"/>
    </row>
    <row r="227" spans="1:39" s="186" customFormat="1" x14ac:dyDescent="0.25">
      <c r="A227" s="582"/>
      <c r="B227" s="352"/>
      <c r="C227" s="358"/>
      <c r="D227" s="359"/>
      <c r="E227" s="356"/>
      <c r="F227" s="327"/>
      <c r="G227" s="347"/>
      <c r="Q227" s="582"/>
      <c r="R227" s="582"/>
      <c r="S227" s="582"/>
      <c r="T227" s="583"/>
      <c r="U227" s="327"/>
      <c r="V227" s="327"/>
      <c r="W227" s="327"/>
      <c r="X227" s="327"/>
      <c r="Y227" s="327"/>
      <c r="AL227" s="582"/>
      <c r="AM227" s="582"/>
    </row>
    <row r="228" spans="1:39" s="186" customFormat="1" x14ac:dyDescent="0.25">
      <c r="A228" s="582"/>
      <c r="B228" s="352"/>
      <c r="C228" s="358"/>
      <c r="D228" s="359"/>
      <c r="E228" s="356"/>
      <c r="F228" s="327"/>
      <c r="G228" s="347"/>
      <c r="Q228" s="582"/>
      <c r="R228" s="582"/>
      <c r="S228" s="582"/>
      <c r="T228" s="583"/>
      <c r="U228" s="327"/>
      <c r="V228" s="327"/>
      <c r="W228" s="327"/>
      <c r="X228" s="327"/>
      <c r="Y228" s="327"/>
      <c r="AL228" s="582"/>
      <c r="AM228" s="582"/>
    </row>
    <row r="229" spans="1:39" s="186" customFormat="1" x14ac:dyDescent="0.25">
      <c r="A229" s="582"/>
      <c r="B229" s="352"/>
      <c r="C229" s="358"/>
      <c r="D229" s="359"/>
      <c r="E229" s="356"/>
      <c r="F229" s="327"/>
      <c r="G229" s="347"/>
      <c r="Q229" s="582"/>
      <c r="R229" s="582"/>
      <c r="S229" s="582"/>
      <c r="T229" s="583"/>
      <c r="U229" s="327"/>
      <c r="V229" s="327"/>
      <c r="W229" s="327"/>
      <c r="X229" s="327"/>
      <c r="Y229" s="327"/>
      <c r="AL229" s="582"/>
      <c r="AM229" s="582"/>
    </row>
    <row r="230" spans="1:39" s="186" customFormat="1" x14ac:dyDescent="0.25">
      <c r="A230" s="582"/>
      <c r="B230" s="352"/>
      <c r="C230" s="358"/>
      <c r="D230" s="359"/>
      <c r="E230" s="356"/>
      <c r="F230" s="327"/>
      <c r="G230" s="347"/>
      <c r="Q230" s="582"/>
      <c r="R230" s="582"/>
      <c r="S230" s="582"/>
      <c r="T230" s="583"/>
      <c r="U230" s="327"/>
      <c r="V230" s="327"/>
      <c r="W230" s="327"/>
      <c r="X230" s="327"/>
      <c r="Y230" s="327"/>
      <c r="AL230" s="582"/>
      <c r="AM230" s="582"/>
    </row>
    <row r="231" spans="1:39" s="186" customFormat="1" x14ac:dyDescent="0.25">
      <c r="A231" s="582"/>
      <c r="B231" s="352"/>
      <c r="C231" s="358"/>
      <c r="D231" s="359"/>
      <c r="E231" s="356"/>
      <c r="F231" s="327"/>
      <c r="G231" s="347"/>
      <c r="Q231" s="582"/>
      <c r="R231" s="582"/>
      <c r="S231" s="582"/>
      <c r="T231" s="583"/>
      <c r="U231" s="327"/>
      <c r="V231" s="327"/>
      <c r="W231" s="327"/>
      <c r="X231" s="327"/>
      <c r="Y231" s="327"/>
      <c r="AL231" s="582"/>
      <c r="AM231" s="582"/>
    </row>
    <row r="232" spans="1:39" s="186" customFormat="1" x14ac:dyDescent="0.25">
      <c r="A232" s="582"/>
      <c r="B232" s="352"/>
      <c r="C232" s="358"/>
      <c r="D232" s="359"/>
      <c r="E232" s="356"/>
      <c r="F232" s="327"/>
      <c r="G232" s="347"/>
      <c r="Q232" s="582"/>
      <c r="R232" s="582"/>
      <c r="S232" s="582"/>
      <c r="T232" s="583"/>
      <c r="U232" s="327"/>
      <c r="V232" s="327"/>
      <c r="W232" s="327"/>
      <c r="X232" s="327"/>
      <c r="Y232" s="327"/>
      <c r="AL232" s="582"/>
      <c r="AM232" s="582"/>
    </row>
    <row r="233" spans="1:39" s="186" customFormat="1" x14ac:dyDescent="0.25">
      <c r="A233" s="582"/>
      <c r="B233" s="352"/>
      <c r="C233" s="358"/>
      <c r="D233" s="359"/>
      <c r="E233" s="356"/>
      <c r="F233" s="327"/>
      <c r="G233" s="360"/>
      <c r="Q233" s="582"/>
      <c r="R233" s="582"/>
      <c r="S233" s="582"/>
      <c r="T233" s="583"/>
      <c r="U233" s="327"/>
      <c r="V233" s="327"/>
      <c r="W233" s="327"/>
      <c r="X233" s="327"/>
      <c r="Y233" s="327"/>
      <c r="AL233" s="582"/>
      <c r="AM233" s="582"/>
    </row>
    <row r="234" spans="1:39" s="186" customFormat="1" x14ac:dyDescent="0.25">
      <c r="A234" s="582"/>
      <c r="B234" s="352"/>
      <c r="C234" s="358"/>
      <c r="D234" s="359"/>
      <c r="E234" s="356"/>
      <c r="F234" s="327"/>
      <c r="G234" s="360"/>
      <c r="Q234" s="582"/>
      <c r="R234" s="582"/>
      <c r="S234" s="582"/>
      <c r="T234" s="583"/>
      <c r="U234" s="327"/>
      <c r="V234" s="327"/>
      <c r="W234" s="327"/>
      <c r="X234" s="327"/>
      <c r="Y234" s="327"/>
      <c r="AL234" s="582"/>
      <c r="AM234" s="582"/>
    </row>
    <row r="235" spans="1:39" s="186" customFormat="1" x14ac:dyDescent="0.25">
      <c r="A235" s="582"/>
      <c r="B235" s="352"/>
      <c r="C235" s="358"/>
      <c r="D235" s="359"/>
      <c r="E235" s="356"/>
      <c r="F235" s="327"/>
      <c r="G235" s="360"/>
      <c r="Q235" s="582"/>
      <c r="R235" s="582"/>
      <c r="S235" s="582"/>
      <c r="T235" s="583"/>
      <c r="U235" s="327"/>
      <c r="V235" s="327"/>
      <c r="W235" s="327"/>
      <c r="X235" s="327"/>
      <c r="Y235" s="327"/>
      <c r="AL235" s="582"/>
      <c r="AM235" s="582"/>
    </row>
    <row r="236" spans="1:39" s="186" customFormat="1" x14ac:dyDescent="0.25">
      <c r="A236" s="582"/>
      <c r="B236" s="352"/>
      <c r="C236" s="358"/>
      <c r="D236" s="359"/>
      <c r="E236" s="356"/>
      <c r="F236" s="327"/>
      <c r="G236" s="327"/>
      <c r="Q236" s="582"/>
      <c r="R236" s="582"/>
      <c r="S236" s="582"/>
      <c r="T236" s="583"/>
      <c r="U236" s="327"/>
      <c r="V236" s="327"/>
      <c r="W236" s="327"/>
      <c r="X236" s="327"/>
      <c r="Y236" s="327"/>
      <c r="AL236" s="582"/>
      <c r="AM236" s="582"/>
    </row>
    <row r="237" spans="1:39" s="186" customFormat="1" x14ac:dyDescent="0.25">
      <c r="A237" s="582"/>
      <c r="B237" s="352"/>
      <c r="C237" s="358"/>
      <c r="D237" s="359"/>
      <c r="E237" s="356"/>
      <c r="F237" s="327"/>
      <c r="G237" s="327"/>
      <c r="Q237" s="582"/>
      <c r="R237" s="582"/>
      <c r="S237" s="582"/>
      <c r="T237" s="583"/>
      <c r="U237" s="327"/>
      <c r="V237" s="327"/>
      <c r="W237" s="327"/>
      <c r="X237" s="327"/>
      <c r="Y237" s="327"/>
      <c r="AL237" s="582"/>
      <c r="AM237" s="582"/>
    </row>
    <row r="238" spans="1:39" s="186" customFormat="1" x14ac:dyDescent="0.25">
      <c r="A238" s="582"/>
      <c r="B238" s="352"/>
      <c r="C238" s="358"/>
      <c r="D238" s="359"/>
      <c r="E238" s="356"/>
      <c r="F238" s="327"/>
      <c r="G238" s="327"/>
      <c r="Q238" s="582"/>
      <c r="R238" s="582"/>
      <c r="S238" s="582"/>
      <c r="T238" s="583"/>
      <c r="U238" s="327"/>
      <c r="V238" s="327"/>
      <c r="W238" s="327"/>
      <c r="X238" s="327"/>
      <c r="Y238" s="327"/>
      <c r="AL238" s="582"/>
      <c r="AM238" s="582"/>
    </row>
    <row r="239" spans="1:39" s="186" customFormat="1" x14ac:dyDescent="0.25">
      <c r="A239" s="582"/>
      <c r="B239" s="352"/>
      <c r="C239" s="358"/>
      <c r="D239" s="359"/>
      <c r="E239" s="356"/>
      <c r="F239" s="327"/>
      <c r="G239" s="327"/>
      <c r="Q239" s="582"/>
      <c r="R239" s="582"/>
      <c r="S239" s="582"/>
      <c r="T239" s="583"/>
      <c r="U239" s="327"/>
      <c r="V239" s="327"/>
      <c r="W239" s="327"/>
      <c r="X239" s="327"/>
      <c r="Y239" s="327"/>
      <c r="AL239" s="582"/>
      <c r="AM239" s="582"/>
    </row>
    <row r="240" spans="1:39" s="186" customFormat="1" x14ac:dyDescent="0.25">
      <c r="A240" s="582"/>
      <c r="B240" s="352"/>
      <c r="C240" s="358"/>
      <c r="D240" s="359"/>
      <c r="E240" s="356"/>
      <c r="F240" s="327"/>
      <c r="G240" s="327"/>
      <c r="Q240" s="582"/>
      <c r="R240" s="582"/>
      <c r="S240" s="582"/>
      <c r="T240" s="583"/>
      <c r="U240" s="327"/>
      <c r="V240" s="327"/>
      <c r="W240" s="327"/>
      <c r="X240" s="327"/>
      <c r="Y240" s="327"/>
      <c r="AL240" s="582"/>
      <c r="AM240" s="582"/>
    </row>
    <row r="241" spans="1:39" s="186" customFormat="1" x14ac:dyDescent="0.25">
      <c r="A241" s="582"/>
      <c r="B241" s="352"/>
      <c r="C241" s="358"/>
      <c r="D241" s="359"/>
      <c r="E241" s="356"/>
      <c r="F241" s="327"/>
      <c r="G241" s="327"/>
      <c r="Q241" s="582"/>
      <c r="R241" s="582"/>
      <c r="S241" s="582"/>
      <c r="T241" s="583"/>
      <c r="U241" s="327"/>
      <c r="V241" s="327"/>
      <c r="W241" s="327"/>
      <c r="X241" s="327"/>
      <c r="Y241" s="327"/>
      <c r="AL241" s="582"/>
      <c r="AM241" s="582"/>
    </row>
    <row r="242" spans="1:39" s="186" customFormat="1" x14ac:dyDescent="0.25">
      <c r="A242" s="582"/>
      <c r="B242" s="352"/>
      <c r="C242" s="358"/>
      <c r="D242" s="327"/>
      <c r="E242" s="356"/>
      <c r="F242" s="327"/>
      <c r="G242" s="327"/>
      <c r="Q242" s="582"/>
      <c r="R242" s="582"/>
      <c r="S242" s="582"/>
      <c r="T242" s="583"/>
      <c r="U242" s="327"/>
      <c r="V242" s="327"/>
      <c r="W242" s="327"/>
      <c r="X242" s="327"/>
      <c r="Y242" s="327"/>
      <c r="AL242" s="582"/>
      <c r="AM242" s="582"/>
    </row>
    <row r="243" spans="1:39" s="186" customFormat="1" x14ac:dyDescent="0.25">
      <c r="A243" s="582"/>
      <c r="B243" s="352"/>
      <c r="C243" s="359"/>
      <c r="D243" s="327"/>
      <c r="E243" s="356"/>
      <c r="F243" s="327"/>
      <c r="G243" s="327"/>
      <c r="Q243" s="582"/>
      <c r="R243" s="582"/>
      <c r="S243" s="582"/>
      <c r="T243" s="583"/>
      <c r="U243" s="327"/>
      <c r="V243" s="327"/>
      <c r="W243" s="327"/>
      <c r="X243" s="327"/>
      <c r="Y243" s="327"/>
      <c r="AL243" s="582"/>
      <c r="AM243" s="582"/>
    </row>
    <row r="244" spans="1:39" s="186" customFormat="1" x14ac:dyDescent="0.25">
      <c r="A244" s="582"/>
      <c r="B244" s="352"/>
      <c r="C244" s="327"/>
      <c r="D244" s="327"/>
      <c r="E244" s="356"/>
      <c r="F244" s="327"/>
      <c r="G244" s="327"/>
      <c r="Q244" s="582"/>
      <c r="R244" s="582"/>
      <c r="S244" s="582"/>
      <c r="T244" s="583"/>
      <c r="U244" s="327"/>
      <c r="V244" s="327"/>
      <c r="W244" s="327"/>
      <c r="X244" s="327"/>
      <c r="Y244" s="327"/>
      <c r="AL244" s="582"/>
      <c r="AM244" s="582"/>
    </row>
    <row r="245" spans="1:39" s="186" customFormat="1" x14ac:dyDescent="0.25">
      <c r="A245" s="582"/>
      <c r="B245" s="352"/>
      <c r="C245" s="327"/>
      <c r="D245" s="327"/>
      <c r="E245" s="356"/>
      <c r="F245" s="327"/>
      <c r="G245" s="327"/>
      <c r="Q245" s="582"/>
      <c r="R245" s="582"/>
      <c r="S245" s="582"/>
      <c r="T245" s="583"/>
      <c r="U245" s="327"/>
      <c r="V245" s="327"/>
      <c r="W245" s="327"/>
      <c r="X245" s="327"/>
      <c r="Y245" s="327"/>
      <c r="AL245" s="582"/>
      <c r="AM245" s="582"/>
    </row>
    <row r="246" spans="1:39" s="186" customFormat="1" x14ac:dyDescent="0.25">
      <c r="A246" s="582"/>
      <c r="B246" s="352"/>
      <c r="C246" s="361"/>
      <c r="D246" s="356"/>
      <c r="E246" s="356"/>
      <c r="F246" s="327"/>
      <c r="G246" s="327"/>
      <c r="Q246" s="582"/>
      <c r="R246" s="582"/>
      <c r="S246" s="582"/>
      <c r="T246" s="583"/>
      <c r="U246" s="327"/>
      <c r="V246" s="327"/>
      <c r="W246" s="327"/>
      <c r="X246" s="327"/>
      <c r="Y246" s="327"/>
      <c r="AL246" s="582"/>
      <c r="AM246" s="582"/>
    </row>
    <row r="247" spans="1:39" s="186" customFormat="1" x14ac:dyDescent="0.25">
      <c r="A247" s="582"/>
      <c r="B247" s="352"/>
      <c r="C247" s="361"/>
      <c r="D247" s="356"/>
      <c r="E247" s="356"/>
      <c r="F247" s="327"/>
      <c r="G247" s="327"/>
      <c r="Q247" s="582"/>
      <c r="R247" s="582"/>
      <c r="S247" s="582"/>
      <c r="T247" s="583"/>
      <c r="U247" s="327"/>
      <c r="V247" s="327"/>
      <c r="W247" s="327"/>
      <c r="X247" s="327"/>
      <c r="Y247" s="327"/>
      <c r="AL247" s="582"/>
      <c r="AM247" s="582"/>
    </row>
    <row r="248" spans="1:39" s="186" customFormat="1" x14ac:dyDescent="0.25">
      <c r="A248" s="582"/>
      <c r="B248" s="352"/>
      <c r="C248" s="361"/>
      <c r="D248" s="356"/>
      <c r="E248" s="356"/>
      <c r="F248" s="327"/>
      <c r="G248" s="327"/>
      <c r="Q248" s="582"/>
      <c r="R248" s="582"/>
      <c r="S248" s="582"/>
      <c r="T248" s="583"/>
      <c r="U248" s="327"/>
      <c r="V248" s="327"/>
      <c r="W248" s="327"/>
      <c r="X248" s="327"/>
      <c r="Y248" s="327"/>
      <c r="AL248" s="582"/>
      <c r="AM248" s="582"/>
    </row>
    <row r="249" spans="1:39" s="186" customFormat="1" x14ac:dyDescent="0.25">
      <c r="A249" s="582"/>
      <c r="B249" s="352"/>
      <c r="C249" s="361"/>
      <c r="D249" s="356"/>
      <c r="E249" s="356"/>
      <c r="F249" s="327"/>
      <c r="G249" s="327"/>
      <c r="Q249" s="582"/>
      <c r="R249" s="582"/>
      <c r="S249" s="582"/>
      <c r="T249" s="583"/>
      <c r="U249" s="327"/>
      <c r="V249" s="327"/>
      <c r="W249" s="327"/>
      <c r="X249" s="327"/>
      <c r="Y249" s="327"/>
      <c r="AL249" s="582"/>
      <c r="AM249" s="582"/>
    </row>
    <row r="250" spans="1:39" s="186" customFormat="1" x14ac:dyDescent="0.25">
      <c r="A250" s="582"/>
      <c r="B250" s="352"/>
      <c r="C250" s="361"/>
      <c r="D250" s="356"/>
      <c r="E250" s="356"/>
      <c r="F250" s="327"/>
      <c r="G250" s="327"/>
      <c r="Q250" s="582"/>
      <c r="R250" s="582"/>
      <c r="S250" s="582"/>
      <c r="T250" s="583"/>
      <c r="U250" s="327"/>
      <c r="V250" s="327"/>
      <c r="W250" s="327"/>
      <c r="X250" s="327"/>
      <c r="Y250" s="327"/>
      <c r="AL250" s="582"/>
      <c r="AM250" s="582"/>
    </row>
    <row r="251" spans="1:39" s="186" customFormat="1" x14ac:dyDescent="0.25">
      <c r="A251" s="582"/>
      <c r="B251" s="352"/>
      <c r="C251" s="361"/>
      <c r="D251" s="356"/>
      <c r="E251" s="356"/>
      <c r="F251" s="327"/>
      <c r="G251" s="327"/>
      <c r="Q251" s="582"/>
      <c r="R251" s="582"/>
      <c r="S251" s="582"/>
      <c r="T251" s="583"/>
      <c r="U251" s="327"/>
      <c r="V251" s="327"/>
      <c r="W251" s="327"/>
      <c r="X251" s="327"/>
      <c r="Y251" s="327"/>
      <c r="AL251" s="582"/>
      <c r="AM251" s="582"/>
    </row>
    <row r="252" spans="1:39" s="186" customFormat="1" x14ac:dyDescent="0.25">
      <c r="A252" s="582"/>
      <c r="B252" s="340"/>
      <c r="C252" s="361"/>
      <c r="D252" s="356"/>
      <c r="E252" s="356"/>
      <c r="F252" s="327"/>
      <c r="G252" s="327"/>
      <c r="Q252" s="582"/>
      <c r="R252" s="582"/>
      <c r="S252" s="582"/>
      <c r="T252" s="583"/>
      <c r="U252" s="327"/>
      <c r="V252" s="327"/>
      <c r="W252" s="327"/>
      <c r="X252" s="327"/>
      <c r="Y252" s="327"/>
      <c r="AL252" s="582"/>
      <c r="AM252" s="582"/>
    </row>
    <row r="253" spans="1:39" s="186" customFormat="1" x14ac:dyDescent="0.25">
      <c r="A253" s="582"/>
      <c r="B253" s="340"/>
      <c r="C253" s="361"/>
      <c r="D253" s="356"/>
      <c r="E253" s="327"/>
      <c r="F253" s="327"/>
      <c r="G253" s="327"/>
      <c r="Q253" s="582"/>
      <c r="R253" s="582"/>
      <c r="S253" s="582"/>
      <c r="T253" s="583"/>
      <c r="U253" s="327"/>
      <c r="V253" s="327"/>
      <c r="W253" s="327"/>
      <c r="X253" s="327"/>
      <c r="Y253" s="327"/>
      <c r="AL253" s="582"/>
      <c r="AM253" s="582"/>
    </row>
    <row r="254" spans="1:39" s="186" customFormat="1" x14ac:dyDescent="0.25">
      <c r="A254" s="582"/>
      <c r="B254" s="340"/>
      <c r="C254" s="361"/>
      <c r="D254" s="356"/>
      <c r="E254" s="327"/>
      <c r="F254" s="327"/>
      <c r="G254" s="327"/>
      <c r="Q254" s="582"/>
      <c r="R254" s="582"/>
      <c r="S254" s="582"/>
      <c r="T254" s="583"/>
      <c r="U254" s="327"/>
      <c r="V254" s="327"/>
      <c r="W254" s="327"/>
      <c r="X254" s="327"/>
      <c r="Y254" s="327"/>
      <c r="AL254" s="582"/>
      <c r="AM254" s="582"/>
    </row>
    <row r="255" spans="1:39" s="186" customFormat="1" x14ac:dyDescent="0.25">
      <c r="A255" s="582"/>
      <c r="B255" s="340"/>
      <c r="C255" s="359"/>
      <c r="D255" s="362"/>
      <c r="E255" s="327"/>
      <c r="F255" s="327"/>
      <c r="G255" s="327"/>
      <c r="Q255" s="582"/>
      <c r="R255" s="582"/>
      <c r="S255" s="582"/>
      <c r="T255" s="583"/>
      <c r="U255" s="327"/>
      <c r="V255" s="327"/>
      <c r="W255" s="327"/>
      <c r="X255" s="327"/>
      <c r="Y255" s="327"/>
      <c r="AL255" s="582"/>
      <c r="AM255" s="582"/>
    </row>
    <row r="256" spans="1:39" s="186" customFormat="1" x14ac:dyDescent="0.25">
      <c r="A256" s="582"/>
      <c r="B256" s="583"/>
      <c r="Q256" s="582"/>
      <c r="R256" s="582"/>
      <c r="S256" s="582"/>
      <c r="T256" s="583"/>
      <c r="U256" s="327"/>
      <c r="V256" s="327"/>
      <c r="W256" s="327"/>
      <c r="X256" s="327"/>
      <c r="Y256" s="327"/>
      <c r="AL256" s="582"/>
      <c r="AM256" s="582"/>
    </row>
    <row r="257" spans="1:39" s="186" customFormat="1" x14ac:dyDescent="0.25">
      <c r="A257" s="582"/>
      <c r="B257" s="583"/>
      <c r="Q257" s="582"/>
      <c r="R257" s="582"/>
      <c r="S257" s="582"/>
      <c r="T257" s="583"/>
      <c r="U257" s="327"/>
      <c r="V257" s="327"/>
      <c r="W257" s="327"/>
      <c r="X257" s="327"/>
      <c r="Y257" s="327"/>
      <c r="AL257" s="582"/>
      <c r="AM257" s="582"/>
    </row>
    <row r="258" spans="1:39" s="186" customFormat="1" x14ac:dyDescent="0.25">
      <c r="A258" s="582"/>
      <c r="B258" s="583"/>
      <c r="Q258" s="582"/>
      <c r="R258" s="582"/>
      <c r="S258" s="582"/>
      <c r="T258" s="583"/>
      <c r="U258" s="327"/>
      <c r="V258" s="327"/>
      <c r="W258" s="327"/>
      <c r="X258" s="327"/>
      <c r="Y258" s="327"/>
      <c r="AL258" s="582"/>
      <c r="AM258" s="582"/>
    </row>
    <row r="259" spans="1:39" s="186" customFormat="1" x14ac:dyDescent="0.25">
      <c r="A259" s="582"/>
      <c r="B259" s="583"/>
      <c r="Q259" s="582"/>
      <c r="R259" s="582"/>
      <c r="S259" s="582"/>
      <c r="T259" s="583"/>
      <c r="U259" s="327"/>
      <c r="V259" s="327"/>
      <c r="W259" s="327"/>
      <c r="X259" s="327"/>
      <c r="Y259" s="327"/>
      <c r="AL259" s="582"/>
      <c r="AM259" s="582"/>
    </row>
    <row r="260" spans="1:39" s="186" customFormat="1" x14ac:dyDescent="0.25">
      <c r="A260" s="582"/>
      <c r="B260" s="583"/>
      <c r="Q260" s="582"/>
      <c r="R260" s="582"/>
      <c r="S260" s="582"/>
      <c r="T260" s="583"/>
      <c r="U260" s="327"/>
      <c r="V260" s="327"/>
      <c r="W260" s="327"/>
      <c r="X260" s="327"/>
      <c r="Y260" s="327"/>
      <c r="AL260" s="582"/>
      <c r="AM260" s="582"/>
    </row>
    <row r="261" spans="1:39" s="186" customFormat="1" x14ac:dyDescent="0.25">
      <c r="A261" s="582"/>
      <c r="B261" s="583"/>
      <c r="Q261" s="582"/>
      <c r="R261" s="582"/>
      <c r="S261" s="582"/>
      <c r="T261" s="583"/>
      <c r="U261" s="327"/>
      <c r="V261" s="327"/>
      <c r="W261" s="327"/>
      <c r="X261" s="327"/>
      <c r="Y261" s="327"/>
      <c r="AL261" s="582"/>
      <c r="AM261" s="582"/>
    </row>
    <row r="262" spans="1:39" s="186" customFormat="1" x14ac:dyDescent="0.25">
      <c r="A262" s="582"/>
      <c r="B262" s="583"/>
      <c r="Q262" s="582"/>
      <c r="R262" s="582"/>
      <c r="S262" s="582"/>
      <c r="T262" s="583"/>
      <c r="U262" s="327"/>
      <c r="V262" s="327"/>
      <c r="W262" s="327"/>
      <c r="X262" s="327"/>
      <c r="Y262" s="327"/>
      <c r="AL262" s="582"/>
      <c r="AM262" s="582"/>
    </row>
    <row r="263" spans="1:39" s="186" customFormat="1" x14ac:dyDescent="0.25">
      <c r="A263" s="582"/>
      <c r="B263" s="583"/>
      <c r="Q263" s="582"/>
      <c r="R263" s="582"/>
      <c r="S263" s="582"/>
      <c r="T263" s="583"/>
      <c r="U263" s="327"/>
      <c r="V263" s="327"/>
      <c r="W263" s="327"/>
      <c r="X263" s="327"/>
      <c r="Y263" s="327"/>
      <c r="AL263" s="582"/>
      <c r="AM263" s="582"/>
    </row>
    <row r="264" spans="1:39" s="186" customFormat="1" x14ac:dyDescent="0.25">
      <c r="A264" s="582"/>
      <c r="B264" s="583"/>
      <c r="Q264" s="582"/>
      <c r="R264" s="582"/>
      <c r="S264" s="582"/>
      <c r="T264" s="583"/>
      <c r="U264" s="327"/>
      <c r="V264" s="327"/>
      <c r="W264" s="327"/>
      <c r="X264" s="327"/>
      <c r="Y264" s="327"/>
      <c r="AL264" s="582"/>
      <c r="AM264" s="582"/>
    </row>
    <row r="265" spans="1:39" s="186" customFormat="1" x14ac:dyDescent="0.25">
      <c r="A265" s="582"/>
      <c r="B265" s="583"/>
      <c r="Q265" s="582"/>
      <c r="R265" s="582"/>
      <c r="S265" s="582"/>
      <c r="T265" s="583"/>
      <c r="U265" s="327"/>
      <c r="V265" s="327"/>
      <c r="W265" s="327"/>
      <c r="X265" s="327"/>
      <c r="Y265" s="327"/>
      <c r="AL265" s="582"/>
      <c r="AM265" s="582"/>
    </row>
    <row r="266" spans="1:39" s="186" customFormat="1" x14ac:dyDescent="0.25">
      <c r="A266" s="582"/>
      <c r="B266" s="583"/>
      <c r="Q266" s="582"/>
      <c r="R266" s="582"/>
      <c r="S266" s="582"/>
      <c r="T266" s="583"/>
      <c r="U266" s="327"/>
      <c r="V266" s="327"/>
      <c r="W266" s="327"/>
      <c r="X266" s="327"/>
      <c r="Y266" s="327"/>
      <c r="AL266" s="582"/>
      <c r="AM266" s="582"/>
    </row>
    <row r="267" spans="1:39" s="186" customFormat="1" x14ac:dyDescent="0.25">
      <c r="A267" s="582"/>
      <c r="B267" s="583"/>
      <c r="Q267" s="582"/>
      <c r="R267" s="582"/>
      <c r="S267" s="582"/>
      <c r="T267" s="583"/>
      <c r="U267" s="327"/>
      <c r="V267" s="327"/>
      <c r="W267" s="327"/>
      <c r="X267" s="327"/>
      <c r="Y267" s="327"/>
      <c r="AL267" s="582"/>
      <c r="AM267" s="582"/>
    </row>
    <row r="268" spans="1:39" s="186" customFormat="1" x14ac:dyDescent="0.25">
      <c r="A268" s="582"/>
      <c r="B268" s="583"/>
      <c r="Q268" s="582"/>
      <c r="R268" s="582"/>
      <c r="S268" s="582"/>
      <c r="T268" s="583"/>
      <c r="U268" s="327"/>
      <c r="V268" s="327"/>
      <c r="W268" s="327"/>
      <c r="X268" s="327"/>
      <c r="Y268" s="327"/>
      <c r="AL268" s="582"/>
      <c r="AM268" s="582"/>
    </row>
    <row r="269" spans="1:39" s="186" customFormat="1" x14ac:dyDescent="0.25">
      <c r="A269" s="582"/>
      <c r="B269" s="582"/>
      <c r="C269" s="582"/>
      <c r="D269" s="582"/>
      <c r="E269" s="582"/>
      <c r="F269" s="582"/>
      <c r="G269" s="582"/>
      <c r="H269" s="582"/>
      <c r="I269" s="582"/>
      <c r="J269" s="582"/>
      <c r="K269" s="582"/>
      <c r="L269" s="582"/>
      <c r="M269" s="582"/>
      <c r="N269" s="582"/>
      <c r="O269" s="582"/>
      <c r="P269" s="582"/>
      <c r="Q269" s="582"/>
      <c r="R269" s="582"/>
      <c r="S269" s="582"/>
      <c r="T269" s="583"/>
      <c r="U269" s="327"/>
      <c r="V269" s="327"/>
      <c r="W269" s="327"/>
      <c r="X269" s="327"/>
      <c r="Y269" s="327"/>
      <c r="AL269" s="582"/>
      <c r="AM269" s="582"/>
    </row>
    <row r="270" spans="1:39" s="186" customFormat="1" x14ac:dyDescent="0.25">
      <c r="A270" s="582"/>
      <c r="B270" s="582"/>
      <c r="C270" s="582"/>
      <c r="D270" s="582"/>
      <c r="E270" s="582"/>
      <c r="F270" s="582"/>
      <c r="G270" s="582"/>
      <c r="H270" s="582"/>
      <c r="I270" s="582"/>
      <c r="J270" s="582"/>
      <c r="K270" s="582"/>
      <c r="L270" s="582"/>
      <c r="M270" s="582"/>
      <c r="N270" s="582"/>
      <c r="O270" s="582"/>
      <c r="P270" s="582"/>
      <c r="Q270" s="582"/>
      <c r="R270" s="582"/>
      <c r="S270" s="582"/>
      <c r="T270" s="583"/>
      <c r="U270" s="327"/>
      <c r="V270" s="327"/>
      <c r="W270" s="327"/>
      <c r="X270" s="327"/>
      <c r="Y270" s="327"/>
      <c r="AL270" s="582"/>
      <c r="AM270" s="582"/>
    </row>
    <row r="271" spans="1:39" s="186" customFormat="1" x14ac:dyDescent="0.25">
      <c r="A271" s="582"/>
      <c r="B271" s="582"/>
      <c r="C271" s="582"/>
      <c r="D271" s="582"/>
      <c r="E271" s="582"/>
      <c r="F271" s="582"/>
      <c r="G271" s="582"/>
      <c r="H271" s="582"/>
      <c r="I271" s="582"/>
      <c r="J271" s="582"/>
      <c r="K271" s="582"/>
      <c r="L271" s="582"/>
      <c r="M271" s="582"/>
      <c r="N271" s="582"/>
      <c r="O271" s="582"/>
      <c r="P271" s="582"/>
      <c r="Q271" s="582"/>
      <c r="R271" s="582"/>
      <c r="S271" s="582"/>
      <c r="T271" s="583"/>
      <c r="U271" s="327"/>
      <c r="V271" s="327"/>
      <c r="W271" s="327"/>
      <c r="X271" s="327"/>
      <c r="Y271" s="327"/>
      <c r="AL271" s="582"/>
      <c r="AM271" s="582"/>
    </row>
    <row r="272" spans="1:39" s="186" customFormat="1" x14ac:dyDescent="0.25">
      <c r="A272" s="582"/>
      <c r="B272" s="582"/>
      <c r="C272" s="582"/>
      <c r="D272" s="582"/>
      <c r="E272" s="582"/>
      <c r="F272" s="582"/>
      <c r="G272" s="582"/>
      <c r="H272" s="582"/>
      <c r="I272" s="582"/>
      <c r="J272" s="582"/>
      <c r="K272" s="582"/>
      <c r="L272" s="582"/>
      <c r="M272" s="582"/>
      <c r="N272" s="582"/>
      <c r="O272" s="582"/>
      <c r="P272" s="582"/>
      <c r="Q272" s="582"/>
      <c r="R272" s="582"/>
      <c r="S272" s="582"/>
      <c r="T272" s="583"/>
      <c r="U272" s="327"/>
      <c r="V272" s="327"/>
      <c r="W272" s="327"/>
      <c r="X272" s="327"/>
      <c r="Y272" s="327"/>
      <c r="AL272" s="582"/>
      <c r="AM272" s="582"/>
    </row>
    <row r="273" spans="1:39" s="186" customFormat="1" x14ac:dyDescent="0.25">
      <c r="A273" s="582"/>
      <c r="B273" s="582"/>
      <c r="C273" s="582"/>
      <c r="D273" s="582"/>
      <c r="E273" s="582"/>
      <c r="F273" s="582"/>
      <c r="G273" s="582"/>
      <c r="H273" s="582"/>
      <c r="I273" s="582"/>
      <c r="J273" s="582"/>
      <c r="K273" s="582"/>
      <c r="L273" s="582"/>
      <c r="M273" s="582"/>
      <c r="N273" s="582"/>
      <c r="O273" s="582"/>
      <c r="P273" s="582"/>
      <c r="Q273" s="582"/>
      <c r="R273" s="582"/>
      <c r="S273" s="582"/>
      <c r="T273" s="583"/>
      <c r="U273" s="327"/>
      <c r="V273" s="327"/>
      <c r="W273" s="327"/>
      <c r="X273" s="327"/>
      <c r="Y273" s="327"/>
      <c r="AL273" s="582"/>
      <c r="AM273" s="582"/>
    </row>
    <row r="274" spans="1:39" s="186" customFormat="1" x14ac:dyDescent="0.25">
      <c r="A274" s="582"/>
      <c r="B274" s="582"/>
      <c r="C274" s="582"/>
      <c r="D274" s="582"/>
      <c r="E274" s="582"/>
      <c r="F274" s="582"/>
      <c r="G274" s="582"/>
      <c r="H274" s="582"/>
      <c r="I274" s="582"/>
      <c r="J274" s="582"/>
      <c r="K274" s="582"/>
      <c r="L274" s="582"/>
      <c r="M274" s="582"/>
      <c r="N274" s="582"/>
      <c r="O274" s="582"/>
      <c r="P274" s="582"/>
      <c r="Q274" s="582"/>
      <c r="R274" s="582"/>
      <c r="S274" s="582"/>
      <c r="T274" s="583"/>
      <c r="U274" s="327"/>
      <c r="V274" s="327"/>
      <c r="W274" s="327"/>
      <c r="X274" s="327"/>
      <c r="Y274" s="327"/>
      <c r="AL274" s="582"/>
      <c r="AM274" s="582"/>
    </row>
    <row r="275" spans="1:39" s="186" customFormat="1" x14ac:dyDescent="0.25">
      <c r="A275" s="582"/>
      <c r="B275" s="582"/>
      <c r="C275" s="582"/>
      <c r="D275" s="582"/>
      <c r="E275" s="582"/>
      <c r="F275" s="582"/>
      <c r="G275" s="582"/>
      <c r="H275" s="582"/>
      <c r="I275" s="582"/>
      <c r="J275" s="582"/>
      <c r="K275" s="582"/>
      <c r="L275" s="582"/>
      <c r="M275" s="582"/>
      <c r="N275" s="582"/>
      <c r="O275" s="582"/>
      <c r="P275" s="582"/>
      <c r="Q275" s="582"/>
      <c r="R275" s="582"/>
      <c r="S275" s="582"/>
      <c r="T275" s="583"/>
      <c r="U275" s="327"/>
      <c r="V275" s="327"/>
      <c r="W275" s="327"/>
      <c r="X275" s="327"/>
      <c r="Y275" s="327"/>
      <c r="AL275" s="582"/>
      <c r="AM275" s="582"/>
    </row>
    <row r="276" spans="1:39" s="186" customFormat="1" x14ac:dyDescent="0.25">
      <c r="A276" s="582"/>
      <c r="B276" s="582"/>
      <c r="C276" s="582"/>
      <c r="D276" s="582"/>
      <c r="E276" s="582"/>
      <c r="F276" s="582"/>
      <c r="G276" s="582"/>
      <c r="H276" s="582"/>
      <c r="I276" s="582"/>
      <c r="J276" s="582"/>
      <c r="K276" s="582"/>
      <c r="L276" s="582"/>
      <c r="M276" s="582"/>
      <c r="N276" s="582"/>
      <c r="O276" s="582"/>
      <c r="P276" s="582"/>
      <c r="Q276" s="582"/>
      <c r="R276" s="582"/>
      <c r="S276" s="582"/>
      <c r="T276" s="583"/>
      <c r="U276" s="327"/>
      <c r="V276" s="327"/>
      <c r="W276" s="327"/>
      <c r="X276" s="327"/>
      <c r="Y276" s="327"/>
      <c r="AL276" s="582"/>
      <c r="AM276" s="582"/>
    </row>
    <row r="277" spans="1:39" s="186" customFormat="1" x14ac:dyDescent="0.25">
      <c r="A277" s="582"/>
      <c r="B277" s="582"/>
      <c r="C277" s="582"/>
      <c r="D277" s="582"/>
      <c r="E277" s="582"/>
      <c r="F277" s="582"/>
      <c r="G277" s="582"/>
      <c r="H277" s="582"/>
      <c r="I277" s="582"/>
      <c r="J277" s="582"/>
      <c r="K277" s="582"/>
      <c r="L277" s="582"/>
      <c r="M277" s="582"/>
      <c r="N277" s="582"/>
      <c r="O277" s="582"/>
      <c r="P277" s="582"/>
      <c r="Q277" s="582"/>
      <c r="R277" s="582"/>
      <c r="S277" s="582"/>
      <c r="T277" s="583"/>
      <c r="U277" s="327"/>
      <c r="V277" s="327"/>
      <c r="W277" s="327"/>
      <c r="X277" s="327"/>
      <c r="Y277" s="327"/>
      <c r="AL277" s="582"/>
      <c r="AM277" s="582"/>
    </row>
    <row r="278" spans="1:39" s="186" customFormat="1" x14ac:dyDescent="0.25">
      <c r="A278" s="582"/>
      <c r="B278" s="582"/>
      <c r="C278" s="582"/>
      <c r="D278" s="582"/>
      <c r="E278" s="582"/>
      <c r="F278" s="582"/>
      <c r="G278" s="582"/>
      <c r="H278" s="582"/>
      <c r="I278" s="582"/>
      <c r="J278" s="582"/>
      <c r="K278" s="582"/>
      <c r="L278" s="582"/>
      <c r="M278" s="582"/>
      <c r="N278" s="582"/>
      <c r="O278" s="582"/>
      <c r="P278" s="582"/>
      <c r="Q278" s="582"/>
      <c r="R278" s="582"/>
      <c r="S278" s="582"/>
      <c r="T278" s="583"/>
      <c r="U278" s="327"/>
      <c r="V278" s="327"/>
      <c r="W278" s="327"/>
      <c r="X278" s="327"/>
      <c r="Y278" s="327"/>
      <c r="AL278" s="582"/>
      <c r="AM278" s="582"/>
    </row>
    <row r="279" spans="1:39" s="186" customFormat="1" x14ac:dyDescent="0.25">
      <c r="A279" s="582"/>
      <c r="B279" s="582"/>
      <c r="C279" s="582"/>
      <c r="D279" s="582"/>
      <c r="E279" s="582"/>
      <c r="F279" s="582"/>
      <c r="G279" s="582"/>
      <c r="H279" s="582"/>
      <c r="I279" s="582"/>
      <c r="J279" s="582"/>
      <c r="K279" s="582"/>
      <c r="L279" s="582"/>
      <c r="M279" s="582"/>
      <c r="N279" s="582"/>
      <c r="O279" s="582"/>
      <c r="P279" s="582"/>
      <c r="Q279" s="582"/>
      <c r="R279" s="582"/>
      <c r="S279" s="582"/>
      <c r="T279" s="583"/>
      <c r="U279" s="327"/>
      <c r="V279" s="327"/>
      <c r="W279" s="327"/>
      <c r="X279" s="327"/>
      <c r="Y279" s="327"/>
      <c r="AL279" s="582"/>
      <c r="AM279" s="582"/>
    </row>
    <row r="280" spans="1:39" s="186" customFormat="1" x14ac:dyDescent="0.25">
      <c r="A280" s="582"/>
      <c r="B280" s="582"/>
      <c r="C280" s="582"/>
      <c r="D280" s="582"/>
      <c r="E280" s="582"/>
      <c r="F280" s="582"/>
      <c r="G280" s="582"/>
      <c r="H280" s="582"/>
      <c r="I280" s="582"/>
      <c r="J280" s="582"/>
      <c r="K280" s="582"/>
      <c r="L280" s="582"/>
      <c r="M280" s="582"/>
      <c r="N280" s="582"/>
      <c r="O280" s="582"/>
      <c r="P280" s="582"/>
      <c r="Q280" s="582"/>
      <c r="R280" s="582"/>
      <c r="S280" s="582"/>
      <c r="T280" s="583"/>
      <c r="U280" s="327"/>
      <c r="V280" s="327"/>
      <c r="W280" s="327"/>
      <c r="X280" s="327"/>
      <c r="Y280" s="327"/>
      <c r="AL280" s="582"/>
      <c r="AM280" s="582"/>
    </row>
    <row r="281" spans="1:39" s="186" customFormat="1" x14ac:dyDescent="0.25">
      <c r="A281" s="582"/>
      <c r="B281" s="582"/>
      <c r="C281" s="582"/>
      <c r="D281" s="582"/>
      <c r="E281" s="582"/>
      <c r="F281" s="582"/>
      <c r="G281" s="582"/>
      <c r="H281" s="582"/>
      <c r="I281" s="582"/>
      <c r="J281" s="582"/>
      <c r="K281" s="582"/>
      <c r="L281" s="582"/>
      <c r="M281" s="582"/>
      <c r="N281" s="582"/>
      <c r="O281" s="582"/>
      <c r="P281" s="582"/>
      <c r="Q281" s="582"/>
      <c r="R281" s="582"/>
      <c r="S281" s="582"/>
      <c r="T281" s="583"/>
      <c r="U281" s="327"/>
      <c r="V281" s="327"/>
      <c r="W281" s="327"/>
      <c r="X281" s="327"/>
      <c r="Y281" s="327"/>
      <c r="AL281" s="582"/>
      <c r="AM281" s="582"/>
    </row>
    <row r="282" spans="1:39" s="186" customFormat="1" x14ac:dyDescent="0.25">
      <c r="A282" s="582"/>
      <c r="B282" s="582"/>
      <c r="C282" s="582"/>
      <c r="D282" s="582"/>
      <c r="E282" s="582"/>
      <c r="F282" s="582"/>
      <c r="G282" s="582"/>
      <c r="H282" s="582"/>
      <c r="I282" s="582"/>
      <c r="J282" s="582"/>
      <c r="K282" s="582"/>
      <c r="L282" s="582"/>
      <c r="M282" s="582"/>
      <c r="N282" s="582"/>
      <c r="O282" s="582"/>
      <c r="P282" s="582"/>
      <c r="Q282" s="582"/>
      <c r="R282" s="582"/>
      <c r="S282" s="582"/>
      <c r="T282" s="583"/>
      <c r="U282" s="327"/>
      <c r="V282" s="327"/>
      <c r="W282" s="327"/>
      <c r="X282" s="327"/>
      <c r="Y282" s="327"/>
      <c r="AL282" s="582"/>
      <c r="AM282" s="582"/>
    </row>
    <row r="283" spans="1:39" s="186" customFormat="1" x14ac:dyDescent="0.25">
      <c r="A283" s="582"/>
      <c r="B283" s="582"/>
      <c r="C283" s="582"/>
      <c r="D283" s="582"/>
      <c r="E283" s="582"/>
      <c r="F283" s="582"/>
      <c r="G283" s="582"/>
      <c r="H283" s="582"/>
      <c r="I283" s="582"/>
      <c r="J283" s="582"/>
      <c r="K283" s="582"/>
      <c r="L283" s="582"/>
      <c r="M283" s="582"/>
      <c r="N283" s="582"/>
      <c r="O283" s="582"/>
      <c r="P283" s="582"/>
      <c r="Q283" s="582"/>
      <c r="R283" s="582"/>
      <c r="S283" s="582"/>
      <c r="T283" s="583"/>
      <c r="U283" s="327"/>
      <c r="V283" s="327"/>
      <c r="W283" s="327"/>
      <c r="X283" s="327"/>
      <c r="Y283" s="327"/>
      <c r="AL283" s="582"/>
      <c r="AM283" s="582"/>
    </row>
    <row r="284" spans="1:39" s="186" customFormat="1" x14ac:dyDescent="0.25">
      <c r="A284" s="582"/>
      <c r="B284" s="582"/>
      <c r="C284" s="582"/>
      <c r="D284" s="582"/>
      <c r="E284" s="582"/>
      <c r="F284" s="582"/>
      <c r="G284" s="582"/>
      <c r="H284" s="582"/>
      <c r="I284" s="582"/>
      <c r="J284" s="582"/>
      <c r="K284" s="582"/>
      <c r="L284" s="582"/>
      <c r="M284" s="582"/>
      <c r="N284" s="582"/>
      <c r="O284" s="582"/>
      <c r="P284" s="582"/>
      <c r="Q284" s="582"/>
      <c r="R284" s="582"/>
      <c r="S284" s="582"/>
      <c r="T284" s="583"/>
      <c r="U284" s="327"/>
      <c r="V284" s="327"/>
      <c r="W284" s="327"/>
      <c r="X284" s="327"/>
      <c r="Y284" s="327"/>
      <c r="AL284" s="582"/>
      <c r="AM284" s="582"/>
    </row>
    <row r="285" spans="1:39" s="186" customFormat="1" x14ac:dyDescent="0.25">
      <c r="A285" s="582"/>
      <c r="B285" s="582"/>
      <c r="C285" s="582"/>
      <c r="D285" s="582"/>
      <c r="E285" s="582"/>
      <c r="F285" s="582"/>
      <c r="G285" s="582"/>
      <c r="H285" s="582"/>
      <c r="I285" s="582"/>
      <c r="J285" s="582"/>
      <c r="K285" s="582"/>
      <c r="L285" s="582"/>
      <c r="M285" s="582"/>
      <c r="N285" s="582"/>
      <c r="O285" s="582"/>
      <c r="P285" s="582"/>
      <c r="Q285" s="582"/>
      <c r="R285" s="582"/>
      <c r="S285" s="582"/>
      <c r="T285" s="583"/>
      <c r="U285" s="327"/>
      <c r="V285" s="327"/>
      <c r="W285" s="327"/>
      <c r="X285" s="327"/>
      <c r="Y285" s="327"/>
      <c r="AL285" s="582"/>
      <c r="AM285" s="582"/>
    </row>
    <row r="286" spans="1:39" s="186" customFormat="1" x14ac:dyDescent="0.25">
      <c r="A286" s="582"/>
      <c r="B286" s="582"/>
      <c r="C286" s="582"/>
      <c r="D286" s="582"/>
      <c r="E286" s="582"/>
      <c r="F286" s="582"/>
      <c r="G286" s="582"/>
      <c r="H286" s="582"/>
      <c r="I286" s="582"/>
      <c r="J286" s="582"/>
      <c r="K286" s="582"/>
      <c r="L286" s="582"/>
      <c r="M286" s="582"/>
      <c r="N286" s="582"/>
      <c r="O286" s="582"/>
      <c r="P286" s="582"/>
      <c r="Q286" s="582"/>
      <c r="R286" s="582"/>
      <c r="S286" s="582"/>
      <c r="T286" s="583"/>
      <c r="U286" s="327"/>
      <c r="V286" s="327"/>
      <c r="W286" s="327"/>
      <c r="X286" s="327"/>
      <c r="Y286" s="327"/>
      <c r="AL286" s="582"/>
      <c r="AM286" s="582"/>
    </row>
    <row r="287" spans="1:39" s="186" customFormat="1" x14ac:dyDescent="0.25">
      <c r="A287" s="582"/>
      <c r="B287" s="582"/>
      <c r="C287" s="582"/>
      <c r="D287" s="582"/>
      <c r="E287" s="582"/>
      <c r="F287" s="582"/>
      <c r="G287" s="582"/>
      <c r="H287" s="582"/>
      <c r="I287" s="582"/>
      <c r="J287" s="582"/>
      <c r="K287" s="582"/>
      <c r="L287" s="582"/>
      <c r="M287" s="582"/>
      <c r="N287" s="582"/>
      <c r="O287" s="582"/>
      <c r="P287" s="582"/>
      <c r="Q287" s="582"/>
      <c r="R287" s="582"/>
      <c r="S287" s="582"/>
      <c r="T287" s="583"/>
      <c r="U287" s="327"/>
      <c r="V287" s="327"/>
      <c r="W287" s="327"/>
      <c r="X287" s="327"/>
      <c r="Y287" s="327"/>
      <c r="AL287" s="582"/>
      <c r="AM287" s="582"/>
    </row>
    <row r="288" spans="1:39" s="186" customFormat="1" x14ac:dyDescent="0.25">
      <c r="A288" s="582"/>
      <c r="B288" s="582"/>
      <c r="C288" s="582"/>
      <c r="D288" s="582"/>
      <c r="E288" s="582"/>
      <c r="F288" s="582"/>
      <c r="G288" s="582"/>
      <c r="H288" s="582"/>
      <c r="I288" s="582"/>
      <c r="J288" s="582"/>
      <c r="K288" s="582"/>
      <c r="L288" s="582"/>
      <c r="M288" s="582"/>
      <c r="N288" s="582"/>
      <c r="O288" s="582"/>
      <c r="P288" s="582"/>
      <c r="Q288" s="582"/>
      <c r="R288" s="582"/>
      <c r="S288" s="582"/>
      <c r="T288" s="583"/>
      <c r="U288" s="327"/>
      <c r="V288" s="327"/>
      <c r="W288" s="327"/>
      <c r="X288" s="327"/>
      <c r="Y288" s="327"/>
      <c r="AL288" s="582"/>
      <c r="AM288" s="582"/>
    </row>
    <row r="289" spans="1:39" s="186" customFormat="1" x14ac:dyDescent="0.25">
      <c r="A289" s="582"/>
      <c r="B289" s="582"/>
      <c r="C289" s="582"/>
      <c r="D289" s="582"/>
      <c r="E289" s="582"/>
      <c r="F289" s="582"/>
      <c r="G289" s="582"/>
      <c r="H289" s="582"/>
      <c r="I289" s="582"/>
      <c r="J289" s="582"/>
      <c r="K289" s="582"/>
      <c r="L289" s="582"/>
      <c r="M289" s="582"/>
      <c r="N289" s="582"/>
      <c r="O289" s="582"/>
      <c r="P289" s="582"/>
      <c r="Q289" s="582"/>
      <c r="R289" s="582"/>
      <c r="S289" s="582"/>
      <c r="T289" s="583"/>
      <c r="U289" s="327"/>
      <c r="V289" s="327"/>
      <c r="W289" s="327"/>
      <c r="X289" s="327"/>
      <c r="Y289" s="327"/>
      <c r="AL289" s="582"/>
      <c r="AM289" s="582"/>
    </row>
    <row r="290" spans="1:39" s="186" customFormat="1" x14ac:dyDescent="0.25">
      <c r="A290" s="582"/>
      <c r="B290" s="582"/>
      <c r="C290" s="582"/>
      <c r="D290" s="582"/>
      <c r="E290" s="582"/>
      <c r="F290" s="582"/>
      <c r="G290" s="582"/>
      <c r="H290" s="582"/>
      <c r="I290" s="582"/>
      <c r="J290" s="582"/>
      <c r="K290" s="582"/>
      <c r="L290" s="582"/>
      <c r="M290" s="582"/>
      <c r="N290" s="582"/>
      <c r="O290" s="582"/>
      <c r="P290" s="582"/>
      <c r="Q290" s="582"/>
      <c r="R290" s="582"/>
      <c r="S290" s="582"/>
      <c r="T290" s="583"/>
      <c r="U290" s="327"/>
      <c r="V290" s="327"/>
      <c r="W290" s="327"/>
      <c r="X290" s="327"/>
      <c r="Y290" s="327"/>
      <c r="AL290" s="582"/>
      <c r="AM290" s="582"/>
    </row>
    <row r="291" spans="1:39" s="186" customFormat="1" x14ac:dyDescent="0.25">
      <c r="A291" s="582"/>
      <c r="B291" s="582"/>
      <c r="C291" s="582"/>
      <c r="D291" s="582"/>
      <c r="E291" s="582"/>
      <c r="F291" s="582"/>
      <c r="G291" s="582"/>
      <c r="H291" s="582"/>
      <c r="I291" s="582"/>
      <c r="J291" s="582"/>
      <c r="K291" s="582"/>
      <c r="L291" s="582"/>
      <c r="M291" s="582"/>
      <c r="N291" s="582"/>
      <c r="O291" s="582"/>
      <c r="P291" s="582"/>
      <c r="Q291" s="582"/>
      <c r="R291" s="582"/>
      <c r="S291" s="582"/>
      <c r="T291" s="583"/>
      <c r="U291" s="327"/>
      <c r="V291" s="327"/>
      <c r="W291" s="327"/>
      <c r="X291" s="327"/>
      <c r="Y291" s="327"/>
      <c r="AL291" s="582"/>
      <c r="AM291" s="582"/>
    </row>
    <row r="292" spans="1:39" s="186" customFormat="1" x14ac:dyDescent="0.25">
      <c r="A292" s="582"/>
      <c r="B292" s="582"/>
      <c r="C292" s="582"/>
      <c r="D292" s="582"/>
      <c r="E292" s="582"/>
      <c r="F292" s="582"/>
      <c r="G292" s="582"/>
      <c r="H292" s="582"/>
      <c r="I292" s="582"/>
      <c r="J292" s="582"/>
      <c r="K292" s="582"/>
      <c r="L292" s="582"/>
      <c r="M292" s="582"/>
      <c r="N292" s="582"/>
      <c r="O292" s="582"/>
      <c r="P292" s="582"/>
      <c r="Q292" s="582"/>
      <c r="R292" s="582"/>
      <c r="S292" s="582"/>
      <c r="T292" s="583"/>
      <c r="U292" s="327"/>
      <c r="V292" s="327"/>
      <c r="W292" s="327"/>
      <c r="X292" s="327"/>
      <c r="Y292" s="327"/>
      <c r="AL292" s="582"/>
      <c r="AM292" s="582"/>
    </row>
    <row r="293" spans="1:39" s="186" customFormat="1" x14ac:dyDescent="0.25">
      <c r="A293" s="582"/>
      <c r="B293" s="582"/>
      <c r="C293" s="582"/>
      <c r="D293" s="582"/>
      <c r="E293" s="582"/>
      <c r="F293" s="582"/>
      <c r="G293" s="582"/>
      <c r="H293" s="582"/>
      <c r="I293" s="582"/>
      <c r="J293" s="582"/>
      <c r="K293" s="582"/>
      <c r="L293" s="582"/>
      <c r="M293" s="582"/>
      <c r="N293" s="582"/>
      <c r="O293" s="582"/>
      <c r="P293" s="582"/>
      <c r="Q293" s="582"/>
      <c r="R293" s="582"/>
      <c r="S293" s="582"/>
      <c r="T293" s="583"/>
      <c r="U293" s="327"/>
      <c r="V293" s="327"/>
      <c r="W293" s="327"/>
      <c r="X293" s="327"/>
      <c r="Y293" s="327"/>
      <c r="AL293" s="582"/>
      <c r="AM293" s="582"/>
    </row>
    <row r="294" spans="1:39" s="186" customFormat="1" x14ac:dyDescent="0.25">
      <c r="A294" s="582"/>
      <c r="B294" s="582"/>
      <c r="C294" s="582"/>
      <c r="D294" s="582"/>
      <c r="E294" s="582"/>
      <c r="F294" s="582"/>
      <c r="G294" s="582"/>
      <c r="H294" s="582"/>
      <c r="I294" s="582"/>
      <c r="J294" s="582"/>
      <c r="K294" s="582"/>
      <c r="L294" s="582"/>
      <c r="M294" s="582"/>
      <c r="N294" s="582"/>
      <c r="O294" s="582"/>
      <c r="P294" s="582"/>
      <c r="Q294" s="582"/>
      <c r="R294" s="582"/>
      <c r="S294" s="582"/>
      <c r="T294" s="583"/>
      <c r="U294" s="327"/>
      <c r="V294" s="327"/>
      <c r="W294" s="327"/>
      <c r="X294" s="327"/>
      <c r="Y294" s="327"/>
      <c r="AL294" s="582"/>
      <c r="AM294" s="582"/>
    </row>
    <row r="295" spans="1:39" s="186" customFormat="1" x14ac:dyDescent="0.25">
      <c r="A295" s="582"/>
      <c r="B295" s="582"/>
      <c r="C295" s="582"/>
      <c r="D295" s="582"/>
      <c r="E295" s="582"/>
      <c r="F295" s="582"/>
      <c r="G295" s="582"/>
      <c r="H295" s="582"/>
      <c r="I295" s="582"/>
      <c r="J295" s="582"/>
      <c r="K295" s="582"/>
      <c r="L295" s="582"/>
      <c r="M295" s="582"/>
      <c r="N295" s="582"/>
      <c r="O295" s="582"/>
      <c r="P295" s="582"/>
      <c r="Q295" s="582"/>
      <c r="R295" s="582"/>
      <c r="S295" s="582"/>
      <c r="T295" s="583"/>
      <c r="U295" s="327"/>
      <c r="V295" s="327"/>
      <c r="W295" s="327"/>
      <c r="X295" s="327"/>
      <c r="Y295" s="327"/>
      <c r="AL295" s="582"/>
      <c r="AM295" s="582"/>
    </row>
    <row r="296" spans="1:39" s="186" customFormat="1" x14ac:dyDescent="0.25">
      <c r="A296" s="582"/>
      <c r="B296" s="582"/>
      <c r="C296" s="582"/>
      <c r="D296" s="582"/>
      <c r="E296" s="582"/>
      <c r="F296" s="582"/>
      <c r="G296" s="582"/>
      <c r="H296" s="582"/>
      <c r="I296" s="582"/>
      <c r="J296" s="582"/>
      <c r="K296" s="582"/>
      <c r="L296" s="582"/>
      <c r="M296" s="582"/>
      <c r="N296" s="582"/>
      <c r="O296" s="582"/>
      <c r="P296" s="582"/>
      <c r="Q296" s="582"/>
      <c r="R296" s="582"/>
      <c r="S296" s="582"/>
      <c r="T296" s="583"/>
      <c r="U296" s="327"/>
      <c r="V296" s="327"/>
      <c r="W296" s="327"/>
      <c r="X296" s="327"/>
      <c r="Y296" s="327"/>
      <c r="AL296" s="582"/>
      <c r="AM296" s="582"/>
    </row>
    <row r="297" spans="1:39" s="186" customFormat="1" x14ac:dyDescent="0.25">
      <c r="A297" s="582"/>
      <c r="B297" s="582"/>
      <c r="C297" s="582"/>
      <c r="D297" s="582"/>
      <c r="E297" s="582"/>
      <c r="F297" s="582"/>
      <c r="G297" s="582"/>
      <c r="H297" s="582"/>
      <c r="I297" s="582"/>
      <c r="J297" s="582"/>
      <c r="K297" s="582"/>
      <c r="L297" s="582"/>
      <c r="M297" s="582"/>
      <c r="N297" s="582"/>
      <c r="O297" s="582"/>
      <c r="P297" s="582"/>
      <c r="Q297" s="582"/>
      <c r="R297" s="582"/>
      <c r="S297" s="582"/>
      <c r="T297" s="583"/>
      <c r="U297" s="327"/>
      <c r="V297" s="327"/>
      <c r="W297" s="327"/>
      <c r="X297" s="327"/>
      <c r="Y297" s="327"/>
      <c r="AL297" s="582"/>
      <c r="AM297" s="582"/>
    </row>
    <row r="298" spans="1:39" s="186" customFormat="1" x14ac:dyDescent="0.25">
      <c r="A298" s="582"/>
      <c r="B298" s="582"/>
      <c r="C298" s="582"/>
      <c r="D298" s="582"/>
      <c r="E298" s="582"/>
      <c r="F298" s="582"/>
      <c r="G298" s="582"/>
      <c r="H298" s="582"/>
      <c r="I298" s="582"/>
      <c r="J298" s="582"/>
      <c r="K298" s="582"/>
      <c r="L298" s="582"/>
      <c r="M298" s="582"/>
      <c r="N298" s="582"/>
      <c r="O298" s="582"/>
      <c r="P298" s="582"/>
      <c r="Q298" s="582"/>
      <c r="R298" s="582"/>
      <c r="S298" s="582"/>
      <c r="T298" s="583"/>
      <c r="U298" s="327"/>
      <c r="V298" s="327"/>
      <c r="W298" s="327"/>
      <c r="X298" s="327"/>
      <c r="Y298" s="327"/>
      <c r="AL298" s="582"/>
      <c r="AM298" s="582"/>
    </row>
    <row r="299" spans="1:39" s="186" customFormat="1" x14ac:dyDescent="0.25">
      <c r="A299" s="582"/>
      <c r="B299" s="582"/>
      <c r="C299" s="582"/>
      <c r="D299" s="582"/>
      <c r="E299" s="582"/>
      <c r="F299" s="582"/>
      <c r="G299" s="582"/>
      <c r="H299" s="582"/>
      <c r="I299" s="582"/>
      <c r="J299" s="582"/>
      <c r="K299" s="582"/>
      <c r="L299" s="582"/>
      <c r="M299" s="582"/>
      <c r="N299" s="582"/>
      <c r="O299" s="582"/>
      <c r="P299" s="582"/>
      <c r="Q299" s="582"/>
      <c r="R299" s="582"/>
      <c r="S299" s="582"/>
      <c r="T299" s="583"/>
      <c r="U299" s="327"/>
      <c r="V299" s="327"/>
      <c r="W299" s="327"/>
      <c r="X299" s="327"/>
      <c r="Y299" s="327"/>
      <c r="AL299" s="582"/>
      <c r="AM299" s="582"/>
    </row>
    <row r="300" spans="1:39" s="186" customFormat="1" x14ac:dyDescent="0.25">
      <c r="A300" s="582"/>
      <c r="B300" s="582"/>
      <c r="C300" s="582"/>
      <c r="D300" s="582"/>
      <c r="E300" s="582"/>
      <c r="F300" s="582"/>
      <c r="G300" s="582"/>
      <c r="H300" s="582"/>
      <c r="I300" s="582"/>
      <c r="J300" s="582"/>
      <c r="K300" s="582"/>
      <c r="L300" s="582"/>
      <c r="M300" s="582"/>
      <c r="N300" s="582"/>
      <c r="O300" s="582"/>
      <c r="P300" s="582"/>
      <c r="Q300" s="582"/>
      <c r="R300" s="582"/>
      <c r="S300" s="582"/>
      <c r="T300" s="583"/>
      <c r="U300" s="327"/>
      <c r="V300" s="327"/>
      <c r="W300" s="327"/>
      <c r="X300" s="327"/>
      <c r="Y300" s="327"/>
      <c r="AL300" s="582"/>
      <c r="AM300" s="582"/>
    </row>
    <row r="301" spans="1:39" s="186" customFormat="1" x14ac:dyDescent="0.25">
      <c r="A301" s="582"/>
      <c r="B301" s="582"/>
      <c r="C301" s="582"/>
      <c r="D301" s="582"/>
      <c r="E301" s="582"/>
      <c r="F301" s="582"/>
      <c r="G301" s="582"/>
      <c r="H301" s="582"/>
      <c r="I301" s="582"/>
      <c r="J301" s="582"/>
      <c r="K301" s="582"/>
      <c r="L301" s="582"/>
      <c r="M301" s="582"/>
      <c r="N301" s="582"/>
      <c r="O301" s="582"/>
      <c r="P301" s="582"/>
      <c r="Q301" s="582"/>
      <c r="R301" s="582"/>
      <c r="S301" s="582"/>
      <c r="T301" s="583"/>
      <c r="U301" s="327"/>
      <c r="V301" s="327"/>
      <c r="W301" s="327"/>
      <c r="X301" s="327"/>
      <c r="Y301" s="327"/>
      <c r="AL301" s="582"/>
      <c r="AM301" s="582"/>
    </row>
    <row r="302" spans="1:39" s="186" customFormat="1" x14ac:dyDescent="0.25">
      <c r="A302" s="582"/>
      <c r="B302" s="582"/>
      <c r="C302" s="582"/>
      <c r="D302" s="582"/>
      <c r="E302" s="582"/>
      <c r="F302" s="582"/>
      <c r="G302" s="582"/>
      <c r="H302" s="582"/>
      <c r="I302" s="582"/>
      <c r="J302" s="582"/>
      <c r="K302" s="582"/>
      <c r="L302" s="582"/>
      <c r="M302" s="582"/>
      <c r="N302" s="582"/>
      <c r="O302" s="582"/>
      <c r="P302" s="582"/>
      <c r="Q302" s="582"/>
      <c r="R302" s="582"/>
      <c r="S302" s="582"/>
      <c r="T302" s="583"/>
      <c r="U302" s="327"/>
      <c r="V302" s="327"/>
      <c r="W302" s="327"/>
      <c r="X302" s="327"/>
      <c r="Y302" s="327"/>
      <c r="AL302" s="582"/>
      <c r="AM302" s="582"/>
    </row>
    <row r="303" spans="1:39" s="186" customFormat="1" x14ac:dyDescent="0.25">
      <c r="A303" s="582"/>
      <c r="B303" s="582"/>
      <c r="C303" s="582"/>
      <c r="D303" s="582"/>
      <c r="E303" s="582"/>
      <c r="F303" s="582"/>
      <c r="G303" s="582"/>
      <c r="H303" s="582"/>
      <c r="I303" s="582"/>
      <c r="J303" s="582"/>
      <c r="K303" s="582"/>
      <c r="L303" s="582"/>
      <c r="M303" s="582"/>
      <c r="N303" s="582"/>
      <c r="O303" s="582"/>
      <c r="P303" s="582"/>
      <c r="Q303" s="582"/>
      <c r="R303" s="582"/>
      <c r="S303" s="582"/>
      <c r="T303" s="583"/>
      <c r="U303" s="327"/>
      <c r="V303" s="327"/>
      <c r="W303" s="327"/>
      <c r="X303" s="327"/>
      <c r="Y303" s="327"/>
      <c r="AL303" s="582"/>
      <c r="AM303" s="582"/>
    </row>
    <row r="304" spans="1:39" s="186" customFormat="1" x14ac:dyDescent="0.25">
      <c r="A304" s="582"/>
      <c r="B304" s="582"/>
      <c r="C304" s="582"/>
      <c r="D304" s="582"/>
      <c r="E304" s="582"/>
      <c r="F304" s="582"/>
      <c r="G304" s="582"/>
      <c r="H304" s="582"/>
      <c r="I304" s="582"/>
      <c r="J304" s="582"/>
      <c r="K304" s="582"/>
      <c r="L304" s="582"/>
      <c r="M304" s="582"/>
      <c r="N304" s="582"/>
      <c r="O304" s="582"/>
      <c r="P304" s="582"/>
      <c r="Q304" s="582"/>
      <c r="R304" s="582"/>
      <c r="S304" s="582"/>
      <c r="T304" s="583"/>
      <c r="U304" s="327"/>
      <c r="V304" s="327"/>
      <c r="W304" s="327"/>
      <c r="X304" s="327"/>
      <c r="Y304" s="327"/>
      <c r="AL304" s="582"/>
      <c r="AM304" s="582"/>
    </row>
    <row r="305" spans="1:39" s="186" customFormat="1" x14ac:dyDescent="0.25">
      <c r="A305" s="582"/>
      <c r="B305" s="582"/>
      <c r="C305" s="582"/>
      <c r="D305" s="582"/>
      <c r="E305" s="582"/>
      <c r="F305" s="582"/>
      <c r="G305" s="582"/>
      <c r="H305" s="582"/>
      <c r="I305" s="582"/>
      <c r="J305" s="582"/>
      <c r="K305" s="582"/>
      <c r="L305" s="582"/>
      <c r="M305" s="582"/>
      <c r="N305" s="582"/>
      <c r="O305" s="582"/>
      <c r="P305" s="582"/>
      <c r="Q305" s="582"/>
      <c r="R305" s="582"/>
      <c r="S305" s="582"/>
      <c r="T305" s="583"/>
      <c r="U305" s="327"/>
      <c r="V305" s="327"/>
      <c r="W305" s="327"/>
      <c r="X305" s="327"/>
      <c r="Y305" s="327"/>
      <c r="AL305" s="582"/>
      <c r="AM305" s="582"/>
    </row>
    <row r="306" spans="1:39" s="186" customFormat="1" x14ac:dyDescent="0.25">
      <c r="A306" s="582"/>
      <c r="B306" s="582"/>
      <c r="C306" s="582"/>
      <c r="D306" s="582"/>
      <c r="E306" s="582"/>
      <c r="F306" s="582"/>
      <c r="G306" s="582"/>
      <c r="H306" s="582"/>
      <c r="I306" s="582"/>
      <c r="J306" s="582"/>
      <c r="K306" s="582"/>
      <c r="L306" s="582"/>
      <c r="M306" s="582"/>
      <c r="N306" s="582"/>
      <c r="O306" s="582"/>
      <c r="P306" s="582"/>
      <c r="Q306" s="582"/>
      <c r="R306" s="582"/>
      <c r="S306" s="582"/>
      <c r="T306" s="583"/>
      <c r="U306" s="327"/>
      <c r="V306" s="327"/>
      <c r="W306" s="327"/>
      <c r="X306" s="327"/>
      <c r="Y306" s="327"/>
      <c r="AL306" s="582"/>
      <c r="AM306" s="582"/>
    </row>
    <row r="307" spans="1:39" s="186" customFormat="1" x14ac:dyDescent="0.25">
      <c r="A307" s="582"/>
      <c r="B307" s="582"/>
      <c r="C307" s="582"/>
      <c r="D307" s="582"/>
      <c r="E307" s="582"/>
      <c r="F307" s="582"/>
      <c r="G307" s="582"/>
      <c r="H307" s="582"/>
      <c r="I307" s="582"/>
      <c r="J307" s="582"/>
      <c r="K307" s="582"/>
      <c r="L307" s="582"/>
      <c r="M307" s="582"/>
      <c r="N307" s="582"/>
      <c r="O307" s="582"/>
      <c r="P307" s="582"/>
      <c r="Q307" s="582"/>
      <c r="R307" s="582"/>
      <c r="S307" s="582"/>
      <c r="T307" s="583"/>
      <c r="U307" s="327"/>
      <c r="V307" s="327"/>
      <c r="W307" s="327"/>
      <c r="X307" s="327"/>
      <c r="Y307" s="327"/>
      <c r="AL307" s="582"/>
      <c r="AM307" s="582"/>
    </row>
    <row r="308" spans="1:39" s="186" customFormat="1" x14ac:dyDescent="0.25">
      <c r="A308" s="582"/>
      <c r="B308" s="582"/>
      <c r="C308" s="582"/>
      <c r="D308" s="582"/>
      <c r="E308" s="582"/>
      <c r="F308" s="582"/>
      <c r="G308" s="582"/>
      <c r="H308" s="582"/>
      <c r="I308" s="582"/>
      <c r="J308" s="582"/>
      <c r="K308" s="582"/>
      <c r="L308" s="582"/>
      <c r="M308" s="582"/>
      <c r="N308" s="582"/>
      <c r="O308" s="582"/>
      <c r="P308" s="582"/>
      <c r="Q308" s="582"/>
      <c r="R308" s="582"/>
      <c r="S308" s="582"/>
      <c r="T308" s="583"/>
      <c r="U308" s="327"/>
      <c r="V308" s="327"/>
      <c r="W308" s="327"/>
      <c r="X308" s="327"/>
      <c r="Y308" s="327"/>
      <c r="AL308" s="582"/>
      <c r="AM308" s="582"/>
    </row>
    <row r="309" spans="1:39" s="186" customFormat="1" x14ac:dyDescent="0.25">
      <c r="A309" s="582"/>
      <c r="B309" s="582"/>
      <c r="C309" s="582"/>
      <c r="D309" s="582"/>
      <c r="E309" s="582"/>
      <c r="F309" s="582"/>
      <c r="G309" s="582"/>
      <c r="H309" s="582"/>
      <c r="I309" s="582"/>
      <c r="J309" s="582"/>
      <c r="K309" s="582"/>
      <c r="L309" s="582"/>
      <c r="M309" s="582"/>
      <c r="N309" s="582"/>
      <c r="O309" s="582"/>
      <c r="P309" s="582"/>
      <c r="Q309" s="582"/>
      <c r="R309" s="582"/>
      <c r="S309" s="582"/>
      <c r="T309" s="583"/>
      <c r="U309" s="327"/>
      <c r="V309" s="327"/>
      <c r="W309" s="327"/>
      <c r="X309" s="327"/>
      <c r="Y309" s="327"/>
      <c r="AL309" s="582"/>
      <c r="AM309" s="582"/>
    </row>
    <row r="310" spans="1:39" s="186" customFormat="1" x14ac:dyDescent="0.25">
      <c r="A310" s="582"/>
      <c r="B310" s="582"/>
      <c r="C310" s="582"/>
      <c r="D310" s="582"/>
      <c r="E310" s="582"/>
      <c r="F310" s="582"/>
      <c r="G310" s="582"/>
      <c r="H310" s="582"/>
      <c r="I310" s="582"/>
      <c r="J310" s="582"/>
      <c r="K310" s="582"/>
      <c r="L310" s="582"/>
      <c r="M310" s="582"/>
      <c r="N310" s="582"/>
      <c r="O310" s="582"/>
      <c r="P310" s="582"/>
      <c r="Q310" s="582"/>
      <c r="R310" s="582"/>
      <c r="S310" s="582"/>
      <c r="T310" s="583"/>
      <c r="U310" s="327"/>
      <c r="V310" s="327"/>
      <c r="W310" s="327"/>
      <c r="X310" s="327"/>
      <c r="Y310" s="327"/>
      <c r="AL310" s="582"/>
      <c r="AM310" s="582"/>
    </row>
    <row r="311" spans="1:39" s="186" customFormat="1" x14ac:dyDescent="0.25">
      <c r="A311" s="582"/>
      <c r="B311" s="582"/>
      <c r="C311" s="582"/>
      <c r="D311" s="582"/>
      <c r="E311" s="582"/>
      <c r="F311" s="582"/>
      <c r="G311" s="582"/>
      <c r="H311" s="582"/>
      <c r="I311" s="582"/>
      <c r="J311" s="582"/>
      <c r="K311" s="582"/>
      <c r="L311" s="582"/>
      <c r="M311" s="582"/>
      <c r="N311" s="582"/>
      <c r="O311" s="582"/>
      <c r="P311" s="582"/>
      <c r="Q311" s="582"/>
      <c r="R311" s="582"/>
      <c r="S311" s="582"/>
      <c r="T311" s="583"/>
      <c r="U311" s="327"/>
      <c r="V311" s="327"/>
      <c r="W311" s="327"/>
      <c r="X311" s="327"/>
      <c r="Y311" s="327"/>
      <c r="AL311" s="582"/>
      <c r="AM311" s="582"/>
    </row>
    <row r="312" spans="1:39" s="186" customFormat="1" x14ac:dyDescent="0.25">
      <c r="A312" s="582"/>
      <c r="B312" s="582"/>
      <c r="C312" s="582"/>
      <c r="D312" s="582"/>
      <c r="E312" s="582"/>
      <c r="F312" s="582"/>
      <c r="G312" s="582"/>
      <c r="H312" s="582"/>
      <c r="I312" s="582"/>
      <c r="J312" s="582"/>
      <c r="K312" s="582"/>
      <c r="L312" s="582"/>
      <c r="M312" s="582"/>
      <c r="N312" s="582"/>
      <c r="O312" s="582"/>
      <c r="P312" s="582"/>
      <c r="Q312" s="582"/>
      <c r="R312" s="582"/>
      <c r="S312" s="582"/>
      <c r="T312" s="583"/>
      <c r="U312" s="327"/>
      <c r="V312" s="327"/>
      <c r="W312" s="327"/>
      <c r="X312" s="327"/>
      <c r="Y312" s="327"/>
      <c r="AL312" s="582"/>
      <c r="AM312" s="582"/>
    </row>
    <row r="313" spans="1:39" s="186" customFormat="1" x14ac:dyDescent="0.25">
      <c r="A313" s="582"/>
      <c r="B313" s="582"/>
      <c r="C313" s="582"/>
      <c r="D313" s="582"/>
      <c r="E313" s="582"/>
      <c r="F313" s="582"/>
      <c r="G313" s="582"/>
      <c r="H313" s="582"/>
      <c r="I313" s="582"/>
      <c r="J313" s="582"/>
      <c r="K313" s="582"/>
      <c r="L313" s="582"/>
      <c r="M313" s="582"/>
      <c r="N313" s="582"/>
      <c r="O313" s="582"/>
      <c r="P313" s="582"/>
      <c r="Q313" s="582"/>
      <c r="R313" s="582"/>
      <c r="S313" s="582"/>
      <c r="T313" s="583"/>
      <c r="U313" s="327"/>
      <c r="V313" s="327"/>
      <c r="W313" s="327"/>
      <c r="X313" s="327"/>
      <c r="Y313" s="327"/>
      <c r="AL313" s="582"/>
      <c r="AM313" s="582"/>
    </row>
    <row r="314" spans="1:39" s="186" customFormat="1" x14ac:dyDescent="0.25">
      <c r="A314" s="582"/>
      <c r="B314" s="582"/>
      <c r="C314" s="582"/>
      <c r="D314" s="582"/>
      <c r="E314" s="582"/>
      <c r="F314" s="582"/>
      <c r="G314" s="582"/>
      <c r="H314" s="582"/>
      <c r="I314" s="582"/>
      <c r="J314" s="582"/>
      <c r="K314" s="582"/>
      <c r="L314" s="582"/>
      <c r="M314" s="582"/>
      <c r="N314" s="582"/>
      <c r="O314" s="582"/>
      <c r="P314" s="582"/>
      <c r="Q314" s="582"/>
      <c r="R314" s="582"/>
      <c r="S314" s="582"/>
      <c r="T314" s="583"/>
      <c r="U314" s="327"/>
      <c r="V314" s="327"/>
      <c r="W314" s="327"/>
      <c r="X314" s="327"/>
      <c r="Y314" s="327"/>
      <c r="AL314" s="582"/>
      <c r="AM314" s="582"/>
    </row>
    <row r="315" spans="1:39" s="186" customFormat="1" x14ac:dyDescent="0.25">
      <c r="A315" s="582"/>
      <c r="B315" s="582"/>
      <c r="C315" s="582"/>
      <c r="D315" s="582"/>
      <c r="E315" s="582"/>
      <c r="F315" s="582"/>
      <c r="G315" s="582"/>
      <c r="H315" s="582"/>
      <c r="I315" s="582"/>
      <c r="J315" s="582"/>
      <c r="K315" s="582"/>
      <c r="L315" s="582"/>
      <c r="M315" s="582"/>
      <c r="N315" s="582"/>
      <c r="O315" s="582"/>
      <c r="P315" s="582"/>
      <c r="Q315" s="582"/>
      <c r="R315" s="582"/>
      <c r="S315" s="582"/>
      <c r="T315" s="583"/>
      <c r="U315" s="327"/>
      <c r="V315" s="327"/>
      <c r="W315" s="327"/>
      <c r="X315" s="327"/>
      <c r="Y315" s="327"/>
      <c r="AL315" s="582"/>
      <c r="AM315" s="582"/>
    </row>
    <row r="316" spans="1:39" s="186" customFormat="1" x14ac:dyDescent="0.25">
      <c r="A316" s="582"/>
      <c r="B316" s="582"/>
      <c r="C316" s="582"/>
      <c r="D316" s="582"/>
      <c r="E316" s="582"/>
      <c r="F316" s="582"/>
      <c r="G316" s="582"/>
      <c r="H316" s="582"/>
      <c r="I316" s="582"/>
      <c r="J316" s="582"/>
      <c r="K316" s="582"/>
      <c r="L316" s="582"/>
      <c r="M316" s="582"/>
      <c r="N316" s="582"/>
      <c r="O316" s="582"/>
      <c r="P316" s="582"/>
      <c r="Q316" s="582"/>
      <c r="R316" s="582"/>
      <c r="S316" s="582"/>
      <c r="T316" s="583"/>
      <c r="U316" s="327"/>
      <c r="V316" s="327"/>
      <c r="W316" s="327"/>
      <c r="X316" s="327"/>
      <c r="Y316" s="327"/>
      <c r="AL316" s="582"/>
      <c r="AM316" s="582"/>
    </row>
    <row r="317" spans="1:39" s="186" customFormat="1" x14ac:dyDescent="0.25">
      <c r="A317" s="582"/>
      <c r="B317" s="582"/>
      <c r="C317" s="582"/>
      <c r="D317" s="582"/>
      <c r="E317" s="582"/>
      <c r="F317" s="582"/>
      <c r="G317" s="582"/>
      <c r="H317" s="582"/>
      <c r="I317" s="582"/>
      <c r="J317" s="582"/>
      <c r="K317" s="582"/>
      <c r="L317" s="582"/>
      <c r="M317" s="582"/>
      <c r="N317" s="582"/>
      <c r="O317" s="582"/>
      <c r="P317" s="582"/>
      <c r="Q317" s="582"/>
      <c r="R317" s="582"/>
      <c r="S317" s="582"/>
      <c r="T317" s="583"/>
      <c r="U317" s="327"/>
      <c r="V317" s="327"/>
      <c r="W317" s="327"/>
      <c r="X317" s="327"/>
      <c r="Y317" s="327"/>
      <c r="AL317" s="582"/>
      <c r="AM317" s="582"/>
    </row>
    <row r="318" spans="1:39" s="186" customFormat="1" x14ac:dyDescent="0.25">
      <c r="A318" s="582"/>
      <c r="B318" s="582"/>
      <c r="C318" s="582"/>
      <c r="D318" s="582"/>
      <c r="E318" s="582"/>
      <c r="F318" s="582"/>
      <c r="G318" s="582"/>
      <c r="H318" s="582"/>
      <c r="I318" s="582"/>
      <c r="J318" s="582"/>
      <c r="K318" s="582"/>
      <c r="L318" s="582"/>
      <c r="M318" s="582"/>
      <c r="N318" s="582"/>
      <c r="O318" s="582"/>
      <c r="P318" s="582"/>
      <c r="Q318" s="582"/>
      <c r="R318" s="582"/>
      <c r="S318" s="582"/>
      <c r="T318" s="583"/>
      <c r="U318" s="327"/>
      <c r="V318" s="327"/>
      <c r="W318" s="327"/>
      <c r="X318" s="327"/>
      <c r="Y318" s="327"/>
      <c r="AL318" s="582"/>
      <c r="AM318" s="582"/>
    </row>
    <row r="319" spans="1:39" s="186" customFormat="1" x14ac:dyDescent="0.25">
      <c r="A319" s="582"/>
      <c r="B319" s="582"/>
      <c r="C319" s="582"/>
      <c r="D319" s="582"/>
      <c r="E319" s="582"/>
      <c r="F319" s="582"/>
      <c r="G319" s="582"/>
      <c r="H319" s="582"/>
      <c r="I319" s="582"/>
      <c r="J319" s="582"/>
      <c r="K319" s="582"/>
      <c r="L319" s="582"/>
      <c r="M319" s="582"/>
      <c r="N319" s="582"/>
      <c r="O319" s="582"/>
      <c r="P319" s="582"/>
      <c r="Q319" s="582"/>
      <c r="R319" s="582"/>
      <c r="S319" s="582"/>
      <c r="T319" s="583"/>
      <c r="U319" s="327"/>
      <c r="V319" s="327"/>
      <c r="W319" s="327"/>
      <c r="X319" s="327"/>
      <c r="Y319" s="327"/>
      <c r="AL319" s="582"/>
      <c r="AM319" s="582"/>
    </row>
    <row r="320" spans="1:39" s="186" customFormat="1" x14ac:dyDescent="0.25">
      <c r="A320" s="582"/>
      <c r="B320" s="582"/>
      <c r="C320" s="582"/>
      <c r="D320" s="582"/>
      <c r="E320" s="582"/>
      <c r="F320" s="582"/>
      <c r="G320" s="582"/>
      <c r="H320" s="582"/>
      <c r="I320" s="582"/>
      <c r="J320" s="582"/>
      <c r="K320" s="582"/>
      <c r="L320" s="582"/>
      <c r="M320" s="582"/>
      <c r="N320" s="582"/>
      <c r="O320" s="582"/>
      <c r="P320" s="582"/>
      <c r="Q320" s="582"/>
      <c r="R320" s="582"/>
      <c r="S320" s="582"/>
      <c r="T320" s="583"/>
      <c r="U320" s="327"/>
      <c r="V320" s="327"/>
      <c r="W320" s="327"/>
      <c r="X320" s="327"/>
      <c r="Y320" s="327"/>
      <c r="AL320" s="582"/>
      <c r="AM320" s="582"/>
    </row>
    <row r="321" spans="1:39" s="186" customFormat="1" x14ac:dyDescent="0.25">
      <c r="A321" s="582"/>
      <c r="B321" s="582"/>
      <c r="C321" s="582"/>
      <c r="D321" s="582"/>
      <c r="E321" s="582"/>
      <c r="F321" s="582"/>
      <c r="G321" s="582"/>
      <c r="H321" s="582"/>
      <c r="I321" s="582"/>
      <c r="J321" s="582"/>
      <c r="K321" s="582"/>
      <c r="L321" s="582"/>
      <c r="M321" s="582"/>
      <c r="N321" s="582"/>
      <c r="O321" s="582"/>
      <c r="P321" s="582"/>
      <c r="Q321" s="582"/>
      <c r="R321" s="582"/>
      <c r="S321" s="582"/>
      <c r="T321" s="583"/>
      <c r="U321" s="327"/>
      <c r="V321" s="327"/>
      <c r="W321" s="327"/>
      <c r="X321" s="327"/>
      <c r="Y321" s="327"/>
      <c r="AL321" s="582"/>
      <c r="AM321" s="582"/>
    </row>
    <row r="322" spans="1:39" s="186" customFormat="1" x14ac:dyDescent="0.25">
      <c r="A322" s="582"/>
      <c r="B322" s="582"/>
      <c r="C322" s="582"/>
      <c r="D322" s="582"/>
      <c r="E322" s="582"/>
      <c r="F322" s="582"/>
      <c r="G322" s="582"/>
      <c r="H322" s="582"/>
      <c r="I322" s="582"/>
      <c r="J322" s="582"/>
      <c r="K322" s="582"/>
      <c r="L322" s="582"/>
      <c r="M322" s="582"/>
      <c r="N322" s="582"/>
      <c r="O322" s="582"/>
      <c r="P322" s="582"/>
      <c r="Q322" s="582"/>
      <c r="R322" s="582"/>
      <c r="S322" s="582"/>
      <c r="T322" s="583"/>
      <c r="U322" s="327"/>
      <c r="V322" s="327"/>
      <c r="W322" s="327"/>
      <c r="X322" s="327"/>
      <c r="Y322" s="327"/>
      <c r="AL322" s="582"/>
      <c r="AM322" s="582"/>
    </row>
    <row r="323" spans="1:39" s="186" customFormat="1" x14ac:dyDescent="0.25">
      <c r="A323" s="582"/>
      <c r="B323" s="582"/>
      <c r="C323" s="582"/>
      <c r="D323" s="582"/>
      <c r="E323" s="582"/>
      <c r="F323" s="582"/>
      <c r="G323" s="582"/>
      <c r="H323" s="582"/>
      <c r="I323" s="582"/>
      <c r="J323" s="582"/>
      <c r="K323" s="582"/>
      <c r="L323" s="582"/>
      <c r="M323" s="582"/>
      <c r="N323" s="582"/>
      <c r="O323" s="582"/>
      <c r="P323" s="582"/>
      <c r="Q323" s="582"/>
      <c r="R323" s="582"/>
      <c r="S323" s="582"/>
      <c r="T323" s="583"/>
      <c r="U323" s="327"/>
      <c r="V323" s="327"/>
      <c r="W323" s="327"/>
      <c r="X323" s="327"/>
      <c r="Y323" s="327"/>
      <c r="AL323" s="582"/>
      <c r="AM323" s="582"/>
    </row>
    <row r="324" spans="1:39" s="186" customFormat="1" x14ac:dyDescent="0.25">
      <c r="A324" s="582"/>
      <c r="B324" s="582"/>
      <c r="C324" s="582"/>
      <c r="D324" s="582"/>
      <c r="E324" s="582"/>
      <c r="F324" s="582"/>
      <c r="G324" s="582"/>
      <c r="H324" s="582"/>
      <c r="I324" s="582"/>
      <c r="J324" s="582"/>
      <c r="K324" s="582"/>
      <c r="L324" s="582"/>
      <c r="M324" s="582"/>
      <c r="N324" s="582"/>
      <c r="O324" s="582"/>
      <c r="P324" s="582"/>
      <c r="Q324" s="582"/>
      <c r="R324" s="582"/>
      <c r="S324" s="582"/>
      <c r="T324" s="583"/>
      <c r="U324" s="327"/>
      <c r="V324" s="327"/>
      <c r="W324" s="327"/>
      <c r="X324" s="327"/>
      <c r="Y324" s="327"/>
      <c r="AL324" s="582"/>
      <c r="AM324" s="582"/>
    </row>
    <row r="325" spans="1:39" s="186" customFormat="1" x14ac:dyDescent="0.25">
      <c r="A325" s="582"/>
      <c r="B325" s="582"/>
      <c r="C325" s="582"/>
      <c r="D325" s="582"/>
      <c r="E325" s="582"/>
      <c r="F325" s="582"/>
      <c r="G325" s="582"/>
      <c r="H325" s="582"/>
      <c r="I325" s="582"/>
      <c r="J325" s="582"/>
      <c r="K325" s="582"/>
      <c r="L325" s="582"/>
      <c r="M325" s="582"/>
      <c r="N325" s="582"/>
      <c r="O325" s="582"/>
      <c r="P325" s="582"/>
      <c r="Q325" s="582"/>
      <c r="R325" s="582"/>
      <c r="S325" s="582"/>
      <c r="T325" s="583"/>
      <c r="U325" s="327"/>
      <c r="V325" s="327"/>
      <c r="W325" s="327"/>
      <c r="X325" s="327"/>
      <c r="Y325" s="327"/>
      <c r="AL325" s="582"/>
      <c r="AM325" s="582"/>
    </row>
    <row r="326" spans="1:39" s="186" customFormat="1" x14ac:dyDescent="0.25">
      <c r="A326" s="582"/>
      <c r="B326" s="582"/>
      <c r="C326" s="582"/>
      <c r="D326" s="582"/>
      <c r="E326" s="582"/>
      <c r="F326" s="582"/>
      <c r="G326" s="582"/>
      <c r="H326" s="582"/>
      <c r="I326" s="582"/>
      <c r="J326" s="582"/>
      <c r="K326" s="582"/>
      <c r="L326" s="582"/>
      <c r="M326" s="582"/>
      <c r="N326" s="582"/>
      <c r="O326" s="582"/>
      <c r="P326" s="582"/>
      <c r="Q326" s="582"/>
      <c r="R326" s="582"/>
      <c r="S326" s="582"/>
      <c r="T326" s="583"/>
      <c r="U326" s="327"/>
      <c r="V326" s="327"/>
      <c r="W326" s="327"/>
      <c r="X326" s="327"/>
      <c r="Y326" s="327"/>
      <c r="AL326" s="582"/>
      <c r="AM326" s="582"/>
    </row>
    <row r="327" spans="1:39" s="186" customFormat="1" x14ac:dyDescent="0.25">
      <c r="A327" s="582"/>
      <c r="B327" s="582"/>
      <c r="C327" s="582"/>
      <c r="D327" s="582"/>
      <c r="E327" s="582"/>
      <c r="F327" s="582"/>
      <c r="G327" s="582"/>
      <c r="H327" s="582"/>
      <c r="I327" s="582"/>
      <c r="J327" s="582"/>
      <c r="K327" s="582"/>
      <c r="L327" s="582"/>
      <c r="M327" s="582"/>
      <c r="N327" s="582"/>
      <c r="O327" s="582"/>
      <c r="P327" s="582"/>
      <c r="Q327" s="582"/>
      <c r="R327" s="582"/>
      <c r="S327" s="582"/>
      <c r="T327" s="583"/>
      <c r="U327" s="327"/>
      <c r="V327" s="327"/>
      <c r="W327" s="327"/>
      <c r="X327" s="327"/>
      <c r="Y327" s="327"/>
      <c r="AL327" s="582"/>
      <c r="AM327" s="582"/>
    </row>
    <row r="328" spans="1:39" s="186" customFormat="1" x14ac:dyDescent="0.25">
      <c r="A328" s="582"/>
      <c r="B328" s="582"/>
      <c r="C328" s="582"/>
      <c r="D328" s="582"/>
      <c r="E328" s="582"/>
      <c r="F328" s="582"/>
      <c r="G328" s="582"/>
      <c r="H328" s="582"/>
      <c r="I328" s="582"/>
      <c r="J328" s="582"/>
      <c r="K328" s="582"/>
      <c r="L328" s="582"/>
      <c r="M328" s="582"/>
      <c r="N328" s="582"/>
      <c r="O328" s="582"/>
      <c r="P328" s="582"/>
      <c r="Q328" s="582"/>
      <c r="R328" s="582"/>
      <c r="S328" s="582"/>
      <c r="T328" s="583"/>
      <c r="U328" s="327"/>
      <c r="V328" s="327"/>
      <c r="W328" s="327"/>
      <c r="X328" s="327"/>
      <c r="Y328" s="327"/>
      <c r="AL328" s="582"/>
      <c r="AM328" s="582"/>
    </row>
    <row r="329" spans="1:39" s="186" customFormat="1" x14ac:dyDescent="0.25">
      <c r="A329" s="582"/>
      <c r="B329" s="582"/>
      <c r="C329" s="582"/>
      <c r="D329" s="582"/>
      <c r="E329" s="582"/>
      <c r="F329" s="582"/>
      <c r="G329" s="582"/>
      <c r="H329" s="582"/>
      <c r="I329" s="582"/>
      <c r="J329" s="582"/>
      <c r="K329" s="582"/>
      <c r="L329" s="582"/>
      <c r="M329" s="582"/>
      <c r="N329" s="582"/>
      <c r="O329" s="582"/>
      <c r="P329" s="582"/>
      <c r="Q329" s="582"/>
      <c r="R329" s="582"/>
      <c r="S329" s="582"/>
      <c r="T329" s="583"/>
      <c r="U329" s="327"/>
      <c r="V329" s="327"/>
      <c r="W329" s="327"/>
      <c r="X329" s="327"/>
      <c r="Y329" s="327"/>
      <c r="AL329" s="582"/>
      <c r="AM329" s="582"/>
    </row>
    <row r="330" spans="1:39" s="186" customFormat="1" x14ac:dyDescent="0.25">
      <c r="A330" s="582"/>
      <c r="B330" s="582"/>
      <c r="C330" s="582"/>
      <c r="D330" s="582"/>
      <c r="E330" s="582"/>
      <c r="F330" s="582"/>
      <c r="G330" s="582"/>
      <c r="H330" s="582"/>
      <c r="I330" s="582"/>
      <c r="J330" s="582"/>
      <c r="K330" s="582"/>
      <c r="L330" s="582"/>
      <c r="M330" s="582"/>
      <c r="N330" s="582"/>
      <c r="O330" s="582"/>
      <c r="P330" s="582"/>
      <c r="Q330" s="582"/>
      <c r="R330" s="582"/>
      <c r="S330" s="582"/>
      <c r="T330" s="583"/>
      <c r="U330" s="327"/>
      <c r="V330" s="327"/>
      <c r="W330" s="327"/>
      <c r="X330" s="327"/>
      <c r="Y330" s="327"/>
      <c r="AL330" s="582"/>
      <c r="AM330" s="582"/>
    </row>
    <row r="331" spans="1:39" s="186" customFormat="1" x14ac:dyDescent="0.25">
      <c r="A331" s="582"/>
      <c r="B331" s="582"/>
      <c r="C331" s="582"/>
      <c r="D331" s="582"/>
      <c r="E331" s="582"/>
      <c r="F331" s="582"/>
      <c r="G331" s="582"/>
      <c r="H331" s="582"/>
      <c r="I331" s="582"/>
      <c r="J331" s="582"/>
      <c r="K331" s="582"/>
      <c r="L331" s="582"/>
      <c r="M331" s="582"/>
      <c r="N331" s="582"/>
      <c r="O331" s="582"/>
      <c r="P331" s="582"/>
      <c r="Q331" s="582"/>
      <c r="R331" s="582"/>
      <c r="S331" s="582"/>
      <c r="T331" s="583"/>
      <c r="U331" s="327"/>
      <c r="V331" s="327"/>
      <c r="W331" s="327"/>
      <c r="X331" s="327"/>
      <c r="Y331" s="327"/>
      <c r="AL331" s="582"/>
      <c r="AM331" s="582"/>
    </row>
    <row r="332" spans="1:39" s="186" customFormat="1" x14ac:dyDescent="0.25">
      <c r="A332" s="582"/>
      <c r="B332" s="582"/>
      <c r="C332" s="582"/>
      <c r="D332" s="582"/>
      <c r="E332" s="582"/>
      <c r="F332" s="582"/>
      <c r="G332" s="582"/>
      <c r="H332" s="582"/>
      <c r="I332" s="582"/>
      <c r="J332" s="582"/>
      <c r="K332" s="582"/>
      <c r="L332" s="582"/>
      <c r="M332" s="582"/>
      <c r="N332" s="582"/>
      <c r="O332" s="582"/>
      <c r="P332" s="582"/>
      <c r="Q332" s="582"/>
      <c r="R332" s="582"/>
      <c r="S332" s="582"/>
      <c r="T332" s="583"/>
      <c r="U332" s="327"/>
      <c r="V332" s="327"/>
      <c r="W332" s="327"/>
      <c r="X332" s="327"/>
      <c r="Y332" s="327"/>
      <c r="AL332" s="582"/>
      <c r="AM332" s="582"/>
    </row>
    <row r="333" spans="1:39" s="186" customFormat="1" x14ac:dyDescent="0.25">
      <c r="A333" s="582"/>
      <c r="B333" s="582"/>
      <c r="C333" s="582"/>
      <c r="D333" s="582"/>
      <c r="E333" s="582"/>
      <c r="F333" s="582"/>
      <c r="G333" s="582"/>
      <c r="H333" s="582"/>
      <c r="I333" s="582"/>
      <c r="J333" s="582"/>
      <c r="K333" s="582"/>
      <c r="L333" s="582"/>
      <c r="M333" s="582"/>
      <c r="N333" s="582"/>
      <c r="O333" s="582"/>
      <c r="P333" s="582"/>
      <c r="Q333" s="582"/>
      <c r="R333" s="582"/>
      <c r="S333" s="582"/>
      <c r="T333" s="583"/>
      <c r="U333" s="327"/>
      <c r="V333" s="327"/>
      <c r="W333" s="327"/>
      <c r="X333" s="327"/>
      <c r="Y333" s="327"/>
      <c r="AL333" s="582"/>
      <c r="AM333" s="582"/>
    </row>
    <row r="334" spans="1:39" s="186" customFormat="1" x14ac:dyDescent="0.25">
      <c r="A334" s="582"/>
      <c r="B334" s="582"/>
      <c r="C334" s="582"/>
      <c r="D334" s="582"/>
      <c r="E334" s="582"/>
      <c r="F334" s="582"/>
      <c r="G334" s="582"/>
      <c r="H334" s="582"/>
      <c r="I334" s="582"/>
      <c r="J334" s="582"/>
      <c r="K334" s="582"/>
      <c r="L334" s="582"/>
      <c r="M334" s="582"/>
      <c r="N334" s="582"/>
      <c r="O334" s="582"/>
      <c r="P334" s="582"/>
      <c r="Q334" s="582"/>
      <c r="R334" s="582"/>
      <c r="S334" s="582"/>
      <c r="T334" s="583"/>
      <c r="U334" s="327"/>
      <c r="V334" s="327"/>
      <c r="W334" s="327"/>
      <c r="X334" s="327"/>
      <c r="Y334" s="327"/>
      <c r="AL334" s="582"/>
      <c r="AM334" s="582"/>
    </row>
    <row r="335" spans="1:39" s="186" customFormat="1" x14ac:dyDescent="0.25">
      <c r="A335" s="582"/>
      <c r="B335" s="582"/>
      <c r="C335" s="582"/>
      <c r="D335" s="582"/>
      <c r="E335" s="582"/>
      <c r="F335" s="582"/>
      <c r="G335" s="582"/>
      <c r="H335" s="582"/>
      <c r="I335" s="582"/>
      <c r="J335" s="582"/>
      <c r="K335" s="582"/>
      <c r="L335" s="582"/>
      <c r="M335" s="582"/>
      <c r="N335" s="582"/>
      <c r="O335" s="582"/>
      <c r="P335" s="582"/>
      <c r="Q335" s="582"/>
      <c r="R335" s="582"/>
      <c r="S335" s="582"/>
      <c r="T335" s="583"/>
      <c r="U335" s="327"/>
      <c r="V335" s="327"/>
      <c r="W335" s="327"/>
      <c r="X335" s="327"/>
      <c r="Y335" s="327"/>
      <c r="AL335" s="582"/>
      <c r="AM335" s="582"/>
    </row>
    <row r="336" spans="1:39" s="186" customFormat="1" x14ac:dyDescent="0.25">
      <c r="A336" s="582"/>
      <c r="B336" s="582"/>
      <c r="C336" s="582"/>
      <c r="D336" s="582"/>
      <c r="E336" s="582"/>
      <c r="F336" s="582"/>
      <c r="G336" s="582"/>
      <c r="H336" s="582"/>
      <c r="I336" s="582"/>
      <c r="J336" s="582"/>
      <c r="K336" s="582"/>
      <c r="L336" s="582"/>
      <c r="M336" s="582"/>
      <c r="N336" s="582"/>
      <c r="O336" s="582"/>
      <c r="P336" s="582"/>
      <c r="Q336" s="582"/>
      <c r="R336" s="582"/>
      <c r="S336" s="582"/>
      <c r="T336" s="583"/>
      <c r="U336" s="327"/>
      <c r="V336" s="327"/>
      <c r="W336" s="327"/>
      <c r="X336" s="327"/>
      <c r="Y336" s="327"/>
      <c r="AL336" s="582"/>
      <c r="AM336" s="582"/>
    </row>
    <row r="337" spans="1:39" s="186" customFormat="1" x14ac:dyDescent="0.25">
      <c r="A337" s="582"/>
      <c r="B337" s="582"/>
      <c r="C337" s="582"/>
      <c r="D337" s="582"/>
      <c r="E337" s="582"/>
      <c r="F337" s="582"/>
      <c r="G337" s="582"/>
      <c r="H337" s="582"/>
      <c r="I337" s="582"/>
      <c r="J337" s="582"/>
      <c r="K337" s="582"/>
      <c r="L337" s="582"/>
      <c r="M337" s="582"/>
      <c r="N337" s="582"/>
      <c r="O337" s="582"/>
      <c r="P337" s="582"/>
      <c r="Q337" s="582"/>
      <c r="R337" s="582"/>
      <c r="S337" s="582"/>
      <c r="T337" s="583"/>
      <c r="U337" s="327"/>
      <c r="V337" s="327"/>
      <c r="W337" s="327"/>
      <c r="X337" s="327"/>
      <c r="Y337" s="327"/>
      <c r="AL337" s="582"/>
      <c r="AM337" s="582"/>
    </row>
    <row r="338" spans="1:39" s="186" customFormat="1" x14ac:dyDescent="0.25">
      <c r="A338" s="582"/>
      <c r="B338" s="582"/>
      <c r="C338" s="582"/>
      <c r="D338" s="582"/>
      <c r="E338" s="582"/>
      <c r="F338" s="582"/>
      <c r="G338" s="582"/>
      <c r="H338" s="582"/>
      <c r="I338" s="582"/>
      <c r="J338" s="582"/>
      <c r="K338" s="582"/>
      <c r="L338" s="582"/>
      <c r="M338" s="582"/>
      <c r="N338" s="582"/>
      <c r="O338" s="582"/>
      <c r="P338" s="582"/>
      <c r="Q338" s="582"/>
      <c r="R338" s="582"/>
      <c r="S338" s="582"/>
      <c r="T338" s="583"/>
      <c r="U338" s="327"/>
      <c r="V338" s="327"/>
      <c r="W338" s="327"/>
      <c r="X338" s="327"/>
      <c r="Y338" s="327"/>
      <c r="AL338" s="582"/>
      <c r="AM338" s="582"/>
    </row>
    <row r="339" spans="1:39" s="186" customFormat="1" x14ac:dyDescent="0.25">
      <c r="A339" s="582"/>
      <c r="B339" s="582"/>
      <c r="C339" s="582"/>
      <c r="D339" s="582"/>
      <c r="E339" s="582"/>
      <c r="F339" s="582"/>
      <c r="G339" s="582"/>
      <c r="H339" s="582"/>
      <c r="I339" s="582"/>
      <c r="J339" s="582"/>
      <c r="K339" s="582"/>
      <c r="L339" s="582"/>
      <c r="M339" s="582"/>
      <c r="N339" s="582"/>
      <c r="O339" s="582"/>
      <c r="P339" s="582"/>
      <c r="Q339" s="582"/>
      <c r="R339" s="582"/>
      <c r="S339" s="582"/>
      <c r="T339" s="583"/>
      <c r="U339" s="327"/>
      <c r="V339" s="327"/>
      <c r="W339" s="327"/>
      <c r="X339" s="327"/>
      <c r="Y339" s="327"/>
      <c r="AL339" s="582"/>
      <c r="AM339" s="582"/>
    </row>
    <row r="340" spans="1:39" s="186" customFormat="1" x14ac:dyDescent="0.25">
      <c r="A340" s="582"/>
      <c r="B340" s="582"/>
      <c r="C340" s="582"/>
      <c r="D340" s="582"/>
      <c r="E340" s="582"/>
      <c r="F340" s="582"/>
      <c r="G340" s="582"/>
      <c r="H340" s="582"/>
      <c r="I340" s="582"/>
      <c r="J340" s="582"/>
      <c r="K340" s="582"/>
      <c r="L340" s="582"/>
      <c r="M340" s="582"/>
      <c r="N340" s="582"/>
      <c r="O340" s="582"/>
      <c r="P340" s="582"/>
      <c r="Q340" s="582"/>
      <c r="R340" s="582"/>
      <c r="S340" s="582"/>
      <c r="T340" s="583"/>
      <c r="U340" s="327"/>
      <c r="V340" s="327"/>
      <c r="W340" s="327"/>
      <c r="X340" s="327"/>
      <c r="Y340" s="327"/>
      <c r="AL340" s="582"/>
      <c r="AM340" s="582"/>
    </row>
    <row r="341" spans="1:39" s="186" customFormat="1" x14ac:dyDescent="0.25">
      <c r="A341" s="582"/>
      <c r="B341" s="582"/>
      <c r="C341" s="582"/>
      <c r="D341" s="582"/>
      <c r="E341" s="582"/>
      <c r="F341" s="582"/>
      <c r="G341" s="582"/>
      <c r="H341" s="582"/>
      <c r="I341" s="582"/>
      <c r="J341" s="582"/>
      <c r="K341" s="582"/>
      <c r="L341" s="582"/>
      <c r="M341" s="582"/>
      <c r="N341" s="582"/>
      <c r="O341" s="582"/>
      <c r="P341" s="582"/>
      <c r="Q341" s="582"/>
      <c r="R341" s="582"/>
      <c r="S341" s="582"/>
      <c r="T341" s="583"/>
      <c r="U341" s="327"/>
      <c r="V341" s="327"/>
      <c r="W341" s="327"/>
      <c r="X341" s="327"/>
      <c r="Y341" s="327"/>
      <c r="AL341" s="582"/>
      <c r="AM341" s="582"/>
    </row>
    <row r="342" spans="1:39" s="186" customFormat="1" x14ac:dyDescent="0.25">
      <c r="A342" s="582"/>
      <c r="B342" s="582"/>
      <c r="C342" s="582"/>
      <c r="D342" s="582"/>
      <c r="E342" s="582"/>
      <c r="F342" s="582"/>
      <c r="G342" s="582"/>
      <c r="H342" s="582"/>
      <c r="I342" s="582"/>
      <c r="J342" s="582"/>
      <c r="K342" s="582"/>
      <c r="L342" s="582"/>
      <c r="M342" s="582"/>
      <c r="N342" s="582"/>
      <c r="O342" s="582"/>
      <c r="P342" s="582"/>
      <c r="Q342" s="582"/>
      <c r="R342" s="582"/>
      <c r="S342" s="582"/>
      <c r="T342" s="583"/>
      <c r="U342" s="327"/>
      <c r="V342" s="327"/>
      <c r="W342" s="327"/>
      <c r="X342" s="327"/>
      <c r="Y342" s="327"/>
      <c r="AL342" s="582"/>
      <c r="AM342" s="582"/>
    </row>
    <row r="343" spans="1:39" s="186" customFormat="1" x14ac:dyDescent="0.25">
      <c r="A343" s="582"/>
      <c r="B343" s="582"/>
      <c r="C343" s="582"/>
      <c r="D343" s="582"/>
      <c r="E343" s="582"/>
      <c r="F343" s="582"/>
      <c r="G343" s="582"/>
      <c r="H343" s="582"/>
      <c r="I343" s="582"/>
      <c r="J343" s="582"/>
      <c r="K343" s="582"/>
      <c r="L343" s="582"/>
      <c r="M343" s="582"/>
      <c r="N343" s="582"/>
      <c r="O343" s="582"/>
      <c r="P343" s="582"/>
      <c r="Q343" s="582"/>
      <c r="R343" s="582"/>
      <c r="S343" s="582"/>
      <c r="T343" s="583"/>
      <c r="U343" s="327"/>
      <c r="V343" s="327"/>
      <c r="W343" s="327"/>
      <c r="X343" s="327"/>
      <c r="Y343" s="327"/>
      <c r="AL343" s="582"/>
      <c r="AM343" s="582"/>
    </row>
    <row r="344" spans="1:39" s="186" customFormat="1" x14ac:dyDescent="0.25">
      <c r="A344" s="582"/>
      <c r="B344" s="582"/>
      <c r="C344" s="582"/>
      <c r="D344" s="582"/>
      <c r="E344" s="582"/>
      <c r="F344" s="582"/>
      <c r="G344" s="582"/>
      <c r="H344" s="582"/>
      <c r="I344" s="582"/>
      <c r="J344" s="582"/>
      <c r="K344" s="582"/>
      <c r="L344" s="582"/>
      <c r="M344" s="582"/>
      <c r="N344" s="582"/>
      <c r="O344" s="582"/>
      <c r="P344" s="582"/>
      <c r="Q344" s="582"/>
      <c r="R344" s="582"/>
      <c r="S344" s="582"/>
      <c r="T344" s="583"/>
      <c r="U344" s="327"/>
      <c r="V344" s="327"/>
      <c r="W344" s="327"/>
      <c r="X344" s="327"/>
      <c r="Y344" s="327"/>
      <c r="AL344" s="582"/>
      <c r="AM344" s="582"/>
    </row>
    <row r="345" spans="1:39" s="186" customFormat="1" x14ac:dyDescent="0.25">
      <c r="A345" s="582"/>
      <c r="B345" s="582"/>
      <c r="C345" s="582"/>
      <c r="D345" s="582"/>
      <c r="E345" s="582"/>
      <c r="F345" s="582"/>
      <c r="G345" s="582"/>
      <c r="H345" s="582"/>
      <c r="I345" s="582"/>
      <c r="J345" s="582"/>
      <c r="K345" s="582"/>
      <c r="L345" s="582"/>
      <c r="M345" s="582"/>
      <c r="N345" s="582"/>
      <c r="O345" s="582"/>
      <c r="P345" s="582"/>
      <c r="Q345" s="582"/>
      <c r="R345" s="582"/>
      <c r="S345" s="582"/>
      <c r="T345" s="583"/>
      <c r="U345" s="327"/>
      <c r="V345" s="327"/>
      <c r="W345" s="327"/>
      <c r="X345" s="327"/>
      <c r="Y345" s="327"/>
      <c r="AL345" s="582"/>
      <c r="AM345" s="582"/>
    </row>
    <row r="346" spans="1:39" s="186" customFormat="1" x14ac:dyDescent="0.25">
      <c r="A346" s="582"/>
      <c r="B346" s="582"/>
      <c r="C346" s="582"/>
      <c r="D346" s="582"/>
      <c r="E346" s="582"/>
      <c r="F346" s="582"/>
      <c r="G346" s="582"/>
      <c r="H346" s="582"/>
      <c r="I346" s="582"/>
      <c r="J346" s="582"/>
      <c r="K346" s="582"/>
      <c r="L346" s="582"/>
      <c r="M346" s="582"/>
      <c r="N346" s="582"/>
      <c r="O346" s="582"/>
      <c r="P346" s="582"/>
      <c r="Q346" s="582"/>
      <c r="R346" s="582"/>
      <c r="S346" s="582"/>
      <c r="T346" s="583"/>
      <c r="U346" s="327"/>
      <c r="V346" s="327"/>
      <c r="W346" s="327"/>
      <c r="X346" s="327"/>
      <c r="Y346" s="327"/>
      <c r="AL346" s="582"/>
      <c r="AM346" s="582"/>
    </row>
    <row r="347" spans="1:39" s="186" customFormat="1" x14ac:dyDescent="0.25">
      <c r="A347" s="582"/>
      <c r="B347" s="582"/>
      <c r="C347" s="582"/>
      <c r="D347" s="582"/>
      <c r="E347" s="582"/>
      <c r="F347" s="582"/>
      <c r="G347" s="582"/>
      <c r="H347" s="582"/>
      <c r="I347" s="582"/>
      <c r="J347" s="582"/>
      <c r="K347" s="582"/>
      <c r="L347" s="582"/>
      <c r="M347" s="582"/>
      <c r="N347" s="582"/>
      <c r="O347" s="582"/>
      <c r="P347" s="582"/>
      <c r="Q347" s="582"/>
      <c r="R347" s="582"/>
      <c r="S347" s="582"/>
      <c r="T347" s="583"/>
      <c r="U347" s="327"/>
      <c r="V347" s="327"/>
      <c r="W347" s="327"/>
      <c r="X347" s="327"/>
      <c r="Y347" s="327"/>
      <c r="AL347" s="582"/>
      <c r="AM347" s="582"/>
    </row>
    <row r="348" spans="1:39" s="186" customFormat="1" x14ac:dyDescent="0.25">
      <c r="A348" s="582"/>
      <c r="B348" s="582"/>
      <c r="C348" s="582"/>
      <c r="D348" s="582"/>
      <c r="E348" s="582"/>
      <c r="F348" s="582"/>
      <c r="G348" s="582"/>
      <c r="H348" s="582"/>
      <c r="I348" s="582"/>
      <c r="J348" s="582"/>
      <c r="K348" s="582"/>
      <c r="L348" s="582"/>
      <c r="M348" s="582"/>
      <c r="N348" s="582"/>
      <c r="O348" s="582"/>
      <c r="P348" s="582"/>
      <c r="Q348" s="582"/>
      <c r="R348" s="582"/>
      <c r="S348" s="582"/>
      <c r="T348" s="583"/>
      <c r="U348" s="327"/>
      <c r="V348" s="327"/>
      <c r="W348" s="327"/>
      <c r="X348" s="327"/>
      <c r="Y348" s="327"/>
      <c r="AL348" s="582"/>
      <c r="AM348" s="582"/>
    </row>
    <row r="349" spans="1:39" s="186" customFormat="1" x14ac:dyDescent="0.25">
      <c r="A349" s="582"/>
      <c r="B349" s="582"/>
      <c r="C349" s="582"/>
      <c r="D349" s="582"/>
      <c r="E349" s="582"/>
      <c r="F349" s="582"/>
      <c r="G349" s="582"/>
      <c r="H349" s="582"/>
      <c r="I349" s="582"/>
      <c r="J349" s="582"/>
      <c r="K349" s="582"/>
      <c r="L349" s="582"/>
      <c r="M349" s="582"/>
      <c r="N349" s="582"/>
      <c r="O349" s="582"/>
      <c r="P349" s="582"/>
      <c r="Q349" s="582"/>
      <c r="R349" s="582"/>
      <c r="S349" s="582"/>
      <c r="T349" s="583"/>
      <c r="U349" s="327"/>
      <c r="V349" s="327"/>
      <c r="W349" s="327"/>
      <c r="X349" s="327"/>
      <c r="Y349" s="327"/>
      <c r="AL349" s="582"/>
      <c r="AM349" s="582"/>
    </row>
    <row r="350" spans="1:39" s="186" customFormat="1" x14ac:dyDescent="0.25">
      <c r="A350" s="582"/>
      <c r="B350" s="582"/>
      <c r="C350" s="582"/>
      <c r="D350" s="582"/>
      <c r="E350" s="582"/>
      <c r="F350" s="582"/>
      <c r="G350" s="582"/>
      <c r="H350" s="582"/>
      <c r="I350" s="582"/>
      <c r="J350" s="582"/>
      <c r="K350" s="582"/>
      <c r="L350" s="582"/>
      <c r="M350" s="582"/>
      <c r="N350" s="582"/>
      <c r="O350" s="582"/>
      <c r="P350" s="582"/>
      <c r="Q350" s="582"/>
      <c r="R350" s="582"/>
      <c r="S350" s="582"/>
      <c r="T350" s="583"/>
      <c r="U350" s="327"/>
      <c r="V350" s="327"/>
      <c r="W350" s="327"/>
      <c r="X350" s="327"/>
      <c r="Y350" s="327"/>
      <c r="AL350" s="582"/>
      <c r="AM350" s="582"/>
    </row>
    <row r="351" spans="1:39" s="186" customFormat="1" x14ac:dyDescent="0.25">
      <c r="A351" s="582"/>
      <c r="B351" s="582"/>
      <c r="C351" s="582"/>
      <c r="D351" s="582"/>
      <c r="E351" s="582"/>
      <c r="F351" s="582"/>
      <c r="G351" s="582"/>
      <c r="H351" s="582"/>
      <c r="I351" s="582"/>
      <c r="J351" s="582"/>
      <c r="K351" s="582"/>
      <c r="L351" s="582"/>
      <c r="M351" s="582"/>
      <c r="N351" s="582"/>
      <c r="O351" s="582"/>
      <c r="P351" s="582"/>
      <c r="Q351" s="582"/>
      <c r="R351" s="582"/>
      <c r="S351" s="582"/>
      <c r="T351" s="583"/>
      <c r="U351" s="327"/>
      <c r="V351" s="327"/>
      <c r="W351" s="327"/>
      <c r="X351" s="327"/>
      <c r="Y351" s="327"/>
      <c r="AL351" s="582"/>
      <c r="AM351" s="582"/>
    </row>
    <row r="352" spans="1:39" s="186" customFormat="1" x14ac:dyDescent="0.25">
      <c r="A352" s="582"/>
      <c r="B352" s="582"/>
      <c r="C352" s="582"/>
      <c r="D352" s="582"/>
      <c r="E352" s="582"/>
      <c r="F352" s="582"/>
      <c r="G352" s="582"/>
      <c r="H352" s="582"/>
      <c r="I352" s="582"/>
      <c r="J352" s="582"/>
      <c r="K352" s="582"/>
      <c r="L352" s="582"/>
      <c r="M352" s="582"/>
      <c r="N352" s="582"/>
      <c r="O352" s="582"/>
      <c r="P352" s="582"/>
      <c r="Q352" s="582"/>
      <c r="R352" s="582"/>
      <c r="S352" s="582"/>
      <c r="T352" s="583"/>
      <c r="U352" s="327"/>
      <c r="V352" s="327"/>
      <c r="W352" s="327"/>
      <c r="X352" s="327"/>
      <c r="Y352" s="327"/>
      <c r="AL352" s="582"/>
      <c r="AM352" s="582"/>
    </row>
    <row r="353" spans="1:39" s="186" customFormat="1" x14ac:dyDescent="0.25">
      <c r="A353" s="582"/>
      <c r="B353" s="582"/>
      <c r="C353" s="582"/>
      <c r="D353" s="582"/>
      <c r="E353" s="582"/>
      <c r="F353" s="582"/>
      <c r="G353" s="582"/>
      <c r="H353" s="582"/>
      <c r="I353" s="582"/>
      <c r="J353" s="582"/>
      <c r="K353" s="582"/>
      <c r="L353" s="582"/>
      <c r="M353" s="582"/>
      <c r="N353" s="582"/>
      <c r="O353" s="582"/>
      <c r="P353" s="582"/>
      <c r="Q353" s="582"/>
      <c r="R353" s="582"/>
      <c r="S353" s="582"/>
      <c r="T353" s="583"/>
      <c r="U353" s="327"/>
      <c r="V353" s="327"/>
      <c r="W353" s="327"/>
      <c r="X353" s="327"/>
      <c r="Y353" s="327"/>
      <c r="AL353" s="582"/>
      <c r="AM353" s="582"/>
    </row>
    <row r="354" spans="1:39" s="186" customFormat="1" x14ac:dyDescent="0.25">
      <c r="A354" s="582"/>
      <c r="B354" s="582"/>
      <c r="C354" s="582"/>
      <c r="D354" s="582"/>
      <c r="E354" s="582"/>
      <c r="F354" s="582"/>
      <c r="G354" s="582"/>
      <c r="H354" s="582"/>
      <c r="I354" s="582"/>
      <c r="J354" s="582"/>
      <c r="K354" s="582"/>
      <c r="L354" s="582"/>
      <c r="M354" s="582"/>
      <c r="N354" s="582"/>
      <c r="O354" s="582"/>
      <c r="P354" s="582"/>
      <c r="Q354" s="582"/>
      <c r="R354" s="582"/>
      <c r="S354" s="582"/>
      <c r="T354" s="583"/>
      <c r="U354" s="327"/>
      <c r="V354" s="327"/>
      <c r="W354" s="327"/>
      <c r="X354" s="327"/>
      <c r="Y354" s="327"/>
      <c r="AL354" s="582"/>
      <c r="AM354" s="582"/>
    </row>
    <row r="355" spans="1:39" s="186" customFormat="1" x14ac:dyDescent="0.25">
      <c r="A355" s="582"/>
      <c r="B355" s="582"/>
      <c r="C355" s="582"/>
      <c r="D355" s="582"/>
      <c r="E355" s="582"/>
      <c r="F355" s="582"/>
      <c r="G355" s="582"/>
      <c r="H355" s="582"/>
      <c r="I355" s="582"/>
      <c r="J355" s="582"/>
      <c r="K355" s="582"/>
      <c r="L355" s="582"/>
      <c r="M355" s="582"/>
      <c r="N355" s="582"/>
      <c r="O355" s="582"/>
      <c r="P355" s="582"/>
      <c r="Q355" s="582"/>
      <c r="R355" s="582"/>
      <c r="S355" s="582"/>
      <c r="T355" s="583"/>
      <c r="U355" s="327"/>
      <c r="V355" s="327"/>
      <c r="W355" s="327"/>
      <c r="X355" s="327"/>
      <c r="Y355" s="327"/>
      <c r="AL355" s="582"/>
      <c r="AM355" s="582"/>
    </row>
    <row r="356" spans="1:39" s="186" customFormat="1" x14ac:dyDescent="0.25">
      <c r="A356" s="582"/>
      <c r="B356" s="582"/>
      <c r="C356" s="582"/>
      <c r="D356" s="582"/>
      <c r="E356" s="582"/>
      <c r="F356" s="582"/>
      <c r="G356" s="582"/>
      <c r="H356" s="582"/>
      <c r="I356" s="582"/>
      <c r="J356" s="582"/>
      <c r="K356" s="582"/>
      <c r="L356" s="582"/>
      <c r="M356" s="582"/>
      <c r="N356" s="582"/>
      <c r="O356" s="582"/>
      <c r="P356" s="582"/>
      <c r="Q356" s="582"/>
      <c r="R356" s="582"/>
      <c r="S356" s="582"/>
      <c r="T356" s="583"/>
      <c r="U356" s="327"/>
      <c r="V356" s="327"/>
      <c r="X356" s="327"/>
      <c r="Y356" s="327"/>
      <c r="AL356" s="582"/>
      <c r="AM356" s="582"/>
    </row>
    <row r="357" spans="1:39" s="186" customFormat="1" x14ac:dyDescent="0.25">
      <c r="A357" s="582"/>
      <c r="B357" s="582"/>
      <c r="C357" s="582"/>
      <c r="D357" s="582"/>
      <c r="E357" s="582"/>
      <c r="F357" s="582"/>
      <c r="G357" s="582"/>
      <c r="H357" s="582"/>
      <c r="I357" s="582"/>
      <c r="J357" s="582"/>
      <c r="K357" s="582"/>
      <c r="L357" s="582"/>
      <c r="M357" s="582"/>
      <c r="N357" s="582"/>
      <c r="O357" s="582"/>
      <c r="P357" s="582"/>
      <c r="Q357" s="582"/>
      <c r="R357" s="582"/>
      <c r="S357" s="582"/>
      <c r="T357" s="583"/>
      <c r="U357" s="327"/>
      <c r="V357" s="327"/>
      <c r="X357" s="327"/>
      <c r="Y357" s="327"/>
      <c r="AL357" s="582"/>
      <c r="AM357" s="582"/>
    </row>
  </sheetData>
  <mergeCells count="96">
    <mergeCell ref="N93:S93"/>
    <mergeCell ref="N94:S94"/>
    <mergeCell ref="N95:S95"/>
    <mergeCell ref="N96:S96"/>
    <mergeCell ref="N47:S47"/>
    <mergeCell ref="N48:S48"/>
    <mergeCell ref="N49:S49"/>
    <mergeCell ref="N74:S74"/>
    <mergeCell ref="N75:S75"/>
    <mergeCell ref="N72:S72"/>
    <mergeCell ref="N73:S73"/>
    <mergeCell ref="N71:S71"/>
    <mergeCell ref="B68:R68"/>
    <mergeCell ref="B50:G50"/>
    <mergeCell ref="B51:G51"/>
    <mergeCell ref="H50:M50"/>
    <mergeCell ref="H76:M76"/>
    <mergeCell ref="B71:G71"/>
    <mergeCell ref="B72:G72"/>
    <mergeCell ref="B73:G73"/>
    <mergeCell ref="B74:G74"/>
    <mergeCell ref="B75:G75"/>
    <mergeCell ref="B76:G76"/>
    <mergeCell ref="H74:M74"/>
    <mergeCell ref="H75:M75"/>
    <mergeCell ref="H72:M72"/>
    <mergeCell ref="H73:M73"/>
    <mergeCell ref="H71:M71"/>
    <mergeCell ref="B48:G48"/>
    <mergeCell ref="B49:G49"/>
    <mergeCell ref="H46:M46"/>
    <mergeCell ref="H47:M47"/>
    <mergeCell ref="H48:M48"/>
    <mergeCell ref="H49:M49"/>
    <mergeCell ref="H29:M29"/>
    <mergeCell ref="N27:T27"/>
    <mergeCell ref="N28:T28"/>
    <mergeCell ref="N24:T24"/>
    <mergeCell ref="B8:G8"/>
    <mergeCell ref="B9:G9"/>
    <mergeCell ref="B23:G23"/>
    <mergeCell ref="B24:G24"/>
    <mergeCell ref="H24:M24"/>
    <mergeCell ref="H8:M8"/>
    <mergeCell ref="H9:M9"/>
    <mergeCell ref="O8:T8"/>
    <mergeCell ref="O9:T9"/>
    <mergeCell ref="H10:M10"/>
    <mergeCell ref="B10:G10"/>
    <mergeCell ref="B161:AJ161"/>
    <mergeCell ref="B162:AJ162"/>
    <mergeCell ref="B117:AJ117"/>
    <mergeCell ref="B137:AJ137"/>
    <mergeCell ref="B138:AJ138"/>
    <mergeCell ref="B139:AJ139"/>
    <mergeCell ref="B140:AJ140"/>
    <mergeCell ref="B160:AJ160"/>
    <mergeCell ref="B116:AJ116"/>
    <mergeCell ref="B114:AJ114"/>
    <mergeCell ref="B115:AJ115"/>
    <mergeCell ref="B92:G92"/>
    <mergeCell ref="B93:G93"/>
    <mergeCell ref="B94:G94"/>
    <mergeCell ref="B95:G95"/>
    <mergeCell ref="B96:G96"/>
    <mergeCell ref="H92:M92"/>
    <mergeCell ref="H93:M93"/>
    <mergeCell ref="H94:M94"/>
    <mergeCell ref="H95:M95"/>
    <mergeCell ref="H96:M96"/>
    <mergeCell ref="H97:M97"/>
    <mergeCell ref="N97:S97"/>
    <mergeCell ref="N92:S92"/>
    <mergeCell ref="H51:M51"/>
    <mergeCell ref="N50:S50"/>
    <mergeCell ref="B47:G47"/>
    <mergeCell ref="B25:G25"/>
    <mergeCell ref="B26:G26"/>
    <mergeCell ref="H25:M25"/>
    <mergeCell ref="H26:M26"/>
    <mergeCell ref="N25:T25"/>
    <mergeCell ref="N26:T26"/>
    <mergeCell ref="N29:T29"/>
    <mergeCell ref="B46:G46"/>
    <mergeCell ref="N46:S46"/>
    <mergeCell ref="B27:G27"/>
    <mergeCell ref="B28:G28"/>
    <mergeCell ref="H27:M27"/>
    <mergeCell ref="H28:M28"/>
    <mergeCell ref="B2:R2"/>
    <mergeCell ref="O6:T6"/>
    <mergeCell ref="O7:T7"/>
    <mergeCell ref="B6:G6"/>
    <mergeCell ref="B7:G7"/>
    <mergeCell ref="H7:M7"/>
    <mergeCell ref="H6:M6"/>
  </mergeCells>
  <hyperlinks>
    <hyperlink ref="B158" location="CONTENTS!B8" display="Å CONTENTS" xr:uid="{00000000-0004-0000-0400-000000000000}"/>
    <hyperlink ref="B135" location="CONTENTS!B8" display="Å CONTENTS" xr:uid="{00000000-0004-0000-0400-000001000000}"/>
    <hyperlink ref="B112" location="CONTENTS!B8" display="Å CONTENTS" xr:uid="{00000000-0004-0000-0400-000002000000}"/>
    <hyperlink ref="S68" location="CONTENTS!B8" display="Å CONTENTS" xr:uid="{00000000-0004-0000-0400-000003000000}"/>
    <hyperlink ref="S2" location="CONTENTS!B8" display="Å CONTENTS" xr:uid="{00000000-0004-0000-0400-000004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56" orientation="landscape" r:id="rId1"/>
  <rowBreaks count="2" manualBreakCount="2">
    <brk id="66" max="18" man="1"/>
    <brk id="111" max="18" man="1"/>
  </rowBreaks>
  <colBreaks count="1" manualBreakCount="1">
    <brk id="19" max="1048575" man="1"/>
  </colBreaks>
  <ignoredErrors>
    <ignoredError sqref="D132:Q132 D177:AH177 S132:AH132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39997558519241921"/>
    <pageSetUpPr fitToPage="1"/>
  </sheetPr>
  <dimension ref="A1:AS2548"/>
  <sheetViews>
    <sheetView showGridLines="0" zoomScaleNormal="100" workbookViewId="0">
      <pane xSplit="1" ySplit="7" topLeftCell="AI8" activePane="bottomRight" state="frozen"/>
      <selection pane="topRight" activeCell="A3" sqref="A3:M3"/>
      <selection pane="bottomLeft" activeCell="A3" sqref="A3:M3"/>
      <selection pane="bottomRight" activeCell="AS22" sqref="AS21:AS22"/>
    </sheetView>
  </sheetViews>
  <sheetFormatPr baseColWidth="10" defaultColWidth="11.44140625" defaultRowHeight="13.2" outlineLevelCol="1" x14ac:dyDescent="0.25"/>
  <cols>
    <col min="1" max="1" width="24.5546875" style="68" customWidth="1"/>
    <col min="2" max="2" width="14.33203125" customWidth="1" outlineLevel="1"/>
    <col min="3" max="3" width="8.33203125" customWidth="1" outlineLevel="1"/>
    <col min="4" max="4" width="11.44140625" customWidth="1" outlineLevel="1"/>
    <col min="5" max="5" width="11.5546875" customWidth="1" outlineLevel="1"/>
    <col min="6" max="6" width="14.33203125" customWidth="1" outlineLevel="1"/>
    <col min="7" max="7" width="8.33203125" customWidth="1" outlineLevel="1"/>
    <col min="8" max="8" width="11.44140625" customWidth="1" outlineLevel="1"/>
    <col min="9" max="9" width="11.5546875" customWidth="1" outlineLevel="1"/>
    <col min="10" max="10" width="12.44140625" style="4" customWidth="1" outlineLevel="1"/>
    <col min="11" max="11" width="10" style="4" customWidth="1" outlineLevel="1"/>
    <col min="12" max="13" width="11.44140625" customWidth="1" outlineLevel="1"/>
    <col min="14" max="14" width="12.6640625" customWidth="1" outlineLevel="1"/>
    <col min="15" max="15" width="11.44140625" customWidth="1" outlineLevel="1"/>
    <col min="16" max="16" width="14.109375" customWidth="1" outlineLevel="1"/>
    <col min="17" max="17" width="8.6640625" customWidth="1" outlineLevel="1"/>
    <col min="18" max="18" width="14" customWidth="1" outlineLevel="1"/>
    <col min="19" max="19" width="8.5546875" customWidth="1" outlineLevel="1"/>
    <col min="20" max="21" width="11.44140625" customWidth="1" outlineLevel="1"/>
    <col min="24" max="25" width="11.44140625" style="68"/>
    <col min="26" max="26" width="11.88671875" style="579" customWidth="1"/>
    <col min="27" max="27" width="12.88671875" style="579" bestFit="1" customWidth="1"/>
    <col min="28" max="28" width="11.88671875" style="130" customWidth="1"/>
    <col min="29" max="29" width="12.88671875" style="130" bestFit="1" customWidth="1"/>
    <col min="30" max="30" width="11.88671875" style="130" customWidth="1"/>
    <col min="31" max="31" width="12.88671875" style="130" bestFit="1" customWidth="1"/>
    <col min="32" max="32" width="11.88671875" style="187" customWidth="1"/>
    <col min="33" max="33" width="12.88671875" style="187" bestFit="1" customWidth="1"/>
    <col min="34" max="37" width="12.88671875" style="187" customWidth="1"/>
    <col min="38" max="38" width="14.88671875" style="585" bestFit="1" customWidth="1"/>
    <col min="39" max="39" width="12.88671875" style="585" bestFit="1" customWidth="1"/>
    <col min="40" max="40" width="14.88671875" style="68" bestFit="1" customWidth="1"/>
    <col min="41" max="41" width="12.88671875" style="68" bestFit="1" customWidth="1"/>
    <col min="42" max="42" width="14.88671875" style="438" bestFit="1" customWidth="1"/>
    <col min="43" max="43" width="12.88671875" style="438" bestFit="1" customWidth="1"/>
    <col min="44" max="44" width="12.88671875" style="439" customWidth="1"/>
  </cols>
  <sheetData>
    <row r="1" spans="1:45" ht="28.5" customHeight="1" x14ac:dyDescent="0.25">
      <c r="A1" s="806"/>
      <c r="B1" s="806"/>
      <c r="C1" s="806"/>
      <c r="D1" s="806"/>
      <c r="E1" s="806"/>
      <c r="F1" s="806"/>
      <c r="G1" s="806"/>
      <c r="H1" s="806"/>
      <c r="I1" s="806"/>
      <c r="J1" s="806"/>
      <c r="K1" s="806"/>
      <c r="L1" s="806"/>
      <c r="M1" s="806"/>
      <c r="N1" s="806"/>
      <c r="O1" s="806"/>
      <c r="P1" s="806"/>
      <c r="Q1" s="806"/>
      <c r="R1" s="806"/>
      <c r="S1" s="806"/>
      <c r="T1" s="806"/>
      <c r="U1" s="806"/>
      <c r="V1" s="806"/>
      <c r="W1" s="806"/>
      <c r="X1" s="806"/>
      <c r="Y1" s="806"/>
      <c r="Z1" s="806"/>
      <c r="AA1" s="806"/>
      <c r="AB1" s="806"/>
      <c r="AC1" s="806"/>
      <c r="AD1" s="806"/>
      <c r="AE1" s="806"/>
      <c r="AF1" s="806"/>
      <c r="AG1" s="806"/>
      <c r="AH1" s="806"/>
      <c r="AI1" s="806"/>
      <c r="AJ1" s="806"/>
      <c r="AK1" s="806"/>
      <c r="AL1" s="806"/>
      <c r="AM1" s="806"/>
      <c r="AN1" s="806"/>
      <c r="AO1" s="806"/>
      <c r="AP1" s="756"/>
      <c r="AQ1" s="316" t="s">
        <v>43</v>
      </c>
      <c r="AR1" s="195"/>
      <c r="AS1" s="14"/>
    </row>
    <row r="2" spans="1:45" ht="15.6" x14ac:dyDescent="0.3">
      <c r="A2" s="770" t="s">
        <v>18</v>
      </c>
      <c r="B2" s="770"/>
      <c r="C2" s="770"/>
      <c r="D2" s="770"/>
      <c r="E2" s="770"/>
      <c r="F2" s="770"/>
      <c r="G2" s="770"/>
      <c r="H2" s="770"/>
      <c r="I2" s="770"/>
      <c r="J2" s="770"/>
      <c r="K2" s="770"/>
      <c r="L2" s="770"/>
      <c r="M2" s="770"/>
      <c r="N2" s="770"/>
      <c r="O2" s="770"/>
      <c r="P2" s="770"/>
      <c r="Q2" s="770"/>
      <c r="R2" s="770"/>
      <c r="S2" s="770"/>
      <c r="T2" s="770"/>
      <c r="U2" s="770"/>
      <c r="V2" s="770"/>
      <c r="W2" s="770"/>
      <c r="X2" s="770"/>
      <c r="Y2" s="770"/>
      <c r="Z2" s="770"/>
      <c r="AA2" s="770"/>
      <c r="AB2" s="770"/>
      <c r="AC2" s="770"/>
      <c r="AD2" s="770"/>
      <c r="AE2" s="770"/>
      <c r="AF2" s="770"/>
      <c r="AG2" s="770"/>
      <c r="AH2" s="770"/>
      <c r="AI2" s="770"/>
      <c r="AJ2" s="770"/>
      <c r="AK2" s="770"/>
      <c r="AL2" s="770"/>
      <c r="AM2" s="770"/>
      <c r="AN2" s="770"/>
      <c r="AO2" s="770"/>
      <c r="AP2" s="743"/>
      <c r="AQ2" s="743"/>
      <c r="AR2" s="436"/>
    </row>
    <row r="3" spans="1:45" x14ac:dyDescent="0.25">
      <c r="A3" s="771" t="s">
        <v>123</v>
      </c>
      <c r="B3" s="771"/>
      <c r="C3" s="771"/>
      <c r="D3" s="771"/>
      <c r="E3" s="771"/>
      <c r="F3" s="771"/>
      <c r="G3" s="771"/>
      <c r="H3" s="771"/>
      <c r="I3" s="771"/>
      <c r="J3" s="771"/>
      <c r="K3" s="771"/>
      <c r="L3" s="771"/>
      <c r="M3" s="771"/>
      <c r="N3" s="771"/>
      <c r="O3" s="771"/>
      <c r="P3" s="771"/>
      <c r="Q3" s="771"/>
      <c r="R3" s="771"/>
      <c r="S3" s="771"/>
      <c r="T3" s="771"/>
      <c r="U3" s="771"/>
      <c r="V3" s="771"/>
      <c r="W3" s="771"/>
      <c r="X3" s="771"/>
      <c r="Y3" s="771"/>
      <c r="Z3" s="771"/>
      <c r="AA3" s="771"/>
      <c r="AB3" s="771"/>
      <c r="AC3" s="771"/>
      <c r="AD3" s="771"/>
      <c r="AE3" s="771"/>
      <c r="AF3" s="771"/>
      <c r="AG3" s="771"/>
      <c r="AH3" s="771"/>
      <c r="AI3" s="771"/>
      <c r="AJ3" s="771"/>
      <c r="AK3" s="771"/>
      <c r="AL3" s="771"/>
      <c r="AM3" s="771"/>
      <c r="AN3" s="771"/>
      <c r="AO3" s="771"/>
      <c r="AP3" s="744"/>
      <c r="AQ3" s="744"/>
      <c r="AR3" s="437"/>
    </row>
    <row r="4" spans="1:45" ht="13.8" thickBot="1" x14ac:dyDescent="0.3">
      <c r="A4" s="585"/>
      <c r="X4" s="438"/>
      <c r="Y4" s="438"/>
      <c r="Z4" s="591"/>
      <c r="AA4" s="585"/>
      <c r="AB4" s="585"/>
      <c r="AC4" s="585"/>
      <c r="AD4" s="585"/>
      <c r="AE4" s="585"/>
      <c r="AN4" s="438"/>
      <c r="AO4" s="438"/>
      <c r="AR4" s="585"/>
    </row>
    <row r="5" spans="1:45" ht="12.75" customHeight="1" x14ac:dyDescent="0.25">
      <c r="A5" s="807" t="s">
        <v>173</v>
      </c>
      <c r="B5" s="772" t="s">
        <v>46</v>
      </c>
      <c r="C5" s="773"/>
      <c r="D5" s="772" t="s">
        <v>47</v>
      </c>
      <c r="E5" s="773"/>
      <c r="F5" s="772" t="s">
        <v>48</v>
      </c>
      <c r="G5" s="773"/>
      <c r="H5" s="772" t="s">
        <v>49</v>
      </c>
      <c r="I5" s="773"/>
      <c r="J5" s="772" t="s">
        <v>50</v>
      </c>
      <c r="K5" s="773"/>
      <c r="L5" s="772" t="s">
        <v>51</v>
      </c>
      <c r="M5" s="773"/>
      <c r="N5" s="772" t="s">
        <v>52</v>
      </c>
      <c r="O5" s="773"/>
      <c r="P5" s="772" t="s">
        <v>53</v>
      </c>
      <c r="Q5" s="773"/>
      <c r="R5" s="772" t="s">
        <v>54</v>
      </c>
      <c r="S5" s="773"/>
      <c r="T5" s="772" t="s">
        <v>55</v>
      </c>
      <c r="U5" s="773"/>
      <c r="V5" s="772" t="s">
        <v>56</v>
      </c>
      <c r="W5" s="773"/>
      <c r="X5" s="772" t="s">
        <v>57</v>
      </c>
      <c r="Y5" s="773"/>
      <c r="Z5" s="772" t="s">
        <v>58</v>
      </c>
      <c r="AA5" s="773"/>
      <c r="AB5" s="772" t="s">
        <v>59</v>
      </c>
      <c r="AC5" s="773"/>
      <c r="AD5" s="772" t="s">
        <v>60</v>
      </c>
      <c r="AE5" s="773"/>
      <c r="AF5" s="772" t="s">
        <v>61</v>
      </c>
      <c r="AG5" s="773"/>
      <c r="AH5" s="772" t="s">
        <v>62</v>
      </c>
      <c r="AI5" s="773"/>
      <c r="AJ5" s="781" t="s">
        <v>63</v>
      </c>
      <c r="AK5" s="782"/>
      <c r="AL5" s="772" t="s">
        <v>64</v>
      </c>
      <c r="AM5" s="773"/>
      <c r="AN5" s="781" t="s">
        <v>65</v>
      </c>
      <c r="AO5" s="782"/>
      <c r="AP5" s="777" t="s">
        <v>66</v>
      </c>
      <c r="AQ5" s="778"/>
      <c r="AR5" s="532"/>
    </row>
    <row r="6" spans="1:45" ht="12.75" customHeight="1" x14ac:dyDescent="0.25">
      <c r="A6" s="808"/>
      <c r="B6" s="83" t="s">
        <v>67</v>
      </c>
      <c r="C6" s="421" t="s">
        <v>68</v>
      </c>
      <c r="D6" s="83" t="s">
        <v>67</v>
      </c>
      <c r="E6" s="421" t="s">
        <v>68</v>
      </c>
      <c r="F6" s="83" t="s">
        <v>67</v>
      </c>
      <c r="G6" s="421" t="s">
        <v>68</v>
      </c>
      <c r="H6" s="83" t="s">
        <v>67</v>
      </c>
      <c r="I6" s="421" t="s">
        <v>68</v>
      </c>
      <c r="J6" s="83" t="s">
        <v>67</v>
      </c>
      <c r="K6" s="421" t="s">
        <v>68</v>
      </c>
      <c r="L6" s="83" t="s">
        <v>67</v>
      </c>
      <c r="M6" s="421" t="s">
        <v>68</v>
      </c>
      <c r="N6" s="83" t="s">
        <v>67</v>
      </c>
      <c r="O6" s="421" t="s">
        <v>68</v>
      </c>
      <c r="P6" s="83" t="s">
        <v>67</v>
      </c>
      <c r="Q6" s="421" t="s">
        <v>68</v>
      </c>
      <c r="R6" s="83" t="s">
        <v>67</v>
      </c>
      <c r="S6" s="421" t="s">
        <v>68</v>
      </c>
      <c r="T6" s="83" t="s">
        <v>67</v>
      </c>
      <c r="U6" s="421" t="s">
        <v>68</v>
      </c>
      <c r="V6" s="83" t="s">
        <v>67</v>
      </c>
      <c r="W6" s="421" t="s">
        <v>68</v>
      </c>
      <c r="X6" s="83" t="s">
        <v>67</v>
      </c>
      <c r="Y6" s="421" t="s">
        <v>68</v>
      </c>
      <c r="Z6" s="83" t="s">
        <v>67</v>
      </c>
      <c r="AA6" s="421" t="s">
        <v>68</v>
      </c>
      <c r="AB6" s="83" t="s">
        <v>67</v>
      </c>
      <c r="AC6" s="421" t="s">
        <v>68</v>
      </c>
      <c r="AD6" s="83" t="s">
        <v>67</v>
      </c>
      <c r="AE6" s="421" t="s">
        <v>68</v>
      </c>
      <c r="AF6" s="83" t="s">
        <v>67</v>
      </c>
      <c r="AG6" s="421" t="s">
        <v>68</v>
      </c>
      <c r="AH6" s="83" t="s">
        <v>67</v>
      </c>
      <c r="AI6" s="421" t="s">
        <v>68</v>
      </c>
      <c r="AJ6" s="43" t="s">
        <v>67</v>
      </c>
      <c r="AK6" s="605" t="s">
        <v>174</v>
      </c>
      <c r="AL6" s="83" t="s">
        <v>67</v>
      </c>
      <c r="AM6" s="84" t="s">
        <v>174</v>
      </c>
      <c r="AN6" s="43" t="s">
        <v>67</v>
      </c>
      <c r="AO6" s="605" t="s">
        <v>174</v>
      </c>
      <c r="AP6" s="457" t="s">
        <v>67</v>
      </c>
      <c r="AQ6" s="486" t="s">
        <v>174</v>
      </c>
      <c r="AR6" s="437"/>
    </row>
    <row r="7" spans="1:45" s="1" customFormat="1" ht="13.5" customHeight="1" thickBot="1" x14ac:dyDescent="0.3">
      <c r="A7" s="809"/>
      <c r="B7" s="85">
        <v>1565.7</v>
      </c>
      <c r="C7" s="86">
        <v>1</v>
      </c>
      <c r="D7" s="85">
        <v>1721.52</v>
      </c>
      <c r="E7" s="86">
        <v>1</v>
      </c>
      <c r="F7" s="85">
        <v>1951.1969999999999</v>
      </c>
      <c r="G7" s="86">
        <v>1</v>
      </c>
      <c r="H7" s="85">
        <v>2181.66</v>
      </c>
      <c r="I7" s="86">
        <v>1</v>
      </c>
      <c r="J7" s="85">
        <v>2401.2600000000002</v>
      </c>
      <c r="K7" s="86">
        <v>1</v>
      </c>
      <c r="L7" s="85">
        <v>2367.39</v>
      </c>
      <c r="M7" s="86">
        <v>1</v>
      </c>
      <c r="N7" s="85">
        <v>2320.7600000000002</v>
      </c>
      <c r="O7" s="86">
        <v>1</v>
      </c>
      <c r="P7" s="85">
        <v>2278.2399999999998</v>
      </c>
      <c r="Q7" s="86">
        <v>1</v>
      </c>
      <c r="R7" s="85">
        <v>2049.6799999999998</v>
      </c>
      <c r="S7" s="86">
        <v>1</v>
      </c>
      <c r="T7" s="44">
        <v>1726.9408438888204</v>
      </c>
      <c r="U7" s="45">
        <v>1</v>
      </c>
      <c r="V7" s="44">
        <v>2226.8126564826039</v>
      </c>
      <c r="W7" s="45">
        <v>1</v>
      </c>
      <c r="X7" s="44">
        <v>2006.624377519367</v>
      </c>
      <c r="Y7" s="45">
        <v>1</v>
      </c>
      <c r="Z7" s="85">
        <v>2720.4926770353268</v>
      </c>
      <c r="AA7" s="86">
        <v>1</v>
      </c>
      <c r="AB7" s="85">
        <v>3515.7053274994178</v>
      </c>
      <c r="AC7" s="86">
        <v>1</v>
      </c>
      <c r="AD7" s="85">
        <v>4384.3006251307033</v>
      </c>
      <c r="AE7" s="86">
        <v>1</v>
      </c>
      <c r="AF7" s="44">
        <v>5505.913277079997</v>
      </c>
      <c r="AG7" s="45">
        <v>1</v>
      </c>
      <c r="AH7" s="85">
        <v>5795.7234671730375</v>
      </c>
      <c r="AI7" s="86">
        <v>1</v>
      </c>
      <c r="AJ7" s="44">
        <v>5914.0792951369785</v>
      </c>
      <c r="AK7" s="45">
        <v>1</v>
      </c>
      <c r="AL7" s="89">
        <v>6142.5021635200001</v>
      </c>
      <c r="AM7" s="86">
        <v>1</v>
      </c>
      <c r="AN7" s="41">
        <v>8083.132287547548</v>
      </c>
      <c r="AO7" s="45">
        <v>1</v>
      </c>
      <c r="AP7" s="477">
        <v>9357.0269352098694</v>
      </c>
      <c r="AQ7" s="460">
        <v>1</v>
      </c>
      <c r="AR7" s="565"/>
      <c r="AS7" s="109"/>
    </row>
    <row r="8" spans="1:45" s="1" customFormat="1" x14ac:dyDescent="0.25">
      <c r="A8" s="414"/>
      <c r="B8" s="274"/>
      <c r="C8" s="275"/>
      <c r="D8" s="274"/>
      <c r="E8" s="275"/>
      <c r="F8" s="274"/>
      <c r="G8" s="275"/>
      <c r="H8" s="274"/>
      <c r="I8" s="275"/>
      <c r="J8" s="274"/>
      <c r="K8" s="275"/>
      <c r="L8" s="274"/>
      <c r="M8" s="275"/>
      <c r="N8" s="274"/>
      <c r="O8" s="275"/>
      <c r="P8" s="274"/>
      <c r="Q8" s="275"/>
      <c r="R8" s="274"/>
      <c r="S8" s="275"/>
      <c r="T8" s="276"/>
      <c r="U8" s="277"/>
      <c r="V8" s="276"/>
      <c r="W8" s="277"/>
      <c r="X8" s="276"/>
      <c r="Y8" s="277"/>
      <c r="Z8" s="274"/>
      <c r="AA8" s="275"/>
      <c r="AB8" s="274"/>
      <c r="AC8" s="275"/>
      <c r="AD8" s="274"/>
      <c r="AE8" s="275"/>
      <c r="AF8" s="276"/>
      <c r="AG8" s="277"/>
      <c r="AH8" s="87"/>
      <c r="AI8" s="88"/>
      <c r="AJ8" s="46"/>
      <c r="AK8" s="47"/>
      <c r="AL8" s="87"/>
      <c r="AM8" s="88"/>
      <c r="AN8" s="46"/>
      <c r="AO8" s="47"/>
      <c r="AP8" s="506"/>
      <c r="AQ8" s="507"/>
      <c r="AR8" s="565"/>
      <c r="AS8" s="109"/>
    </row>
    <row r="9" spans="1:45" s="1" customFormat="1" x14ac:dyDescent="0.25">
      <c r="A9" s="396" t="s">
        <v>69</v>
      </c>
      <c r="B9" s="134"/>
      <c r="C9" s="174"/>
      <c r="D9" s="134"/>
      <c r="E9" s="174"/>
      <c r="F9" s="134"/>
      <c r="G9" s="174"/>
      <c r="H9" s="134"/>
      <c r="I9" s="174"/>
      <c r="J9" s="134"/>
      <c r="K9" s="174"/>
      <c r="L9" s="134"/>
      <c r="M9" s="174"/>
      <c r="N9" s="134"/>
      <c r="O9" s="174"/>
      <c r="P9" s="134"/>
      <c r="Q9" s="174"/>
      <c r="R9" s="134"/>
      <c r="S9" s="174"/>
      <c r="T9" s="74"/>
      <c r="U9" s="211"/>
      <c r="V9" s="74"/>
      <c r="W9" s="211"/>
      <c r="X9" s="74"/>
      <c r="Y9" s="211"/>
      <c r="Z9" s="134"/>
      <c r="AA9" s="174"/>
      <c r="AB9" s="134"/>
      <c r="AC9" s="174"/>
      <c r="AD9" s="134"/>
      <c r="AE9" s="174"/>
      <c r="AF9" s="74"/>
      <c r="AG9" s="211"/>
      <c r="AH9" s="89"/>
      <c r="AI9" s="90"/>
      <c r="AJ9" s="41"/>
      <c r="AK9" s="40"/>
      <c r="AL9" s="89"/>
      <c r="AM9" s="90"/>
      <c r="AN9" s="41"/>
      <c r="AO9" s="40"/>
      <c r="AP9" s="477"/>
      <c r="AQ9" s="463"/>
      <c r="AR9" s="565"/>
      <c r="AS9" s="109"/>
    </row>
    <row r="10" spans="1:45" ht="15" customHeight="1" x14ac:dyDescent="0.25">
      <c r="A10" s="133" t="s">
        <v>72</v>
      </c>
      <c r="B10" s="134">
        <v>1116.7</v>
      </c>
      <c r="C10" s="174">
        <f>+B10/B7</f>
        <v>0.71322731046816124</v>
      </c>
      <c r="D10" s="134">
        <v>1324.8984150000001</v>
      </c>
      <c r="E10" s="174">
        <f>+D10/D7</f>
        <v>0.76960965600167297</v>
      </c>
      <c r="F10" s="134">
        <v>1546.3852086100001</v>
      </c>
      <c r="G10" s="174">
        <f>+F10/F7</f>
        <v>0.79253156324553597</v>
      </c>
      <c r="H10" s="134">
        <f>1767569078.27/1000000</f>
        <v>1767.5690782700001</v>
      </c>
      <c r="I10" s="174">
        <f>+H10/H7</f>
        <v>0.81019456664649858</v>
      </c>
      <c r="J10" s="134">
        <f>2006476490.15/1000000</f>
        <v>2006.47649015</v>
      </c>
      <c r="K10" s="174">
        <f>+J10/J7</f>
        <v>0.83559318447398445</v>
      </c>
      <c r="L10" s="134">
        <f>2048144663.85/1000000</f>
        <v>2048.1446638499997</v>
      </c>
      <c r="M10" s="174">
        <f>+L10/L7</f>
        <v>0.86514881952276546</v>
      </c>
      <c r="N10" s="134">
        <f>2036522398.15/1000000</f>
        <v>2036.5223981500001</v>
      </c>
      <c r="O10" s="174">
        <f>+N10/N7</f>
        <v>0.8775239137825539</v>
      </c>
      <c r="P10" s="134">
        <f>2018203544.17/1000000</f>
        <v>2018.20354417</v>
      </c>
      <c r="Q10" s="174">
        <f>+P10/P7</f>
        <v>0.8858608154408667</v>
      </c>
      <c r="R10" s="134">
        <f>1806939614.2/1000000</f>
        <v>1806.9396142000001</v>
      </c>
      <c r="S10" s="174">
        <f>+R10/R7</f>
        <v>0.88157156931813752</v>
      </c>
      <c r="T10" s="74">
        <v>1519.4477439989998</v>
      </c>
      <c r="U10" s="211">
        <v>0.87984932974161634</v>
      </c>
      <c r="V10" s="74">
        <v>2045.0548039039857</v>
      </c>
      <c r="W10" s="211">
        <v>0.91837757341216275</v>
      </c>
      <c r="X10" s="74">
        <v>1860.2486947099924</v>
      </c>
      <c r="Y10" s="211">
        <f>+X10/X7</f>
        <v>0.92705377027746094</v>
      </c>
      <c r="Z10" s="134">
        <v>2608.5775625319966</v>
      </c>
      <c r="AA10" s="174">
        <f>+Z10/Z7</f>
        <v>0.95886218865867689</v>
      </c>
      <c r="AB10" s="134">
        <v>3432.260213058983</v>
      </c>
      <c r="AC10" s="174">
        <f>+AB10/AB7</f>
        <v>0.97626504309455708</v>
      </c>
      <c r="AD10" s="134">
        <v>4311.7847435439817</v>
      </c>
      <c r="AE10" s="174">
        <f>+AD10/AD7</f>
        <v>0.98346010281068263</v>
      </c>
      <c r="AF10" s="74">
        <v>5415.6391347790432</v>
      </c>
      <c r="AG10" s="211">
        <f>+AF10/AF7</f>
        <v>0.98360414743967239</v>
      </c>
      <c r="AH10" s="134">
        <v>5630.9730192299658</v>
      </c>
      <c r="AI10" s="90">
        <f>+AH10/AH7</f>
        <v>0.97157379076551564</v>
      </c>
      <c r="AJ10" s="74">
        <v>5734.5314126899484</v>
      </c>
      <c r="AK10" s="40">
        <f>+AJ10/AJ7</f>
        <v>0.9696406027909249</v>
      </c>
      <c r="AL10" s="523">
        <v>5960.5614908599637</v>
      </c>
      <c r="AM10" s="90">
        <f>+AL10/AL7</f>
        <v>0.97038003930375927</v>
      </c>
      <c r="AN10" s="631">
        <v>7895.5705678599434</v>
      </c>
      <c r="AO10" s="40">
        <f>+AN10/AN7</f>
        <v>0.97679591116224185</v>
      </c>
      <c r="AP10" s="525">
        <v>8478.1819048490397</v>
      </c>
      <c r="AQ10" s="463">
        <f>+AP10/AP7</f>
        <v>0.90607646676170239</v>
      </c>
      <c r="AR10" s="565"/>
      <c r="AS10" s="109"/>
    </row>
    <row r="11" spans="1:45" s="68" customFormat="1" x14ac:dyDescent="0.25">
      <c r="A11" s="415" t="s">
        <v>71</v>
      </c>
      <c r="B11" s="226">
        <f>+B10/B74</f>
        <v>7.6819046630233506E-2</v>
      </c>
      <c r="C11" s="249"/>
      <c r="D11" s="226">
        <f>+D10/D74</f>
        <v>8.6225443837474727E-2</v>
      </c>
      <c r="E11" s="249"/>
      <c r="F11" s="226">
        <f>+F10/F74</f>
        <v>9.8259659393317378E-2</v>
      </c>
      <c r="G11" s="249"/>
      <c r="H11" s="226">
        <f>+H10/H74</f>
        <v>0.10756265500284713</v>
      </c>
      <c r="I11" s="249"/>
      <c r="J11" s="226">
        <f>+J10/J74</f>
        <v>0.11315843688120655</v>
      </c>
      <c r="K11" s="249"/>
      <c r="L11" s="226">
        <f>+L10/L74</f>
        <v>0.10644040041859247</v>
      </c>
      <c r="M11" s="249"/>
      <c r="N11" s="226">
        <f>+N10/N74</f>
        <v>9.0875532406306095E-2</v>
      </c>
      <c r="O11" s="249"/>
      <c r="P11" s="226">
        <f>+P10/P74</f>
        <v>7.2243245271999545E-2</v>
      </c>
      <c r="Q11" s="249"/>
      <c r="R11" s="226">
        <f>+R10/R74</f>
        <v>6.1576950625214809E-2</v>
      </c>
      <c r="S11" s="249"/>
      <c r="T11" s="223">
        <v>5.0874395015242838E-2</v>
      </c>
      <c r="U11" s="250"/>
      <c r="V11" s="223">
        <v>5.5692886304669065E-2</v>
      </c>
      <c r="W11" s="250"/>
      <c r="X11" s="223">
        <f>+X10/X74</f>
        <v>4.3945298360112045E-2</v>
      </c>
      <c r="Y11" s="250"/>
      <c r="Z11" s="226">
        <f>+Z10/Z74</f>
        <v>5.5924443327469979E-2</v>
      </c>
      <c r="AA11" s="249"/>
      <c r="AB11" s="226">
        <f>+AB10/AB74</f>
        <v>6.7730073500205115E-2</v>
      </c>
      <c r="AC11" s="249"/>
      <c r="AD11" s="226">
        <f>+AD10/AD74</f>
        <v>8.3493752701040397E-2</v>
      </c>
      <c r="AE11" s="249"/>
      <c r="AF11" s="223">
        <f>+AF10/AF74</f>
        <v>9.6532968162588009E-2</v>
      </c>
      <c r="AG11" s="250"/>
      <c r="AH11" s="226">
        <f>+AH10/AH74</f>
        <v>9.7743650359454495E-2</v>
      </c>
      <c r="AI11" s="248"/>
      <c r="AJ11" s="223">
        <f>+AJ10/AJ74</f>
        <v>9.5257582231287802E-2</v>
      </c>
      <c r="AK11" s="224"/>
      <c r="AL11" s="226">
        <f>+AL10/AL74</f>
        <v>0.10093561098481565</v>
      </c>
      <c r="AM11" s="248"/>
      <c r="AN11" s="223">
        <f>+AN10/AN74</f>
        <v>0.11969572471360625</v>
      </c>
      <c r="AO11" s="224"/>
      <c r="AP11" s="464">
        <f>+AP10/AP74</f>
        <v>0.14304207489894821</v>
      </c>
      <c r="AQ11" s="467"/>
      <c r="AR11" s="565"/>
      <c r="AS11" s="109"/>
    </row>
    <row r="12" spans="1:45" x14ac:dyDescent="0.25">
      <c r="A12" s="133" t="s">
        <v>175</v>
      </c>
      <c r="B12" s="134">
        <f>+B7-B10</f>
        <v>449</v>
      </c>
      <c r="C12" s="258">
        <f>+B12/B7</f>
        <v>0.28677268953183876</v>
      </c>
      <c r="D12" s="134">
        <f>+D7-D10</f>
        <v>396.62158499999987</v>
      </c>
      <c r="E12" s="258">
        <f>+D12/D7</f>
        <v>0.23039034399832697</v>
      </c>
      <c r="F12" s="134">
        <f>+F7-F10</f>
        <v>404.81179138999983</v>
      </c>
      <c r="G12" s="258">
        <f>+F12/F7</f>
        <v>0.20746843675446397</v>
      </c>
      <c r="H12" s="134">
        <f>+H7-H10</f>
        <v>414.09092172999976</v>
      </c>
      <c r="I12" s="258">
        <f>+H12/H7</f>
        <v>0.18980543335350136</v>
      </c>
      <c r="J12" s="134">
        <f>+J7-J10</f>
        <v>394.7835098500002</v>
      </c>
      <c r="K12" s="258">
        <f>+J12/J7</f>
        <v>0.16440681552601558</v>
      </c>
      <c r="L12" s="134">
        <f>+L7-L10</f>
        <v>319.24533615000018</v>
      </c>
      <c r="M12" s="258">
        <f>+L12/L7</f>
        <v>0.13485118047723452</v>
      </c>
      <c r="N12" s="134">
        <f>+N7-N10</f>
        <v>284.23760185000015</v>
      </c>
      <c r="O12" s="258">
        <f>+N12/N7</f>
        <v>0.12247608621744606</v>
      </c>
      <c r="P12" s="134">
        <f>+P7-P10</f>
        <v>260.0364558299998</v>
      </c>
      <c r="Q12" s="258">
        <f>+P12/P7</f>
        <v>0.11413918455913329</v>
      </c>
      <c r="R12" s="134">
        <f>+R7-R10</f>
        <v>242.74038579999979</v>
      </c>
      <c r="S12" s="258">
        <f>+R12/R7</f>
        <v>0.11842843068186244</v>
      </c>
      <c r="T12" s="74">
        <v>207.49309988982054</v>
      </c>
      <c r="U12" s="259">
        <v>0.1201506702583837</v>
      </c>
      <c r="V12" s="74">
        <v>181.75785257861821</v>
      </c>
      <c r="W12" s="259">
        <v>8.1622426587837263E-2</v>
      </c>
      <c r="X12" s="74">
        <f>+X7-X10</f>
        <v>146.37568280937467</v>
      </c>
      <c r="Y12" s="259">
        <f>+X12/X7</f>
        <v>7.2946229722539044E-2</v>
      </c>
      <c r="Z12" s="134">
        <v>111.91511450332924</v>
      </c>
      <c r="AA12" s="258">
        <f>+Z12/Z7</f>
        <v>4.1137811341322703E-2</v>
      </c>
      <c r="AB12" s="134">
        <v>83.445114440434565</v>
      </c>
      <c r="AC12" s="258">
        <f>+AB12/AB7</f>
        <v>2.3734956905442861E-2</v>
      </c>
      <c r="AD12" s="134">
        <v>72.515881586721079</v>
      </c>
      <c r="AE12" s="258">
        <f>+AD12/AD7</f>
        <v>1.6539897189317226E-2</v>
      </c>
      <c r="AF12" s="74">
        <v>90.274142300982419</v>
      </c>
      <c r="AG12" s="259">
        <f>+AF12/AF7</f>
        <v>1.63958525603328E-2</v>
      </c>
      <c r="AH12" s="134">
        <v>164.75044794307146</v>
      </c>
      <c r="AI12" s="453">
        <f>+AH12/AH7</f>
        <v>2.8426209234484284E-2</v>
      </c>
      <c r="AJ12" s="74">
        <v>179.54788244707402</v>
      </c>
      <c r="AK12" s="618">
        <f>+AJ12/AJ7</f>
        <v>3.035939720908247E-2</v>
      </c>
      <c r="AL12" s="523">
        <v>181.94067265731394</v>
      </c>
      <c r="AM12" s="453">
        <f>+AL12/AL7</f>
        <v>2.961996069579757E-2</v>
      </c>
      <c r="AN12" s="631">
        <v>187.56171968758801</v>
      </c>
      <c r="AO12" s="618">
        <f>+AN12/AN7</f>
        <v>2.3204088837756102E-2</v>
      </c>
      <c r="AP12" s="525">
        <v>878.84503030994222</v>
      </c>
      <c r="AQ12" s="466">
        <f>+AP12/AP7</f>
        <v>9.3923533232859138E-2</v>
      </c>
      <c r="AR12" s="565"/>
      <c r="AS12" s="109"/>
    </row>
    <row r="13" spans="1:45" s="68" customFormat="1" x14ac:dyDescent="0.25">
      <c r="A13" s="415" t="s">
        <v>71</v>
      </c>
      <c r="B13" s="226">
        <f>+B12/B74</f>
        <v>3.0887214056572798E-2</v>
      </c>
      <c r="C13" s="249"/>
      <c r="D13" s="226">
        <f>+D12/D74</f>
        <v>2.5812448573385674E-2</v>
      </c>
      <c r="E13" s="249"/>
      <c r="F13" s="226">
        <f>+F12/F74</f>
        <v>2.5722354636419538E-2</v>
      </c>
      <c r="G13" s="249"/>
      <c r="H13" s="226">
        <f>+H12/H74</f>
        <v>2.5198856158679218E-2</v>
      </c>
      <c r="I13" s="249"/>
      <c r="J13" s="226">
        <f>+J12/J74</f>
        <v>2.2264444712114601E-2</v>
      </c>
      <c r="K13" s="249"/>
      <c r="L13" s="226">
        <f>+L12/L74</f>
        <v>1.6590918606158973E-2</v>
      </c>
      <c r="M13" s="249"/>
      <c r="N13" s="226">
        <f>+N12/N74</f>
        <v>1.2683505676870975E-2</v>
      </c>
      <c r="O13" s="249"/>
      <c r="P13" s="226">
        <f>+P12/P74</f>
        <v>9.3082174552983309E-3</v>
      </c>
      <c r="Q13" s="249"/>
      <c r="R13" s="226">
        <f>+R12/R74</f>
        <v>8.2721152570280395E-3</v>
      </c>
      <c r="S13" s="249"/>
      <c r="T13" s="223">
        <v>6.9473175161323076E-3</v>
      </c>
      <c r="U13" s="250"/>
      <c r="V13" s="223">
        <v>4.949803496374681E-3</v>
      </c>
      <c r="W13" s="250"/>
      <c r="X13" s="223">
        <f>+X12/X74</f>
        <v>3.457883385170662E-3</v>
      </c>
      <c r="Y13" s="250"/>
      <c r="Z13" s="226">
        <f>+Z12/Z74</f>
        <v>2.3993116280789061E-3</v>
      </c>
      <c r="AA13" s="249"/>
      <c r="AB13" s="226">
        <f>+AB12/AB74</f>
        <v>1.6466536286439E-3</v>
      </c>
      <c r="AC13" s="249"/>
      <c r="AD13" s="226">
        <f>+AD12/AD74</f>
        <v>1.4042034665958643E-3</v>
      </c>
      <c r="AE13" s="249"/>
      <c r="AF13" s="223">
        <f>+AF12/AF74</f>
        <v>1.6091232609429067E-3</v>
      </c>
      <c r="AG13" s="250"/>
      <c r="AH13" s="226">
        <f>+AH12/AH74</f>
        <v>2.8597739902709051E-3</v>
      </c>
      <c r="AI13" s="248"/>
      <c r="AJ13" s="223">
        <f>+AJ12/AJ74</f>
        <v>2.9825099813400361E-3</v>
      </c>
      <c r="AK13" s="224"/>
      <c r="AL13" s="226">
        <f>+AL12/AL74</f>
        <v>3.0809669501463033E-3</v>
      </c>
      <c r="AM13" s="248"/>
      <c r="AN13" s="223">
        <f>+AN12/AN74</f>
        <v>2.8434089434807206E-3</v>
      </c>
      <c r="AO13" s="224"/>
      <c r="AP13" s="464">
        <f>+AP12/AP74</f>
        <v>1.4827685706797954E-2</v>
      </c>
      <c r="AQ13" s="467"/>
      <c r="AR13" s="565"/>
      <c r="AS13" s="109"/>
    </row>
    <row r="14" spans="1:45" x14ac:dyDescent="0.25">
      <c r="A14" s="416"/>
      <c r="B14" s="91"/>
      <c r="C14" s="269"/>
      <c r="D14" s="91"/>
      <c r="E14" s="269"/>
      <c r="F14" s="91"/>
      <c r="G14" s="269"/>
      <c r="H14" s="91"/>
      <c r="I14" s="269"/>
      <c r="J14" s="91"/>
      <c r="K14" s="269"/>
      <c r="L14" s="91"/>
      <c r="M14" s="269"/>
      <c r="N14" s="91"/>
      <c r="O14" s="269"/>
      <c r="P14" s="91"/>
      <c r="Q14" s="269"/>
      <c r="R14" s="91"/>
      <c r="S14" s="269"/>
      <c r="T14" s="29"/>
      <c r="U14" s="261"/>
      <c r="V14" s="29"/>
      <c r="W14" s="261"/>
      <c r="X14" s="29"/>
      <c r="Y14" s="261"/>
      <c r="Z14" s="91"/>
      <c r="AA14" s="269"/>
      <c r="AB14" s="134"/>
      <c r="AC14" s="269"/>
      <c r="AD14" s="134"/>
      <c r="AE14" s="269"/>
      <c r="AF14" s="74"/>
      <c r="AG14" s="261"/>
      <c r="AH14" s="134"/>
      <c r="AI14" s="454"/>
      <c r="AJ14" s="74"/>
      <c r="AK14" s="619"/>
      <c r="AL14" s="134"/>
      <c r="AM14" s="454"/>
      <c r="AN14" s="74"/>
      <c r="AO14" s="619"/>
      <c r="AP14" s="461"/>
      <c r="AQ14" s="469"/>
      <c r="AR14" s="566"/>
      <c r="AS14" s="109"/>
    </row>
    <row r="15" spans="1:45" x14ac:dyDescent="0.25">
      <c r="A15" s="17" t="s">
        <v>176</v>
      </c>
      <c r="B15" s="134">
        <f>+B16+B18+B20+B22+B24</f>
        <v>1565.7</v>
      </c>
      <c r="C15" s="278">
        <f>+C16+C18+C20+C22+C24</f>
        <v>1</v>
      </c>
      <c r="D15" s="134">
        <f>+D16+D18+D20+D22+D24</f>
        <v>1721.52</v>
      </c>
      <c r="E15" s="278">
        <f>+E16+E18+E20+E22+E24</f>
        <v>1</v>
      </c>
      <c r="F15" s="134">
        <f t="shared" ref="F15:Q15" si="0">+F16+F18+F20+F22+F24</f>
        <v>1951.1949999999999</v>
      </c>
      <c r="G15" s="278">
        <f t="shared" si="0"/>
        <v>0.99999897498817403</v>
      </c>
      <c r="H15" s="134">
        <f t="shared" si="0"/>
        <v>2181.6600000000003</v>
      </c>
      <c r="I15" s="278">
        <f t="shared" si="0"/>
        <v>1.0000000000000002</v>
      </c>
      <c r="J15" s="134">
        <f t="shared" si="0"/>
        <v>2401.2599999999998</v>
      </c>
      <c r="K15" s="278">
        <f t="shared" si="0"/>
        <v>0.99999999999999989</v>
      </c>
      <c r="L15" s="134">
        <f>+L16+L18+L20+L22+L24</f>
        <v>2367.3890000000001</v>
      </c>
      <c r="M15" s="278">
        <f t="shared" si="0"/>
        <v>0.99999957759389047</v>
      </c>
      <c r="N15" s="134">
        <f t="shared" si="0"/>
        <v>2320.7549999999997</v>
      </c>
      <c r="O15" s="278">
        <f t="shared" si="0"/>
        <v>0.9999978455333598</v>
      </c>
      <c r="P15" s="134">
        <f t="shared" si="0"/>
        <v>2278.2440000000001</v>
      </c>
      <c r="Q15" s="278">
        <f t="shared" si="0"/>
        <v>1.0000017557412741</v>
      </c>
      <c r="R15" s="134">
        <f>+R16+R20+R22</f>
        <v>2049.6832966299999</v>
      </c>
      <c r="S15" s="278">
        <f>+S16+S20+S22</f>
        <v>1.0000016083632568</v>
      </c>
      <c r="T15" s="74">
        <v>1726.9408438888231</v>
      </c>
      <c r="U15" s="279">
        <v>1.0000000000000016</v>
      </c>
      <c r="V15" s="74">
        <v>2226.8126564825961</v>
      </c>
      <c r="W15" s="279">
        <v>0.99999999999999656</v>
      </c>
      <c r="X15" s="74">
        <f>+X16+X20+X22</f>
        <v>2006.6243775193609</v>
      </c>
      <c r="Y15" s="279">
        <f>+Y16+Y20+Y22</f>
        <v>0.99999999999999689</v>
      </c>
      <c r="Z15" s="134">
        <f>+Z16+Z18+Z20+Z22</f>
        <v>2720.4926770353268</v>
      </c>
      <c r="AA15" s="278">
        <f t="shared" ref="AA15:AI15" si="1">+AA16+AA20+AA22</f>
        <v>1</v>
      </c>
      <c r="AB15" s="134">
        <f t="shared" si="1"/>
        <v>3515.7053274994305</v>
      </c>
      <c r="AC15" s="278">
        <f t="shared" si="1"/>
        <v>1.0000000000000036</v>
      </c>
      <c r="AD15" s="134">
        <f t="shared" si="1"/>
        <v>4384.3006251307233</v>
      </c>
      <c r="AE15" s="278">
        <f t="shared" si="1"/>
        <v>1.0000000000000044</v>
      </c>
      <c r="AF15" s="74">
        <f t="shared" si="1"/>
        <v>5505.913277080037</v>
      </c>
      <c r="AG15" s="279">
        <f t="shared" si="1"/>
        <v>1.0000000000000073</v>
      </c>
      <c r="AH15" s="89">
        <f t="shared" si="1"/>
        <v>5795.7234671230708</v>
      </c>
      <c r="AI15" s="515">
        <f t="shared" si="1"/>
        <v>0.99999999999137867</v>
      </c>
      <c r="AJ15" s="41">
        <f>+AJ16+AJ20+AJ22</f>
        <v>5914.0792951370695</v>
      </c>
      <c r="AK15" s="627">
        <f t="shared" ref="AK15" si="2">+AK16+AK20+AK22</f>
        <v>1.0000000000000155</v>
      </c>
      <c r="AL15" s="89">
        <f t="shared" ref="AL15:AQ15" si="3">+AL16+AL20+AL22</f>
        <v>6142.5021635173052</v>
      </c>
      <c r="AM15" s="515">
        <f t="shared" si="3"/>
        <v>0.99999999999956124</v>
      </c>
      <c r="AN15" s="41">
        <f t="shared" si="3"/>
        <v>8083.1322875475835</v>
      </c>
      <c r="AO15" s="627">
        <f t="shared" si="3"/>
        <v>1.0000000000000044</v>
      </c>
      <c r="AP15" s="477">
        <f t="shared" si="3"/>
        <v>9357.0269351609841</v>
      </c>
      <c r="AQ15" s="508">
        <f t="shared" si="3"/>
        <v>0.99999999999477551</v>
      </c>
      <c r="AR15" s="106"/>
      <c r="AS15" s="109"/>
    </row>
    <row r="16" spans="1:45" x14ac:dyDescent="0.25">
      <c r="A16" s="132" t="s">
        <v>177</v>
      </c>
      <c r="B16" s="134">
        <v>216.2</v>
      </c>
      <c r="C16" s="174">
        <f>+B16/B7</f>
        <v>0.13808520150731302</v>
      </c>
      <c r="D16" s="134">
        <v>176.6</v>
      </c>
      <c r="E16" s="174">
        <f>+D16/D7</f>
        <v>0.10258376318602165</v>
      </c>
      <c r="F16" s="134">
        <v>158.768</v>
      </c>
      <c r="G16" s="174">
        <f>+F16/F7</f>
        <v>8.1369538801053923E-2</v>
      </c>
      <c r="H16" s="134">
        <v>142.30000000000001</v>
      </c>
      <c r="I16" s="174">
        <f>+H16/H7</f>
        <v>6.5225562186591868E-2</v>
      </c>
      <c r="J16" s="134">
        <v>126.05</v>
      </c>
      <c r="K16" s="174">
        <f>+J16/J7</f>
        <v>5.2493274364292075E-2</v>
      </c>
      <c r="L16" s="134">
        <f>112.853+0.08</f>
        <v>112.93299999999999</v>
      </c>
      <c r="M16" s="174">
        <f>+L16/L7</f>
        <v>4.7703589184713964E-2</v>
      </c>
      <c r="N16" s="134">
        <v>119.73</v>
      </c>
      <c r="O16" s="174">
        <f>+N16/N7</f>
        <v>5.1590858167152136E-2</v>
      </c>
      <c r="P16" s="134">
        <v>111.066</v>
      </c>
      <c r="Q16" s="174">
        <f>+P16/P7</f>
        <v>4.8750790083573289E-2</v>
      </c>
      <c r="R16" s="134">
        <f>118643294.83/1000000</f>
        <v>118.64329483</v>
      </c>
      <c r="S16" s="174">
        <f>+R16/R7</f>
        <v>5.7883813487959103E-2</v>
      </c>
      <c r="T16" s="74">
        <v>107.72870085840411</v>
      </c>
      <c r="U16" s="211">
        <v>6.2381233983565237E-2</v>
      </c>
      <c r="V16" s="74">
        <v>100.63896286759676</v>
      </c>
      <c r="W16" s="211">
        <v>4.5194175888403014E-2</v>
      </c>
      <c r="X16" s="74">
        <v>88.319801589019505</v>
      </c>
      <c r="Y16" s="211">
        <f>+X16/X7</f>
        <v>4.4014117728502021E-2</v>
      </c>
      <c r="Z16" s="134">
        <v>77.074547402309733</v>
      </c>
      <c r="AA16" s="174">
        <f>+Z16/Z7</f>
        <v>2.8331099014867477E-2</v>
      </c>
      <c r="AB16" s="134">
        <v>62.792363559386047</v>
      </c>
      <c r="AC16" s="174">
        <f>+AB16/AB7</f>
        <v>1.786053087789578E-2</v>
      </c>
      <c r="AD16" s="134">
        <v>58.494503845143782</v>
      </c>
      <c r="AE16" s="174">
        <f>+AD16/AD7</f>
        <v>1.3341809525983397E-2</v>
      </c>
      <c r="AF16" s="74">
        <v>82.730178847588306</v>
      </c>
      <c r="AG16" s="211">
        <f>+AF16/AF7</f>
        <v>1.5025695953471934E-2</v>
      </c>
      <c r="AH16" s="134">
        <v>163.82146368933283</v>
      </c>
      <c r="AI16" s="90">
        <f>+AH16/AH7</f>
        <v>2.8265921349977647E-2</v>
      </c>
      <c r="AJ16" s="74">
        <v>179.151389177299</v>
      </c>
      <c r="AK16" s="40">
        <f>+AJ16/AJ7</f>
        <v>3.0292354944346345E-2</v>
      </c>
      <c r="AL16" s="523">
        <v>181.55936359006887</v>
      </c>
      <c r="AM16" s="90">
        <f>+AL16/AL7</f>
        <v>2.9557883539437797E-2</v>
      </c>
      <c r="AN16" s="631">
        <v>224.80938636187253</v>
      </c>
      <c r="AO16" s="40">
        <f>+AN16/AN7</f>
        <v>2.7812162211943769E-2</v>
      </c>
      <c r="AP16" s="525">
        <v>423.19646687994253</v>
      </c>
      <c r="AQ16" s="463">
        <f>+AP16/AP7</f>
        <v>4.5227663638274074E-2</v>
      </c>
      <c r="AR16" s="565"/>
      <c r="AS16" s="109"/>
    </row>
    <row r="17" spans="1:45" s="68" customFormat="1" x14ac:dyDescent="0.25">
      <c r="A17" s="416" t="s">
        <v>75</v>
      </c>
      <c r="B17" s="251">
        <f>+B16/B74</f>
        <v>1.4872640710536835E-2</v>
      </c>
      <c r="C17" s="280"/>
      <c r="D17" s="251">
        <f>+D16/D74</f>
        <v>1.1493268622936675E-2</v>
      </c>
      <c r="E17" s="280"/>
      <c r="F17" s="251">
        <f>+F16/F74</f>
        <v>1.0088359301225489E-2</v>
      </c>
      <c r="G17" s="280"/>
      <c r="H17" s="251">
        <f>+H16/H74</f>
        <v>8.6594442022520472E-3</v>
      </c>
      <c r="I17" s="280"/>
      <c r="J17" s="251">
        <f>+J16/J74</f>
        <v>7.1087904786812468E-3</v>
      </c>
      <c r="K17" s="280"/>
      <c r="L17" s="251">
        <f>+L16/L74</f>
        <v>5.8690354996102272E-3</v>
      </c>
      <c r="M17" s="280"/>
      <c r="N17" s="251">
        <f>+N16/N74</f>
        <v>5.3426996456758949E-3</v>
      </c>
      <c r="O17" s="280"/>
      <c r="P17" s="251">
        <f>+P16/P74</f>
        <v>3.97569824042685E-3</v>
      </c>
      <c r="Q17" s="280"/>
      <c r="R17" s="251">
        <f>+R16/R74</f>
        <v>4.043130301835912E-3</v>
      </c>
      <c r="S17" s="280"/>
      <c r="T17" s="252">
        <v>3.6069897787501591E-3</v>
      </c>
      <c r="U17" s="281"/>
      <c r="V17" s="252">
        <v>2.7406963892142346E-3</v>
      </c>
      <c r="W17" s="281"/>
      <c r="X17" s="252">
        <f>+X16/X74</f>
        <v>2.0864092220424513E-3</v>
      </c>
      <c r="Y17" s="281"/>
      <c r="Z17" s="251">
        <f>+Z16/Z74</f>
        <v>1.6523760765645237E-3</v>
      </c>
      <c r="AA17" s="280"/>
      <c r="AB17" s="226">
        <f>+AB16/AB74</f>
        <v>1.2391051770921577E-3</v>
      </c>
      <c r="AC17" s="280"/>
      <c r="AD17" s="226">
        <f>+AD16/AD74</f>
        <v>1.1326923603338906E-3</v>
      </c>
      <c r="AE17" s="280"/>
      <c r="AF17" s="223">
        <f>+AF16/AF74</f>
        <v>1.4746532259678135E-3</v>
      </c>
      <c r="AG17" s="281"/>
      <c r="AH17" s="226">
        <f>+AH16/AH74</f>
        <v>2.8436484802077644E-3</v>
      </c>
      <c r="AI17" s="516"/>
      <c r="AJ17" s="223">
        <f>+AJ16/AJ74</f>
        <v>2.9759237430702157E-3</v>
      </c>
      <c r="AK17" s="628"/>
      <c r="AL17" s="226">
        <f>+AL16/AL74</f>
        <v>3.0745098967738236E-3</v>
      </c>
      <c r="AM17" s="516"/>
      <c r="AN17" s="223">
        <f>+AN16/AN74</f>
        <v>3.4080782625819685E-3</v>
      </c>
      <c r="AO17" s="628"/>
      <c r="AP17" s="464">
        <f>+AP16/AP74</f>
        <v>7.1400804313703692E-3</v>
      </c>
      <c r="AQ17" s="509"/>
      <c r="AR17" s="575"/>
      <c r="AS17" s="109"/>
    </row>
    <row r="18" spans="1:45" x14ac:dyDescent="0.25">
      <c r="A18" s="438" t="s">
        <v>178</v>
      </c>
      <c r="B18" s="134">
        <v>0</v>
      </c>
      <c r="C18" s="174">
        <f>+B18/B7</f>
        <v>0</v>
      </c>
      <c r="D18" s="134">
        <v>0</v>
      </c>
      <c r="E18" s="174">
        <f>+D18/D7</f>
        <v>0</v>
      </c>
      <c r="F18" s="134">
        <v>0</v>
      </c>
      <c r="G18" s="174">
        <f>+F18/F7</f>
        <v>0</v>
      </c>
      <c r="H18" s="134">
        <v>0</v>
      </c>
      <c r="I18" s="174">
        <f>+H18/H7</f>
        <v>0</v>
      </c>
      <c r="J18" s="134">
        <v>0</v>
      </c>
      <c r="K18" s="174">
        <f>+J18/J7</f>
        <v>0</v>
      </c>
      <c r="L18" s="134">
        <v>0</v>
      </c>
      <c r="M18" s="174">
        <f>+L18/L7</f>
        <v>0</v>
      </c>
      <c r="N18" s="134">
        <v>0</v>
      </c>
      <c r="O18" s="174">
        <f>+N18/N7</f>
        <v>0</v>
      </c>
      <c r="P18" s="134">
        <v>0</v>
      </c>
      <c r="Q18" s="174">
        <f>+P18/P7</f>
        <v>0</v>
      </c>
      <c r="R18" s="96"/>
      <c r="S18" s="138"/>
      <c r="T18" s="57"/>
      <c r="U18" s="139"/>
      <c r="V18" s="57"/>
      <c r="W18" s="139"/>
      <c r="X18" s="57"/>
      <c r="Y18" s="139"/>
      <c r="Z18" s="96"/>
      <c r="AA18" s="138"/>
      <c r="AB18" s="134"/>
      <c r="AC18" s="174"/>
      <c r="AD18" s="134"/>
      <c r="AE18" s="174"/>
      <c r="AF18" s="74"/>
      <c r="AG18" s="211"/>
      <c r="AH18" s="134"/>
      <c r="AI18" s="90"/>
      <c r="AJ18" s="74"/>
      <c r="AK18" s="40"/>
      <c r="AL18" s="134"/>
      <c r="AM18" s="90"/>
      <c r="AN18" s="74"/>
      <c r="AO18" s="40"/>
      <c r="AP18" s="461"/>
      <c r="AQ18" s="463"/>
      <c r="AR18" s="565"/>
      <c r="AS18" s="109"/>
    </row>
    <row r="19" spans="1:45" s="68" customFormat="1" x14ac:dyDescent="0.25">
      <c r="A19" s="416" t="s">
        <v>75</v>
      </c>
      <c r="B19" s="226">
        <f>+B18/B74</f>
        <v>0</v>
      </c>
      <c r="C19" s="92"/>
      <c r="D19" s="226">
        <f>+D18/D74</f>
        <v>0</v>
      </c>
      <c r="E19" s="92"/>
      <c r="F19" s="226">
        <f>+F18/F74</f>
        <v>0</v>
      </c>
      <c r="G19" s="92"/>
      <c r="H19" s="226">
        <f>+H18/H74</f>
        <v>0</v>
      </c>
      <c r="I19" s="92"/>
      <c r="J19" s="226">
        <f>+J18/J74</f>
        <v>0</v>
      </c>
      <c r="K19" s="92"/>
      <c r="L19" s="226">
        <f>+L18/L74</f>
        <v>0</v>
      </c>
      <c r="M19" s="92"/>
      <c r="N19" s="226">
        <f>+N18/N74</f>
        <v>0</v>
      </c>
      <c r="O19" s="92"/>
      <c r="P19" s="226">
        <f>+P18/P74</f>
        <v>0</v>
      </c>
      <c r="Q19" s="92"/>
      <c r="R19" s="251"/>
      <c r="S19" s="253"/>
      <c r="T19" s="252"/>
      <c r="U19" s="254"/>
      <c r="V19" s="252"/>
      <c r="W19" s="254"/>
      <c r="X19" s="252"/>
      <c r="Y19" s="254"/>
      <c r="Z19" s="251">
        <f>+Z18/Z70</f>
        <v>0</v>
      </c>
      <c r="AA19" s="253"/>
      <c r="AB19" s="226"/>
      <c r="AC19" s="92"/>
      <c r="AD19" s="226"/>
      <c r="AE19" s="92"/>
      <c r="AF19" s="223"/>
      <c r="AG19" s="35"/>
      <c r="AH19" s="226"/>
      <c r="AI19" s="92"/>
      <c r="AJ19" s="223"/>
      <c r="AK19" s="35"/>
      <c r="AL19" s="226"/>
      <c r="AM19" s="92"/>
      <c r="AN19" s="223"/>
      <c r="AO19" s="35"/>
      <c r="AP19" s="464"/>
      <c r="AQ19" s="472"/>
      <c r="AR19" s="389"/>
      <c r="AS19" s="109"/>
    </row>
    <row r="20" spans="1:45" x14ac:dyDescent="0.25">
      <c r="A20" s="132" t="s">
        <v>179</v>
      </c>
      <c r="B20" s="134">
        <v>750</v>
      </c>
      <c r="C20" s="174">
        <f>+B20/B7</f>
        <v>0.47901896915117836</v>
      </c>
      <c r="D20" s="134">
        <v>1000</v>
      </c>
      <c r="E20" s="174">
        <f>+D20/D7</f>
        <v>0.5808820112458758</v>
      </c>
      <c r="F20" s="134">
        <v>1250</v>
      </c>
      <c r="G20" s="174">
        <f>+F20/F7</f>
        <v>0.64063239129621463</v>
      </c>
      <c r="H20" s="134">
        <v>1500</v>
      </c>
      <c r="I20" s="174">
        <f>+H20/H7</f>
        <v>0.68754984736393399</v>
      </c>
      <c r="J20" s="134">
        <v>1750</v>
      </c>
      <c r="K20" s="174">
        <f>+J20/J7</f>
        <v>0.72878405503777177</v>
      </c>
      <c r="L20" s="134">
        <v>1750</v>
      </c>
      <c r="M20" s="174">
        <f>+L20/L7</f>
        <v>0.73921069194344835</v>
      </c>
      <c r="N20" s="134">
        <v>1750</v>
      </c>
      <c r="O20" s="174">
        <f>+N20/N7</f>
        <v>0.75406332408348986</v>
      </c>
      <c r="P20" s="134">
        <v>1750</v>
      </c>
      <c r="Q20" s="174">
        <f>+P20/P7</f>
        <v>0.76813680736006751</v>
      </c>
      <c r="R20" s="134">
        <v>1550</v>
      </c>
      <c r="S20" s="174">
        <f>+R20/R7</f>
        <v>0.75621560438702629</v>
      </c>
      <c r="T20" s="74">
        <v>1250</v>
      </c>
      <c r="U20" s="211">
        <v>0.72382328811285812</v>
      </c>
      <c r="V20" s="74">
        <v>1250</v>
      </c>
      <c r="W20" s="211">
        <v>0.56134044162226771</v>
      </c>
      <c r="X20" s="74">
        <v>1000</v>
      </c>
      <c r="Y20" s="211">
        <f>+X20/X7</f>
        <v>0.49834937280898672</v>
      </c>
      <c r="Z20" s="134">
        <v>1750</v>
      </c>
      <c r="AA20" s="174">
        <f>+Z20/Z7</f>
        <v>0.64326583738761356</v>
      </c>
      <c r="AB20" s="134">
        <v>2500</v>
      </c>
      <c r="AC20" s="174">
        <f>+AB20/AB7</f>
        <v>0.71109486351011997</v>
      </c>
      <c r="AD20" s="134">
        <v>3250</v>
      </c>
      <c r="AE20" s="174">
        <f>+AD20/AD7</f>
        <v>0.74128128472100652</v>
      </c>
      <c r="AF20" s="74">
        <v>4250</v>
      </c>
      <c r="AG20" s="211">
        <f>+AF20/AF7</f>
        <v>0.77189737399095804</v>
      </c>
      <c r="AH20" s="134">
        <v>4250</v>
      </c>
      <c r="AI20" s="90">
        <f>+AH20/AH7</f>
        <v>0.73329930664773579</v>
      </c>
      <c r="AJ20" s="74">
        <v>4250</v>
      </c>
      <c r="AK20" s="40">
        <f>+AJ20/AJ7</f>
        <v>0.71862411508325308</v>
      </c>
      <c r="AL20" s="523">
        <v>4250</v>
      </c>
      <c r="AM20" s="90">
        <f>+AL20/AL7</f>
        <v>0.69190044819854168</v>
      </c>
      <c r="AN20" s="631">
        <v>5750</v>
      </c>
      <c r="AO20" s="40">
        <f>+AN20/AN7</f>
        <v>0.71135789882570033</v>
      </c>
      <c r="AP20" s="525">
        <v>5500</v>
      </c>
      <c r="AQ20" s="463">
        <f>+AP20/AP7</f>
        <v>0.58779354148312501</v>
      </c>
      <c r="AR20" s="565"/>
      <c r="AS20" s="109"/>
    </row>
    <row r="21" spans="1:45" s="68" customFormat="1" x14ac:dyDescent="0.25">
      <c r="A21" s="416" t="s">
        <v>75</v>
      </c>
      <c r="B21" s="226">
        <f>+B20/B74</f>
        <v>5.1593341965322045E-2</v>
      </c>
      <c r="C21" s="92"/>
      <c r="D21" s="226">
        <f>+D20/D74</f>
        <v>6.5080796279369621E-2</v>
      </c>
      <c r="E21" s="92"/>
      <c r="F21" s="226">
        <f>+F20/F74</f>
        <v>7.9426894125591188E-2</v>
      </c>
      <c r="G21" s="92"/>
      <c r="H21" s="226">
        <f>+H20/H74</f>
        <v>9.1280156734912646E-2</v>
      </c>
      <c r="I21" s="92"/>
      <c r="J21" s="226">
        <f>+J20/J74</f>
        <v>9.8694036792480608E-2</v>
      </c>
      <c r="K21" s="92"/>
      <c r="L21" s="226">
        <f>+L20/L74</f>
        <v>9.0946066467001652E-2</v>
      </c>
      <c r="M21" s="92"/>
      <c r="N21" s="226">
        <f>+N20/N74</f>
        <v>7.8090072495889215E-2</v>
      </c>
      <c r="O21" s="92"/>
      <c r="P21" s="226">
        <f>+P20/P74</f>
        <v>6.264268021489014E-2</v>
      </c>
      <c r="Q21" s="92"/>
      <c r="R21" s="226">
        <f>+R20/R74</f>
        <v>5.2820953572009492E-2</v>
      </c>
      <c r="S21" s="92"/>
      <c r="T21" s="223">
        <v>4.1852702088776408E-2</v>
      </c>
      <c r="U21" s="35"/>
      <c r="V21" s="223">
        <v>3.4041194274080089E-2</v>
      </c>
      <c r="W21" s="35"/>
      <c r="X21" s="223">
        <f>+X20/X74</f>
        <v>2.3623345891912048E-2</v>
      </c>
      <c r="Y21" s="35"/>
      <c r="Z21" s="226">
        <f>+Z20/Z74</f>
        <v>3.751767907107114E-2</v>
      </c>
      <c r="AA21" s="92"/>
      <c r="AB21" s="226">
        <f>+AB20/AB74</f>
        <v>4.9333434308467726E-2</v>
      </c>
      <c r="AC21" s="92"/>
      <c r="AD21" s="226">
        <f>+AD20/AD74</f>
        <v>6.2933266018133122E-2</v>
      </c>
      <c r="AE21" s="92"/>
      <c r="AF21" s="223">
        <f>+AF20/AF74</f>
        <v>7.5755622647803653E-2</v>
      </c>
      <c r="AG21" s="35"/>
      <c r="AH21" s="226">
        <f>+AH20/AH74</f>
        <v>7.3772421322041579E-2</v>
      </c>
      <c r="AI21" s="92"/>
      <c r="AJ21" s="223">
        <f>+AJ20/AJ74</f>
        <v>7.0597699331996333E-2</v>
      </c>
      <c r="AK21" s="35"/>
      <c r="AL21" s="226">
        <f>+AL20/AL74</f>
        <v>7.196911689331062E-2</v>
      </c>
      <c r="AM21" s="92"/>
      <c r="AN21" s="223">
        <f>+AN20/AN74</f>
        <v>8.7169180642227215E-2</v>
      </c>
      <c r="AO21" s="35"/>
      <c r="AP21" s="464">
        <f>+AP20/AP74</f>
        <v>9.279482568004932E-2</v>
      </c>
      <c r="AQ21" s="472"/>
      <c r="AR21" s="389"/>
      <c r="AS21" s="109"/>
    </row>
    <row r="22" spans="1:45" x14ac:dyDescent="0.25">
      <c r="A22" s="132" t="s">
        <v>180</v>
      </c>
      <c r="B22" s="134">
        <v>532.70000000000005</v>
      </c>
      <c r="C22" s="174">
        <f>+B22/B7</f>
        <v>0.34023120648911032</v>
      </c>
      <c r="D22" s="134">
        <v>483</v>
      </c>
      <c r="E22" s="174">
        <f>+D22/D7</f>
        <v>0.28056601143175797</v>
      </c>
      <c r="F22" s="134">
        <v>472.29399999999998</v>
      </c>
      <c r="G22" s="174">
        <f>+F22/F7</f>
        <v>0.24205346769188349</v>
      </c>
      <c r="H22" s="134">
        <v>467</v>
      </c>
      <c r="I22" s="174">
        <f>+H22/H7</f>
        <v>0.21405718581263811</v>
      </c>
      <c r="J22" s="134">
        <v>452.21</v>
      </c>
      <c r="K22" s="174">
        <f>+J22/J7</f>
        <v>0.18832196430207471</v>
      </c>
      <c r="L22" s="134">
        <v>443.161</v>
      </c>
      <c r="M22" s="174">
        <f>+L22/L7</f>
        <v>0.18719391397277171</v>
      </c>
      <c r="N22" s="134">
        <v>394.97</v>
      </c>
      <c r="O22" s="174">
        <f>+N22/N7</f>
        <v>0.17018993777900343</v>
      </c>
      <c r="P22" s="134">
        <v>365.35199999999998</v>
      </c>
      <c r="Q22" s="174">
        <f>+P22/P7</f>
        <v>0.16036589648149449</v>
      </c>
      <c r="R22" s="134">
        <f>381040001.8/1000000</f>
        <v>381.04000180000003</v>
      </c>
      <c r="S22" s="174">
        <f>+R22/R7</f>
        <v>0.18590219048827136</v>
      </c>
      <c r="T22" s="74">
        <v>369.21214303041904</v>
      </c>
      <c r="U22" s="211">
        <v>0.21379547790357822</v>
      </c>
      <c r="V22" s="74">
        <v>876.17369361499948</v>
      </c>
      <c r="W22" s="211">
        <v>0.39346538248932583</v>
      </c>
      <c r="X22" s="74">
        <v>918.30457593034134</v>
      </c>
      <c r="Y22" s="211">
        <f>+X22/X7</f>
        <v>0.45763650946250817</v>
      </c>
      <c r="Z22" s="134">
        <v>893.41812963301686</v>
      </c>
      <c r="AA22" s="174">
        <f>+Z22/Z7</f>
        <v>0.32840306359751892</v>
      </c>
      <c r="AB22" s="134">
        <v>952.91296394004416</v>
      </c>
      <c r="AC22" s="174">
        <f>+AB22/AB7</f>
        <v>0.27104460561198784</v>
      </c>
      <c r="AD22" s="134">
        <v>1075.8061212855791</v>
      </c>
      <c r="AE22" s="174">
        <f>+AD22/AD7</f>
        <v>0.24537690575301449</v>
      </c>
      <c r="AF22" s="74">
        <v>1173.1830982324491</v>
      </c>
      <c r="AG22" s="211">
        <f>+AF22/AF7</f>
        <v>0.21307693005557732</v>
      </c>
      <c r="AH22" s="134">
        <v>1381.9020034337379</v>
      </c>
      <c r="AI22" s="90">
        <f>+AH22/AH7</f>
        <v>0.2384347719936652</v>
      </c>
      <c r="AJ22" s="74">
        <v>1484.9279059597707</v>
      </c>
      <c r="AK22" s="40">
        <f>+AJ22/AJ7</f>
        <v>0.25108352997241606</v>
      </c>
      <c r="AL22" s="523">
        <v>1710.9427999272366</v>
      </c>
      <c r="AM22" s="90">
        <f>+AL22/AL7</f>
        <v>0.27854166826158183</v>
      </c>
      <c r="AN22" s="631">
        <v>2108.3229011857115</v>
      </c>
      <c r="AO22" s="40">
        <f>+AN22/AN7</f>
        <v>0.2608299389623604</v>
      </c>
      <c r="AP22" s="525">
        <v>3433.8304682810417</v>
      </c>
      <c r="AQ22" s="463">
        <f>+AP22/AP7</f>
        <v>0.36697879487337653</v>
      </c>
      <c r="AR22" s="565"/>
      <c r="AS22" s="109"/>
    </row>
    <row r="23" spans="1:45" s="68" customFormat="1" x14ac:dyDescent="0.25">
      <c r="A23" s="416" t="s">
        <v>75</v>
      </c>
      <c r="B23" s="226">
        <f>+B22/B74</f>
        <v>3.6645031019902741E-2</v>
      </c>
      <c r="C23" s="92"/>
      <c r="D23" s="226">
        <f>+D22/D74</f>
        <v>3.1434024602935533E-2</v>
      </c>
      <c r="E23" s="92"/>
      <c r="F23" s="226">
        <f>+F22/F74</f>
        <v>3.0010276427321569E-2</v>
      </c>
      <c r="G23" s="92"/>
      <c r="H23" s="226">
        <f>+H22/H74</f>
        <v>2.8418555463469473E-2</v>
      </c>
      <c r="I23" s="92"/>
      <c r="J23" s="226">
        <f>+J22/J74</f>
        <v>2.5503103073101517E-2</v>
      </c>
      <c r="K23" s="92"/>
      <c r="L23" s="226">
        <f>+L22/L74</f>
        <v>2.3030714149475953E-2</v>
      </c>
      <c r="M23" s="92"/>
      <c r="N23" s="226">
        <f>+N22/N74</f>
        <v>1.7624706247829351E-2</v>
      </c>
      <c r="O23" s="92"/>
      <c r="P23" s="226">
        <f>+P22/P74</f>
        <v>1.3078073429640309E-2</v>
      </c>
      <c r="Q23" s="92"/>
      <c r="R23" s="226">
        <f>+R22/R74</f>
        <v>1.2985094351068526E-2</v>
      </c>
      <c r="S23" s="92"/>
      <c r="T23" s="223">
        <v>1.2362020663848667E-2</v>
      </c>
      <c r="U23" s="35"/>
      <c r="V23" s="223">
        <v>2.3860799137749217E-2</v>
      </c>
      <c r="W23" s="35"/>
      <c r="X23" s="223">
        <f>+X22/X74</f>
        <v>2.1693426631328065E-2</v>
      </c>
      <c r="Y23" s="35"/>
      <c r="Z23" s="226">
        <f>+Z22/Z74</f>
        <v>1.9153699807913236E-2</v>
      </c>
      <c r="AA23" s="92"/>
      <c r="AB23" s="226">
        <f>+AB22/AB74</f>
        <v>1.8804187643289377E-2</v>
      </c>
      <c r="AC23" s="249"/>
      <c r="AD23" s="226">
        <f>+AD22/AD74</f>
        <v>2.0831997789169641E-2</v>
      </c>
      <c r="AE23" s="249"/>
      <c r="AF23" s="223">
        <f>+AF22/AF74</f>
        <v>2.0911815549759665E-2</v>
      </c>
      <c r="AG23" s="250"/>
      <c r="AH23" s="226">
        <f>+AH22/AH74</f>
        <v>2.3987354546608722E-2</v>
      </c>
      <c r="AI23" s="248"/>
      <c r="AJ23" s="223">
        <f>+AJ22/AJ74</f>
        <v>2.4666469137562076E-2</v>
      </c>
      <c r="AK23" s="224"/>
      <c r="AL23" s="226">
        <f>+AL22/AL74</f>
        <v>2.8972951144877988E-2</v>
      </c>
      <c r="AM23" s="248"/>
      <c r="AN23" s="223">
        <f>+AN22/AN74</f>
        <v>3.1961874752278581E-2</v>
      </c>
      <c r="AO23" s="224"/>
      <c r="AP23" s="464">
        <f>+AP22/AP74</f>
        <v>5.7934854494360248E-2</v>
      </c>
      <c r="AQ23" s="467"/>
      <c r="AR23" s="565"/>
      <c r="AS23" s="109"/>
    </row>
    <row r="24" spans="1:45" x14ac:dyDescent="0.25">
      <c r="A24" s="132" t="s">
        <v>181</v>
      </c>
      <c r="B24" s="134">
        <v>66.8</v>
      </c>
      <c r="C24" s="174">
        <f>+B24/B7</f>
        <v>4.2664622852398283E-2</v>
      </c>
      <c r="D24" s="134">
        <v>61.92</v>
      </c>
      <c r="E24" s="174">
        <f>+D24/D7</f>
        <v>3.5968214136344628E-2</v>
      </c>
      <c r="F24" s="134">
        <v>70.132999999999996</v>
      </c>
      <c r="G24" s="174">
        <f>+F24/F7</f>
        <v>3.5943577199021935E-2</v>
      </c>
      <c r="H24" s="134">
        <v>72.36</v>
      </c>
      <c r="I24" s="174">
        <f>+H24/H7</f>
        <v>3.3167404636836172E-2</v>
      </c>
      <c r="J24" s="134">
        <v>73</v>
      </c>
      <c r="K24" s="174">
        <f>+J24/J7</f>
        <v>3.0400706295861335E-2</v>
      </c>
      <c r="L24" s="134">
        <v>61.295000000000002</v>
      </c>
      <c r="M24" s="174">
        <f>+L24/L7</f>
        <v>2.5891382492956382E-2</v>
      </c>
      <c r="N24" s="134">
        <v>56.055</v>
      </c>
      <c r="O24" s="174">
        <f>+N24/N7</f>
        <v>2.4153725503714297E-2</v>
      </c>
      <c r="P24" s="134">
        <v>51.826000000000001</v>
      </c>
      <c r="Q24" s="174">
        <f>+P24/P7</f>
        <v>2.2748261816138777E-2</v>
      </c>
      <c r="R24" s="91"/>
      <c r="S24" s="97"/>
      <c r="T24" s="29"/>
      <c r="U24" s="58"/>
      <c r="V24" s="29"/>
      <c r="W24" s="58"/>
      <c r="X24" s="29"/>
      <c r="Y24" s="58"/>
      <c r="Z24" s="91"/>
      <c r="AA24" s="97"/>
      <c r="AB24" s="134"/>
      <c r="AC24" s="258"/>
      <c r="AD24" s="134"/>
      <c r="AE24" s="258"/>
      <c r="AF24" s="74"/>
      <c r="AG24" s="259"/>
      <c r="AH24" s="134"/>
      <c r="AI24" s="453"/>
      <c r="AJ24" s="74"/>
      <c r="AK24" s="618"/>
      <c r="AL24" s="134"/>
      <c r="AM24" s="453"/>
      <c r="AN24" s="74"/>
      <c r="AO24" s="618"/>
      <c r="AP24" s="461"/>
      <c r="AQ24" s="466"/>
      <c r="AR24" s="565"/>
      <c r="AS24" s="109"/>
    </row>
    <row r="25" spans="1:45" s="68" customFormat="1" x14ac:dyDescent="0.25">
      <c r="A25" s="416" t="s">
        <v>75</v>
      </c>
      <c r="B25" s="226">
        <f>+B24/B74</f>
        <v>4.5952469910446837E-3</v>
      </c>
      <c r="C25" s="92"/>
      <c r="D25" s="226">
        <f>+D24/D74</f>
        <v>4.029802905618567E-3</v>
      </c>
      <c r="E25" s="92"/>
      <c r="F25" s="226">
        <f>+F24/F74</f>
        <v>4.4563570925680689E-3</v>
      </c>
      <c r="G25" s="92"/>
      <c r="H25" s="226">
        <f>+H24/H74</f>
        <v>4.403354760892186E-3</v>
      </c>
      <c r="I25" s="92"/>
      <c r="J25" s="226">
        <f>+J24/J74</f>
        <v>4.1169512490577629E-3</v>
      </c>
      <c r="K25" s="92"/>
      <c r="L25" s="226">
        <f>+L24/L74</f>
        <v>3.1854509394827809E-3</v>
      </c>
      <c r="M25" s="92"/>
      <c r="N25" s="226">
        <f>+N24/N74</f>
        <v>2.5013365792897545E-3</v>
      </c>
      <c r="O25" s="92"/>
      <c r="P25" s="226">
        <f>+P24/P74</f>
        <v>1.8551540256096549E-3</v>
      </c>
      <c r="Q25" s="92"/>
      <c r="R25" s="226"/>
      <c r="S25" s="92"/>
      <c r="T25" s="223"/>
      <c r="U25" s="35"/>
      <c r="V25" s="223"/>
      <c r="W25" s="35"/>
      <c r="X25" s="223"/>
      <c r="Y25" s="35"/>
      <c r="Z25" s="226"/>
      <c r="AA25" s="92"/>
      <c r="AB25" s="226"/>
      <c r="AC25" s="249"/>
      <c r="AD25" s="226"/>
      <c r="AE25" s="249"/>
      <c r="AF25" s="223"/>
      <c r="AG25" s="250"/>
      <c r="AH25" s="226"/>
      <c r="AI25" s="248"/>
      <c r="AJ25" s="223"/>
      <c r="AK25" s="224"/>
      <c r="AL25" s="226"/>
      <c r="AM25" s="248"/>
      <c r="AN25" s="223"/>
      <c r="AO25" s="224"/>
      <c r="AP25" s="464"/>
      <c r="AQ25" s="467"/>
      <c r="AR25" s="565"/>
      <c r="AS25" s="109"/>
    </row>
    <row r="26" spans="1:45" x14ac:dyDescent="0.25">
      <c r="A26" s="417"/>
      <c r="B26" s="91"/>
      <c r="C26" s="92"/>
      <c r="D26" s="91"/>
      <c r="E26" s="92"/>
      <c r="F26" s="91"/>
      <c r="G26" s="92"/>
      <c r="H26" s="91"/>
      <c r="I26" s="92"/>
      <c r="J26" s="91"/>
      <c r="K26" s="92"/>
      <c r="L26" s="91"/>
      <c r="M26" s="92"/>
      <c r="N26" s="91"/>
      <c r="O26" s="92"/>
      <c r="P26" s="91"/>
      <c r="Q26" s="92"/>
      <c r="R26" s="91"/>
      <c r="S26" s="92"/>
      <c r="T26" s="29"/>
      <c r="U26" s="35"/>
      <c r="V26" s="29"/>
      <c r="W26" s="35"/>
      <c r="X26" s="29"/>
      <c r="Y26" s="35"/>
      <c r="Z26" s="91"/>
      <c r="AA26" s="92"/>
      <c r="AB26" s="153"/>
      <c r="AC26" s="258"/>
      <c r="AD26" s="153"/>
      <c r="AE26" s="258"/>
      <c r="AF26" s="75"/>
      <c r="AG26" s="259"/>
      <c r="AH26" s="153"/>
      <c r="AI26" s="453"/>
      <c r="AJ26" s="75"/>
      <c r="AK26" s="618"/>
      <c r="AL26" s="153"/>
      <c r="AM26" s="453"/>
      <c r="AN26" s="75"/>
      <c r="AO26" s="618"/>
      <c r="AP26" s="471"/>
      <c r="AQ26" s="466"/>
      <c r="AR26" s="565"/>
      <c r="AS26" s="109"/>
    </row>
    <row r="27" spans="1:45" x14ac:dyDescent="0.25">
      <c r="A27" s="398" t="s">
        <v>77</v>
      </c>
      <c r="B27" s="91"/>
      <c r="C27" s="269"/>
      <c r="D27" s="91"/>
      <c r="E27" s="269"/>
      <c r="F27" s="91"/>
      <c r="G27" s="269"/>
      <c r="H27" s="91"/>
      <c r="I27" s="269"/>
      <c r="J27" s="91"/>
      <c r="K27" s="269"/>
      <c r="L27" s="91"/>
      <c r="M27" s="269"/>
      <c r="N27" s="91"/>
      <c r="O27" s="269"/>
      <c r="P27" s="91"/>
      <c r="Q27" s="269"/>
      <c r="R27" s="91"/>
      <c r="S27" s="269"/>
      <c r="T27" s="29"/>
      <c r="U27" s="261"/>
      <c r="V27" s="29"/>
      <c r="W27" s="261"/>
      <c r="X27" s="29"/>
      <c r="Y27" s="261"/>
      <c r="Z27" s="91"/>
      <c r="AA27" s="269"/>
      <c r="AB27" s="134"/>
      <c r="AC27" s="258"/>
      <c r="AD27" s="134"/>
      <c r="AE27" s="258"/>
      <c r="AF27" s="74"/>
      <c r="AG27" s="259"/>
      <c r="AH27" s="134"/>
      <c r="AI27" s="453"/>
      <c r="AJ27" s="74"/>
      <c r="AK27" s="618"/>
      <c r="AL27" s="134"/>
      <c r="AM27" s="453"/>
      <c r="AN27" s="74"/>
      <c r="AO27" s="618"/>
      <c r="AP27" s="461"/>
      <c r="AQ27" s="466"/>
      <c r="AR27" s="565"/>
      <c r="AS27" s="109"/>
    </row>
    <row r="28" spans="1:45" x14ac:dyDescent="0.25">
      <c r="A28" s="76" t="s">
        <v>78</v>
      </c>
      <c r="B28" s="134">
        <v>381.48927305000001</v>
      </c>
      <c r="C28" s="258">
        <f>+B28/B7</f>
        <v>0.24365413109152456</v>
      </c>
      <c r="D28" s="134">
        <v>348.93688777</v>
      </c>
      <c r="E28" s="258">
        <f>+D28/D7</f>
        <v>0.20269116116571403</v>
      </c>
      <c r="F28" s="134">
        <v>353.47267106999999</v>
      </c>
      <c r="G28" s="258">
        <f>+F28/F7</f>
        <v>0.18115683402034752</v>
      </c>
      <c r="H28" s="134">
        <f>354257055.92/1000000</f>
        <v>354.25705592000003</v>
      </c>
      <c r="I28" s="258">
        <f>+H28/H7</f>
        <v>0.1623795898169284</v>
      </c>
      <c r="J28" s="134">
        <f>345902927.38/1000000</f>
        <v>345.90292737999999</v>
      </c>
      <c r="K28" s="258">
        <f>+J28/J7</f>
        <v>0.14405059318024702</v>
      </c>
      <c r="L28" s="134">
        <f>304487527.53/1000000</f>
        <v>304.48752752999997</v>
      </c>
      <c r="M28" s="258">
        <f>+L28/L7</f>
        <v>0.12861739195062916</v>
      </c>
      <c r="N28" s="134">
        <f>274531765.47/1000000</f>
        <v>274.53176547000004</v>
      </c>
      <c r="O28" s="258">
        <f>+N28/N7</f>
        <v>0.11829390607818129</v>
      </c>
      <c r="P28" s="134">
        <f>344357805.3/1000000</f>
        <v>344.3578053</v>
      </c>
      <c r="Q28" s="258">
        <f>+P28/P7</f>
        <v>0.15115080294437813</v>
      </c>
      <c r="R28" s="134">
        <f>331685890.67/1000000</f>
        <v>331.68589066999999</v>
      </c>
      <c r="S28" s="258">
        <f>+R28/R7</f>
        <v>0.16182325566429884</v>
      </c>
      <c r="T28" s="74">
        <v>331.62646427521332</v>
      </c>
      <c r="U28" s="259">
        <v>0.19203116623754096</v>
      </c>
      <c r="V28" s="74">
        <v>849.73032202401771</v>
      </c>
      <c r="W28" s="259">
        <v>0.38159039537983508</v>
      </c>
      <c r="X28" s="74">
        <v>900.66426076984806</v>
      </c>
      <c r="Y28" s="259">
        <f>+X28/X7</f>
        <v>0.44884546946612347</v>
      </c>
      <c r="Z28" s="134">
        <v>882.39426657698607</v>
      </c>
      <c r="AA28" s="258">
        <f>+Z28/Z7</f>
        <v>0.32435090674038519</v>
      </c>
      <c r="AB28" s="134">
        <v>945.74815565055417</v>
      </c>
      <c r="AC28" s="258">
        <f>+AB28/AB7</f>
        <v>0.26900666226291137</v>
      </c>
      <c r="AD28" s="134">
        <v>1070.2681439495043</v>
      </c>
      <c r="AE28" s="258">
        <f>+AD28/AD7</f>
        <v>0.24411376761318637</v>
      </c>
      <c r="AF28" s="74">
        <v>1169.0780129423158</v>
      </c>
      <c r="AG28" s="259">
        <f>+AF28/AF7</f>
        <v>0.2123313525131155</v>
      </c>
      <c r="AH28" s="134">
        <v>1378.7102574044047</v>
      </c>
      <c r="AI28" s="453">
        <f>+AH28/AH7</f>
        <v>0.23788406489947561</v>
      </c>
      <c r="AJ28" s="74">
        <v>1482.596104140214</v>
      </c>
      <c r="AK28" s="618">
        <f>+AJ28/AJ7</f>
        <v>0.25068925020320937</v>
      </c>
      <c r="AL28" s="523">
        <v>1709.5489250299913</v>
      </c>
      <c r="AM28" s="453">
        <f>+AL28/AL7</f>
        <v>0.27831474528131439</v>
      </c>
      <c r="AN28" s="631">
        <v>2107.8583979799964</v>
      </c>
      <c r="AO28" s="618">
        <f>+AN28/AN7</f>
        <v>0.26077247321898384</v>
      </c>
      <c r="AP28" s="525">
        <v>3590.6225356921796</v>
      </c>
      <c r="AQ28" s="466">
        <f>+AP28/AP7</f>
        <v>0.38373540661520444</v>
      </c>
      <c r="AR28" s="565"/>
      <c r="AS28" s="109"/>
    </row>
    <row r="29" spans="1:45" s="68" customFormat="1" x14ac:dyDescent="0.25">
      <c r="A29" s="415" t="s">
        <v>71</v>
      </c>
      <c r="B29" s="226">
        <f>+B28/B74</f>
        <v>2.6243075360761023E-2</v>
      </c>
      <c r="C29" s="249"/>
      <c r="D29" s="226">
        <f>+D28/D74</f>
        <v>2.2709090507316631E-2</v>
      </c>
      <c r="E29" s="249"/>
      <c r="F29" s="226">
        <f>+F28/F74</f>
        <v>2.2460189137093446E-2</v>
      </c>
      <c r="G29" s="249"/>
      <c r="H29" s="226">
        <f>+H28/H74</f>
        <v>2.1557759725884213E-2</v>
      </c>
      <c r="I29" s="249"/>
      <c r="J29" s="226">
        <f>+J28/J74</f>
        <v>1.9507746423696268E-2</v>
      </c>
      <c r="K29" s="249"/>
      <c r="L29" s="226">
        <f>+L28/L74</f>
        <v>1.5823967381209357E-2</v>
      </c>
      <c r="M29" s="249"/>
      <c r="N29" s="226">
        <f>+N28/N74</f>
        <v>1.2250403124558149E-2</v>
      </c>
      <c r="O29" s="249"/>
      <c r="P29" s="226">
        <f>+P28/P74</f>
        <v>1.2326569072519599E-2</v>
      </c>
      <c r="Q29" s="249"/>
      <c r="R29" s="226">
        <f>+R28/R74</f>
        <v>1.1303203246174636E-2</v>
      </c>
      <c r="S29" s="249"/>
      <c r="T29" s="223">
        <v>1.1103570891251805E-2</v>
      </c>
      <c r="U29" s="250"/>
      <c r="V29" s="223">
        <v>2.3140667978076977E-2</v>
      </c>
      <c r="W29" s="250"/>
      <c r="X29" s="223">
        <f>+X28/X74</f>
        <v>2.1276703364649392E-2</v>
      </c>
      <c r="Y29" s="250"/>
      <c r="Z29" s="226">
        <f>+Z28/Z74</f>
        <v>1.891736280433632E-2</v>
      </c>
      <c r="AA29" s="249"/>
      <c r="AB29" s="226">
        <f>+AB28/AB74</f>
        <v>1.866280180365645E-2</v>
      </c>
      <c r="AC29" s="249"/>
      <c r="AD29" s="226">
        <f>+AD28/AD74</f>
        <v>2.0724759942740846E-2</v>
      </c>
      <c r="AE29" s="249"/>
      <c r="AF29" s="223">
        <f>+AF28/AF74</f>
        <v>2.0838643010424044E-2</v>
      </c>
      <c r="AG29" s="250"/>
      <c r="AH29" s="226">
        <f>+AH28/AH74</f>
        <v>2.3931951527119563E-2</v>
      </c>
      <c r="AI29" s="248"/>
      <c r="AJ29" s="223">
        <f>+AJ28/AJ74</f>
        <v>2.4627735056677636E-2</v>
      </c>
      <c r="AK29" s="224"/>
      <c r="AL29" s="226">
        <f>+AL28/AL74</f>
        <v>2.8949347393015752E-2</v>
      </c>
      <c r="AM29" s="248"/>
      <c r="AN29" s="223">
        <f>+AN28/AN74</f>
        <v>3.1954832949870254E-2</v>
      </c>
      <c r="AO29" s="224"/>
      <c r="AP29" s="464">
        <f>+AP28/AP74</f>
        <v>6.0580216778620445E-2</v>
      </c>
      <c r="AQ29" s="467"/>
      <c r="AR29" s="565"/>
      <c r="AS29" s="109"/>
    </row>
    <row r="30" spans="1:45" x14ac:dyDescent="0.25">
      <c r="A30" s="76" t="s">
        <v>79</v>
      </c>
      <c r="B30" s="153">
        <f>+B7-B28</f>
        <v>1184.21072695</v>
      </c>
      <c r="C30" s="258">
        <f>+B30/B7</f>
        <v>0.75634586890847544</v>
      </c>
      <c r="D30" s="153">
        <v>1372.5831122300001</v>
      </c>
      <c r="E30" s="258">
        <f>+D30/D7</f>
        <v>0.79730883883428605</v>
      </c>
      <c r="F30" s="153">
        <f>+F7-F28</f>
        <v>1597.72432893</v>
      </c>
      <c r="G30" s="258">
        <f>+F30/F7</f>
        <v>0.81884316597965257</v>
      </c>
      <c r="H30" s="153">
        <f>+H7-H28</f>
        <v>1827.4029440799998</v>
      </c>
      <c r="I30" s="258">
        <f>+H30/H7</f>
        <v>0.83762041018307154</v>
      </c>
      <c r="J30" s="153">
        <f>+J7-J28</f>
        <v>2055.3570726200001</v>
      </c>
      <c r="K30" s="258">
        <f>+J30/J7</f>
        <v>0.85594940681975296</v>
      </c>
      <c r="L30" s="153">
        <f>+L7-L28</f>
        <v>2062.9024724699998</v>
      </c>
      <c r="M30" s="258">
        <f>+L30/L7</f>
        <v>0.87138260804937073</v>
      </c>
      <c r="N30" s="153">
        <f>+N7-N28</f>
        <v>2046.2282345300002</v>
      </c>
      <c r="O30" s="258">
        <f>+N30/N7</f>
        <v>0.88170609392181876</v>
      </c>
      <c r="P30" s="153">
        <f>+P7-P28</f>
        <v>1933.8821946999997</v>
      </c>
      <c r="Q30" s="258">
        <f>+P30/P7</f>
        <v>0.84884919705562178</v>
      </c>
      <c r="R30" s="153">
        <f>+R7-R28</f>
        <v>1717.9941093299999</v>
      </c>
      <c r="S30" s="258">
        <f>+R30/R7</f>
        <v>0.83817674433570122</v>
      </c>
      <c r="T30" s="75">
        <v>1395.3143796136071</v>
      </c>
      <c r="U30" s="259">
        <v>0.80796883376245909</v>
      </c>
      <c r="V30" s="75">
        <v>1377.082334458586</v>
      </c>
      <c r="W30" s="259">
        <v>0.61840960462016481</v>
      </c>
      <c r="X30" s="75">
        <v>1105.9601167495164</v>
      </c>
      <c r="Y30" s="259">
        <f>+X30/X7</f>
        <v>0.5511545305338752</v>
      </c>
      <c r="Z30" s="153">
        <v>1838.098410458349</v>
      </c>
      <c r="AA30" s="258">
        <f>+Z30/Z7</f>
        <v>0.67564909325961786</v>
      </c>
      <c r="AB30" s="153">
        <v>2569.9571718488792</v>
      </c>
      <c r="AC30" s="258">
        <f>+AB30/AB7</f>
        <v>0.73099333773709307</v>
      </c>
      <c r="AD30" s="153">
        <v>3314.0324811812202</v>
      </c>
      <c r="AE30" s="258">
        <f>+AD30/AD7</f>
        <v>0.7558862323868184</v>
      </c>
      <c r="AF30" s="75">
        <v>4336.8352641377087</v>
      </c>
      <c r="AG30" s="259">
        <f>+AF30/AF7</f>
        <v>0.78766864748688947</v>
      </c>
      <c r="AH30" s="153">
        <v>4417.0132097686619</v>
      </c>
      <c r="AI30" s="453">
        <f>+AH30/AH7</f>
        <v>0.76211593510052944</v>
      </c>
      <c r="AJ30" s="75">
        <v>4431.483190996848</v>
      </c>
      <c r="AK30" s="618">
        <f>+AJ30/AJ7</f>
        <v>0.74931074979680479</v>
      </c>
      <c r="AL30" s="153">
        <v>4432.9532384873146</v>
      </c>
      <c r="AM30" s="453">
        <f>+AL30/AL7</f>
        <v>0.72168525471824696</v>
      </c>
      <c r="AN30" s="75">
        <v>5975.2738895675857</v>
      </c>
      <c r="AO30" s="618">
        <f>+AN30/AN7</f>
        <v>0.73922752678102044</v>
      </c>
      <c r="AP30" s="471">
        <v>5766.4043994668054</v>
      </c>
      <c r="AQ30" s="466">
        <f>+AP30/AP7</f>
        <v>0.61626459337935746</v>
      </c>
      <c r="AR30" s="565"/>
      <c r="AS30" s="109"/>
    </row>
    <row r="31" spans="1:45" s="68" customFormat="1" x14ac:dyDescent="0.25">
      <c r="A31" s="415" t="s">
        <v>71</v>
      </c>
      <c r="B31" s="226">
        <f>+B30/B74</f>
        <v>8.1463185326045282E-2</v>
      </c>
      <c r="C31" s="92"/>
      <c r="D31" s="226">
        <f>+D30/D74</f>
        <v>8.9328801903543767E-2</v>
      </c>
      <c r="E31" s="92"/>
      <c r="F31" s="226">
        <f>+F30/F74</f>
        <v>0.10152182489264347</v>
      </c>
      <c r="G31" s="92"/>
      <c r="H31" s="226">
        <f>+H30/H74</f>
        <v>0.11120375143564212</v>
      </c>
      <c r="I31" s="92"/>
      <c r="J31" s="226">
        <f>+J30/J74</f>
        <v>0.11591513516962487</v>
      </c>
      <c r="K31" s="92"/>
      <c r="L31" s="226">
        <f>+L30/L74</f>
        <v>0.10720735164354209</v>
      </c>
      <c r="M31" s="92"/>
      <c r="N31" s="226">
        <f>+N30/N74</f>
        <v>9.1308634958618934E-2</v>
      </c>
      <c r="O31" s="92"/>
      <c r="P31" s="226">
        <f>+P30/P74</f>
        <v>6.9224893654778269E-2</v>
      </c>
      <c r="Q31" s="92"/>
      <c r="R31" s="226">
        <f>+R30/R74</f>
        <v>5.8545862636068209E-2</v>
      </c>
      <c r="S31" s="92"/>
      <c r="T31" s="223">
        <v>4.6718141640123341E-2</v>
      </c>
      <c r="U31" s="35"/>
      <c r="V31" s="223">
        <v>3.7502021822966768E-2</v>
      </c>
      <c r="W31" s="35"/>
      <c r="X31" s="223">
        <f>+X30/X74</f>
        <v>2.6126478380633256E-2</v>
      </c>
      <c r="Y31" s="35"/>
      <c r="Z31" s="226">
        <f>+Z30/Z74</f>
        <v>3.9406392151212763E-2</v>
      </c>
      <c r="AA31" s="92"/>
      <c r="AB31" s="226">
        <f>+AB30/AB74</f>
        <v>5.0713925325192873E-2</v>
      </c>
      <c r="AC31" s="92"/>
      <c r="AD31" s="226">
        <f>+AD30/AD74</f>
        <v>6.417319622489584E-2</v>
      </c>
      <c r="AE31" s="92"/>
      <c r="AF31" s="223">
        <f>+AF30/AF74</f>
        <v>7.7303448413106851E-2</v>
      </c>
      <c r="AG31" s="35"/>
      <c r="AH31" s="226">
        <f>+AH30/AH74</f>
        <v>7.6671472822606349E-2</v>
      </c>
      <c r="AI31" s="92"/>
      <c r="AJ31" s="223">
        <f>+AJ30/AJ74</f>
        <v>7.3612357155950867E-2</v>
      </c>
      <c r="AK31" s="35"/>
      <c r="AL31" s="226">
        <f>+AL30/AL74</f>
        <v>7.5067230541946681E-2</v>
      </c>
      <c r="AM31" s="92"/>
      <c r="AN31" s="223">
        <f>+AN30/AN74</f>
        <v>9.0584300707217486E-2</v>
      </c>
      <c r="AO31" s="35"/>
      <c r="AP31" s="464">
        <f>+AP30/AP74</f>
        <v>9.7289543827125763E-2</v>
      </c>
      <c r="AQ31" s="472"/>
      <c r="AR31" s="389"/>
      <c r="AS31" s="109"/>
    </row>
    <row r="32" spans="1:45" s="30" customFormat="1" x14ac:dyDescent="0.25">
      <c r="B32" s="140"/>
      <c r="C32" s="35"/>
      <c r="D32" s="140"/>
      <c r="E32" s="35"/>
      <c r="F32" s="140"/>
      <c r="G32" s="35"/>
      <c r="H32" s="140"/>
      <c r="I32" s="35"/>
      <c r="J32" s="140"/>
      <c r="K32" s="35"/>
      <c r="L32" s="140"/>
      <c r="M32" s="35"/>
      <c r="N32" s="140"/>
      <c r="O32" s="35"/>
      <c r="P32" s="140"/>
      <c r="Q32" s="35"/>
      <c r="R32" s="140"/>
      <c r="S32" s="35"/>
      <c r="T32" s="140"/>
      <c r="U32" s="35"/>
      <c r="V32" s="140"/>
      <c r="W32" s="35"/>
      <c r="X32" s="140"/>
      <c r="Y32" s="35"/>
      <c r="Z32" s="592"/>
      <c r="AA32" s="92"/>
      <c r="AB32" s="91"/>
      <c r="AC32" s="92"/>
      <c r="AD32" s="91"/>
      <c r="AE32" s="92"/>
      <c r="AF32" s="29"/>
      <c r="AG32" s="35"/>
      <c r="AH32" s="91"/>
      <c r="AI32" s="92"/>
      <c r="AJ32" s="29"/>
      <c r="AK32" s="35"/>
      <c r="AL32" s="91"/>
      <c r="AM32" s="92"/>
      <c r="AN32" s="29"/>
      <c r="AO32" s="35"/>
      <c r="AP32" s="468"/>
      <c r="AQ32" s="472"/>
      <c r="AR32" s="389"/>
      <c r="AS32" s="109"/>
    </row>
    <row r="33" spans="1:45" s="30" customFormat="1" x14ac:dyDescent="0.25">
      <c r="A33" s="399" t="s">
        <v>81</v>
      </c>
      <c r="B33" s="193" t="s">
        <v>82</v>
      </c>
      <c r="C33" s="71"/>
      <c r="D33" s="282">
        <v>5.9195999999999999E-2</v>
      </c>
      <c r="E33" s="71"/>
      <c r="F33" s="282">
        <v>9.2831319999999995E-2</v>
      </c>
      <c r="G33" s="71"/>
      <c r="H33" s="282">
        <v>9.2530849999999998E-2</v>
      </c>
      <c r="I33" s="71"/>
      <c r="J33" s="282">
        <v>7.9670370000000004E-2</v>
      </c>
      <c r="K33" s="71"/>
      <c r="L33" s="282">
        <v>6.2198814599999999E-2</v>
      </c>
      <c r="M33" s="71"/>
      <c r="N33" s="282">
        <v>7.6780879999999996E-2</v>
      </c>
      <c r="O33" s="71"/>
      <c r="P33" s="282">
        <v>8.1000000000000003E-2</v>
      </c>
      <c r="Q33" s="71"/>
      <c r="R33" s="282">
        <v>8.6199999999999999E-2</v>
      </c>
      <c r="S33" s="141"/>
      <c r="T33" s="282">
        <v>8.0799999999999997E-2</v>
      </c>
      <c r="U33" s="141"/>
      <c r="V33" s="283">
        <v>6.2100000000000002E-2</v>
      </c>
      <c r="W33" s="35"/>
      <c r="X33" s="283">
        <v>5.3175751290008615E-2</v>
      </c>
      <c r="Y33" s="35"/>
      <c r="Z33" s="227">
        <v>4.463670020598981E-2</v>
      </c>
      <c r="AA33" s="92"/>
      <c r="AB33" s="227">
        <v>4.2771292814086585E-2</v>
      </c>
      <c r="AC33" s="92"/>
      <c r="AD33" s="227">
        <v>4.6050499960951022E-2</v>
      </c>
      <c r="AE33" s="92"/>
      <c r="AF33" s="225">
        <v>5.1125286570315502E-2</v>
      </c>
      <c r="AG33" s="35"/>
      <c r="AH33" s="517">
        <v>5.0612108740100602E-2</v>
      </c>
      <c r="AI33" s="92"/>
      <c r="AJ33" s="53">
        <v>5.3053677080616778E-2</v>
      </c>
      <c r="AK33" s="35"/>
      <c r="AL33" s="517">
        <v>5.2890222602774983E-2</v>
      </c>
      <c r="AM33" s="92"/>
      <c r="AN33" s="53">
        <v>5.3738665261779645E-2</v>
      </c>
      <c r="AO33" s="35"/>
      <c r="AP33" s="696">
        <v>4.4629531868764102E-2</v>
      </c>
      <c r="AQ33" s="472"/>
      <c r="AR33" s="389"/>
      <c r="AS33" s="109"/>
    </row>
    <row r="34" spans="1:45" s="30" customFormat="1" x14ac:dyDescent="0.25">
      <c r="A34" s="418"/>
      <c r="B34" s="140"/>
      <c r="C34" s="35"/>
      <c r="D34" s="140"/>
      <c r="E34" s="35"/>
      <c r="F34" s="140"/>
      <c r="G34" s="35"/>
      <c r="H34" s="140"/>
      <c r="I34" s="35"/>
      <c r="J34" s="140"/>
      <c r="K34" s="35"/>
      <c r="L34" s="140"/>
      <c r="M34" s="35"/>
      <c r="N34" s="140"/>
      <c r="O34" s="35"/>
      <c r="P34" s="140"/>
      <c r="Q34" s="35"/>
      <c r="R34" s="140"/>
      <c r="S34" s="35"/>
      <c r="T34" s="140"/>
      <c r="U34" s="35"/>
      <c r="V34" s="140"/>
      <c r="W34" s="35"/>
      <c r="X34" s="140"/>
      <c r="Y34" s="35"/>
      <c r="Z34" s="592"/>
      <c r="AA34" s="92"/>
      <c r="AB34" s="91"/>
      <c r="AC34" s="92"/>
      <c r="AD34" s="91"/>
      <c r="AE34" s="92"/>
      <c r="AF34" s="29"/>
      <c r="AG34" s="35"/>
      <c r="AH34" s="91"/>
      <c r="AI34" s="92"/>
      <c r="AJ34" s="29"/>
      <c r="AK34" s="35"/>
      <c r="AL34" s="91"/>
      <c r="AM34" s="92"/>
      <c r="AN34" s="29"/>
      <c r="AO34" s="35"/>
      <c r="AP34" s="468"/>
      <c r="AQ34" s="472"/>
      <c r="AR34" s="389"/>
      <c r="AS34" s="109"/>
    </row>
    <row r="35" spans="1:45" x14ac:dyDescent="0.25">
      <c r="A35" s="398" t="s">
        <v>83</v>
      </c>
      <c r="B35" s="91"/>
      <c r="C35" s="92"/>
      <c r="D35" s="91"/>
      <c r="E35" s="92"/>
      <c r="F35" s="91"/>
      <c r="G35" s="92"/>
      <c r="H35" s="91"/>
      <c r="I35" s="92"/>
      <c r="J35" s="91"/>
      <c r="K35" s="92"/>
      <c r="L35" s="91"/>
      <c r="M35" s="92"/>
      <c r="N35" s="91"/>
      <c r="O35" s="92"/>
      <c r="P35" s="91"/>
      <c r="Q35" s="92"/>
      <c r="R35" s="91"/>
      <c r="S35" s="92"/>
      <c r="T35" s="29"/>
      <c r="U35" s="35"/>
      <c r="V35" s="29"/>
      <c r="W35" s="35"/>
      <c r="X35" s="29"/>
      <c r="Y35" s="35"/>
      <c r="Z35" s="91"/>
      <c r="AA35" s="92"/>
      <c r="AB35" s="91"/>
      <c r="AC35" s="92"/>
      <c r="AD35" s="91"/>
      <c r="AE35" s="92"/>
      <c r="AF35" s="29"/>
      <c r="AG35" s="35"/>
      <c r="AH35" s="91"/>
      <c r="AI35" s="92"/>
      <c r="AJ35" s="29"/>
      <c r="AK35" s="35"/>
      <c r="AL35" s="91"/>
      <c r="AM35" s="92"/>
      <c r="AN35" s="29"/>
      <c r="AO35" s="35"/>
      <c r="AP35" s="468"/>
      <c r="AQ35" s="472"/>
      <c r="AR35" s="389"/>
      <c r="AS35" s="109"/>
    </row>
    <row r="36" spans="1:45" x14ac:dyDescent="0.25">
      <c r="A36" s="133" t="s">
        <v>84</v>
      </c>
      <c r="B36" s="134">
        <v>99.3</v>
      </c>
      <c r="C36" s="258">
        <f>+B36/B7</f>
        <v>6.3422111515616011E-2</v>
      </c>
      <c r="D36" s="134">
        <v>98.9</v>
      </c>
      <c r="E36" s="258">
        <f>+D36/D7</f>
        <v>5.7449230912217111E-2</v>
      </c>
      <c r="F36" s="134">
        <v>273.10000000000002</v>
      </c>
      <c r="G36" s="258">
        <f>+F36/F7</f>
        <v>0.13996536485039698</v>
      </c>
      <c r="H36" s="134">
        <v>99.9</v>
      </c>
      <c r="I36" s="258">
        <f>+H36/H7</f>
        <v>4.5790819834438001E-2</v>
      </c>
      <c r="J36" s="134">
        <v>118.5</v>
      </c>
      <c r="K36" s="258">
        <f>+J36/J7</f>
        <v>4.9349091726843403E-2</v>
      </c>
      <c r="L36" s="134">
        <v>74.98</v>
      </c>
      <c r="M36" s="258">
        <f>+L36/L7</f>
        <v>3.1672010103954144E-2</v>
      </c>
      <c r="N36" s="134">
        <v>75.3</v>
      </c>
      <c r="O36" s="258">
        <f>+N36/N7</f>
        <v>3.244626760199245E-2</v>
      </c>
      <c r="P36" s="134">
        <v>269.3</v>
      </c>
      <c r="Q36" s="258">
        <f>+P36/P7</f>
        <v>0.1182052812697521</v>
      </c>
      <c r="R36" s="134">
        <f>371986367.38/1000000</f>
        <v>371.98636737999999</v>
      </c>
      <c r="S36" s="258">
        <f>+R36/R7</f>
        <v>0.18148509395612974</v>
      </c>
      <c r="T36" s="74">
        <v>71.464296575400482</v>
      </c>
      <c r="U36" s="259">
        <v>4.1382017703903075E-2</v>
      </c>
      <c r="V36" s="74">
        <v>321.29676063676544</v>
      </c>
      <c r="W36" s="259">
        <v>0.14428549240611677</v>
      </c>
      <c r="X36" s="74">
        <v>319.68325341848015</v>
      </c>
      <c r="Y36" s="259">
        <f>+X36/X7</f>
        <v>0.15931394883863595</v>
      </c>
      <c r="Z36" s="134">
        <v>311.30366020678372</v>
      </c>
      <c r="AA36" s="258">
        <f>+Z36/Z7</f>
        <v>0.11442914837985477</v>
      </c>
      <c r="AB36" s="134">
        <v>302.81079069402142</v>
      </c>
      <c r="AC36" s="258">
        <f>+AB36/AB7</f>
        <v>8.6130879151182657E-2</v>
      </c>
      <c r="AD36" s="134">
        <v>50.668532661899881</v>
      </c>
      <c r="AE36" s="258">
        <f>+AD36/AD7</f>
        <v>1.1556810765089669E-2</v>
      </c>
      <c r="AF36" s="74">
        <v>87.567140878877083</v>
      </c>
      <c r="AG36" s="259">
        <f>+AF36/AF7</f>
        <v>1.5904199080541529E-2</v>
      </c>
      <c r="AH36" s="134">
        <v>94.593951499681225</v>
      </c>
      <c r="AI36" s="453">
        <f>+AH36/AH7</f>
        <v>1.6321336246537834E-2</v>
      </c>
      <c r="AJ36" s="74">
        <v>94.351769365347693</v>
      </c>
      <c r="AK36" s="618">
        <f>+AJ36/AJ7</f>
        <v>1.595375453334404E-2</v>
      </c>
      <c r="AL36" s="523">
        <v>91.36594839069555</v>
      </c>
      <c r="AM36" s="453">
        <f>+AL36/AL7</f>
        <v>1.4874386033319312E-2</v>
      </c>
      <c r="AN36" s="631">
        <v>344.71960888716484</v>
      </c>
      <c r="AO36" s="618">
        <f>+AN36/AN7</f>
        <v>4.264678550643318E-2</v>
      </c>
      <c r="AP36" s="525">
        <v>100.53020366723742</v>
      </c>
      <c r="AQ36" s="466">
        <f>+AP36/AP7</f>
        <v>1.0743818989015512E-2</v>
      </c>
      <c r="AR36" s="565"/>
      <c r="AS36" s="109"/>
    </row>
    <row r="37" spans="1:45" s="68" customFormat="1" x14ac:dyDescent="0.25">
      <c r="A37" s="397" t="s">
        <v>85</v>
      </c>
      <c r="B37" s="226">
        <f>+B36/B74</f>
        <v>6.8309584762086392E-3</v>
      </c>
      <c r="C37" s="249"/>
      <c r="D37" s="226">
        <f>+D36/D74</f>
        <v>6.436490752029656E-3</v>
      </c>
      <c r="E37" s="249"/>
      <c r="F37" s="226">
        <f>+F36/F74</f>
        <v>1.7353187828559165E-2</v>
      </c>
      <c r="G37" s="249"/>
      <c r="H37" s="226">
        <f>+H36/H74</f>
        <v>6.0792584385451825E-3</v>
      </c>
      <c r="I37" s="249"/>
      <c r="J37" s="226">
        <f>+J36/J74</f>
        <v>6.682996205662259E-3</v>
      </c>
      <c r="K37" s="249"/>
      <c r="L37" s="226">
        <f>+L36/L74</f>
        <v>3.8966491792547342E-3</v>
      </c>
      <c r="M37" s="249"/>
      <c r="N37" s="226">
        <f>+N36/N74</f>
        <v>3.3601042622516905E-3</v>
      </c>
      <c r="O37" s="249"/>
      <c r="P37" s="226">
        <f>+P36/P74</f>
        <v>9.6398135896399503E-3</v>
      </c>
      <c r="Q37" s="249"/>
      <c r="R37" s="226">
        <f>+R36/R74</f>
        <v>1.2676564284386739E-2</v>
      </c>
      <c r="S37" s="249"/>
      <c r="T37" s="223">
        <v>2.3927791316433605E-3</v>
      </c>
      <c r="U37" s="250"/>
      <c r="V37" s="223">
        <v>8.7498603587749923E-3</v>
      </c>
      <c r="W37" s="250"/>
      <c r="X37" s="223">
        <f>+X36/X74</f>
        <v>7.5519880713565309E-3</v>
      </c>
      <c r="Y37" s="250"/>
      <c r="Z37" s="226">
        <f>+Z36/Z74</f>
        <v>6.6739376098787955E-3</v>
      </c>
      <c r="AA37" s="249"/>
      <c r="AB37" s="226">
        <f>+AB36/AB74</f>
        <v>5.9754785002394707E-3</v>
      </c>
      <c r="AC37" s="249"/>
      <c r="AD37" s="226">
        <f>+AD36/AD74</f>
        <v>9.8114961377224977E-4</v>
      </c>
      <c r="AE37" s="249"/>
      <c r="AF37" s="223">
        <f>+AF36/AF74</f>
        <v>1.5608713601805348E-3</v>
      </c>
      <c r="AG37" s="250"/>
      <c r="AH37" s="226">
        <f>+AH36/AH74</f>
        <v>1.6419823163650001E-3</v>
      </c>
      <c r="AI37" s="248"/>
      <c r="AJ37" s="223">
        <f>+AJ36/AJ74</f>
        <v>1.5672983164933363E-3</v>
      </c>
      <c r="AK37" s="224"/>
      <c r="AL37" s="226">
        <f>+AL36/AL74</f>
        <v>1.5471827340701536E-3</v>
      </c>
      <c r="AM37" s="248"/>
      <c r="AN37" s="223">
        <f>+AN36/AN74</f>
        <v>5.2259001492179456E-3</v>
      </c>
      <c r="AO37" s="224"/>
      <c r="AP37" s="464">
        <f>+AP36/AP74</f>
        <v>1.6961241317965728E-3</v>
      </c>
      <c r="AQ37" s="467"/>
      <c r="AR37" s="565"/>
      <c r="AS37" s="109"/>
    </row>
    <row r="38" spans="1:45" x14ac:dyDescent="0.25">
      <c r="A38" s="133" t="s">
        <v>86</v>
      </c>
      <c r="B38" s="134">
        <v>518.20000000000005</v>
      </c>
      <c r="C38" s="258">
        <f>+B38/B7</f>
        <v>0.33097017308552085</v>
      </c>
      <c r="D38" s="134">
        <v>497</v>
      </c>
      <c r="E38" s="258">
        <f>+D38/D7</f>
        <v>0.28869835958920026</v>
      </c>
      <c r="F38" s="134">
        <v>250.7</v>
      </c>
      <c r="G38" s="258">
        <f>+F38/F7</f>
        <v>0.12848523239836879</v>
      </c>
      <c r="H38" s="134">
        <v>485.3</v>
      </c>
      <c r="I38" s="258">
        <f>+H38/H7</f>
        <v>0.2224452939504781</v>
      </c>
      <c r="J38" s="134">
        <v>783</v>
      </c>
      <c r="K38" s="258">
        <f>+J38/J7</f>
        <v>0.32607880862547162</v>
      </c>
      <c r="L38" s="134">
        <v>749.05</v>
      </c>
      <c r="M38" s="258">
        <f>+L38/L7</f>
        <v>0.31640329645727994</v>
      </c>
      <c r="N38" s="134">
        <v>994.7</v>
      </c>
      <c r="O38" s="258">
        <f>+N38/N7</f>
        <v>0.42860959340905563</v>
      </c>
      <c r="P38" s="134">
        <v>1053.5</v>
      </c>
      <c r="Q38" s="258">
        <f>+P38/P7</f>
        <v>0.46241835803076065</v>
      </c>
      <c r="R38" s="134">
        <f>989089411.4/1000000</f>
        <v>989.08941140000002</v>
      </c>
      <c r="S38" s="258">
        <f>+R38/R7</f>
        <v>0.48255796582881233</v>
      </c>
      <c r="T38" s="74">
        <v>1217.6572040762419</v>
      </c>
      <c r="U38" s="259">
        <v>0.70509491299901994</v>
      </c>
      <c r="V38" s="74">
        <v>955.32208808988094</v>
      </c>
      <c r="W38" s="259">
        <v>0.42900873825590458</v>
      </c>
      <c r="X38" s="74">
        <v>710.8007076192564</v>
      </c>
      <c r="Y38" s="259">
        <f>+X38/X7</f>
        <v>0.35422708683424037</v>
      </c>
      <c r="Z38" s="134">
        <v>466.31337458698528</v>
      </c>
      <c r="AA38" s="258">
        <f>+Z38/Z7</f>
        <v>0.17140769336499487</v>
      </c>
      <c r="AB38" s="134">
        <v>246.20142008763906</v>
      </c>
      <c r="AC38" s="258">
        <f>+AB38/AB7</f>
        <v>7.0029026085286966E-2</v>
      </c>
      <c r="AD38" s="134">
        <v>287.30879515076276</v>
      </c>
      <c r="AE38" s="258">
        <f>+AD38/AD7</f>
        <v>6.553127162492367E-2</v>
      </c>
      <c r="AF38" s="74">
        <v>555.51133989241498</v>
      </c>
      <c r="AG38" s="259">
        <f>+AF38/AF7</f>
        <v>0.10089358693768322</v>
      </c>
      <c r="AH38" s="134">
        <v>578.57165490223042</v>
      </c>
      <c r="AI38" s="453">
        <f>+AH38/AH7</f>
        <v>9.9827339620197325E-2</v>
      </c>
      <c r="AJ38" s="74">
        <v>601.5486764164956</v>
      </c>
      <c r="AK38" s="618">
        <f>+AJ38/AJ7</f>
        <v>0.10171467888689559</v>
      </c>
      <c r="AL38" s="523">
        <v>1641.3261447396239</v>
      </c>
      <c r="AM38" s="453">
        <f>+AL38/AL7</f>
        <v>0.26720806945537184</v>
      </c>
      <c r="AN38" s="631">
        <v>1424.3505661041295</v>
      </c>
      <c r="AO38" s="618">
        <f>+AN38/AN7</f>
        <v>0.17621270015565743</v>
      </c>
      <c r="AP38" s="525">
        <v>2635.9728591825428</v>
      </c>
      <c r="AQ38" s="466">
        <f>+AP38/AP7</f>
        <v>0.28171051311860101</v>
      </c>
      <c r="AR38" s="565"/>
      <c r="AS38" s="109"/>
    </row>
    <row r="39" spans="1:45" s="68" customFormat="1" x14ac:dyDescent="0.25">
      <c r="A39" s="397" t="s">
        <v>85</v>
      </c>
      <c r="B39" s="226">
        <f>+B38/B74</f>
        <v>3.5647559741906518E-2</v>
      </c>
      <c r="C39" s="249"/>
      <c r="D39" s="226">
        <f>+D38/D74</f>
        <v>3.2345155750846705E-2</v>
      </c>
      <c r="E39" s="249"/>
      <c r="F39" s="226">
        <f>+F38/F74</f>
        <v>1.5929857885828569E-2</v>
      </c>
      <c r="G39" s="249"/>
      <c r="H39" s="226">
        <f>+H38/H74</f>
        <v>2.9532173375635407E-2</v>
      </c>
      <c r="I39" s="249"/>
      <c r="J39" s="226">
        <f>+J38/J74</f>
        <v>4.4158531890578466E-2</v>
      </c>
      <c r="K39" s="249"/>
      <c r="L39" s="226">
        <f>+L38/L74</f>
        <v>3.892751490691862E-2</v>
      </c>
      <c r="M39" s="249"/>
      <c r="N39" s="226">
        <f>+N38/N74</f>
        <v>4.438639720666343E-2</v>
      </c>
      <c r="O39" s="249"/>
      <c r="P39" s="226">
        <f>+P38/P74</f>
        <v>3.7710893489363857E-2</v>
      </c>
      <c r="Q39" s="249"/>
      <c r="R39" s="226">
        <f>+R38/R74</f>
        <v>3.3706223147177805E-2</v>
      </c>
      <c r="S39" s="249"/>
      <c r="T39" s="223">
        <v>4.0769795366764297E-2</v>
      </c>
      <c r="U39" s="250"/>
      <c r="V39" s="223">
        <v>2.601624383598999E-2</v>
      </c>
      <c r="W39" s="250"/>
      <c r="X39" s="223">
        <f>+X38/X74</f>
        <v>1.6791490976305536E-2</v>
      </c>
      <c r="Y39" s="250"/>
      <c r="Z39" s="226">
        <f>+Z38/Z74</f>
        <v>9.9971403053158263E-3</v>
      </c>
      <c r="AA39" s="249"/>
      <c r="AB39" s="226">
        <f>+AB38/AB74</f>
        <v>4.8583846338180036E-3</v>
      </c>
      <c r="AC39" s="249"/>
      <c r="AD39" s="226">
        <f>+AD38/AD74</f>
        <v>5.563471026022236E-3</v>
      </c>
      <c r="AE39" s="249"/>
      <c r="AF39" s="223">
        <f>+AF38/AF74</f>
        <v>9.9019076332860188E-3</v>
      </c>
      <c r="AG39" s="250"/>
      <c r="AH39" s="226">
        <f>+AH38/AH74</f>
        <v>1.0042972209514868E-2</v>
      </c>
      <c r="AI39" s="248"/>
      <c r="AJ39" s="223">
        <f>+AJ38/AJ74</f>
        <v>9.9924594332263788E-3</v>
      </c>
      <c r="AK39" s="224"/>
      <c r="AL39" s="226">
        <f>+AL38/AL74</f>
        <v>2.7794068981367732E-2</v>
      </c>
      <c r="AM39" s="248"/>
      <c r="AN39" s="223">
        <f>+AN38/AN74</f>
        <v>2.1592951616450341E-2</v>
      </c>
      <c r="AO39" s="224"/>
      <c r="AP39" s="464">
        <f>+AP38/AP74</f>
        <v>4.4473571266397317E-2</v>
      </c>
      <c r="AQ39" s="467"/>
      <c r="AR39" s="565"/>
      <c r="AS39" s="109"/>
    </row>
    <row r="40" spans="1:45" x14ac:dyDescent="0.25">
      <c r="A40" s="133" t="s">
        <v>87</v>
      </c>
      <c r="B40" s="134">
        <f>+B7-B38-B36</f>
        <v>948.2</v>
      </c>
      <c r="C40" s="258">
        <f>+B40/B7</f>
        <v>0.60560771539886316</v>
      </c>
      <c r="D40" s="134">
        <v>1125.6199999999999</v>
      </c>
      <c r="E40" s="258">
        <f>+D40/D7</f>
        <v>0.65385240949858259</v>
      </c>
      <c r="F40" s="134">
        <f>+F7-F38-F36</f>
        <v>1427.3969999999999</v>
      </c>
      <c r="G40" s="258">
        <f>+F40/F7</f>
        <v>0.73154940275123426</v>
      </c>
      <c r="H40" s="134">
        <f>+H7-H38-H36</f>
        <v>1596.4599999999998</v>
      </c>
      <c r="I40" s="258">
        <f>+H40/H7</f>
        <v>0.73176388621508393</v>
      </c>
      <c r="J40" s="134">
        <f>+J7-J38-J36</f>
        <v>1499.7600000000002</v>
      </c>
      <c r="K40" s="258">
        <f>+J40/J7</f>
        <v>0.62457209964768501</v>
      </c>
      <c r="L40" s="134">
        <f>+L7-L38-L36</f>
        <v>1543.36</v>
      </c>
      <c r="M40" s="258">
        <f>+L40/L7</f>
        <v>0.65192469343876591</v>
      </c>
      <c r="N40" s="134">
        <f>+N7-N38-N36</f>
        <v>1250.7600000000002</v>
      </c>
      <c r="O40" s="258">
        <f>+N40/N7</f>
        <v>0.53894413898895199</v>
      </c>
      <c r="P40" s="134">
        <f>+P7-P38-P36</f>
        <v>955.43999999999983</v>
      </c>
      <c r="Q40" s="258">
        <f>+P40/P7</f>
        <v>0.4193763606994873</v>
      </c>
      <c r="R40" s="134">
        <f>+R7-R38-R36</f>
        <v>688.60422121999977</v>
      </c>
      <c r="S40" s="258">
        <f>+R40/R7</f>
        <v>0.3359569402150579</v>
      </c>
      <c r="T40" s="74">
        <v>437.81934323717797</v>
      </c>
      <c r="U40" s="259">
        <v>0.25352306929707696</v>
      </c>
      <c r="V40" s="74">
        <v>950.19380775595232</v>
      </c>
      <c r="W40" s="259">
        <v>0.42670576933797633</v>
      </c>
      <c r="X40" s="74">
        <v>976.14041648163038</v>
      </c>
      <c r="Y40" s="259">
        <f>+X40/X7</f>
        <v>0.4864589643271236</v>
      </c>
      <c r="Z40" s="134">
        <v>1942.8756422415652</v>
      </c>
      <c r="AA40" s="258">
        <f>+Z40/Z7</f>
        <v>0.71416315825515309</v>
      </c>
      <c r="AB40" s="134">
        <v>2966.6931167177763</v>
      </c>
      <c r="AC40" s="258">
        <f>+AB40/AB7</f>
        <v>0.84384009476353583</v>
      </c>
      <c r="AD40" s="134">
        <v>4046.3232973180448</v>
      </c>
      <c r="AE40" s="258">
        <f>+AD40/AD7</f>
        <v>0.92291191760998759</v>
      </c>
      <c r="AF40" s="74">
        <v>4862.8347963087372</v>
      </c>
      <c r="AG40" s="259">
        <f>+AF40/AF7</f>
        <v>0.88320221398178111</v>
      </c>
      <c r="AH40" s="134">
        <v>5122.5578607211464</v>
      </c>
      <c r="AI40" s="453">
        <f>+AH40/AH7</f>
        <v>0.88385132412464129</v>
      </c>
      <c r="AJ40" s="74">
        <v>5218.1788493552449</v>
      </c>
      <c r="AK40" s="618">
        <f>+AJ40/AJ7</f>
        <v>0.88233156657977896</v>
      </c>
      <c r="AL40" s="523">
        <v>4409.8100703869914</v>
      </c>
      <c r="AM40" s="453">
        <f>+AL40/AL7</f>
        <v>0.71791754451087109</v>
      </c>
      <c r="AN40" s="631">
        <v>6314.0621125562784</v>
      </c>
      <c r="AO40" s="618">
        <f>+AN40/AN7</f>
        <v>0.78114051433791243</v>
      </c>
      <c r="AP40" s="525">
        <v>6620.523872309217</v>
      </c>
      <c r="AQ40" s="466">
        <f>+AP40/AP7</f>
        <v>0.70754566788694673</v>
      </c>
      <c r="AR40" s="565"/>
      <c r="AS40" s="109"/>
    </row>
    <row r="41" spans="1:45" s="68" customFormat="1" x14ac:dyDescent="0.25">
      <c r="A41" s="397" t="s">
        <v>85</v>
      </c>
      <c r="B41" s="226">
        <f>+B40/B74</f>
        <v>6.5227742468691161E-2</v>
      </c>
      <c r="C41" s="249"/>
      <c r="D41" s="226">
        <f>+D40/D74</f>
        <v>7.3256245907984033E-2</v>
      </c>
      <c r="E41" s="249"/>
      <c r="F41" s="226">
        <f>+F40/F74</f>
        <v>9.0698968315349182E-2</v>
      </c>
      <c r="G41" s="249"/>
      <c r="H41" s="226">
        <f>+H40/H74</f>
        <v>9.715007934734575E-2</v>
      </c>
      <c r="I41" s="249"/>
      <c r="J41" s="226">
        <f>+J40/J74</f>
        <v>8.458135349708043E-2</v>
      </c>
      <c r="K41" s="249"/>
      <c r="L41" s="226">
        <f>+L40/L74</f>
        <v>8.0207154938578093E-2</v>
      </c>
      <c r="M41" s="249"/>
      <c r="N41" s="226">
        <f>+N40/N74</f>
        <v>5.581253661426195E-2</v>
      </c>
      <c r="O41" s="249"/>
      <c r="P41" s="226">
        <f>+P40/P74</f>
        <v>3.4200755648294071E-2</v>
      </c>
      <c r="Q41" s="249"/>
      <c r="R41" s="226">
        <f>+R40/R74</f>
        <v>2.3466278450678297E-2</v>
      </c>
      <c r="S41" s="249"/>
      <c r="T41" s="223">
        <v>1.4659138032967483E-2</v>
      </c>
      <c r="U41" s="250"/>
      <c r="V41" s="223">
        <v>2.5876585606278625E-2</v>
      </c>
      <c r="W41" s="250"/>
      <c r="X41" s="223">
        <f>+X40/X74</f>
        <v>2.305970269762064E-2</v>
      </c>
      <c r="Y41" s="250"/>
      <c r="Z41" s="226">
        <f>+Z40/Z74</f>
        <v>4.1652677040354441E-2</v>
      </c>
      <c r="AA41" s="249"/>
      <c r="AB41" s="226">
        <f>+AB40/AB74</f>
        <v>5.8542863994791916E-2</v>
      </c>
      <c r="AC41" s="249"/>
      <c r="AD41" s="226">
        <f>+AD40/AD74</f>
        <v>7.8353335527841864E-2</v>
      </c>
      <c r="AE41" s="249"/>
      <c r="AF41" s="223">
        <f>+AF40/AF74</f>
        <v>8.6679312430064423E-2</v>
      </c>
      <c r="AG41" s="250"/>
      <c r="AH41" s="226">
        <f>+AH40/AH74</f>
        <v>8.8918469822977977E-2</v>
      </c>
      <c r="AI41" s="248"/>
      <c r="AJ41" s="223">
        <f>+AJ40/AJ74</f>
        <v>8.6680334462909223E-2</v>
      </c>
      <c r="AK41" s="224"/>
      <c r="AL41" s="226">
        <f>+AL40/AL74</f>
        <v>7.4675326219524635E-2</v>
      </c>
      <c r="AM41" s="248"/>
      <c r="AN41" s="223">
        <f>+AN40/AN74</f>
        <v>9.5720281891419304E-2</v>
      </c>
      <c r="AO41" s="224"/>
      <c r="AP41" s="464">
        <f>+AP40/AP74</f>
        <v>0.11170006520755252</v>
      </c>
      <c r="AQ41" s="467"/>
      <c r="AR41" s="565"/>
      <c r="AS41" s="109"/>
    </row>
    <row r="42" spans="1:45" s="30" customFormat="1" ht="12.75" customHeight="1" x14ac:dyDescent="0.25">
      <c r="A42" s="142"/>
      <c r="B42" s="34"/>
      <c r="C42" s="54"/>
      <c r="D42" s="34"/>
      <c r="E42" s="54"/>
      <c r="F42" s="34"/>
      <c r="G42" s="54"/>
      <c r="H42" s="34"/>
      <c r="I42" s="54"/>
      <c r="J42" s="34"/>
      <c r="K42" s="54"/>
      <c r="L42" s="34"/>
      <c r="M42" s="54"/>
      <c r="N42" s="34"/>
      <c r="O42" s="54"/>
      <c r="P42" s="34"/>
      <c r="Q42" s="54"/>
      <c r="R42" s="34"/>
      <c r="S42" s="54"/>
      <c r="T42" s="75"/>
      <c r="U42" s="54"/>
      <c r="V42" s="75"/>
      <c r="W42" s="54"/>
      <c r="X42" s="75"/>
      <c r="Y42" s="54"/>
      <c r="Z42" s="153"/>
      <c r="AA42" s="177"/>
      <c r="AB42" s="164"/>
      <c r="AC42" s="177"/>
      <c r="AD42" s="164"/>
      <c r="AE42" s="177"/>
      <c r="AF42" s="36"/>
      <c r="AG42" s="54"/>
      <c r="AH42" s="164"/>
      <c r="AI42" s="177"/>
      <c r="AJ42" s="36"/>
      <c r="AK42" s="54"/>
      <c r="AL42" s="164"/>
      <c r="AM42" s="177"/>
      <c r="AN42" s="36"/>
      <c r="AO42" s="54"/>
      <c r="AP42" s="511"/>
      <c r="AQ42" s="512"/>
      <c r="AR42" s="389"/>
      <c r="AS42" s="109"/>
    </row>
    <row r="43" spans="1:45" s="38" customFormat="1" ht="12.75" customHeight="1" x14ac:dyDescent="0.25">
      <c r="A43" s="142" t="s">
        <v>182</v>
      </c>
      <c r="B43" s="165" t="s">
        <v>82</v>
      </c>
      <c r="C43" s="37" t="s">
        <v>89</v>
      </c>
      <c r="D43" s="36">
        <v>9.4206849300000002</v>
      </c>
      <c r="E43" s="37" t="s">
        <v>89</v>
      </c>
      <c r="F43" s="36">
        <v>8.5651650000000004</v>
      </c>
      <c r="G43" s="37" t="s">
        <v>89</v>
      </c>
      <c r="H43" s="36">
        <v>8.0184440000000006</v>
      </c>
      <c r="I43" s="37" t="s">
        <v>89</v>
      </c>
      <c r="J43" s="36">
        <v>7.5343999999999998</v>
      </c>
      <c r="K43" s="37" t="s">
        <v>89</v>
      </c>
      <c r="L43" s="36">
        <v>7.1657770000000003</v>
      </c>
      <c r="M43" s="37" t="s">
        <v>89</v>
      </c>
      <c r="N43" s="36">
        <v>6.2751169999999998</v>
      </c>
      <c r="O43" s="37" t="s">
        <v>89</v>
      </c>
      <c r="P43" s="36">
        <v>5.4784569999999997</v>
      </c>
      <c r="Q43" s="37" t="s">
        <v>89</v>
      </c>
      <c r="R43" s="36">
        <v>5.1081789999999998</v>
      </c>
      <c r="S43" s="37" t="s">
        <v>89</v>
      </c>
      <c r="T43" s="36">
        <v>5.23</v>
      </c>
      <c r="U43" s="37" t="s">
        <v>89</v>
      </c>
      <c r="V43" s="36">
        <v>6.9605431760233936</v>
      </c>
      <c r="W43" s="37" t="s">
        <v>89</v>
      </c>
      <c r="X43" s="36">
        <v>7.3175816663176043</v>
      </c>
      <c r="Y43" s="37" t="s">
        <v>89</v>
      </c>
      <c r="Z43" s="164">
        <v>8.6154912298913988</v>
      </c>
      <c r="AA43" s="94" t="s">
        <v>89</v>
      </c>
      <c r="AB43" s="164">
        <v>11.989718785133</v>
      </c>
      <c r="AC43" s="94" t="s">
        <v>89</v>
      </c>
      <c r="AD43" s="164">
        <v>15.940048510340608</v>
      </c>
      <c r="AE43" s="94" t="s">
        <v>89</v>
      </c>
      <c r="AF43" s="36">
        <v>17.501142928050246</v>
      </c>
      <c r="AG43" s="37" t="s">
        <v>89</v>
      </c>
      <c r="AH43" s="164">
        <v>16.529363120446284</v>
      </c>
      <c r="AI43" s="94" t="s">
        <v>89</v>
      </c>
      <c r="AJ43" s="36">
        <v>15.637162399523893</v>
      </c>
      <c r="AK43" s="37" t="s">
        <v>89</v>
      </c>
      <c r="AL43" s="89">
        <v>14.793288452903644</v>
      </c>
      <c r="AM43" s="94" t="s">
        <v>89</v>
      </c>
      <c r="AN43" s="41">
        <v>13.742272065647381</v>
      </c>
      <c r="AO43" s="37" t="s">
        <v>89</v>
      </c>
      <c r="AP43" s="477">
        <v>12.525773203278099</v>
      </c>
      <c r="AQ43" s="475" t="s">
        <v>89</v>
      </c>
      <c r="AR43" s="567"/>
      <c r="AS43" s="109"/>
    </row>
    <row r="44" spans="1:45" s="38" customFormat="1" ht="14.25" customHeight="1" x14ac:dyDescent="0.25">
      <c r="A44" s="142" t="s">
        <v>183</v>
      </c>
      <c r="B44" s="165" t="s">
        <v>82</v>
      </c>
      <c r="C44" s="37" t="s">
        <v>89</v>
      </c>
      <c r="D44" s="36">
        <v>5.73047109</v>
      </c>
      <c r="E44" s="37" t="s">
        <v>89</v>
      </c>
      <c r="F44" s="36">
        <v>5.4059990899999999</v>
      </c>
      <c r="G44" s="37" t="s">
        <v>89</v>
      </c>
      <c r="H44" s="36">
        <v>5.7895236099999998</v>
      </c>
      <c r="I44" s="37" t="s">
        <v>89</v>
      </c>
      <c r="J44" s="36">
        <v>5.4056562000000001</v>
      </c>
      <c r="K44" s="37" t="s">
        <v>89</v>
      </c>
      <c r="L44" s="36">
        <v>4.91795151</v>
      </c>
      <c r="M44" s="37" t="s">
        <v>89</v>
      </c>
      <c r="N44" s="36">
        <v>4.2766642299999997</v>
      </c>
      <c r="O44" s="37" t="s">
        <v>89</v>
      </c>
      <c r="P44" s="36">
        <v>3.5780823800000001</v>
      </c>
      <c r="Q44" s="37" t="s">
        <v>89</v>
      </c>
      <c r="R44" s="36">
        <v>3.2285836899999998</v>
      </c>
      <c r="S44" s="37" t="s">
        <v>89</v>
      </c>
      <c r="T44" s="36">
        <v>3.2953940845770187</v>
      </c>
      <c r="U44" s="37" t="s">
        <v>89</v>
      </c>
      <c r="V44" s="36">
        <v>2.5448140549181235</v>
      </c>
      <c r="W44" s="37" t="s">
        <v>89</v>
      </c>
      <c r="X44" s="36">
        <v>2.3417820902855224</v>
      </c>
      <c r="Y44" s="37" t="s">
        <v>89</v>
      </c>
      <c r="Z44" s="164">
        <v>5.6417263335325698</v>
      </c>
      <c r="AA44" s="94" t="s">
        <v>89</v>
      </c>
      <c r="AB44" s="164">
        <v>7.9211178496309955</v>
      </c>
      <c r="AC44" s="94" t="s">
        <v>89</v>
      </c>
      <c r="AD44" s="164">
        <v>9.5530081182231488</v>
      </c>
      <c r="AE44" s="94" t="s">
        <v>89</v>
      </c>
      <c r="AF44" s="36">
        <v>9.2378949815711557</v>
      </c>
      <c r="AG44" s="37" t="s">
        <v>89</v>
      </c>
      <c r="AH44" s="164">
        <v>9.2019313812827086</v>
      </c>
      <c r="AI44" s="94" t="s">
        <v>89</v>
      </c>
      <c r="AJ44" s="36">
        <v>9.305549118007713</v>
      </c>
      <c r="AK44" s="37" t="s">
        <v>89</v>
      </c>
      <c r="AL44" s="89">
        <v>8.3778033153317857</v>
      </c>
      <c r="AM44" s="94" t="s">
        <v>89</v>
      </c>
      <c r="AN44" s="41">
        <v>8.61</v>
      </c>
      <c r="AO44" s="37" t="s">
        <v>89</v>
      </c>
      <c r="AP44" s="477">
        <v>8.0801669736563628</v>
      </c>
      <c r="AQ44" s="475" t="s">
        <v>89</v>
      </c>
      <c r="AR44" s="567"/>
      <c r="AS44" s="109"/>
    </row>
    <row r="45" spans="1:45" s="38" customFormat="1" ht="14.25" customHeight="1" x14ac:dyDescent="0.25">
      <c r="A45" s="142" t="s">
        <v>184</v>
      </c>
      <c r="B45" s="165" t="s">
        <v>82</v>
      </c>
      <c r="C45" s="37" t="s">
        <v>89</v>
      </c>
      <c r="D45" s="36">
        <v>5.5050762899999999</v>
      </c>
      <c r="E45" s="37" t="s">
        <v>89</v>
      </c>
      <c r="F45" s="36">
        <v>5.1892693599999999</v>
      </c>
      <c r="G45" s="37" t="s">
        <v>89</v>
      </c>
      <c r="H45" s="36">
        <v>5.5995333499999997</v>
      </c>
      <c r="I45" s="37" t="s">
        <v>89</v>
      </c>
      <c r="J45" s="36">
        <v>5.2073198500000002</v>
      </c>
      <c r="K45" s="37" t="s">
        <v>89</v>
      </c>
      <c r="L45" s="36">
        <v>4.7680119999999997</v>
      </c>
      <c r="M45" s="37" t="s">
        <v>89</v>
      </c>
      <c r="N45" s="36">
        <v>4.1490397000000003</v>
      </c>
      <c r="O45" s="37" t="s">
        <v>89</v>
      </c>
      <c r="P45" s="36">
        <v>3.4743738400000002</v>
      </c>
      <c r="Q45" s="37" t="s">
        <v>89</v>
      </c>
      <c r="R45" s="36">
        <v>3.11042687</v>
      </c>
      <c r="S45" s="37" t="s">
        <v>89</v>
      </c>
      <c r="T45" s="36">
        <v>3.2186011675017698</v>
      </c>
      <c r="U45" s="37" t="s">
        <v>89</v>
      </c>
      <c r="V45" s="36">
        <v>2.4996257541885294</v>
      </c>
      <c r="W45" s="37" t="s">
        <v>89</v>
      </c>
      <c r="X45" s="36">
        <v>2.2951437270348323</v>
      </c>
      <c r="Y45" s="37" t="s">
        <v>89</v>
      </c>
      <c r="Z45" s="164">
        <v>5.5244699102505859</v>
      </c>
      <c r="AA45" s="94" t="s">
        <v>89</v>
      </c>
      <c r="AB45" s="164">
        <v>7.6928546667010682</v>
      </c>
      <c r="AC45" s="37" t="s">
        <v>89</v>
      </c>
      <c r="AD45" s="164">
        <v>9.2564977905073054</v>
      </c>
      <c r="AE45" s="94" t="s">
        <v>89</v>
      </c>
      <c r="AF45" s="36">
        <v>8.8980754234030996</v>
      </c>
      <c r="AG45" s="37" t="s">
        <v>89</v>
      </c>
      <c r="AH45" s="164">
        <v>8.8803211814516736</v>
      </c>
      <c r="AI45" s="94" t="s">
        <v>89</v>
      </c>
      <c r="AJ45" s="36">
        <v>9.0226773402421827</v>
      </c>
      <c r="AK45" s="37" t="s">
        <v>89</v>
      </c>
      <c r="AL45" s="89">
        <v>8.0660221925250841</v>
      </c>
      <c r="AM45" s="94" t="s">
        <v>89</v>
      </c>
      <c r="AN45" s="41">
        <v>8.35</v>
      </c>
      <c r="AO45" s="37" t="s">
        <v>89</v>
      </c>
      <c r="AP45" s="477">
        <v>7.7919492758080064</v>
      </c>
      <c r="AQ45" s="475" t="s">
        <v>89</v>
      </c>
      <c r="AR45" s="567"/>
      <c r="AS45" s="109"/>
    </row>
    <row r="46" spans="1:45" s="30" customFormat="1" x14ac:dyDescent="0.25">
      <c r="A46" s="76" t="s">
        <v>185</v>
      </c>
      <c r="B46" s="32"/>
      <c r="C46" s="35"/>
      <c r="D46" s="32"/>
      <c r="E46" s="35"/>
      <c r="F46" s="32"/>
      <c r="G46" s="35"/>
      <c r="H46" s="32"/>
      <c r="I46" s="35"/>
      <c r="J46" s="32"/>
      <c r="K46" s="35"/>
      <c r="L46" s="32"/>
      <c r="M46" s="35"/>
      <c r="N46" s="32"/>
      <c r="O46" s="35"/>
      <c r="P46" s="32"/>
      <c r="Q46" s="35"/>
      <c r="R46" s="32"/>
      <c r="S46" s="35"/>
      <c r="T46" s="76"/>
      <c r="U46" s="35"/>
      <c r="V46" s="76"/>
      <c r="W46" s="35"/>
      <c r="X46" s="76"/>
      <c r="Y46" s="35"/>
      <c r="Z46" s="133"/>
      <c r="AA46" s="92"/>
      <c r="AB46" s="133"/>
      <c r="AC46" s="92"/>
      <c r="AD46" s="133"/>
      <c r="AE46" s="92"/>
      <c r="AF46" s="31">
        <v>15.41</v>
      </c>
      <c r="AG46" s="37" t="s">
        <v>89</v>
      </c>
      <c r="AH46" s="164">
        <v>14.084780480762747</v>
      </c>
      <c r="AI46" s="94" t="s">
        <v>89</v>
      </c>
      <c r="AJ46" s="36">
        <v>13.096169333611577</v>
      </c>
      <c r="AK46" s="37" t="s">
        <v>89</v>
      </c>
      <c r="AL46" s="164">
        <v>11.909796081228579</v>
      </c>
      <c r="AM46" s="94" t="s">
        <v>89</v>
      </c>
      <c r="AN46" s="36">
        <v>11.023172399823332</v>
      </c>
      <c r="AO46" s="37" t="s">
        <v>89</v>
      </c>
      <c r="AP46" s="477">
        <v>8.9714268588002799</v>
      </c>
      <c r="AQ46" s="475" t="s">
        <v>89</v>
      </c>
      <c r="AR46" s="567"/>
      <c r="AS46" s="109"/>
    </row>
    <row r="47" spans="1:45" s="30" customFormat="1" x14ac:dyDescent="0.25">
      <c r="A47" s="76"/>
      <c r="B47" s="32"/>
      <c r="C47" s="35"/>
      <c r="D47" s="32"/>
      <c r="E47" s="35"/>
      <c r="F47" s="32"/>
      <c r="G47" s="35"/>
      <c r="H47" s="32"/>
      <c r="I47" s="35"/>
      <c r="J47" s="32"/>
      <c r="K47" s="35"/>
      <c r="L47" s="32"/>
      <c r="M47" s="35"/>
      <c r="N47" s="32"/>
      <c r="O47" s="35"/>
      <c r="P47" s="32"/>
      <c r="Q47" s="35"/>
      <c r="R47" s="32"/>
      <c r="S47" s="35"/>
      <c r="T47" s="76"/>
      <c r="U47" s="35"/>
      <c r="V47" s="76"/>
      <c r="W47" s="35"/>
      <c r="X47" s="76"/>
      <c r="Y47" s="35"/>
      <c r="Z47" s="133"/>
      <c r="AA47" s="92"/>
      <c r="AB47" s="133"/>
      <c r="AC47" s="92"/>
      <c r="AD47" s="133"/>
      <c r="AE47" s="92"/>
      <c r="AF47" s="31"/>
      <c r="AG47" s="37"/>
      <c r="AH47" s="164"/>
      <c r="AI47" s="94"/>
      <c r="AJ47" s="36"/>
      <c r="AK47" s="37"/>
      <c r="AL47" s="164"/>
      <c r="AM47" s="94"/>
      <c r="AN47" s="36"/>
      <c r="AO47" s="37"/>
      <c r="AP47" s="511"/>
      <c r="AQ47" s="475"/>
      <c r="AR47" s="567"/>
      <c r="AS47" s="109"/>
    </row>
    <row r="48" spans="1:45" s="30" customFormat="1" x14ac:dyDescent="0.25">
      <c r="A48" s="417" t="s">
        <v>93</v>
      </c>
      <c r="B48" s="39"/>
      <c r="C48" s="35"/>
      <c r="D48" s="39"/>
      <c r="E48" s="35"/>
      <c r="F48" s="39"/>
      <c r="G48" s="35"/>
      <c r="H48" s="39"/>
      <c r="I48" s="35"/>
      <c r="J48" s="39"/>
      <c r="K48" s="35"/>
      <c r="L48" s="39"/>
      <c r="M48" s="35"/>
      <c r="N48" s="39"/>
      <c r="O48" s="35"/>
      <c r="P48" s="39"/>
      <c r="Q48" s="35"/>
      <c r="R48" s="39"/>
      <c r="S48" s="35"/>
      <c r="T48" s="39"/>
      <c r="U48" s="35"/>
      <c r="V48" s="39"/>
      <c r="W48" s="35"/>
      <c r="X48" s="39"/>
      <c r="Y48" s="35"/>
      <c r="Z48" s="93"/>
      <c r="AA48" s="92"/>
      <c r="AB48" s="93"/>
      <c r="AC48" s="92"/>
      <c r="AD48" s="93"/>
      <c r="AE48" s="92"/>
      <c r="AF48" s="39"/>
      <c r="AG48" s="35"/>
      <c r="AH48" s="93"/>
      <c r="AI48" s="92"/>
      <c r="AJ48" s="39"/>
      <c r="AK48" s="35"/>
      <c r="AL48" s="93"/>
      <c r="AM48" s="92"/>
      <c r="AN48" s="39"/>
      <c r="AO48" s="35"/>
      <c r="AP48" s="476"/>
      <c r="AQ48" s="472"/>
      <c r="AR48" s="567"/>
      <c r="AS48" s="109"/>
    </row>
    <row r="49" spans="1:45" s="55" customFormat="1" x14ac:dyDescent="0.25">
      <c r="A49" s="31" t="s">
        <v>94</v>
      </c>
      <c r="B49" s="134">
        <f>+'EXTERNAL DEBT COLONES'!B49/B93</f>
        <v>82.009110901665096</v>
      </c>
      <c r="C49" s="35"/>
      <c r="D49" s="134">
        <f>+'EXTERNAL DEBT COLONES'!D49/D93</f>
        <v>116.53067789670702</v>
      </c>
      <c r="E49" s="35"/>
      <c r="F49" s="134">
        <f>+'EXTERNAL DEBT COLONES'!F49/F93</f>
        <v>127.14206569054214</v>
      </c>
      <c r="G49" s="35"/>
      <c r="H49" s="134">
        <f>+'EXTERNAL DEBT COLONES'!H49/H93</f>
        <v>143.31710460370874</v>
      </c>
      <c r="I49" s="35"/>
      <c r="J49" s="134">
        <f>+'EXTERNAL DEBT COLONES'!J49/J93</f>
        <v>159.7115133582804</v>
      </c>
      <c r="K49" s="35"/>
      <c r="L49" s="134">
        <f>+'EXTERNAL DEBT COLONES'!L49/L93</f>
        <v>162.66478893977074</v>
      </c>
      <c r="M49" s="35"/>
      <c r="N49" s="134">
        <f>+'EXTERNAL DEBT COLONES'!N49/N93</f>
        <v>168.63953262506271</v>
      </c>
      <c r="O49" s="35"/>
      <c r="P49" s="134">
        <f>+'EXTERNAL DEBT COLONES'!P49/P93</f>
        <v>177.6570736299897</v>
      </c>
      <c r="Q49" s="35"/>
      <c r="R49" s="134">
        <f>+'EXTERNAL DEBT COLONES'!R49/R93</f>
        <v>153.68701705015661</v>
      </c>
      <c r="S49" s="35"/>
      <c r="T49" s="134">
        <f>+'EXTERNAL DEBT COLONES'!T49/T93</f>
        <v>142.47103525544316</v>
      </c>
      <c r="U49" s="35"/>
      <c r="V49" s="134">
        <f>+'EXTERNAL DEBT COLONES'!V49/V93</f>
        <v>128.83217875195902</v>
      </c>
      <c r="W49" s="35"/>
      <c r="X49" s="134">
        <f>+'EXTERNAL DEBT COLONES'!X49/X93</f>
        <v>116.7300491785265</v>
      </c>
      <c r="Y49" s="35"/>
      <c r="Z49" s="134">
        <f>+'EXTERNAL DEBT COLONES'!Z49/Z93</f>
        <v>95.603401087090518</v>
      </c>
      <c r="AA49" s="92"/>
      <c r="AB49" s="134">
        <f>+'EXTERNAL DEBT COLONES'!AB49/AB93</f>
        <v>127.83606364059904</v>
      </c>
      <c r="AC49" s="35"/>
      <c r="AD49" s="134">
        <f>+'EXTERNAL DEBT COLONES'!AD49/AD93</f>
        <v>182.57323914843897</v>
      </c>
      <c r="AE49" s="35"/>
      <c r="AF49" s="134">
        <f>+'EXTERNAL DEBT COLONES'!AF49/AF93</f>
        <v>269.39334537995342</v>
      </c>
      <c r="AG49" s="35"/>
      <c r="AH49" s="134">
        <f>+'EXTERNAL DEBT COLONES'!AH49/AH93</f>
        <v>330.16710600177737</v>
      </c>
      <c r="AI49" s="35"/>
      <c r="AJ49" s="74">
        <f>+'EXTERNAL DEBT COLONES'!AJ49/AJ93</f>
        <v>340.44484271611196</v>
      </c>
      <c r="AK49" s="35"/>
      <c r="AL49" s="134">
        <f>+'EXTERNAL DEBT COLONES'!AJ49/'EXTERNAL DEBT USD'!AL93</f>
        <v>318.4619317577758</v>
      </c>
      <c r="AM49" s="92"/>
      <c r="AN49" s="74">
        <f>+'EXTERNAL DEBT COLONES'!AN49/'EXTERNAL DEBT USD'!AN93</f>
        <v>361.34025329357326</v>
      </c>
      <c r="AO49" s="35"/>
      <c r="AP49" s="461">
        <f>+'EXTERNAL DEBT COLONES'!AP49/'EXTERNAL DEBT USD'!AP93</f>
        <v>388.96903007014691</v>
      </c>
      <c r="AQ49" s="472"/>
      <c r="AR49" s="389"/>
      <c r="AS49" s="109"/>
    </row>
    <row r="50" spans="1:45" s="187" customFormat="1" x14ac:dyDescent="0.25">
      <c r="A50" s="415" t="s">
        <v>71</v>
      </c>
      <c r="B50" s="223">
        <f>+B49/B74</f>
        <v>5.6414988040288366E-3</v>
      </c>
      <c r="C50" s="35"/>
      <c r="D50" s="223">
        <f>+D49/D74</f>
        <v>7.5839093084924302E-3</v>
      </c>
      <c r="E50" s="35"/>
      <c r="F50" s="223">
        <f>+F49/F74</f>
        <v>8.0787995124093209E-3</v>
      </c>
      <c r="G50" s="35"/>
      <c r="H50" s="223">
        <f>+H49/H74</f>
        <v>8.7213385140136029E-3</v>
      </c>
      <c r="I50" s="35"/>
      <c r="J50" s="223">
        <f>+J49/J74</f>
        <v>9.0071851288942191E-3</v>
      </c>
      <c r="K50" s="35"/>
      <c r="L50" s="223">
        <f>+L49/L74</f>
        <v>8.4535558324326781E-3</v>
      </c>
      <c r="M50" s="35"/>
      <c r="N50" s="223">
        <f>+N49/N74</f>
        <v>7.5251847590651552E-3</v>
      </c>
      <c r="O50" s="35"/>
      <c r="P50" s="223">
        <f>+P49/P74</f>
        <v>6.3593801436095058E-3</v>
      </c>
      <c r="Q50" s="35"/>
      <c r="R50" s="223">
        <f>+R49/R74</f>
        <v>5.2373514788560992E-3</v>
      </c>
      <c r="S50" s="35"/>
      <c r="T50" s="223">
        <v>4.770305610172965E-3</v>
      </c>
      <c r="U50" s="35"/>
      <c r="V50" s="223">
        <v>3.4745164777257955E-3</v>
      </c>
      <c r="W50" s="35"/>
      <c r="X50" s="223">
        <f>+X49/X74</f>
        <v>2.7575543277242351E-3</v>
      </c>
      <c r="Y50" s="35"/>
      <c r="Z50" s="226">
        <f>+Z49/Z74</f>
        <v>2.0496101257647748E-3</v>
      </c>
      <c r="AA50" s="92"/>
      <c r="AB50" s="226">
        <f>+AB49/AB74</f>
        <v>2.5226368191466368E-3</v>
      </c>
      <c r="AC50" s="92"/>
      <c r="AD50" s="226">
        <f>+AD49/AD74</f>
        <v>3.5353631468064447E-3</v>
      </c>
      <c r="AE50" s="92"/>
      <c r="AF50" s="223">
        <f>+AF49/AF74</f>
        <v>4.8018966156313384E-3</v>
      </c>
      <c r="AG50" s="35"/>
      <c r="AH50" s="226">
        <f>+AH49/AH74</f>
        <v>5.7311122001511257E-3</v>
      </c>
      <c r="AI50" s="92"/>
      <c r="AJ50" s="223">
        <f>+AJ49/AJ74</f>
        <v>5.6552053282825539E-3</v>
      </c>
      <c r="AK50" s="35"/>
      <c r="AL50" s="226">
        <f>+AL49/AL74</f>
        <v>5.3928056453517352E-3</v>
      </c>
      <c r="AM50" s="92"/>
      <c r="AN50" s="223">
        <f>+AN49/AN74</f>
        <v>5.4778667500270653E-3</v>
      </c>
      <c r="AO50" s="35"/>
      <c r="AP50" s="464">
        <f>+AP49/AP74</f>
        <v>6.5626024255085718E-3</v>
      </c>
      <c r="AQ50" s="472"/>
      <c r="AR50" s="576"/>
      <c r="AS50" s="109"/>
    </row>
    <row r="51" spans="1:45" s="187" customFormat="1" x14ac:dyDescent="0.25">
      <c r="A51" s="419" t="s">
        <v>95</v>
      </c>
      <c r="B51" s="223">
        <f>+B49/B77</f>
        <v>4.2895446148052692E-2</v>
      </c>
      <c r="C51" s="35"/>
      <c r="D51" s="223">
        <f>+D49/D77</f>
        <v>5.5182034308929373E-2</v>
      </c>
      <c r="E51" s="35"/>
      <c r="F51" s="223">
        <f>+F49/F77</f>
        <v>5.9589685671987677E-2</v>
      </c>
      <c r="G51" s="35"/>
      <c r="H51" s="223">
        <f>+H49/H77</f>
        <v>6.3049679128650171E-2</v>
      </c>
      <c r="I51" s="35"/>
      <c r="J51" s="223">
        <f>+J49/J77</f>
        <v>6.6275889738864516E-2</v>
      </c>
      <c r="K51" s="35"/>
      <c r="L51" s="223">
        <f>+L49/L77</f>
        <v>6.1272504143362272E-2</v>
      </c>
      <c r="M51" s="35"/>
      <c r="N51" s="223">
        <f>+N49/N77</f>
        <v>5.3360004219406579E-2</v>
      </c>
      <c r="O51" s="35"/>
      <c r="P51" s="223">
        <f>+P49/P77</f>
        <v>4.1970929754049632E-2</v>
      </c>
      <c r="Q51" s="35"/>
      <c r="R51" s="223">
        <f>+R49/R77</f>
        <v>3.40993581279673E-2</v>
      </c>
      <c r="S51" s="35"/>
      <c r="T51" s="223">
        <v>3.4747510948615327E-2</v>
      </c>
      <c r="U51" s="35"/>
      <c r="V51" s="223">
        <v>2.3849832836703694E-2</v>
      </c>
      <c r="W51" s="35"/>
      <c r="X51" s="223">
        <f>+X49/X77</f>
        <v>1.9717395424428491E-2</v>
      </c>
      <c r="Y51" s="35"/>
      <c r="Z51" s="226">
        <f>+Z49/Z77</f>
        <v>1.4886435033382382E-2</v>
      </c>
      <c r="AA51" s="92"/>
      <c r="AB51" s="226">
        <f>+AB49/AB77</f>
        <v>1.8164623734884013E-2</v>
      </c>
      <c r="AC51" s="92"/>
      <c r="AD51" s="226">
        <f>+AD49/AD77</f>
        <v>2.6068295284144113E-2</v>
      </c>
      <c r="AE51" s="92"/>
      <c r="AF51" s="223">
        <f>+AF49/AF77</f>
        <v>3.4659598454065466E-2</v>
      </c>
      <c r="AG51" s="35"/>
      <c r="AH51" s="226">
        <f>+AH49/AH77</f>
        <v>4.0278273698870153E-2</v>
      </c>
      <c r="AI51" s="92"/>
      <c r="AJ51" s="223">
        <f>+AJ49/AJ77</f>
        <v>4.0985622652791875E-2</v>
      </c>
      <c r="AK51" s="35"/>
      <c r="AL51" s="226">
        <f>+AL49/AL77</f>
        <v>3.9433637793052395E-2</v>
      </c>
      <c r="AM51" s="92"/>
      <c r="AN51" s="223">
        <f>+AN49/AN77</f>
        <v>3.9431028950885454E-2</v>
      </c>
      <c r="AO51" s="35"/>
      <c r="AP51" s="464">
        <f>+AP49/AP77</f>
        <v>5.1015695136170859E-2</v>
      </c>
      <c r="AQ51" s="472"/>
      <c r="AR51" s="389"/>
      <c r="AS51" s="109"/>
    </row>
    <row r="52" spans="1:45" s="187" customFormat="1" x14ac:dyDescent="0.25">
      <c r="A52" s="415" t="s">
        <v>96</v>
      </c>
      <c r="B52" s="223">
        <f>+B49/B79</f>
        <v>3.4496233542811491E-2</v>
      </c>
      <c r="C52" s="35"/>
      <c r="D52" s="223">
        <f>+D49/D79</f>
        <v>4.5163516320655218E-2</v>
      </c>
      <c r="E52" s="35"/>
      <c r="F52" s="223">
        <f>+F49/F79</f>
        <v>4.5119924053014959E-2</v>
      </c>
      <c r="G52" s="35"/>
      <c r="H52" s="223">
        <f>+H49/H79</f>
        <v>5.1191980751184071E-2</v>
      </c>
      <c r="I52" s="35"/>
      <c r="J52" s="223">
        <f>+J49/J79</f>
        <v>5.5201485218015628E-2</v>
      </c>
      <c r="K52" s="35"/>
      <c r="L52" s="223">
        <f>+L49/L79</f>
        <v>5.3207427602338875E-2</v>
      </c>
      <c r="M52" s="35"/>
      <c r="N52" s="223">
        <f>+N49/N79</f>
        <v>4.9671400093440211E-2</v>
      </c>
      <c r="O52" s="35"/>
      <c r="P52" s="223">
        <f>+P49/P79</f>
        <v>4.3571777467099712E-2</v>
      </c>
      <c r="Q52" s="35"/>
      <c r="R52" s="223">
        <f>+R49/R79</f>
        <v>3.4502927519095332E-2</v>
      </c>
      <c r="S52" s="35"/>
      <c r="T52" s="223">
        <v>2.853279603594008E-2</v>
      </c>
      <c r="U52" s="35"/>
      <c r="V52" s="223">
        <v>1.755563003029342E-2</v>
      </c>
      <c r="W52" s="35"/>
      <c r="X52" s="223">
        <f>+X49/X79</f>
        <v>1.5408580965983526E-2</v>
      </c>
      <c r="Y52" s="35"/>
      <c r="Z52" s="226">
        <f>+Z49/Z79</f>
        <v>1.1386787734582429E-2</v>
      </c>
      <c r="AA52" s="92"/>
      <c r="AB52" s="226">
        <f>+AB49/AB79</f>
        <v>1.3183464746760796E-2</v>
      </c>
      <c r="AC52" s="92"/>
      <c r="AD52" s="226">
        <f>+AD49/AD79</f>
        <v>1.8583682919387993E-2</v>
      </c>
      <c r="AE52" s="92"/>
      <c r="AF52" s="223">
        <f>+AF49/AF79</f>
        <v>2.4778681937241767E-2</v>
      </c>
      <c r="AG52" s="35"/>
      <c r="AH52" s="226">
        <f>+AH49/AH79</f>
        <v>2.9627081834953356E-2</v>
      </c>
      <c r="AI52" s="92"/>
      <c r="AJ52" s="223">
        <f>+AJ49/AJ79</f>
        <v>2.8710966226917482E-2</v>
      </c>
      <c r="AK52" s="35"/>
      <c r="AL52" s="226">
        <f>+AL49/AL79</f>
        <v>2.7764938066937941E-2</v>
      </c>
      <c r="AM52" s="92"/>
      <c r="AN52" s="228">
        <f>+AN49/AN79</f>
        <v>2.6298078929876574E-2</v>
      </c>
      <c r="AO52" s="35"/>
      <c r="AP52" s="464">
        <f>+AP49/AP79</f>
        <v>3.1176270439542679E-2</v>
      </c>
      <c r="AQ52" s="472"/>
      <c r="AR52" s="389"/>
      <c r="AS52" s="109"/>
    </row>
    <row r="53" spans="1:45" s="30" customFormat="1" x14ac:dyDescent="0.25">
      <c r="A53" s="418"/>
      <c r="B53" s="223"/>
      <c r="C53" s="35"/>
      <c r="D53" s="223"/>
      <c r="E53" s="35"/>
      <c r="F53" s="223"/>
      <c r="G53" s="35"/>
      <c r="H53" s="223"/>
      <c r="I53" s="35"/>
      <c r="J53" s="223"/>
      <c r="K53" s="35"/>
      <c r="L53" s="223"/>
      <c r="M53" s="35"/>
      <c r="N53" s="223"/>
      <c r="O53" s="35"/>
      <c r="P53" s="223"/>
      <c r="Q53" s="35"/>
      <c r="R53" s="223"/>
      <c r="S53" s="35"/>
      <c r="T53" s="223"/>
      <c r="U53" s="35"/>
      <c r="V53" s="223"/>
      <c r="W53" s="35"/>
      <c r="X53" s="223"/>
      <c r="Y53" s="35"/>
      <c r="Z53" s="226"/>
      <c r="AA53" s="92"/>
      <c r="AB53" s="226"/>
      <c r="AC53" s="92"/>
      <c r="AD53" s="226"/>
      <c r="AE53" s="92"/>
      <c r="AF53" s="223"/>
      <c r="AG53" s="35"/>
      <c r="AH53" s="91"/>
      <c r="AI53" s="92"/>
      <c r="AJ53" s="29"/>
      <c r="AK53" s="35"/>
      <c r="AL53" s="91"/>
      <c r="AM53" s="92"/>
      <c r="AN53" s="29"/>
      <c r="AO53" s="35"/>
      <c r="AP53" s="468"/>
      <c r="AQ53" s="472"/>
      <c r="AR53" s="389"/>
      <c r="AS53" s="109"/>
    </row>
    <row r="54" spans="1:45" s="38" customFormat="1" x14ac:dyDescent="0.25">
      <c r="A54" s="31" t="s">
        <v>97</v>
      </c>
      <c r="B54" s="75">
        <f>+B61+B67</f>
        <v>5648.9315111530004</v>
      </c>
      <c r="C54" s="211">
        <v>1</v>
      </c>
      <c r="D54" s="75">
        <f>+D61+D67</f>
        <v>6092.8367807217637</v>
      </c>
      <c r="E54" s="211">
        <v>1</v>
      </c>
      <c r="F54" s="75">
        <f>+F61+F67</f>
        <v>6523.0767783933516</v>
      </c>
      <c r="G54" s="211">
        <v>1</v>
      </c>
      <c r="H54" s="75">
        <f>+H61+H67</f>
        <v>6668.7083043364119</v>
      </c>
      <c r="I54" s="211">
        <v>1</v>
      </c>
      <c r="J54" s="75">
        <f>+J61+J67</f>
        <v>7275.6711478548432</v>
      </c>
      <c r="K54" s="211">
        <v>1</v>
      </c>
      <c r="L54" s="75">
        <f>+L61+L67</f>
        <v>7186.2343872938054</v>
      </c>
      <c r="M54" s="211">
        <v>1</v>
      </c>
      <c r="N54" s="75">
        <f>+N61+N67</f>
        <v>7405.0907282621283</v>
      </c>
      <c r="O54" s="211">
        <v>1</v>
      </c>
      <c r="P54" s="75">
        <f>+P61+P67</f>
        <v>7531.6019084015525</v>
      </c>
      <c r="Q54" s="211">
        <v>1</v>
      </c>
      <c r="R54" s="75">
        <f>+R61+R67</f>
        <v>7033.3475041240472</v>
      </c>
      <c r="S54" s="211">
        <v>1</v>
      </c>
      <c r="T54" s="75">
        <v>8151.3837899838209</v>
      </c>
      <c r="U54" s="211">
        <v>1</v>
      </c>
      <c r="V54" s="75">
        <v>10851.303467262858</v>
      </c>
      <c r="W54" s="211">
        <v>1</v>
      </c>
      <c r="X54" s="75">
        <f>+X61+X67</f>
        <v>12489.186009143179</v>
      </c>
      <c r="Y54" s="211">
        <v>1</v>
      </c>
      <c r="Z54" s="153">
        <f t="shared" ref="Z54:AC54" si="4">+Z61+Z67</f>
        <v>15744.00916441351</v>
      </c>
      <c r="AA54" s="174">
        <f t="shared" si="4"/>
        <v>1</v>
      </c>
      <c r="AB54" s="153">
        <f t="shared" si="4"/>
        <v>17782.528527978197</v>
      </c>
      <c r="AC54" s="174">
        <f t="shared" si="4"/>
        <v>0.99999999999999989</v>
      </c>
      <c r="AD54" s="153">
        <f t="shared" ref="AD54:AI54" si="5">+AD61+AD67</f>
        <v>19355.577761810924</v>
      </c>
      <c r="AE54" s="174">
        <f t="shared" si="5"/>
        <v>1</v>
      </c>
      <c r="AF54" s="75">
        <f t="shared" si="5"/>
        <v>22314.265338538964</v>
      </c>
      <c r="AG54" s="211">
        <f t="shared" si="5"/>
        <v>1</v>
      </c>
      <c r="AH54" s="93">
        <f>+AH61+AH67</f>
        <v>25222.26838435368</v>
      </c>
      <c r="AI54" s="90">
        <f t="shared" si="5"/>
        <v>1</v>
      </c>
      <c r="AJ54" s="39">
        <f>+AJ61+AJ67</f>
        <v>28162.743045154748</v>
      </c>
      <c r="AK54" s="40">
        <f t="shared" ref="AK54:AO54" si="6">+AK61+AK67</f>
        <v>1</v>
      </c>
      <c r="AL54" s="93">
        <f>+AL61+AL67</f>
        <v>30462.132826904417</v>
      </c>
      <c r="AM54" s="90">
        <f t="shared" ref="AM54" si="7">+AM61+AM67</f>
        <v>1</v>
      </c>
      <c r="AN54" s="39">
        <f>+AN61+AN67</f>
        <v>36993.804726890477</v>
      </c>
      <c r="AO54" s="40">
        <f t="shared" si="6"/>
        <v>1</v>
      </c>
      <c r="AP54" s="476">
        <f>+AP61+AP67</f>
        <v>39436.369221638968</v>
      </c>
      <c r="AQ54" s="463">
        <f t="shared" ref="AQ54" si="8">+AQ61+AQ67</f>
        <v>1</v>
      </c>
      <c r="AR54" s="389"/>
      <c r="AS54" s="109"/>
    </row>
    <row r="55" spans="1:45" s="38" customFormat="1" ht="12.75" customHeight="1" x14ac:dyDescent="0.25">
      <c r="A55" s="415" t="s">
        <v>71</v>
      </c>
      <c r="B55" s="223">
        <f>+B54/B74</f>
        <v>0.38859634025813361</v>
      </c>
      <c r="C55" s="211"/>
      <c r="D55" s="223">
        <f>+D54/D74</f>
        <v>0.3965266692896034</v>
      </c>
      <c r="E55" s="211"/>
      <c r="F55" s="223">
        <f>+F54/F74</f>
        <v>0.41448618292044098</v>
      </c>
      <c r="G55" s="211"/>
      <c r="H55" s="223">
        <f>+H54/H74</f>
        <v>0.40581382615949413</v>
      </c>
      <c r="I55" s="211"/>
      <c r="J55" s="223">
        <f>+J54/J74</f>
        <v>0.41032306054650031</v>
      </c>
      <c r="K55" s="211"/>
      <c r="L55" s="223">
        <f>+L54/L74</f>
        <v>0.37346271441958589</v>
      </c>
      <c r="M55" s="211"/>
      <c r="N55" s="223">
        <f>+N54/N74</f>
        <v>0.3304366124620724</v>
      </c>
      <c r="O55" s="211"/>
      <c r="P55" s="223">
        <f>+P54/P74</f>
        <v>0.2695998456307741</v>
      </c>
      <c r="Q55" s="211"/>
      <c r="R55" s="223">
        <f>+R54/R74</f>
        <v>0.23968265933622268</v>
      </c>
      <c r="S55" s="211"/>
      <c r="T55" s="223">
        <v>0.27292594989877922</v>
      </c>
      <c r="U55" s="211"/>
      <c r="V55" s="223">
        <v>0.29551306356487506</v>
      </c>
      <c r="W55" s="211"/>
      <c r="X55" s="223">
        <f>+X54/X74</f>
        <v>0.29503636100241792</v>
      </c>
      <c r="Y55" s="211"/>
      <c r="Z55" s="226">
        <f>+Z54/Z74</f>
        <v>0.33753067606998227</v>
      </c>
      <c r="AA55" s="174"/>
      <c r="AB55" s="226">
        <f>+AB54/AB74</f>
        <v>0.35090928118938625</v>
      </c>
      <c r="AC55" s="174"/>
      <c r="AD55" s="226">
        <f>+AD54/AD74</f>
        <v>0.37480299206729495</v>
      </c>
      <c r="AE55" s="174"/>
      <c r="AF55" s="223">
        <f>+AF54/AF74</f>
        <v>0.39774848579984051</v>
      </c>
      <c r="AG55" s="211"/>
      <c r="AH55" s="226">
        <f>+AH54/AH74</f>
        <v>0.4378136023407409</v>
      </c>
      <c r="AI55" s="90"/>
      <c r="AJ55" s="223">
        <f>+AJ54/AJ74</f>
        <v>0.46781761549790724</v>
      </c>
      <c r="AK55" s="40"/>
      <c r="AL55" s="226">
        <f>+AL54/AL74</f>
        <v>0.51584301135036204</v>
      </c>
      <c r="AM55" s="90"/>
      <c r="AN55" s="223">
        <f>+AN54/AN74</f>
        <v>0.56082080815332092</v>
      </c>
      <c r="AO55" s="40"/>
      <c r="AP55" s="464">
        <f>+AP54/AP74</f>
        <v>0.66536200134110002</v>
      </c>
      <c r="AQ55" s="463"/>
      <c r="AR55" s="565"/>
      <c r="AS55" s="109"/>
    </row>
    <row r="56" spans="1:45" s="38" customFormat="1" ht="12.75" customHeight="1" x14ac:dyDescent="0.25">
      <c r="A56" s="415" t="s">
        <v>98</v>
      </c>
      <c r="B56" s="223">
        <f>+B54/B76</f>
        <v>1.3514613325629803</v>
      </c>
      <c r="C56" s="211"/>
      <c r="D56" s="223">
        <f>+D54/D76</f>
        <v>1.4523972995634873</v>
      </c>
      <c r="E56" s="211"/>
      <c r="F56" s="223">
        <f>+F54/F76</f>
        <v>1.5280488658909999</v>
      </c>
      <c r="G56" s="211"/>
      <c r="H56" s="223">
        <f>+H54/H76</f>
        <v>1.4474057516276175</v>
      </c>
      <c r="I56" s="211"/>
      <c r="J56" s="223">
        <f>+J54/J76</f>
        <v>1.4208993060953758</v>
      </c>
      <c r="K56" s="211"/>
      <c r="L56" s="223">
        <f>+L54/L76</f>
        <v>1.2904116297101553</v>
      </c>
      <c r="M56" s="211"/>
      <c r="N56" s="223">
        <f>+N54/N76</f>
        <v>1.1734059767398881</v>
      </c>
      <c r="O56" s="211"/>
      <c r="P56" s="223">
        <f>+P54/P76</f>
        <v>1.0956317215463367</v>
      </c>
      <c r="Q56" s="211"/>
      <c r="R56" s="223">
        <f>+R54/R76</f>
        <v>0.93606020523801459</v>
      </c>
      <c r="S56" s="211"/>
      <c r="T56" s="223">
        <v>0.92137264496256599</v>
      </c>
      <c r="U56" s="211"/>
      <c r="V56" s="223">
        <v>1.1617102889755544</v>
      </c>
      <c r="W56" s="211"/>
      <c r="X56" s="223">
        <f>+X54/X76</f>
        <v>1.5044712329991181</v>
      </c>
      <c r="Y56" s="211"/>
      <c r="Z56" s="226">
        <f>+Z54/Z76</f>
        <v>1.4286759677326235</v>
      </c>
      <c r="AA56" s="174"/>
      <c r="AB56" s="226">
        <f>+AB54/AB76</f>
        <v>2.0056252967347623</v>
      </c>
      <c r="AC56" s="174"/>
      <c r="AD56" s="226">
        <f>+AD54/AD76</f>
        <v>2.0385369733966967</v>
      </c>
      <c r="AE56" s="174"/>
      <c r="AF56" s="223">
        <f>+AF54/AF76</f>
        <v>2.4001854251300205</v>
      </c>
      <c r="AG56" s="211"/>
      <c r="AH56" s="226">
        <f>+AH54/AH76</f>
        <v>2.4623907433714418</v>
      </c>
      <c r="AI56" s="90"/>
      <c r="AJ56" s="223">
        <f>+AJ54/AJ76</f>
        <v>2.5844492103473202</v>
      </c>
      <c r="AK56" s="40"/>
      <c r="AL56" s="226">
        <f>+AL54/AL76</f>
        <v>2.659519192151599</v>
      </c>
      <c r="AM56" s="90"/>
      <c r="AN56" s="223">
        <f>+AN54/AN76</f>
        <v>3.1855510830009885</v>
      </c>
      <c r="AO56" s="40"/>
      <c r="AP56" s="464">
        <f>+AP54/AP76</f>
        <v>3.3684705719956409</v>
      </c>
      <c r="AQ56" s="463"/>
      <c r="AR56" s="565"/>
      <c r="AS56" s="109"/>
    </row>
    <row r="57" spans="1:45" s="38" customFormat="1" ht="12.75" customHeight="1" x14ac:dyDescent="0.25">
      <c r="A57" s="415" t="s">
        <v>95</v>
      </c>
      <c r="B57" s="223">
        <f>+B54/B77</f>
        <v>2.9547136259196001</v>
      </c>
      <c r="C57" s="211"/>
      <c r="D57" s="223">
        <f>+D54/D77</f>
        <v>2.8852070059226533</v>
      </c>
      <c r="E57" s="211"/>
      <c r="F57" s="223">
        <f>+F54/F77</f>
        <v>3.0572737097476392</v>
      </c>
      <c r="G57" s="211"/>
      <c r="H57" s="223">
        <f>+H54/H77</f>
        <v>2.9337734665628665</v>
      </c>
      <c r="I57" s="211"/>
      <c r="J57" s="223">
        <f>+J54/J77</f>
        <v>3.0192036167720975</v>
      </c>
      <c r="K57" s="211"/>
      <c r="L57" s="223">
        <f>+L54/L77</f>
        <v>2.7069077403940636</v>
      </c>
      <c r="M57" s="211"/>
      <c r="N57" s="223">
        <f>+N54/N77</f>
        <v>2.3430785555108433</v>
      </c>
      <c r="O57" s="211"/>
      <c r="P57" s="223">
        <f>+P54/P77</f>
        <v>1.7793174691785902</v>
      </c>
      <c r="Q57" s="211"/>
      <c r="R57" s="223">
        <f>+R54/R77</f>
        <v>1.5605263215128975</v>
      </c>
      <c r="S57" s="211"/>
      <c r="T57" s="223">
        <v>1.988027226608907</v>
      </c>
      <c r="U57" s="211"/>
      <c r="V57" s="223">
        <v>2.0284656044278164</v>
      </c>
      <c r="W57" s="211"/>
      <c r="X57" s="223">
        <f>+X54/X77</f>
        <v>2.1096043461345224</v>
      </c>
      <c r="Y57" s="211"/>
      <c r="Z57" s="226">
        <f>+Z54/Z77</f>
        <v>2.4515045168478449</v>
      </c>
      <c r="AA57" s="174"/>
      <c r="AB57" s="226">
        <f>+AB54/AB77</f>
        <v>2.526774765794495</v>
      </c>
      <c r="AC57" s="174"/>
      <c r="AD57" s="226">
        <f>+AD54/AD77</f>
        <v>2.7636411494012458</v>
      </c>
      <c r="AE57" s="174"/>
      <c r="AF57" s="223">
        <f>+AF54/AF77</f>
        <v>2.8709078739135903</v>
      </c>
      <c r="AG57" s="211"/>
      <c r="AH57" s="226">
        <f>+AH54/AH77</f>
        <v>3.0769553078551932</v>
      </c>
      <c r="AI57" s="90"/>
      <c r="AJ57" s="223">
        <f>+AJ54/AJ77</f>
        <v>3.3904686295358712</v>
      </c>
      <c r="AK57" s="40"/>
      <c r="AL57" s="226">
        <f>+AL54/AL77</f>
        <v>3.7719821194002723</v>
      </c>
      <c r="AM57" s="90"/>
      <c r="AN57" s="223">
        <f>+AN54/AN77</f>
        <v>4.036925783644393</v>
      </c>
      <c r="AO57" s="40"/>
      <c r="AP57" s="464">
        <f>+AP54/AP77</f>
        <v>5.1723238457462353</v>
      </c>
      <c r="AQ57" s="463"/>
      <c r="AR57" s="565"/>
      <c r="AS57" s="109"/>
    </row>
    <row r="58" spans="1:45" s="38" customFormat="1" ht="12.75" customHeight="1" x14ac:dyDescent="0.25">
      <c r="A58" s="415" t="s">
        <v>99</v>
      </c>
      <c r="B58" s="223">
        <f>+B54/B78</f>
        <v>2.9781556633109996</v>
      </c>
      <c r="C58" s="211"/>
      <c r="D58" s="223">
        <f>+D54/D78</f>
        <v>2.9222271546955785</v>
      </c>
      <c r="E58" s="211"/>
      <c r="F58" s="223">
        <f>+F54/F78</f>
        <v>3.0852201533169232</v>
      </c>
      <c r="G58" s="211"/>
      <c r="H58" s="223">
        <f>+H54/H78</f>
        <v>2.9983116173069821</v>
      </c>
      <c r="I58" s="211"/>
      <c r="J58" s="223">
        <f>+J54/J78</f>
        <v>3.0795073678840499</v>
      </c>
      <c r="K58" s="211"/>
      <c r="L58" s="223">
        <f>+L54/L78</f>
        <v>2.7580933128932434</v>
      </c>
      <c r="M58" s="211"/>
      <c r="N58" s="223">
        <f>+N54/N78</f>
        <v>2.3819605085628694</v>
      </c>
      <c r="O58" s="211"/>
      <c r="P58" s="223">
        <f>+P54/P78</f>
        <v>1.8116542420683559</v>
      </c>
      <c r="Q58" s="211"/>
      <c r="R58" s="223">
        <f>+R54/R78</f>
        <v>1.5842247918344545</v>
      </c>
      <c r="S58" s="211"/>
      <c r="T58" s="223">
        <v>1.9903882365868091</v>
      </c>
      <c r="U58" s="211"/>
      <c r="V58" s="223">
        <v>2.2319701161218353</v>
      </c>
      <c r="W58" s="211"/>
      <c r="X58" s="223">
        <f>+X54/X78</f>
        <v>2.2494690000904023</v>
      </c>
      <c r="Y58" s="211"/>
      <c r="Z58" s="226">
        <f>+Z54/Z78</f>
        <v>2.601332590372825</v>
      </c>
      <c r="AA58" s="174"/>
      <c r="AB58" s="226">
        <f>+AB54/AB78</f>
        <v>2.6683500943092264</v>
      </c>
      <c r="AC58" s="174"/>
      <c r="AD58" s="226">
        <f>+AD54/AD78</f>
        <v>2.9296365439492922</v>
      </c>
      <c r="AE58" s="174"/>
      <c r="AF58" s="223">
        <f>+AF54/AF78</f>
        <v>3.0572482941546539</v>
      </c>
      <c r="AG58" s="211"/>
      <c r="AH58" s="226">
        <f>+AH54/AH78</f>
        <v>3.2535515012304805</v>
      </c>
      <c r="AI58" s="90"/>
      <c r="AJ58" s="223">
        <f>+AJ54/AJ78</f>
        <v>3.6007405915954571</v>
      </c>
      <c r="AK58" s="40"/>
      <c r="AL58" s="226">
        <f>+AL54/AL78</f>
        <v>3.9930765422604941</v>
      </c>
      <c r="AM58" s="90"/>
      <c r="AN58" s="223">
        <f>+AN54/AN78</f>
        <v>4.3392482484194863</v>
      </c>
      <c r="AO58" s="40"/>
      <c r="AP58" s="464">
        <f>+AP54/AP78</f>
        <v>5.5933453665952886</v>
      </c>
      <c r="AQ58" s="463"/>
      <c r="AR58" s="565"/>
      <c r="AS58" s="109"/>
    </row>
    <row r="59" spans="1:45" s="38" customFormat="1" ht="12.75" customHeight="1" x14ac:dyDescent="0.25">
      <c r="A59" s="415" t="s">
        <v>96</v>
      </c>
      <c r="B59" s="223">
        <f>+B54/B79</f>
        <v>2.376161118363306</v>
      </c>
      <c r="C59" s="211"/>
      <c r="D59" s="223">
        <f>+D54/D79</f>
        <v>2.3613861890439733</v>
      </c>
      <c r="E59" s="211"/>
      <c r="F59" s="223">
        <f>+F54/F79</f>
        <v>2.3148965469025526</v>
      </c>
      <c r="G59" s="211"/>
      <c r="H59" s="223">
        <f>+H54/H79</f>
        <v>2.3820212395081883</v>
      </c>
      <c r="I59" s="211"/>
      <c r="J59" s="223">
        <f>+J54/J79</f>
        <v>2.5147082065303663</v>
      </c>
      <c r="K59" s="211"/>
      <c r="L59" s="223">
        <f>+L54/L79</f>
        <v>2.3506073341843425</v>
      </c>
      <c r="M59" s="211"/>
      <c r="N59" s="223">
        <f>+N54/N79</f>
        <v>2.1811091300253533</v>
      </c>
      <c r="O59" s="211"/>
      <c r="P59" s="223">
        <f>+P54/P79</f>
        <v>1.8471838785723387</v>
      </c>
      <c r="Q59" s="211"/>
      <c r="R59" s="223">
        <f>+R54/R79</f>
        <v>1.5789953101386891</v>
      </c>
      <c r="S59" s="211"/>
      <c r="T59" s="223">
        <v>1.6324615439250045</v>
      </c>
      <c r="U59" s="211"/>
      <c r="V59" s="223">
        <v>1.493133806191997</v>
      </c>
      <c r="W59" s="211"/>
      <c r="X59" s="223">
        <f>+X54/X79</f>
        <v>1.6485955002622619</v>
      </c>
      <c r="Y59" s="211"/>
      <c r="Z59" s="226">
        <f>+Z54/Z79</f>
        <v>1.8751810961535418</v>
      </c>
      <c r="AA59" s="174"/>
      <c r="AB59" s="226">
        <f>+AB54/AB79</f>
        <v>1.8338748181105222</v>
      </c>
      <c r="AC59" s="174"/>
      <c r="AD59" s="226">
        <f>+AD54/AD79</f>
        <v>1.9701568615683249</v>
      </c>
      <c r="AE59" s="174"/>
      <c r="AF59" s="223">
        <f>+AF54/AF79</f>
        <v>2.0524563541353915</v>
      </c>
      <c r="AG59" s="211"/>
      <c r="AH59" s="226">
        <f>+AH54/AH79</f>
        <v>2.2632848515272159</v>
      </c>
      <c r="AI59" s="90"/>
      <c r="AJ59" s="223">
        <f>+AJ54/AJ79</f>
        <v>2.3750677436492893</v>
      </c>
      <c r="AK59" s="40"/>
      <c r="AL59" s="226">
        <f>+AL54/AL79</f>
        <v>2.6558252242504876</v>
      </c>
      <c r="AM59" s="90"/>
      <c r="AN59" s="223">
        <f>+AN54/AN79</f>
        <v>2.6923820076967608</v>
      </c>
      <c r="AO59" s="40"/>
      <c r="AP59" s="464">
        <f>+AP54/AP79</f>
        <v>3.1608658195377375</v>
      </c>
      <c r="AQ59" s="463"/>
      <c r="AR59" s="565"/>
      <c r="AS59" s="109"/>
    </row>
    <row r="60" spans="1:45" s="38" customFormat="1" ht="12.75" customHeight="1" x14ac:dyDescent="0.25">
      <c r="A60" s="418"/>
      <c r="B60" s="75"/>
      <c r="C60" s="211"/>
      <c r="D60" s="75"/>
      <c r="E60" s="211"/>
      <c r="F60" s="75"/>
      <c r="G60" s="211"/>
      <c r="H60" s="75"/>
      <c r="I60" s="211"/>
      <c r="J60" s="75"/>
      <c r="K60" s="211"/>
      <c r="L60" s="75"/>
      <c r="M60" s="211"/>
      <c r="N60" s="75"/>
      <c r="O60" s="211"/>
      <c r="P60" s="75"/>
      <c r="Q60" s="211"/>
      <c r="R60" s="75"/>
      <c r="S60" s="211"/>
      <c r="T60" s="75"/>
      <c r="U60" s="211"/>
      <c r="V60" s="75"/>
      <c r="W60" s="211"/>
      <c r="X60" s="75"/>
      <c r="Y60" s="211"/>
      <c r="Z60" s="153"/>
      <c r="AA60" s="174"/>
      <c r="AB60" s="153"/>
      <c r="AC60" s="174"/>
      <c r="AD60" s="153"/>
      <c r="AE60" s="174"/>
      <c r="AF60" s="75"/>
      <c r="AG60" s="211"/>
      <c r="AH60" s="93"/>
      <c r="AI60" s="90"/>
      <c r="AJ60" s="39"/>
      <c r="AK60" s="40"/>
      <c r="AL60" s="93"/>
      <c r="AM60" s="90"/>
      <c r="AN60" s="39"/>
      <c r="AO60" s="40"/>
      <c r="AP60" s="476"/>
      <c r="AQ60" s="463"/>
      <c r="AR60" s="565"/>
      <c r="AS60" s="109"/>
    </row>
    <row r="61" spans="1:45" s="30" customFormat="1" ht="19.5" customHeight="1" x14ac:dyDescent="0.25">
      <c r="A61" s="6" t="s">
        <v>100</v>
      </c>
      <c r="B61" s="74">
        <f>+'Domestic Debt USD'!B58</f>
        <v>4083.2315111530006</v>
      </c>
      <c r="C61" s="211">
        <f>+B61/B54</f>
        <v>0.72283253976282935</v>
      </c>
      <c r="D61" s="74">
        <f>+'Domestic Debt USD'!D58</f>
        <v>4371.3167807217642</v>
      </c>
      <c r="E61" s="211">
        <f>+D61/D54</f>
        <v>0.71745181071532549</v>
      </c>
      <c r="F61" s="74">
        <f>+'Domestic Debt USD'!F58</f>
        <v>4571.8797783933514</v>
      </c>
      <c r="G61" s="211">
        <f>+F61/F54</f>
        <v>0.70087781176161712</v>
      </c>
      <c r="H61" s="74">
        <f>+'Domestic Debt USD'!H58</f>
        <v>4487.048304336412</v>
      </c>
      <c r="I61" s="211">
        <f>+H61/H54</f>
        <v>0.67285118790075915</v>
      </c>
      <c r="J61" s="74">
        <f>+'Domestic Debt USD'!J58</f>
        <v>4874.411147854843</v>
      </c>
      <c r="K61" s="211">
        <f>+J61/J54</f>
        <v>0.66996034438582519</v>
      </c>
      <c r="L61" s="74">
        <f>+'Domestic Debt USD'!L58</f>
        <v>4818.844387293806</v>
      </c>
      <c r="M61" s="211">
        <f>+L61/L54</f>
        <v>0.67056599153155205</v>
      </c>
      <c r="N61" s="74">
        <f>+'Domestic Debt USD'!N58</f>
        <v>5084.3307282621281</v>
      </c>
      <c r="O61" s="211">
        <f>+N61/N54</f>
        <v>0.68659938342920879</v>
      </c>
      <c r="P61" s="74">
        <f>+'Domestic Debt USD'!P58</f>
        <v>5253.3619084015527</v>
      </c>
      <c r="Q61" s="211">
        <f>+P61/P54</f>
        <v>0.69750923804687448</v>
      </c>
      <c r="R61" s="74">
        <f>+'Domestic Debt USD'!R58</f>
        <v>4983.6675041240469</v>
      </c>
      <c r="S61" s="211">
        <f>+R61/R54</f>
        <v>0.70857689047808914</v>
      </c>
      <c r="T61" s="74">
        <f>+'Domestic Debt USD'!T58</f>
        <v>6424.4429460950005</v>
      </c>
      <c r="U61" s="211">
        <f>+T61/T54</f>
        <v>0.78814138943981094</v>
      </c>
      <c r="V61" s="74">
        <f>+'Domestic Debt USD'!V58</f>
        <v>8624.4908107802548</v>
      </c>
      <c r="W61" s="211">
        <f>+V61/V54</f>
        <v>0.79478846359788546</v>
      </c>
      <c r="X61" s="74">
        <f>+'Domestic Debt USD'!X58</f>
        <v>10482.561631623812</v>
      </c>
      <c r="Y61" s="211">
        <f>+X61/X54</f>
        <v>0.83933105199567515</v>
      </c>
      <c r="Z61" s="134">
        <f>+'Domestic Debt USD'!Z58</f>
        <v>13023.516487378183</v>
      </c>
      <c r="AA61" s="174">
        <f>+Z61/Z54</f>
        <v>0.82720457993733199</v>
      </c>
      <c r="AB61" s="134">
        <f>+'Domestic Debt USD'!AB58</f>
        <v>14266.823200478777</v>
      </c>
      <c r="AC61" s="174">
        <f>+AB61/AB54</f>
        <v>0.80229440813391784</v>
      </c>
      <c r="AD61" s="134">
        <f>+'Domestic Debt USD'!AD58</f>
        <v>14971.277136680221</v>
      </c>
      <c r="AE61" s="174">
        <f>+AD61/AD54</f>
        <v>0.77348645030989227</v>
      </c>
      <c r="AF61" s="74">
        <f>+'Domestic Debt USD'!AF58</f>
        <v>16808.352061458969</v>
      </c>
      <c r="AG61" s="211">
        <f>+AF61/AF54</f>
        <v>0.75325590183913727</v>
      </c>
      <c r="AH61" s="89">
        <f>+'Domestic Debt USD'!AH58</f>
        <v>19426.544917180643</v>
      </c>
      <c r="AI61" s="90">
        <f>+AH61/AH54</f>
        <v>0.77021402758649804</v>
      </c>
      <c r="AJ61" s="41">
        <f>+'Domestic Debt USD'!AJ58</f>
        <v>22248.663750017768</v>
      </c>
      <c r="AK61" s="40">
        <f>+AJ61/AJ54</f>
        <v>0.79000343518901417</v>
      </c>
      <c r="AL61" s="89">
        <f>+'Domestic Debt USD'!AL58</f>
        <v>24319.630663384418</v>
      </c>
      <c r="AM61" s="174">
        <f>+AL61/AL54</f>
        <v>0.79835613617655532</v>
      </c>
      <c r="AN61" s="41">
        <f>+'Domestic Debt USD'!AN58</f>
        <v>28910.672439342932</v>
      </c>
      <c r="AO61" s="211">
        <f>+AN61/AN54</f>
        <v>0.78150037966567987</v>
      </c>
      <c r="AP61" s="477">
        <f>+'Domestic Debt USD'!AP58</f>
        <v>30079.342286429099</v>
      </c>
      <c r="AQ61" s="462">
        <f>+AP61/AP54</f>
        <v>0.76273102418171868</v>
      </c>
      <c r="AR61" s="565"/>
      <c r="AS61" s="109"/>
    </row>
    <row r="62" spans="1:45" s="187" customFormat="1" ht="12.75" customHeight="1" x14ac:dyDescent="0.25">
      <c r="A62" s="415" t="s">
        <v>71</v>
      </c>
      <c r="B62" s="223">
        <f>+B61/B74</f>
        <v>0.28089007957132728</v>
      </c>
      <c r="C62" s="211"/>
      <c r="D62" s="223">
        <f>+D61/D74</f>
        <v>0.28448877687874302</v>
      </c>
      <c r="E62" s="211"/>
      <c r="F62" s="223">
        <f>+F61/F74</f>
        <v>0.29050416889070402</v>
      </c>
      <c r="G62" s="211"/>
      <c r="H62" s="223">
        <f>+H61/H74</f>
        <v>0.27305231499796784</v>
      </c>
      <c r="I62" s="211"/>
      <c r="J62" s="223">
        <f>+J61/J74</f>
        <v>0.27490017895317914</v>
      </c>
      <c r="K62" s="211"/>
      <c r="L62" s="223">
        <f>+L61/L74</f>
        <v>0.2504313953948345</v>
      </c>
      <c r="M62" s="211"/>
      <c r="N62" s="223">
        <f>+N61/N74</f>
        <v>0.22687757437889533</v>
      </c>
      <c r="O62" s="211"/>
      <c r="P62" s="223">
        <f>+P61/P74</f>
        <v>0.18804838290347625</v>
      </c>
      <c r="Q62" s="211"/>
      <c r="R62" s="223">
        <f>+R61/R74</f>
        <v>0.1698335934539798</v>
      </c>
      <c r="S62" s="211"/>
      <c r="T62" s="223">
        <v>0.21510423736740408</v>
      </c>
      <c r="U62" s="211"/>
      <c r="V62" s="223">
        <v>0.23487037376383132</v>
      </c>
      <c r="W62" s="211"/>
      <c r="X62" s="223">
        <f>+X61/X74</f>
        <v>0.24763317925713524</v>
      </c>
      <c r="Y62" s="211"/>
      <c r="Z62" s="226">
        <f>+Z61/Z74</f>
        <v>0.2792069211144334</v>
      </c>
      <c r="AA62" s="174"/>
      <c r="AB62" s="226">
        <f>+AB61/AB74</f>
        <v>0.28153255406053723</v>
      </c>
      <c r="AC62" s="174"/>
      <c r="AD62" s="226">
        <f>+AD61/AD74</f>
        <v>0.28990503589965866</v>
      </c>
      <c r="AE62" s="174"/>
      <c r="AF62" s="223">
        <f>+AF61/AF74</f>
        <v>0.29960639437631015</v>
      </c>
      <c r="AG62" s="211"/>
      <c r="AH62" s="226">
        <f>+AH61/AH74</f>
        <v>0.33721017799101549</v>
      </c>
      <c r="AI62" s="90"/>
      <c r="AJ62" s="223">
        <f>+AJ61/AJ74</f>
        <v>0.3695775232852801</v>
      </c>
      <c r="AK62" s="40"/>
      <c r="AL62" s="226">
        <f>+AL61/AL74</f>
        <v>0.41182643341535397</v>
      </c>
      <c r="AM62" s="90"/>
      <c r="AN62" s="223">
        <f>+AN61/AN74</f>
        <v>0.43828167449623373</v>
      </c>
      <c r="AO62" s="40"/>
      <c r="AP62" s="464">
        <f>+AP61/AP74</f>
        <v>0.50749224073449528</v>
      </c>
      <c r="AQ62" s="463"/>
      <c r="AR62" s="565"/>
      <c r="AS62" s="109"/>
    </row>
    <row r="63" spans="1:45" s="187" customFormat="1" ht="12.75" customHeight="1" x14ac:dyDescent="0.25">
      <c r="A63" s="415" t="s">
        <v>95</v>
      </c>
      <c r="B63" s="223">
        <f>+B61/B77</f>
        <v>2.1357631544953026</v>
      </c>
      <c r="C63" s="211"/>
      <c r="D63" s="223">
        <f>+D61/D77</f>
        <v>2.0699969906877507</v>
      </c>
      <c r="E63" s="211"/>
      <c r="F63" s="223">
        <f>+F61/F77</f>
        <v>2.1427753076442468</v>
      </c>
      <c r="G63" s="211"/>
      <c r="H63" s="223">
        <f>+H61/H77</f>
        <v>1.9739929620085528</v>
      </c>
      <c r="I63" s="211"/>
      <c r="J63" s="223">
        <f>+J61/J77</f>
        <v>2.0227466948635637</v>
      </c>
      <c r="K63" s="211"/>
      <c r="L63" s="223">
        <f>+L61/L77</f>
        <v>1.8151602729217784</v>
      </c>
      <c r="M63" s="211"/>
      <c r="N63" s="223">
        <f>+N61/N77</f>
        <v>1.6087562915399463</v>
      </c>
      <c r="O63" s="211"/>
      <c r="P63" s="223">
        <f>+P61/P77</f>
        <v>1.2410903721702515</v>
      </c>
      <c r="Q63" s="211"/>
      <c r="R63" s="223">
        <f>+R61/R77</f>
        <v>1.1057528884068197</v>
      </c>
      <c r="S63" s="211"/>
      <c r="T63" s="223">
        <v>1.5668465406237178</v>
      </c>
      <c r="U63" s="211"/>
      <c r="V63" s="223">
        <v>1.6122010612043403</v>
      </c>
      <c r="W63" s="211"/>
      <c r="X63" s="223">
        <f>+X61/X77</f>
        <v>1.770656435135737</v>
      </c>
      <c r="Y63" s="211"/>
      <c r="Z63" s="226">
        <f>+Z61/Z77</f>
        <v>2.0278957640735933</v>
      </c>
      <c r="AA63" s="174"/>
      <c r="AB63" s="226">
        <f>+AB61/AB77</f>
        <v>2.0272172652108136</v>
      </c>
      <c r="AC63" s="174"/>
      <c r="AD63" s="226">
        <f>+AD61/AD77</f>
        <v>2.1376389825807203</v>
      </c>
      <c r="AE63" s="174"/>
      <c r="AF63" s="223">
        <f>+AF61/AF77</f>
        <v>2.1625282996618616</v>
      </c>
      <c r="AG63" s="211"/>
      <c r="AH63" s="226">
        <f>+AH61/AH77</f>
        <v>2.3699141403668014</v>
      </c>
      <c r="AI63" s="90"/>
      <c r="AJ63" s="223">
        <f>+AJ61/AJ77</f>
        <v>2.6784818642339272</v>
      </c>
      <c r="AK63" s="40"/>
      <c r="AL63" s="226">
        <f>+AL61/AL77</f>
        <v>3.0113850705714555</v>
      </c>
      <c r="AM63" s="90"/>
      <c r="AN63" s="223">
        <f>+AN61/AN77</f>
        <v>3.1548590326002652</v>
      </c>
      <c r="AO63" s="40"/>
      <c r="AP63" s="464">
        <f>+AP61/AP77</f>
        <v>3.9450918642655521</v>
      </c>
      <c r="AQ63" s="463"/>
      <c r="AR63" s="565"/>
      <c r="AS63" s="109"/>
    </row>
    <row r="64" spans="1:45" s="187" customFormat="1" ht="12.75" customHeight="1" x14ac:dyDescent="0.25">
      <c r="A64" s="415" t="s">
        <v>99</v>
      </c>
      <c r="B64" s="223">
        <f>+B61/B78</f>
        <v>2.1527078219201434</v>
      </c>
      <c r="C64" s="211"/>
      <c r="D64" s="223">
        <f>+D61/D78</f>
        <v>2.0965571634578368</v>
      </c>
      <c r="E64" s="211"/>
      <c r="F64" s="223">
        <f>+F61/F78</f>
        <v>2.1623623498596061</v>
      </c>
      <c r="G64" s="211"/>
      <c r="H64" s="223">
        <f>+H61/H78</f>
        <v>2.0174175334016495</v>
      </c>
      <c r="I64" s="211"/>
      <c r="J64" s="223">
        <f>+J61/J78</f>
        <v>2.0631478167262842</v>
      </c>
      <c r="K64" s="211"/>
      <c r="L64" s="223">
        <f>+L61/L78</f>
        <v>1.8494835770968012</v>
      </c>
      <c r="M64" s="211"/>
      <c r="N64" s="223">
        <f>+N61/N78</f>
        <v>1.6354526165319909</v>
      </c>
      <c r="O64" s="211"/>
      <c r="P64" s="223">
        <f>+P61/P78</f>
        <v>1.2636455699894868</v>
      </c>
      <c r="Q64" s="211"/>
      <c r="R64" s="223">
        <f>+R61/R78</f>
        <v>1.1225450768163558</v>
      </c>
      <c r="S64" s="211"/>
      <c r="T64" s="223">
        <v>1.5687073503081828</v>
      </c>
      <c r="U64" s="211"/>
      <c r="V64" s="223">
        <v>1.7739440993888675</v>
      </c>
      <c r="W64" s="211"/>
      <c r="X64" s="223">
        <f>+X61/X78</f>
        <v>1.8880491822775369</v>
      </c>
      <c r="Y64" s="211"/>
      <c r="Z64" s="226">
        <f>+Z61/Z78</f>
        <v>2.1518342326966446</v>
      </c>
      <c r="AA64" s="174"/>
      <c r="AB64" s="226">
        <f>+AB61/AB78</f>
        <v>2.1408023596079047</v>
      </c>
      <c r="AC64" s="174"/>
      <c r="AD64" s="226">
        <f>+AD61/AD78</f>
        <v>2.2660341710774787</v>
      </c>
      <c r="AE64" s="174"/>
      <c r="AF64" s="223">
        <f>+AF61/AF78</f>
        <v>2.3028903209596279</v>
      </c>
      <c r="AG64" s="211"/>
      <c r="AH64" s="226">
        <f>+AH61/AH78</f>
        <v>2.5059310057228252</v>
      </c>
      <c r="AI64" s="90"/>
      <c r="AJ64" s="223">
        <f>+AJ61/AJ78</f>
        <v>2.8445974365849342</v>
      </c>
      <c r="AK64" s="40"/>
      <c r="AL64" s="226">
        <f>+AL61/AL78</f>
        <v>3.1878971597363277</v>
      </c>
      <c r="AM64" s="90"/>
      <c r="AN64" s="223">
        <f>+AN61/AN78</f>
        <v>3.3911241536034646</v>
      </c>
      <c r="AO64" s="40"/>
      <c r="AP64" s="464">
        <f>+AP61/AP78</f>
        <v>4.2662180400652954</v>
      </c>
      <c r="AQ64" s="463"/>
      <c r="AR64" s="565"/>
      <c r="AS64" s="109"/>
    </row>
    <row r="65" spans="1:45" s="187" customFormat="1" ht="12.75" customHeight="1" x14ac:dyDescent="0.25">
      <c r="A65" s="415" t="s">
        <v>96</v>
      </c>
      <c r="B65" s="223">
        <f>+B61/B79</f>
        <v>1.7175665760722334</v>
      </c>
      <c r="C65" s="211"/>
      <c r="D65" s="223">
        <f>+D61/D79</f>
        <v>1.6941807971277607</v>
      </c>
      <c r="E65" s="211"/>
      <c r="F65" s="223">
        <f>+F61/F79</f>
        <v>1.622459626247585</v>
      </c>
      <c r="G65" s="211"/>
      <c r="H65" s="223">
        <f>+H61/H79</f>
        <v>1.602745820607923</v>
      </c>
      <c r="I65" s="211"/>
      <c r="J65" s="223">
        <f>+J61/J79</f>
        <v>1.684754776076945</v>
      </c>
      <c r="K65" s="211"/>
      <c r="L65" s="223">
        <f>+L61/L79</f>
        <v>1.5762373377486618</v>
      </c>
      <c r="M65" s="211"/>
      <c r="N65" s="223">
        <f>+N61/N79</f>
        <v>1.4975481838672255</v>
      </c>
      <c r="O65" s="211"/>
      <c r="P65" s="223">
        <f>+P61/P79</f>
        <v>1.2884278196754624</v>
      </c>
      <c r="Q65" s="211"/>
      <c r="R65" s="223">
        <f>+R61/R79</f>
        <v>1.1188395869375585</v>
      </c>
      <c r="S65" s="211"/>
      <c r="T65" s="223">
        <v>1.286610509436112</v>
      </c>
      <c r="U65" s="211"/>
      <c r="V65" s="223">
        <v>1.1867255237694003</v>
      </c>
      <c r="W65" s="211"/>
      <c r="X65" s="223">
        <f>+X61/X79</f>
        <v>1.3837173955504607</v>
      </c>
      <c r="Y65" s="211"/>
      <c r="Z65" s="226">
        <f>+Z61/Z79</f>
        <v>1.5511583909501163</v>
      </c>
      <c r="AA65" s="174"/>
      <c r="AB65" s="226">
        <f>+AB61/AB79</f>
        <v>1.4713075117876777</v>
      </c>
      <c r="AC65" s="174"/>
      <c r="AD65" s="226">
        <f>+AD61/AD79</f>
        <v>1.5238896374081614</v>
      </c>
      <c r="AE65" s="174"/>
      <c r="AF65" s="223">
        <f>+AF61/AF79</f>
        <v>1.5460248620197219</v>
      </c>
      <c r="AG65" s="211"/>
      <c r="AH65" s="226">
        <f>+AH61/AH79</f>
        <v>1.7432137410702864</v>
      </c>
      <c r="AI65" s="90"/>
      <c r="AJ65" s="223">
        <f>+AJ61/AJ79</f>
        <v>1.8763116762895593</v>
      </c>
      <c r="AK65" s="40"/>
      <c r="AL65" s="226">
        <f>+AL61/AL79</f>
        <v>2.1202943643928527</v>
      </c>
      <c r="AM65" s="90"/>
      <c r="AN65" s="223">
        <f>+AN61/AN79</f>
        <v>2.1040975612200641</v>
      </c>
      <c r="AO65" s="40"/>
      <c r="AP65" s="464">
        <f>+AP61/AP79</f>
        <v>2.4108904238370061</v>
      </c>
      <c r="AQ65" s="463"/>
      <c r="AR65" s="565"/>
      <c r="AS65" s="109"/>
    </row>
    <row r="66" spans="1:45" s="30" customFormat="1" x14ac:dyDescent="0.25">
      <c r="A66" s="415"/>
      <c r="B66" s="223"/>
      <c r="C66" s="211"/>
      <c r="D66" s="223"/>
      <c r="E66" s="211"/>
      <c r="F66" s="223"/>
      <c r="G66" s="211"/>
      <c r="H66" s="223"/>
      <c r="I66" s="211"/>
      <c r="J66" s="223"/>
      <c r="K66" s="211"/>
      <c r="L66" s="223"/>
      <c r="M66" s="211"/>
      <c r="N66" s="223"/>
      <c r="O66" s="211"/>
      <c r="P66" s="223"/>
      <c r="Q66" s="211"/>
      <c r="R66" s="223"/>
      <c r="S66" s="211"/>
      <c r="T66" s="223"/>
      <c r="U66" s="211"/>
      <c r="V66" s="223"/>
      <c r="W66" s="211"/>
      <c r="X66" s="223"/>
      <c r="Y66" s="211"/>
      <c r="Z66" s="226"/>
      <c r="AA66" s="174"/>
      <c r="AB66" s="226"/>
      <c r="AC66" s="174"/>
      <c r="AD66" s="226"/>
      <c r="AE66" s="174"/>
      <c r="AF66" s="223"/>
      <c r="AG66" s="211"/>
      <c r="AH66" s="91"/>
      <c r="AI66" s="456"/>
      <c r="AJ66" s="29"/>
      <c r="AK66" s="33"/>
      <c r="AL66" s="91"/>
      <c r="AM66" s="456"/>
      <c r="AN66" s="29"/>
      <c r="AO66" s="33"/>
      <c r="AP66" s="468"/>
      <c r="AQ66" s="478"/>
      <c r="AR66" s="565"/>
      <c r="AS66" s="109"/>
    </row>
    <row r="67" spans="1:45" s="30" customFormat="1" x14ac:dyDescent="0.25">
      <c r="A67" s="31" t="s">
        <v>101</v>
      </c>
      <c r="B67" s="74">
        <f>B7</f>
        <v>1565.7</v>
      </c>
      <c r="C67" s="211">
        <f>+B67/B54</f>
        <v>0.27716746023717076</v>
      </c>
      <c r="D67" s="74">
        <f>D7</f>
        <v>1721.52</v>
      </c>
      <c r="E67" s="211">
        <f>+D67/D54</f>
        <v>0.28254818928467457</v>
      </c>
      <c r="F67" s="74">
        <f>F7</f>
        <v>1951.1969999999999</v>
      </c>
      <c r="G67" s="211">
        <f>+F67/F54</f>
        <v>0.29912218823838282</v>
      </c>
      <c r="H67" s="74">
        <f>H7</f>
        <v>2181.66</v>
      </c>
      <c r="I67" s="211">
        <f>+H67/H54</f>
        <v>0.32714881209924085</v>
      </c>
      <c r="J67" s="74">
        <f>J7</f>
        <v>2401.2600000000002</v>
      </c>
      <c r="K67" s="211">
        <f>+J67/J54</f>
        <v>0.33003965561417481</v>
      </c>
      <c r="L67" s="74">
        <f>L7</f>
        <v>2367.39</v>
      </c>
      <c r="M67" s="211">
        <f>+L67/L54</f>
        <v>0.329434008468448</v>
      </c>
      <c r="N67" s="74">
        <f>N7</f>
        <v>2320.7600000000002</v>
      </c>
      <c r="O67" s="211">
        <f>+N67/N54</f>
        <v>0.31340061657079121</v>
      </c>
      <c r="P67" s="74">
        <f>P7</f>
        <v>2278.2399999999998</v>
      </c>
      <c r="Q67" s="211">
        <f>+P67/P54</f>
        <v>0.30249076195312552</v>
      </c>
      <c r="R67" s="74">
        <f>R7</f>
        <v>2049.6799999999998</v>
      </c>
      <c r="S67" s="211">
        <f>+R67/R54</f>
        <v>0.29142310952191075</v>
      </c>
      <c r="T67" s="74">
        <v>1726.9408438888204</v>
      </c>
      <c r="U67" s="211">
        <v>0.21185861056018906</v>
      </c>
      <c r="V67" s="74">
        <v>2226.8126564826039</v>
      </c>
      <c r="W67" s="211">
        <v>0.20521153640211456</v>
      </c>
      <c r="X67" s="74">
        <f>X7</f>
        <v>2006.624377519367</v>
      </c>
      <c r="Y67" s="211">
        <f>+X67/X54</f>
        <v>0.16066894800432488</v>
      </c>
      <c r="Z67" s="134">
        <v>2720.4926770353268</v>
      </c>
      <c r="AA67" s="174">
        <f>+Z67/Z54</f>
        <v>0.17279542006266799</v>
      </c>
      <c r="AB67" s="134">
        <f>+AB7</f>
        <v>3515.7053274994178</v>
      </c>
      <c r="AC67" s="174">
        <f>+AB67/AB54</f>
        <v>0.19770559186608203</v>
      </c>
      <c r="AD67" s="134">
        <f>+AD7</f>
        <v>4384.3006251307033</v>
      </c>
      <c r="AE67" s="174">
        <f>+AD67/AD54</f>
        <v>0.22651354969010776</v>
      </c>
      <c r="AF67" s="74">
        <f>+AF7</f>
        <v>5505.913277079997</v>
      </c>
      <c r="AG67" s="211">
        <f>+AF67/AF54</f>
        <v>0.24674409816086282</v>
      </c>
      <c r="AH67" s="89">
        <f>+AH7</f>
        <v>5795.7234671730375</v>
      </c>
      <c r="AI67" s="90">
        <f>+AH67/AH54</f>
        <v>0.22978597241350196</v>
      </c>
      <c r="AJ67" s="41">
        <f>+AJ7</f>
        <v>5914.0792951369785</v>
      </c>
      <c r="AK67" s="40">
        <f>+AJ67/AJ54</f>
        <v>0.2099965648109858</v>
      </c>
      <c r="AL67" s="89">
        <f>+AL7</f>
        <v>6142.5021635200001</v>
      </c>
      <c r="AM67" s="90">
        <f>+AL67/AL54</f>
        <v>0.20164386382344474</v>
      </c>
      <c r="AN67" s="41">
        <f>+AN7</f>
        <v>8083.132287547548</v>
      </c>
      <c r="AO67" s="40">
        <f>+AN67/AN54</f>
        <v>0.21849962033432016</v>
      </c>
      <c r="AP67" s="477">
        <f>+AP7</f>
        <v>9357.0269352098694</v>
      </c>
      <c r="AQ67" s="463">
        <f>+AP67/AP54</f>
        <v>0.2372689758182813</v>
      </c>
      <c r="AR67" s="566"/>
      <c r="AS67" s="109"/>
    </row>
    <row r="68" spans="1:45" s="187" customFormat="1" x14ac:dyDescent="0.25">
      <c r="A68" s="415" t="s">
        <v>71</v>
      </c>
      <c r="B68" s="223">
        <f>+B67/B74</f>
        <v>0.1077062606868063</v>
      </c>
      <c r="C68" s="35"/>
      <c r="D68" s="223">
        <f>+D67/D74</f>
        <v>0.1120378924108604</v>
      </c>
      <c r="E68" s="35"/>
      <c r="F68" s="223">
        <f>+F67/F74</f>
        <v>0.12398201402973691</v>
      </c>
      <c r="G68" s="35"/>
      <c r="H68" s="223">
        <f>+H67/H74</f>
        <v>0.13276151116152635</v>
      </c>
      <c r="I68" s="35"/>
      <c r="J68" s="223">
        <f>+J67/J74</f>
        <v>0.13542288159332116</v>
      </c>
      <c r="K68" s="35"/>
      <c r="L68" s="223">
        <f>+L67/L74</f>
        <v>0.12303131902475145</v>
      </c>
      <c r="M68" s="35"/>
      <c r="N68" s="223">
        <f>+N67/N74</f>
        <v>0.10355903808317707</v>
      </c>
      <c r="O68" s="35"/>
      <c r="P68" s="223">
        <f>+P67/P74</f>
        <v>8.155146272729788E-2</v>
      </c>
      <c r="Q68" s="35"/>
      <c r="R68" s="223">
        <f>+R67/R74</f>
        <v>6.984906588224285E-2</v>
      </c>
      <c r="S68" s="35"/>
      <c r="T68" s="223">
        <v>5.7821712531375143E-2</v>
      </c>
      <c r="U68" s="35"/>
      <c r="V68" s="223">
        <v>6.0642689801043752E-2</v>
      </c>
      <c r="W68" s="35"/>
      <c r="X68" s="223">
        <f>+X67/X74</f>
        <v>4.7403181745282706E-2</v>
      </c>
      <c r="Y68" s="35"/>
      <c r="Z68" s="226">
        <f>+Z67/Z74</f>
        <v>5.8323754955548902E-2</v>
      </c>
      <c r="AA68" s="92"/>
      <c r="AB68" s="226">
        <f>+AB67/AB74</f>
        <v>6.9376727128849014E-2</v>
      </c>
      <c r="AC68" s="92"/>
      <c r="AD68" s="226">
        <f>+AD67/AD74</f>
        <v>8.4897956167636277E-2</v>
      </c>
      <c r="AE68" s="92"/>
      <c r="AF68" s="223">
        <f>+AF67/AF74</f>
        <v>9.8142091423530406E-2</v>
      </c>
      <c r="AG68" s="35"/>
      <c r="AH68" s="226">
        <f>+AH67/AH74</f>
        <v>0.1006034243497254</v>
      </c>
      <c r="AI68" s="92"/>
      <c r="AJ68" s="223">
        <f>+AJ67/AJ74</f>
        <v>9.8240092212627111E-2</v>
      </c>
      <c r="AK68" s="35"/>
      <c r="AL68" s="226">
        <f>+AL67/AL74</f>
        <v>0.10401657793500806</v>
      </c>
      <c r="AM68" s="92"/>
      <c r="AN68" s="223">
        <f>+AN67/AN74</f>
        <v>0.12253913365708723</v>
      </c>
      <c r="AO68" s="35"/>
      <c r="AP68" s="464">
        <f>+AP67/AP74</f>
        <v>0.15786976060660471</v>
      </c>
      <c r="AQ68" s="472"/>
      <c r="AR68" s="565"/>
      <c r="AS68" s="109"/>
    </row>
    <row r="69" spans="1:45" s="187" customFormat="1" x14ac:dyDescent="0.25">
      <c r="A69" s="415" t="s">
        <v>98</v>
      </c>
      <c r="B69" s="223">
        <f>+B67/B76</f>
        <v>0.37458110515522358</v>
      </c>
      <c r="C69" s="35"/>
      <c r="D69" s="223">
        <f>+D67/D76</f>
        <v>0.41037222711361432</v>
      </c>
      <c r="E69" s="35"/>
      <c r="F69" s="223">
        <f>+F67/F76</f>
        <v>0.45707332050049504</v>
      </c>
      <c r="G69" s="35"/>
      <c r="H69" s="223">
        <f>+H67/H76</f>
        <v>0.47351707227058393</v>
      </c>
      <c r="I69" s="35"/>
      <c r="J69" s="223">
        <f>+J67/J76</f>
        <v>0.46895311764613773</v>
      </c>
      <c r="K69" s="35"/>
      <c r="L69" s="223">
        <f>+L67/L76</f>
        <v>0.42510547574971913</v>
      </c>
      <c r="M69" s="35"/>
      <c r="N69" s="223">
        <f>+N67/N76</f>
        <v>0.36774615659813242</v>
      </c>
      <c r="O69" s="35"/>
      <c r="P69" s="223">
        <f>+P67/P76</f>
        <v>0.33141847427056603</v>
      </c>
      <c r="Q69" s="35"/>
      <c r="R69" s="223">
        <f>+R67/R76</f>
        <v>0.2727895757101802</v>
      </c>
      <c r="S69" s="35"/>
      <c r="T69" s="223">
        <v>0.19520072836993563</v>
      </c>
      <c r="U69" s="35"/>
      <c r="V69" s="223">
        <v>0.23839635325481801</v>
      </c>
      <c r="W69" s="35"/>
      <c r="X69" s="223">
        <f>+X67/X76</f>
        <v>0.24172181030873782</v>
      </c>
      <c r="Y69" s="35"/>
      <c r="Z69" s="226">
        <f>+Z67/Z76</f>
        <v>0.24686866397779736</v>
      </c>
      <c r="AA69" s="92"/>
      <c r="AB69" s="226">
        <f>+AB67/AB76</f>
        <v>0.39652333635253262</v>
      </c>
      <c r="AC69" s="92"/>
      <c r="AD69" s="226">
        <f>+AD67/AD76</f>
        <v>0.46175624601861448</v>
      </c>
      <c r="AE69" s="92"/>
      <c r="AF69" s="223">
        <f>+AF67/AF76</f>
        <v>0.59223158814255406</v>
      </c>
      <c r="AG69" s="35"/>
      <c r="AH69" s="226">
        <f>+AH67/AH76</f>
        <v>0.56582285142761279</v>
      </c>
      <c r="AI69" s="92"/>
      <c r="AJ69" s="223">
        <f>+AJ67/AJ76</f>
        <v>0.5427254561014021</v>
      </c>
      <c r="AK69" s="35"/>
      <c r="AL69" s="226">
        <f>+AL67/AL76</f>
        <v>0.53627572581805483</v>
      </c>
      <c r="AM69" s="92"/>
      <c r="AN69" s="223">
        <f>+AN67/AN76</f>
        <v>0.69604170219129835</v>
      </c>
      <c r="AO69" s="35"/>
      <c r="AP69" s="464">
        <f>+AP67/AP76</f>
        <v>0.79923356269142598</v>
      </c>
      <c r="AQ69" s="472"/>
      <c r="AR69" s="389"/>
      <c r="AS69" s="109"/>
    </row>
    <row r="70" spans="1:45" s="187" customFormat="1" x14ac:dyDescent="0.25">
      <c r="A70" s="415" t="s">
        <v>102</v>
      </c>
      <c r="B70" s="223">
        <f>+B67/B77</f>
        <v>0.81895047142429722</v>
      </c>
      <c r="C70" s="35"/>
      <c r="D70" s="223">
        <f>+D67/D77</f>
        <v>0.81521001523490288</v>
      </c>
      <c r="E70" s="35"/>
      <c r="F70" s="223">
        <f>+F67/F77</f>
        <v>0.91449840210339239</v>
      </c>
      <c r="G70" s="35"/>
      <c r="H70" s="223">
        <f>+H67/H77</f>
        <v>0.95978050455431363</v>
      </c>
      <c r="I70" s="35"/>
      <c r="J70" s="223">
        <f>+J67/J77</f>
        <v>0.99645692190853408</v>
      </c>
      <c r="K70" s="35"/>
      <c r="L70" s="223">
        <f>+L67/L77</f>
        <v>0.8917474674722855</v>
      </c>
      <c r="M70" s="35"/>
      <c r="N70" s="223">
        <f>+N67/N77</f>
        <v>0.73432226397089717</v>
      </c>
      <c r="O70" s="35"/>
      <c r="P70" s="223">
        <f>+P67/P77</f>
        <v>0.53822709700833871</v>
      </c>
      <c r="Q70" s="35"/>
      <c r="R70" s="223">
        <f>+R67/R77</f>
        <v>0.45477343310607765</v>
      </c>
      <c r="S70" s="35"/>
      <c r="T70" s="223">
        <v>0.42118068598518921</v>
      </c>
      <c r="U70" s="35"/>
      <c r="V70" s="223">
        <v>0.41626454322347617</v>
      </c>
      <c r="W70" s="35"/>
      <c r="X70" s="223">
        <f>+X67/X77</f>
        <v>0.33894791099878535</v>
      </c>
      <c r="Y70" s="35"/>
      <c r="Z70" s="226">
        <f>+Z67/Z77</f>
        <v>0.42360875277425125</v>
      </c>
      <c r="AA70" s="92"/>
      <c r="AB70" s="226">
        <f>+AB67/AB77</f>
        <v>0.49955750058368148</v>
      </c>
      <c r="AC70" s="92"/>
      <c r="AD70" s="226">
        <f>+AD67/AD77</f>
        <v>0.62600216682052556</v>
      </c>
      <c r="AE70" s="92"/>
      <c r="AF70" s="223">
        <f>+AF67/AF77</f>
        <v>0.70837957425172893</v>
      </c>
      <c r="AG70" s="35"/>
      <c r="AH70" s="226">
        <f>+AH67/AH77</f>
        <v>0.70704116748839185</v>
      </c>
      <c r="AI70" s="92"/>
      <c r="AJ70" s="223">
        <f>+AJ67/AJ77</f>
        <v>0.71198676530194371</v>
      </c>
      <c r="AK70" s="35"/>
      <c r="AL70" s="226">
        <f>+AL67/AL77</f>
        <v>0.76059704882881707</v>
      </c>
      <c r="AM70" s="92"/>
      <c r="AN70" s="223">
        <f>+AN67/AN77</f>
        <v>0.88206675104412768</v>
      </c>
      <c r="AO70" s="35"/>
      <c r="AP70" s="464">
        <f>+AP67/AP77</f>
        <v>1.2272319814806834</v>
      </c>
      <c r="AQ70" s="472"/>
      <c r="AR70" s="389"/>
      <c r="AS70" s="109"/>
    </row>
    <row r="71" spans="1:45" s="187" customFormat="1" x14ac:dyDescent="0.25">
      <c r="A71" s="415" t="s">
        <v>99</v>
      </c>
      <c r="B71" s="223">
        <f>+B67/B78</f>
        <v>0.82544784139085625</v>
      </c>
      <c r="C71" s="35"/>
      <c r="D71" s="223">
        <f>+D67/D78</f>
        <v>0.82566999123774232</v>
      </c>
      <c r="E71" s="35"/>
      <c r="F71" s="223">
        <f>+F67/F78</f>
        <v>0.92285780345731694</v>
      </c>
      <c r="G71" s="35"/>
      <c r="H71" s="223">
        <f>+H67/H78</f>
        <v>0.98089408390533284</v>
      </c>
      <c r="I71" s="35"/>
      <c r="J71" s="223">
        <f>+J67/J78</f>
        <v>1.0163595511577657</v>
      </c>
      <c r="K71" s="35"/>
      <c r="L71" s="223">
        <f>+L67/L78</f>
        <v>0.90860973579644266</v>
      </c>
      <c r="M71" s="35"/>
      <c r="N71" s="223">
        <f>+N67/N78</f>
        <v>0.74650789203087864</v>
      </c>
      <c r="O71" s="35"/>
      <c r="P71" s="223">
        <f>+P67/P78</f>
        <v>0.54800867207886905</v>
      </c>
      <c r="Q71" s="35"/>
      <c r="R71" s="223">
        <f>+R67/R78</f>
        <v>0.46167971501809851</v>
      </c>
      <c r="S71" s="35"/>
      <c r="T71" s="223">
        <v>0.42168088627862627</v>
      </c>
      <c r="U71" s="35"/>
      <c r="V71" s="223">
        <v>0.45802601673296783</v>
      </c>
      <c r="W71" s="35"/>
      <c r="X71" s="223">
        <f>+X67/X78</f>
        <v>0.36141981781286553</v>
      </c>
      <c r="Y71" s="35"/>
      <c r="Z71" s="226">
        <f>+Z67/Z78</f>
        <v>0.44949835767618052</v>
      </c>
      <c r="AA71" s="92"/>
      <c r="AB71" s="226">
        <f>+AB67/AB78</f>
        <v>0.52754773470132144</v>
      </c>
      <c r="AC71" s="92"/>
      <c r="AD71" s="226">
        <f>+AD67/AD78</f>
        <v>0.66360237287181356</v>
      </c>
      <c r="AE71" s="92"/>
      <c r="AF71" s="223">
        <f>+AF67/AF78</f>
        <v>0.75435797319502629</v>
      </c>
      <c r="AG71" s="35"/>
      <c r="AH71" s="226">
        <f>+AH67/AH78</f>
        <v>0.74762049550765508</v>
      </c>
      <c r="AI71" s="92"/>
      <c r="AJ71" s="223">
        <f>+AJ67/AJ78</f>
        <v>0.75614315501052276</v>
      </c>
      <c r="AK71" s="35"/>
      <c r="AL71" s="226">
        <f>+AL67/AL78</f>
        <v>0.80517938252416665</v>
      </c>
      <c r="AM71" s="92"/>
      <c r="AN71" s="223">
        <f>+AN67/AN78</f>
        <v>0.94812409481602145</v>
      </c>
      <c r="AO71" s="35"/>
      <c r="AP71" s="464">
        <f>+AP67/AP78</f>
        <v>1.3271273265299934</v>
      </c>
      <c r="AQ71" s="472"/>
      <c r="AR71" s="389"/>
      <c r="AS71" s="109"/>
    </row>
    <row r="72" spans="1:45" s="187" customFormat="1" x14ac:dyDescent="0.25">
      <c r="A72" s="415" t="s">
        <v>96</v>
      </c>
      <c r="B72" s="223">
        <f>+B67/B79</f>
        <v>0.65859454229107273</v>
      </c>
      <c r="C72" s="35"/>
      <c r="D72" s="223">
        <f>+D67/D79</f>
        <v>0.66720539191621286</v>
      </c>
      <c r="E72" s="35"/>
      <c r="F72" s="223">
        <f>+F67/F79</f>
        <v>0.69243692065496776</v>
      </c>
      <c r="G72" s="35"/>
      <c r="H72" s="223">
        <f>+H67/H79</f>
        <v>0.77927541890026497</v>
      </c>
      <c r="I72" s="35"/>
      <c r="J72" s="223">
        <f>+J67/J79</f>
        <v>0.82995343045342118</v>
      </c>
      <c r="K72" s="35"/>
      <c r="L72" s="223">
        <f>+L67/L79</f>
        <v>0.77436999643568072</v>
      </c>
      <c r="M72" s="35"/>
      <c r="N72" s="223">
        <f>+N67/N79</f>
        <v>0.68356094615812768</v>
      </c>
      <c r="O72" s="35"/>
      <c r="P72" s="223">
        <f>+P67/P79</f>
        <v>0.55875605889687641</v>
      </c>
      <c r="Q72" s="35"/>
      <c r="R72" s="223">
        <f>+R67/R79</f>
        <v>0.46015572320113063</v>
      </c>
      <c r="S72" s="35"/>
      <c r="T72" s="223">
        <v>0.34585103448889254</v>
      </c>
      <c r="U72" s="35"/>
      <c r="V72" s="223">
        <v>0.30640828242259688</v>
      </c>
      <c r="W72" s="35"/>
      <c r="X72" s="223">
        <f>+X67/X79</f>
        <v>0.26487810471180129</v>
      </c>
      <c r="Y72" s="35"/>
      <c r="Z72" s="226">
        <f>+Z67/Z79</f>
        <v>0.32402270520342541</v>
      </c>
      <c r="AA72" s="92"/>
      <c r="AB72" s="226">
        <f>+AB67/AB79</f>
        <v>0.36256730632284434</v>
      </c>
      <c r="AC72" s="92"/>
      <c r="AD72" s="226">
        <f>+AD67/AD79</f>
        <v>0.44626722416016351</v>
      </c>
      <c r="AE72" s="92"/>
      <c r="AF72" s="223">
        <f>+AF67/AF79</f>
        <v>0.50643149211566962</v>
      </c>
      <c r="AG72" s="35"/>
      <c r="AH72" s="226">
        <f>+AH67/AH79</f>
        <v>0.52007111045692977</v>
      </c>
      <c r="AI72" s="92"/>
      <c r="AJ72" s="223">
        <f>+AJ67/AJ79</f>
        <v>0.49875606735972977</v>
      </c>
      <c r="AK72" s="35"/>
      <c r="AL72" s="226">
        <f>+AL67/AL79</f>
        <v>0.53553085985763493</v>
      </c>
      <c r="AM72" s="92"/>
      <c r="AN72" s="223">
        <f>+AN67/AN79</f>
        <v>0.58828444647669698</v>
      </c>
      <c r="AO72" s="35"/>
      <c r="AP72" s="464">
        <f>+AP67/AP79</f>
        <v>0.74997539570073135</v>
      </c>
      <c r="AQ72" s="472"/>
      <c r="AR72" s="389"/>
      <c r="AS72" s="109"/>
    </row>
    <row r="73" spans="1:45" s="30" customFormat="1" ht="12.75" customHeight="1" x14ac:dyDescent="0.25">
      <c r="A73" s="418"/>
      <c r="B73" s="32"/>
      <c r="C73" s="35"/>
      <c r="D73" s="32"/>
      <c r="E73" s="35"/>
      <c r="F73" s="32"/>
      <c r="G73" s="35"/>
      <c r="H73" s="32"/>
      <c r="I73" s="35"/>
      <c r="J73" s="32"/>
      <c r="K73" s="35"/>
      <c r="L73" s="32"/>
      <c r="M73" s="35"/>
      <c r="N73" s="32"/>
      <c r="O73" s="35"/>
      <c r="P73" s="32"/>
      <c r="Q73" s="35"/>
      <c r="R73" s="32"/>
      <c r="S73" s="35"/>
      <c r="T73" s="76"/>
      <c r="U73" s="35"/>
      <c r="V73" s="76"/>
      <c r="W73" s="35"/>
      <c r="X73" s="76"/>
      <c r="Y73" s="35"/>
      <c r="Z73" s="133"/>
      <c r="AA73" s="92"/>
      <c r="AB73" s="89"/>
      <c r="AC73" s="178"/>
      <c r="AD73" s="89"/>
      <c r="AE73" s="178"/>
      <c r="AF73" s="41"/>
      <c r="AG73" s="56"/>
      <c r="AH73" s="89"/>
      <c r="AI73" s="178"/>
      <c r="AJ73" s="41"/>
      <c r="AK73" s="56"/>
      <c r="AL73" s="89"/>
      <c r="AM73" s="178"/>
      <c r="AN73" s="41"/>
      <c r="AO73" s="56"/>
      <c r="AP73" s="477"/>
      <c r="AQ73" s="513"/>
      <c r="AR73" s="389"/>
      <c r="AS73" s="109"/>
    </row>
    <row r="74" spans="1:45" s="38" customFormat="1" ht="13.5" customHeight="1" x14ac:dyDescent="0.3">
      <c r="A74" s="394" t="s">
        <v>103</v>
      </c>
      <c r="B74" s="41">
        <f>+'Domestic Debt USD'!B71</f>
        <v>14536.759423417561</v>
      </c>
      <c r="C74" s="56"/>
      <c r="D74" s="41">
        <f>+'Domestic Debt USD'!D71</f>
        <v>15365.515746109522</v>
      </c>
      <c r="E74" s="56"/>
      <c r="F74" s="41">
        <f>+'Domestic Debt USD'!F71</f>
        <v>15737.742407798021</v>
      </c>
      <c r="G74" s="56"/>
      <c r="H74" s="41">
        <f>+'Domestic Debt USD'!H71</f>
        <v>16432.925332897496</v>
      </c>
      <c r="I74" s="56"/>
      <c r="J74" s="41">
        <f>+'Domestic Debt USD'!J71</f>
        <v>17731.567750943697</v>
      </c>
      <c r="K74" s="56"/>
      <c r="L74" s="41">
        <f>+'Domestic Debt USD'!L71</f>
        <v>19242.173608849371</v>
      </c>
      <c r="M74" s="56"/>
      <c r="N74" s="41">
        <f>+'Domestic Debt USD'!N71</f>
        <v>22410.018893145767</v>
      </c>
      <c r="O74" s="56"/>
      <c r="P74" s="41">
        <f>+'Domestic Debt USD'!P71</f>
        <v>27936.224854951623</v>
      </c>
      <c r="Q74" s="56"/>
      <c r="R74" s="41">
        <f>+'Domestic Debt USD'!R71</f>
        <v>29344.415334852361</v>
      </c>
      <c r="S74" s="56"/>
      <c r="T74" s="41">
        <f>+'Domestic Debt USD'!T71</f>
        <v>31357.672557900729</v>
      </c>
      <c r="U74" s="56"/>
      <c r="V74" s="41">
        <f>+'Domestic Debt USD'!V71</f>
        <v>38638.069449185561</v>
      </c>
      <c r="W74" s="56"/>
      <c r="X74" s="41">
        <f>+'Domestic Debt USD'!X71</f>
        <v>42331.006140090052</v>
      </c>
      <c r="Y74" s="56"/>
      <c r="Z74" s="89">
        <f>+'Domestic Debt USD'!Z71</f>
        <v>46644.676412016575</v>
      </c>
      <c r="AA74" s="178"/>
      <c r="AB74" s="89">
        <f>+'Domestic Debt USD'!AB71</f>
        <v>50675.571953256316</v>
      </c>
      <c r="AC74" s="178"/>
      <c r="AD74" s="89">
        <f>+'Domestic Debt USD'!AD71</f>
        <v>51642.004390230904</v>
      </c>
      <c r="AE74" s="178"/>
      <c r="AF74" s="41">
        <f>+'Domestic Debt USD'!AF71</f>
        <v>56101.44635413697</v>
      </c>
      <c r="AG74" s="56"/>
      <c r="AH74" s="89">
        <f>+'Domestic Debt USD'!AH71</f>
        <v>57609.604291654083</v>
      </c>
      <c r="AI74" s="178"/>
      <c r="AJ74" s="41">
        <f>+'Domestic Debt USD'!AJ71</f>
        <v>60200.262051228237</v>
      </c>
      <c r="AK74" s="56"/>
      <c r="AL74" s="89">
        <f>+'Domestic Debt USD'!AL71</f>
        <v>59053.107547510132</v>
      </c>
      <c r="AM74" s="178"/>
      <c r="AN74" s="41">
        <f>+'Domestic Debt USD'!AN71</f>
        <v>65963.680714173621</v>
      </c>
      <c r="AO74" s="56"/>
      <c r="AP74" s="477">
        <f>+'Domestic Debt USD'!AP71</f>
        <v>59270.546172085626</v>
      </c>
      <c r="AQ74" s="513"/>
      <c r="AR74" s="567"/>
      <c r="AS74" s="109"/>
    </row>
    <row r="75" spans="1:45" s="38" customFormat="1" ht="13.5" customHeight="1" x14ac:dyDescent="0.3">
      <c r="A75" s="394" t="s">
        <v>104</v>
      </c>
      <c r="B75" s="73">
        <f>+'Domestic Debt USD'!B72</f>
        <v>2.9000000000000001E-2</v>
      </c>
      <c r="C75" s="56"/>
      <c r="D75" s="73">
        <f>+'Domestic Debt USD'!D72</f>
        <v>5.6000000000000001E-2</v>
      </c>
      <c r="E75" s="56"/>
      <c r="F75" s="73">
        <f>+'Domestic Debt USD'!F72</f>
        <v>2.9000000000000001E-2</v>
      </c>
      <c r="G75" s="56"/>
      <c r="H75" s="73">
        <f>+'Domestic Debt USD'!H72</f>
        <v>5.6000000000000001E-2</v>
      </c>
      <c r="I75" s="56"/>
      <c r="J75" s="73">
        <f>+'Domestic Debt USD'!J72</f>
        <v>4.2999999999999997E-2</v>
      </c>
      <c r="K75" s="56"/>
      <c r="L75" s="73">
        <f>+'Domestic Debt USD'!L72</f>
        <v>5.8999999999999997E-2</v>
      </c>
      <c r="M75" s="56"/>
      <c r="N75" s="73">
        <f>+'Domestic Debt USD'!N72</f>
        <v>8.7999999999999995E-2</v>
      </c>
      <c r="O75" s="56"/>
      <c r="P75" s="73">
        <f>+'Domestic Debt USD'!P72</f>
        <v>6.8000000000000005E-2</v>
      </c>
      <c r="Q75" s="56"/>
      <c r="R75" s="73">
        <f>+'Domestic Debt USD'!R72</f>
        <v>2.9000000000000001E-2</v>
      </c>
      <c r="S75" s="56"/>
      <c r="T75" s="73">
        <f>+'Domestic Debt USD'!T72</f>
        <v>-1.2999999999999999E-2</v>
      </c>
      <c r="U75" s="56"/>
      <c r="V75" s="73">
        <f>+'Domestic Debt USD'!V72</f>
        <v>4.2000000000000003E-2</v>
      </c>
      <c r="W75" s="56"/>
      <c r="X75" s="73">
        <f>+'Domestic Debt USD'!X72</f>
        <v>4.4999999999999998E-2</v>
      </c>
      <c r="Y75" s="56"/>
      <c r="Z75" s="518">
        <f>+'Domestic Debt USD'!Z72</f>
        <v>4.8000000000000001E-2</v>
      </c>
      <c r="AA75" s="178"/>
      <c r="AB75" s="73">
        <f>+'Domestic Debt USD'!AB72</f>
        <v>3.4972883502778697E-2</v>
      </c>
      <c r="AC75" s="178"/>
      <c r="AD75" s="73">
        <f>+'Domestic Debt USD'!AD72</f>
        <v>3.4972883502778697E-2</v>
      </c>
      <c r="AE75" s="178"/>
      <c r="AF75" s="73">
        <f>+'Domestic Debt USD'!AF72</f>
        <v>3.5000000000000003E-2</v>
      </c>
      <c r="AG75" s="56"/>
      <c r="AH75" s="518">
        <f>+'Domestic Debt USD'!AH72</f>
        <v>4.2999999999999997E-2</v>
      </c>
      <c r="AI75" s="178"/>
      <c r="AJ75" s="73">
        <f>+'Domestic Debt USD'!AJ72</f>
        <v>3.2000000000000001E-2</v>
      </c>
      <c r="AK75" s="56"/>
      <c r="AL75" s="517">
        <f>+'Domestic Debt USD'!AL72</f>
        <v>2.7E-2</v>
      </c>
      <c r="AM75" s="178"/>
      <c r="AN75" s="53">
        <f>+'Domestic Debt USD'!AN72</f>
        <v>2.1000000000000001E-2</v>
      </c>
      <c r="AO75" s="56"/>
      <c r="AP75" s="510">
        <f>+'Domestic Debt USD'!AP72</f>
        <v>2.1000000000000001E-2</v>
      </c>
      <c r="AQ75" s="513"/>
      <c r="AR75" s="567"/>
      <c r="AS75" s="109"/>
    </row>
    <row r="76" spans="1:45" s="38" customFormat="1" ht="13.5" customHeight="1" x14ac:dyDescent="0.3">
      <c r="A76" s="394" t="s">
        <v>105</v>
      </c>
      <c r="B76" s="41">
        <f>+'Domestic Debt USD'!B73</f>
        <v>4179.8691350199997</v>
      </c>
      <c r="C76" s="56"/>
      <c r="D76" s="41">
        <f>+'Domestic Debt USD'!D73</f>
        <v>4195.0207305900003</v>
      </c>
      <c r="E76" s="56"/>
      <c r="F76" s="41">
        <f>+'Domestic Debt USD'!F73</f>
        <v>4268.8927847800005</v>
      </c>
      <c r="G76" s="56"/>
      <c r="H76" s="41">
        <f>+'Domestic Debt USD'!H73</f>
        <v>4607.3523590999994</v>
      </c>
      <c r="I76" s="56"/>
      <c r="J76" s="41">
        <f>+'Domestic Debt USD'!J73</f>
        <v>5120.4692103400002</v>
      </c>
      <c r="K76" s="56"/>
      <c r="L76" s="41">
        <f>+'Domestic Debt USD'!L73</f>
        <v>5568.9473202500003</v>
      </c>
      <c r="M76" s="56"/>
      <c r="N76" s="41">
        <f>+'Domestic Debt USD'!N73</f>
        <v>6310.7661585599999</v>
      </c>
      <c r="O76" s="56"/>
      <c r="P76" s="41">
        <f>+'Domestic Debt USD'!P73</f>
        <v>6874.2094266600006</v>
      </c>
      <c r="Q76" s="56"/>
      <c r="R76" s="41">
        <f>+'Domestic Debt USD'!R73</f>
        <v>7513.77685406</v>
      </c>
      <c r="S76" s="56"/>
      <c r="T76" s="41">
        <f>+'Domestic Debt USD'!T73</f>
        <v>6622.8784836100003</v>
      </c>
      <c r="U76" s="56"/>
      <c r="V76" s="41">
        <f>+'Domestic Debt USD'!V73</f>
        <v>7492.5460768499997</v>
      </c>
      <c r="W76" s="56"/>
      <c r="X76" s="41">
        <f>+'Domestic Debt USD'!X73</f>
        <v>8301.3790727300002</v>
      </c>
      <c r="Y76" s="56"/>
      <c r="Z76" s="89">
        <f>+'Domestic Debt USD'!Z73</f>
        <v>11020</v>
      </c>
      <c r="AA76" s="178"/>
      <c r="AB76" s="89">
        <f>+'Domestic Debt USD'!AB73</f>
        <v>8866.3264055</v>
      </c>
      <c r="AC76" s="178"/>
      <c r="AD76" s="89">
        <f>+'Domestic Debt USD'!AD73</f>
        <v>9494.8377264699993</v>
      </c>
      <c r="AE76" s="178"/>
      <c r="AF76" s="41">
        <f>+'Domestic Debt USD'!AF73</f>
        <v>9296.8922754499999</v>
      </c>
      <c r="AG76" s="56"/>
      <c r="AH76" s="89">
        <f>+'Domestic Debt USD'!AH73</f>
        <v>10243</v>
      </c>
      <c r="AI76" s="178"/>
      <c r="AJ76" s="41">
        <f>+'Domestic Debt USD'!AJ73</f>
        <v>10897</v>
      </c>
      <c r="AK76" s="56"/>
      <c r="AL76" s="89">
        <f>+'Domestic Debt USD'!AL73</f>
        <v>11454</v>
      </c>
      <c r="AM76" s="178"/>
      <c r="AN76" s="41">
        <f>+'Domestic Debt USD'!AN73</f>
        <v>11613</v>
      </c>
      <c r="AO76" s="56"/>
      <c r="AP76" s="477">
        <f>+'Domestic Debt USD'!AP73</f>
        <v>11707.5</v>
      </c>
      <c r="AQ76" s="513"/>
      <c r="AR76" s="567"/>
      <c r="AS76" s="109"/>
    </row>
    <row r="77" spans="1:45" s="38" customFormat="1" ht="13.5" customHeight="1" x14ac:dyDescent="0.3">
      <c r="A77" s="394" t="s">
        <v>106</v>
      </c>
      <c r="B77" s="41">
        <f>+'Domestic Debt USD'!B74</f>
        <v>1911.8372290292177</v>
      </c>
      <c r="C77" s="56"/>
      <c r="D77" s="41">
        <f>+'Domestic Debt USD'!D74</f>
        <v>2111.750307071416</v>
      </c>
      <c r="E77" s="56"/>
      <c r="F77" s="41">
        <f>+'Domestic Debt USD'!F74</f>
        <v>2133.6253792375674</v>
      </c>
      <c r="G77" s="56"/>
      <c r="H77" s="41">
        <f>+'Domestic Debt USD'!H74</f>
        <v>2273.0822199947493</v>
      </c>
      <c r="I77" s="56"/>
      <c r="J77" s="41">
        <f>+'Domestic Debt USD'!J74</f>
        <v>2409.7981028631107</v>
      </c>
      <c r="K77" s="56"/>
      <c r="L77" s="41">
        <f>+'Domestic Debt USD'!L74</f>
        <v>2654.7762526430452</v>
      </c>
      <c r="M77" s="56"/>
      <c r="N77" s="41">
        <f>+'Domestic Debt USD'!N74</f>
        <v>3160.4107812969391</v>
      </c>
      <c r="O77" s="56"/>
      <c r="P77" s="41">
        <f>+'Domestic Debt USD'!P74</f>
        <v>4232.8600931898145</v>
      </c>
      <c r="Q77" s="56"/>
      <c r="R77" s="41">
        <f>+'Domestic Debt USD'!R74</f>
        <v>4507.0354835831058</v>
      </c>
      <c r="S77" s="56"/>
      <c r="T77" s="41">
        <f>+'Domestic Debt USD'!T74</f>
        <v>4197.0079477820673</v>
      </c>
      <c r="U77" s="56"/>
      <c r="V77" s="41">
        <f>+'Domestic Debt USD'!V74</f>
        <v>5349.5130975877073</v>
      </c>
      <c r="W77" s="56"/>
      <c r="X77" s="41">
        <f>+'Domestic Debt USD'!X74</f>
        <v>5920.1556121304966</v>
      </c>
      <c r="Y77" s="56"/>
      <c r="Z77" s="89">
        <f>+'Domestic Debt USD'!Z74</f>
        <v>6422.18240113921</v>
      </c>
      <c r="AA77" s="178"/>
      <c r="AB77" s="89">
        <f>+'Domestic Debt USD'!AB74</f>
        <v>7037.6389572605322</v>
      </c>
      <c r="AC77" s="178"/>
      <c r="AD77" s="89">
        <f>+'Domestic Debt USD'!AD74</f>
        <v>7003.6508777575518</v>
      </c>
      <c r="AE77" s="178"/>
      <c r="AF77" s="41">
        <f>+'Domestic Debt USD'!AF74</f>
        <v>7772.5466363086043</v>
      </c>
      <c r="AG77" s="56"/>
      <c r="AH77" s="89">
        <f>+'Domestic Debt USD'!AH74</f>
        <v>8197.1513593205182</v>
      </c>
      <c r="AI77" s="178"/>
      <c r="AJ77" s="41">
        <f>+'Domestic Debt USD'!AJ74</f>
        <v>8306.4455455557509</v>
      </c>
      <c r="AK77" s="56"/>
      <c r="AL77" s="89">
        <f>+'Domestic Debt USD'!AL74</f>
        <v>8075.8953416639615</v>
      </c>
      <c r="AM77" s="178"/>
      <c r="AN77" s="41">
        <f>+'Domestic Debt USD'!AN74</f>
        <v>9163.8555449225496</v>
      </c>
      <c r="AO77" s="56"/>
      <c r="AP77" s="477">
        <f>+'Domestic Debt USD'!AP74</f>
        <v>7624.4973048375123</v>
      </c>
      <c r="AQ77" s="513"/>
      <c r="AR77" s="567"/>
      <c r="AS77" s="109"/>
    </row>
    <row r="78" spans="1:45" s="38" customFormat="1" ht="13.5" customHeight="1" x14ac:dyDescent="0.3">
      <c r="A78" s="394" t="s">
        <v>107</v>
      </c>
      <c r="B78" s="41">
        <f>+'Domestic Debt USD'!B75</f>
        <v>1896.7885328306629</v>
      </c>
      <c r="C78" s="56"/>
      <c r="D78" s="41">
        <f>+'Domestic Debt USD'!D75</f>
        <v>2084.9976604082585</v>
      </c>
      <c r="E78" s="56"/>
      <c r="F78" s="41">
        <f>+'Domestic Debt USD'!F75</f>
        <v>2114.2986413401927</v>
      </c>
      <c r="G78" s="56"/>
      <c r="H78" s="41">
        <f>+'Domestic Debt USD'!H75</f>
        <v>2224.1545094389153</v>
      </c>
      <c r="I78" s="56"/>
      <c r="J78" s="41">
        <f>+'Domestic Debt USD'!J75</f>
        <v>2362.6087807849622</v>
      </c>
      <c r="K78" s="56"/>
      <c r="L78" s="41">
        <f>+'Domestic Debt USD'!L75</f>
        <v>2605.508070992506</v>
      </c>
      <c r="M78" s="56"/>
      <c r="N78" s="41">
        <f>+'Domestic Debt USD'!N75</f>
        <v>3108.8217884560609</v>
      </c>
      <c r="O78" s="56"/>
      <c r="P78" s="41">
        <f>+'Domestic Debt USD'!P75</f>
        <v>4157.3064735590842</v>
      </c>
      <c r="Q78" s="56"/>
      <c r="R78" s="41">
        <f>+'Domestic Debt USD'!R75</f>
        <v>4439.6145928127889</v>
      </c>
      <c r="S78" s="56"/>
      <c r="T78" s="41">
        <f>+'Domestic Debt USD'!T75</f>
        <v>4121.4129899147838</v>
      </c>
      <c r="U78" s="56"/>
      <c r="V78" s="41">
        <f>+'Domestic Debt USD'!V75</f>
        <v>4981.1605650975607</v>
      </c>
      <c r="W78" s="56"/>
      <c r="X78" s="41">
        <f>+'Domestic Debt USD'!X75</f>
        <v>5552.0596232449789</v>
      </c>
      <c r="Y78" s="56"/>
      <c r="Z78" s="89">
        <f>+'Domestic Debt USD'!Z75</f>
        <v>6052.2861331457298</v>
      </c>
      <c r="AA78" s="178"/>
      <c r="AB78" s="89">
        <f>+'Domestic Debt USD'!AB75</f>
        <v>6664.2411600722426</v>
      </c>
      <c r="AC78" s="178"/>
      <c r="AD78" s="89">
        <f>+'Domestic Debt USD'!AD75</f>
        <v>6606.8187884216741</v>
      </c>
      <c r="AE78" s="178"/>
      <c r="AF78" s="41">
        <f>+'Domestic Debt USD'!AF75</f>
        <v>7298.8070289230409</v>
      </c>
      <c r="AG78" s="56"/>
      <c r="AH78" s="89">
        <f>+'Domestic Debt USD'!AH75</f>
        <v>7752.2265668192795</v>
      </c>
      <c r="AI78" s="178"/>
      <c r="AJ78" s="41">
        <f>+'Domestic Debt USD'!AJ75</f>
        <v>7821.375166789252</v>
      </c>
      <c r="AK78" s="56"/>
      <c r="AL78" s="89">
        <f>+'Domestic Debt USD'!AL75</f>
        <v>7628.7375171775948</v>
      </c>
      <c r="AM78" s="178"/>
      <c r="AN78" s="41">
        <f>+'Domestic Debt USD'!AN75</f>
        <v>8525.3948631228886</v>
      </c>
      <c r="AO78" s="56"/>
      <c r="AP78" s="477">
        <f>+'Domestic Debt USD'!AP75</f>
        <v>7050.5871954844406</v>
      </c>
      <c r="AQ78" s="513"/>
      <c r="AR78" s="567"/>
      <c r="AS78" s="109"/>
    </row>
    <row r="79" spans="1:45" s="38" customFormat="1" ht="13.5" customHeight="1" x14ac:dyDescent="0.3">
      <c r="A79" s="394" t="s">
        <v>108</v>
      </c>
      <c r="B79" s="41">
        <f>+'Domestic Debt USD'!B76</f>
        <v>2377.3352183474708</v>
      </c>
      <c r="C79" s="56"/>
      <c r="D79" s="41">
        <f>+'Domestic Debt USD'!D76</f>
        <v>2580.1949757267357</v>
      </c>
      <c r="E79" s="56"/>
      <c r="F79" s="41">
        <f>+'Domestic Debt USD'!F76</f>
        <v>2817.8696741854637</v>
      </c>
      <c r="G79" s="56"/>
      <c r="H79" s="41">
        <f>+'Domestic Debt USD'!H76</f>
        <v>2799.600689418407</v>
      </c>
      <c r="I79" s="56"/>
      <c r="J79" s="41">
        <f>+'Domestic Debt USD'!J76</f>
        <v>2893.2466713079803</v>
      </c>
      <c r="K79" s="56"/>
      <c r="L79" s="41">
        <f>+'Domestic Debt USD'!L76</f>
        <v>3057.1819813484158</v>
      </c>
      <c r="M79" s="56"/>
      <c r="N79" s="41">
        <f>+'Domestic Debt USD'!N76</f>
        <v>3395.1032648128207</v>
      </c>
      <c r="O79" s="56"/>
      <c r="P79" s="41">
        <f>+'Domestic Debt USD'!P76</f>
        <v>4077.3428112758415</v>
      </c>
      <c r="Q79" s="56"/>
      <c r="R79" s="41">
        <f>+'Domestic Debt USD'!R76</f>
        <v>4454.3181724246424</v>
      </c>
      <c r="S79" s="56"/>
      <c r="T79" s="41">
        <f>+'Domestic Debt USD'!T76</f>
        <v>5223.8137543718194</v>
      </c>
      <c r="U79" s="56"/>
      <c r="V79" s="41">
        <f>+'Domestic Debt USD'!V76</f>
        <v>7267.4688684881949</v>
      </c>
      <c r="W79" s="56"/>
      <c r="X79" s="41">
        <f>+'Domestic Debt USD'!X76</f>
        <v>7575.6521276179474</v>
      </c>
      <c r="Y79" s="56"/>
      <c r="Z79" s="89">
        <f>+'Domestic Debt USD'!Z76</f>
        <v>8395.9939638407996</v>
      </c>
      <c r="AA79" s="178"/>
      <c r="AB79" s="89">
        <f>+'Domestic Debt USD'!AB76</f>
        <v>9696.6970440762634</v>
      </c>
      <c r="AC79" s="178"/>
      <c r="AD79" s="89">
        <f>+'Domestic Debt USD'!AD76</f>
        <v>9824.3841083816533</v>
      </c>
      <c r="AE79" s="178"/>
      <c r="AF79" s="41">
        <f>+'Domestic Debt USD'!AF76</f>
        <v>10871.980441181646</v>
      </c>
      <c r="AG79" s="56"/>
      <c r="AH79" s="89">
        <f>+'Domestic Debt USD'!AH76</f>
        <v>11144.098087049995</v>
      </c>
      <c r="AI79" s="178"/>
      <c r="AJ79" s="41">
        <f>+'Domestic Debt USD'!AJ76</f>
        <v>11857.658848030465</v>
      </c>
      <c r="AK79" s="56"/>
      <c r="AL79" s="89">
        <f>+'Domestic Debt USD'!AL76</f>
        <v>11469.93128491777</v>
      </c>
      <c r="AM79" s="178"/>
      <c r="AN79" s="41">
        <f>+'Domestic Debt USD'!AN76</f>
        <v>13740.176773257146</v>
      </c>
      <c r="AO79" s="56"/>
      <c r="AP79" s="477">
        <f>+'Domestic Debt USD'!AP76</f>
        <v>12476.445212535584</v>
      </c>
      <c r="AQ79" s="513"/>
      <c r="AR79" s="567"/>
      <c r="AS79" s="109"/>
    </row>
    <row r="80" spans="1:45" s="38" customFormat="1" ht="13.8" thickBot="1" x14ac:dyDescent="0.3">
      <c r="A80" s="420"/>
      <c r="B80" s="51"/>
      <c r="C80" s="52"/>
      <c r="D80" s="51"/>
      <c r="E80" s="52"/>
      <c r="F80" s="51"/>
      <c r="G80" s="52"/>
      <c r="H80" s="51"/>
      <c r="I80" s="52"/>
      <c r="J80" s="51"/>
      <c r="K80" s="52"/>
      <c r="L80" s="51"/>
      <c r="M80" s="52"/>
      <c r="N80" s="51"/>
      <c r="O80" s="52"/>
      <c r="P80" s="51"/>
      <c r="Q80" s="52"/>
      <c r="R80" s="51"/>
      <c r="S80" s="52"/>
      <c r="T80" s="51"/>
      <c r="U80" s="52"/>
      <c r="V80" s="51"/>
      <c r="W80" s="52"/>
      <c r="X80" s="51"/>
      <c r="Y80" s="52"/>
      <c r="Z80" s="98"/>
      <c r="AA80" s="99"/>
      <c r="AB80" s="98"/>
      <c r="AC80" s="99"/>
      <c r="AD80" s="98"/>
      <c r="AE80" s="99"/>
      <c r="AF80" s="51"/>
      <c r="AG80" s="52"/>
      <c r="AH80" s="98"/>
      <c r="AI80" s="99"/>
      <c r="AJ80" s="51"/>
      <c r="AK80" s="52"/>
      <c r="AL80" s="98"/>
      <c r="AM80" s="99"/>
      <c r="AN80" s="51"/>
      <c r="AO80" s="52"/>
      <c r="AP80" s="480"/>
      <c r="AQ80" s="481"/>
      <c r="AR80" s="440"/>
    </row>
    <row r="81" spans="1:45" s="38" customFormat="1" x14ac:dyDescent="0.25">
      <c r="A81" s="104"/>
      <c r="B81" s="119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20"/>
      <c r="N81" s="119"/>
      <c r="O81" s="120"/>
      <c r="P81" s="119"/>
      <c r="Q81" s="120"/>
      <c r="R81" s="79"/>
      <c r="S81" s="80"/>
      <c r="T81" s="102"/>
      <c r="U81" s="30"/>
      <c r="V81" s="102"/>
      <c r="W81" s="30"/>
      <c r="Z81" s="11"/>
      <c r="AA81" s="11"/>
      <c r="AB81" s="11"/>
      <c r="AC81" s="11"/>
      <c r="AD81" s="11"/>
      <c r="AE81" s="11"/>
      <c r="AL81" s="11"/>
      <c r="AM81" s="11"/>
      <c r="AR81" s="7"/>
    </row>
    <row r="82" spans="1:45" s="38" customFormat="1" ht="13.5" customHeight="1" x14ac:dyDescent="0.25">
      <c r="A82" s="780" t="s">
        <v>109</v>
      </c>
      <c r="B82" s="780"/>
      <c r="C82" s="780"/>
      <c r="D82" s="780"/>
      <c r="E82" s="780"/>
      <c r="F82" s="780"/>
      <c r="G82" s="780"/>
      <c r="H82" s="780"/>
      <c r="I82" s="780"/>
      <c r="J82" s="780"/>
      <c r="K82" s="780"/>
      <c r="L82" s="780"/>
      <c r="M82" s="780"/>
      <c r="N82" s="780"/>
      <c r="O82" s="780"/>
      <c r="P82" s="780"/>
      <c r="Q82" s="780"/>
      <c r="R82" s="780"/>
      <c r="S82" s="780"/>
      <c r="T82" s="780"/>
      <c r="U82" s="780"/>
      <c r="V82" s="780"/>
      <c r="W82" s="780"/>
      <c r="X82" s="780"/>
      <c r="Y82" s="780"/>
      <c r="Z82" s="780"/>
      <c r="AA82" s="780"/>
      <c r="AB82" s="780"/>
      <c r="AC82" s="780"/>
      <c r="AD82" s="780"/>
      <c r="AE82" s="780"/>
      <c r="AF82" s="780"/>
      <c r="AG82" s="780"/>
      <c r="AH82" s="780"/>
      <c r="AI82" s="780"/>
      <c r="AJ82" s="780"/>
      <c r="AK82" s="780"/>
      <c r="AL82" s="780"/>
      <c r="AM82" s="780"/>
      <c r="AN82" s="780"/>
      <c r="AO82" s="780"/>
      <c r="AP82" s="679"/>
      <c r="AQ82" s="679"/>
      <c r="AR82" s="11"/>
    </row>
    <row r="83" spans="1:45" s="38" customFormat="1" ht="12.75" customHeight="1" x14ac:dyDescent="0.25">
      <c r="B83" s="163"/>
      <c r="C83" s="163"/>
      <c r="D83" s="104"/>
      <c r="E83" s="104"/>
      <c r="F83" s="163"/>
      <c r="G83" s="163"/>
      <c r="H83" s="104"/>
      <c r="I83" s="104"/>
      <c r="J83" s="104"/>
      <c r="K83" s="163"/>
      <c r="L83" s="163"/>
      <c r="M83" s="163"/>
      <c r="N83" s="163"/>
      <c r="O83" s="163"/>
      <c r="P83" s="163"/>
      <c r="Q83" s="163"/>
      <c r="R83" s="163"/>
      <c r="S83" s="163"/>
      <c r="T83" s="121"/>
      <c r="U83" s="163"/>
      <c r="V83" s="104"/>
      <c r="W83" s="104"/>
      <c r="X83" s="104"/>
      <c r="Y83" s="104"/>
      <c r="Z83" s="7"/>
      <c r="AA83" s="7"/>
      <c r="AB83" s="7"/>
      <c r="AC83" s="7"/>
      <c r="AD83" s="195"/>
      <c r="AE83" s="7"/>
      <c r="AL83" s="779" t="s">
        <v>110</v>
      </c>
      <c r="AM83" s="779"/>
      <c r="AN83" s="779" t="s">
        <v>110</v>
      </c>
      <c r="AO83" s="779"/>
      <c r="AP83" s="779" t="s">
        <v>110</v>
      </c>
      <c r="AQ83" s="779"/>
      <c r="AR83" s="15"/>
    </row>
    <row r="84" spans="1:45" s="38" customFormat="1" ht="13.5" customHeight="1" x14ac:dyDescent="0.3">
      <c r="A84" s="156"/>
      <c r="B84" s="104"/>
      <c r="C84" s="163"/>
      <c r="D84" s="104"/>
      <c r="E84" s="104"/>
      <c r="F84" s="104"/>
      <c r="G84" s="163"/>
      <c r="H84" s="104"/>
      <c r="I84" s="104"/>
      <c r="J84" s="104"/>
      <c r="K84" s="163"/>
      <c r="L84" s="104"/>
      <c r="M84" s="163"/>
      <c r="N84" s="104"/>
      <c r="O84" s="163"/>
      <c r="P84" s="104"/>
      <c r="Q84" s="163"/>
      <c r="R84" s="104"/>
      <c r="S84" s="104"/>
      <c r="T84" s="103"/>
      <c r="U84" s="104"/>
      <c r="V84" s="104"/>
      <c r="W84" s="104"/>
      <c r="X84" s="104"/>
      <c r="Y84" s="104"/>
      <c r="Z84" s="7"/>
      <c r="AA84" s="7"/>
      <c r="AB84" s="7"/>
      <c r="AC84" s="7"/>
      <c r="AD84" s="195"/>
      <c r="AE84" s="7"/>
      <c r="AL84" s="425" t="s">
        <v>111</v>
      </c>
      <c r="AM84" s="425" t="s">
        <v>112</v>
      </c>
      <c r="AN84" s="425" t="s">
        <v>111</v>
      </c>
      <c r="AO84" s="425" t="s">
        <v>112</v>
      </c>
      <c r="AP84" s="425" t="s">
        <v>111</v>
      </c>
      <c r="AQ84" s="425" t="s">
        <v>112</v>
      </c>
      <c r="AR84" s="745"/>
    </row>
    <row r="85" spans="1:45" s="38" customFormat="1" ht="18" customHeight="1" x14ac:dyDescent="0.3">
      <c r="A85" s="426" t="s">
        <v>113</v>
      </c>
      <c r="B85" s="427"/>
      <c r="C85" s="428"/>
      <c r="D85" s="427"/>
      <c r="E85" s="427"/>
      <c r="F85" s="427"/>
      <c r="G85" s="428"/>
      <c r="H85" s="427"/>
      <c r="I85" s="427"/>
      <c r="J85" s="427"/>
      <c r="K85" s="428"/>
      <c r="L85" s="427"/>
      <c r="M85" s="428"/>
      <c r="N85" s="427"/>
      <c r="O85" s="428"/>
      <c r="P85" s="427"/>
      <c r="Q85" s="428"/>
      <c r="R85" s="427"/>
      <c r="S85" s="427"/>
      <c r="T85" s="427"/>
      <c r="U85" s="427"/>
      <c r="V85" s="427"/>
      <c r="W85" s="427"/>
      <c r="X85" s="427"/>
      <c r="Y85" s="427"/>
      <c r="Z85" s="429"/>
      <c r="AA85" s="429"/>
      <c r="AB85" s="429"/>
      <c r="AC85" s="429"/>
      <c r="AD85" s="430"/>
      <c r="AE85" s="429"/>
      <c r="AF85" s="427"/>
      <c r="AG85" s="427"/>
      <c r="AH85" s="427"/>
      <c r="AI85" s="427"/>
      <c r="AJ85" s="427"/>
      <c r="AK85" s="427"/>
      <c r="AL85" s="431" t="str">
        <f>+'Domestic Debt Colones'!AL81</f>
        <v>B+</v>
      </c>
      <c r="AM85" s="431" t="str">
        <f>+'Domestic Debt Colones'!AM81</f>
        <v>Negativa</v>
      </c>
      <c r="AN85" s="431" t="str">
        <f>+'Domestic Debt Colones'!AN81</f>
        <v>B+</v>
      </c>
      <c r="AO85" s="431" t="str">
        <f>+'Domestic Debt Colones'!AO81</f>
        <v>Negativa</v>
      </c>
      <c r="AP85" s="431" t="str">
        <f>+'Domestic Debt Colones'!AP81</f>
        <v>B+</v>
      </c>
      <c r="AQ85" s="431" t="str">
        <f>+'Domestic Debt Colones'!AQ81</f>
        <v>Negativa</v>
      </c>
      <c r="AR85" s="425"/>
    </row>
    <row r="86" spans="1:45" s="38" customFormat="1" ht="18" customHeight="1" x14ac:dyDescent="0.3">
      <c r="A86" s="157" t="s">
        <v>116</v>
      </c>
      <c r="B86" s="104"/>
      <c r="C86" s="80"/>
      <c r="D86" s="104"/>
      <c r="E86" s="104"/>
      <c r="F86" s="104"/>
      <c r="G86" s="80"/>
      <c r="H86" s="104"/>
      <c r="I86" s="104"/>
      <c r="J86" s="104"/>
      <c r="K86" s="80"/>
      <c r="L86" s="104"/>
      <c r="M86" s="80"/>
      <c r="N86" s="104"/>
      <c r="O86" s="80"/>
      <c r="P86" s="104"/>
      <c r="Q86" s="80"/>
      <c r="R86" s="104"/>
      <c r="S86" s="104"/>
      <c r="T86" s="104"/>
      <c r="U86" s="104"/>
      <c r="V86" s="104"/>
      <c r="W86" s="104"/>
      <c r="X86" s="104"/>
      <c r="Y86" s="104"/>
      <c r="Z86" s="106"/>
      <c r="AA86" s="7"/>
      <c r="AB86" s="106"/>
      <c r="AC86" s="7"/>
      <c r="AD86" s="126"/>
      <c r="AE86" s="7"/>
      <c r="AF86" s="104"/>
      <c r="AG86" s="104"/>
      <c r="AH86" s="104"/>
      <c r="AI86" s="104"/>
      <c r="AJ86" s="104"/>
      <c r="AK86" s="104"/>
      <c r="AL86" s="745" t="str">
        <f>+'Domestic Debt Colones'!AL82</f>
        <v>B1</v>
      </c>
      <c r="AM86" s="745" t="str">
        <f>+'Domestic Debt Colones'!AM82</f>
        <v>Negativa</v>
      </c>
      <c r="AN86" s="745" t="str">
        <f>+'Domestic Debt Colones'!AN82</f>
        <v>B1</v>
      </c>
      <c r="AO86" s="745" t="str">
        <f>+'Domestic Debt Colones'!AO82</f>
        <v>Negativa</v>
      </c>
      <c r="AP86" s="745" t="str">
        <f>+'Domestic Debt Colones'!AP82</f>
        <v>B1</v>
      </c>
      <c r="AQ86" s="745" t="str">
        <f>+'Domestic Debt Colones'!AQ82</f>
        <v>Negativa</v>
      </c>
      <c r="AR86" s="745"/>
      <c r="AS86" s="116"/>
    </row>
    <row r="87" spans="1:45" s="61" customFormat="1" ht="20.25" customHeight="1" x14ac:dyDescent="0.3">
      <c r="A87" s="432" t="s">
        <v>118</v>
      </c>
      <c r="B87" s="433"/>
      <c r="C87" s="433"/>
      <c r="D87" s="433"/>
      <c r="E87" s="433"/>
      <c r="F87" s="433"/>
      <c r="G87" s="433"/>
      <c r="H87" s="433"/>
      <c r="I87" s="433"/>
      <c r="J87" s="433"/>
      <c r="K87" s="433"/>
      <c r="L87" s="433"/>
      <c r="M87" s="433"/>
      <c r="N87" s="433"/>
      <c r="O87" s="433"/>
      <c r="P87" s="433"/>
      <c r="Q87" s="433"/>
      <c r="R87" s="433"/>
      <c r="S87" s="433"/>
      <c r="T87" s="433"/>
      <c r="U87" s="433"/>
      <c r="V87" s="433"/>
      <c r="W87" s="433"/>
      <c r="X87" s="433"/>
      <c r="Y87" s="433"/>
      <c r="Z87" s="434"/>
      <c r="AA87" s="434"/>
      <c r="AB87" s="434"/>
      <c r="AC87" s="434"/>
      <c r="AD87" s="434"/>
      <c r="AE87" s="434"/>
      <c r="AF87" s="433"/>
      <c r="AG87" s="433"/>
      <c r="AH87" s="433"/>
      <c r="AI87" s="433"/>
      <c r="AJ87" s="433"/>
      <c r="AK87" s="433"/>
      <c r="AL87" s="435" t="str">
        <f>+'Domestic Debt Colones'!AL83</f>
        <v>B+</v>
      </c>
      <c r="AM87" s="435" t="str">
        <f>+'Domestic Debt Colones'!AM83</f>
        <v>Negativa</v>
      </c>
      <c r="AN87" s="435" t="str">
        <f>+'Domestic Debt Colones'!AN83</f>
        <v>B+</v>
      </c>
      <c r="AO87" s="435" t="str">
        <f>+'Domestic Debt Colones'!AO83</f>
        <v>Negativa</v>
      </c>
      <c r="AP87" s="435" t="str">
        <f>+'Domestic Debt Colones'!AP83</f>
        <v>B+</v>
      </c>
      <c r="AQ87" s="435" t="str">
        <f>+'Domestic Debt Colones'!AQ83</f>
        <v>Negativa</v>
      </c>
      <c r="AR87" s="745"/>
    </row>
    <row r="88" spans="1:45" s="61" customFormat="1" ht="12" customHeight="1" x14ac:dyDescent="0.25">
      <c r="A88" s="196"/>
      <c r="B88" s="102"/>
      <c r="C88" s="102"/>
      <c r="D88" s="30"/>
      <c r="E88" s="30"/>
      <c r="F88" s="102"/>
      <c r="G88" s="102"/>
      <c r="H88" s="30"/>
      <c r="I88" s="30"/>
      <c r="J88" s="30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30"/>
      <c r="W88" s="30"/>
      <c r="X88" s="30"/>
      <c r="Y88" s="30"/>
      <c r="Z88" s="12"/>
      <c r="AA88" s="12"/>
      <c r="AB88" s="12"/>
      <c r="AC88" s="12"/>
      <c r="AD88" s="12"/>
      <c r="AE88" s="12"/>
      <c r="AF88" s="102"/>
      <c r="AG88" s="102"/>
      <c r="AH88" s="102"/>
      <c r="AI88" s="102"/>
      <c r="AJ88" s="102"/>
      <c r="AK88" s="102"/>
      <c r="AL88" s="12"/>
      <c r="AM88" s="12"/>
      <c r="AN88" s="102"/>
      <c r="AO88" s="102"/>
      <c r="AP88" s="102"/>
      <c r="AQ88" s="102"/>
      <c r="AR88" s="745"/>
    </row>
    <row r="89" spans="1:45" s="2" customFormat="1" ht="12" customHeight="1" x14ac:dyDescent="0.25">
      <c r="A89" s="159" t="s">
        <v>119</v>
      </c>
      <c r="B89" s="78"/>
      <c r="C89" s="82"/>
      <c r="D89" s="61"/>
      <c r="E89" s="61"/>
      <c r="F89" s="158"/>
      <c r="G89" s="82"/>
      <c r="H89" s="61"/>
      <c r="I89" s="61"/>
      <c r="J89" s="61"/>
      <c r="K89" s="82"/>
      <c r="L89" s="82"/>
      <c r="M89" s="82"/>
      <c r="N89" s="82"/>
      <c r="O89" s="82"/>
      <c r="P89" s="82"/>
      <c r="Q89" s="82"/>
      <c r="R89" s="82"/>
      <c r="S89" s="82"/>
      <c r="T89" s="82"/>
      <c r="U89" s="82"/>
      <c r="V89" s="61"/>
      <c r="W89" s="61"/>
      <c r="X89" s="61"/>
      <c r="Y89" s="61"/>
      <c r="Z89" s="586"/>
      <c r="AA89" s="21"/>
      <c r="AB89" s="21"/>
      <c r="AC89" s="21"/>
      <c r="AD89" s="21"/>
      <c r="AE89" s="21"/>
      <c r="AF89" s="61"/>
      <c r="AG89" s="61"/>
      <c r="AH89" s="61"/>
      <c r="AI89" s="61"/>
      <c r="AJ89" s="61"/>
      <c r="AK89" s="61"/>
      <c r="AL89" s="586"/>
      <c r="AM89" s="21"/>
      <c r="AN89" s="159"/>
      <c r="AO89" s="82"/>
      <c r="AP89" s="159"/>
      <c r="AQ89" s="82"/>
      <c r="AR89" s="12"/>
    </row>
    <row r="90" spans="1:45" s="2" customFormat="1" ht="12" customHeight="1" x14ac:dyDescent="0.2">
      <c r="A90" s="159" t="s">
        <v>120</v>
      </c>
      <c r="B90" s="82"/>
      <c r="C90" s="82"/>
      <c r="D90" s="61"/>
      <c r="E90" s="61"/>
      <c r="F90" s="158"/>
      <c r="G90" s="82"/>
      <c r="H90" s="61"/>
      <c r="I90" s="61"/>
      <c r="J90" s="61"/>
      <c r="K90" s="82"/>
      <c r="L90" s="160"/>
      <c r="M90" s="82"/>
      <c r="N90" s="160"/>
      <c r="O90" s="82"/>
      <c r="P90" s="160"/>
      <c r="Q90" s="82"/>
      <c r="R90" s="82"/>
      <c r="S90" s="82"/>
      <c r="T90" s="82"/>
      <c r="U90" s="82"/>
      <c r="V90" s="61"/>
      <c r="W90" s="61"/>
      <c r="X90" s="61"/>
      <c r="Y90" s="61"/>
      <c r="Z90" s="21"/>
      <c r="AA90" s="21"/>
      <c r="AB90" s="21"/>
      <c r="AC90" s="21"/>
      <c r="AD90" s="21"/>
      <c r="AE90" s="21"/>
      <c r="AF90" s="61"/>
      <c r="AG90" s="61"/>
      <c r="AH90" s="61"/>
      <c r="AI90" s="61"/>
      <c r="AJ90" s="61"/>
      <c r="AK90" s="61"/>
      <c r="AL90" s="21"/>
      <c r="AM90" s="21"/>
      <c r="AN90" s="82"/>
      <c r="AO90" s="82"/>
      <c r="AP90" s="82"/>
      <c r="AQ90" s="82"/>
      <c r="AR90" s="21"/>
    </row>
    <row r="91" spans="1:45" x14ac:dyDescent="0.25">
      <c r="A91" s="63" t="s">
        <v>121</v>
      </c>
      <c r="B91" s="61"/>
      <c r="C91" s="61"/>
      <c r="D91" s="61"/>
      <c r="E91" s="61"/>
      <c r="F91" s="122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2"/>
      <c r="AA91" s="62"/>
      <c r="AB91" s="62"/>
      <c r="AC91" s="62"/>
      <c r="AD91" s="62"/>
      <c r="AE91" s="62"/>
      <c r="AF91" s="61"/>
      <c r="AG91" s="61"/>
      <c r="AH91" s="61"/>
      <c r="AI91" s="61"/>
      <c r="AJ91" s="61"/>
      <c r="AK91" s="61"/>
      <c r="AL91" s="62"/>
      <c r="AM91" s="62"/>
      <c r="AN91" s="61"/>
      <c r="AO91" s="61"/>
      <c r="AP91" s="61"/>
      <c r="AQ91" s="61"/>
      <c r="AR91" s="21"/>
    </row>
    <row r="92" spans="1:45" ht="13.8" thickBot="1" x14ac:dyDescent="0.3">
      <c r="A92" s="438"/>
      <c r="P92" s="4"/>
      <c r="Q92" s="4"/>
      <c r="R92" s="4"/>
      <c r="S92" s="12"/>
      <c r="T92" s="14"/>
      <c r="V92" s="63"/>
      <c r="W92" s="4"/>
      <c r="X92" s="4"/>
      <c r="Y92" s="438"/>
      <c r="Z92" s="585"/>
      <c r="AA92" s="585"/>
      <c r="AB92" s="585"/>
      <c r="AC92" s="585"/>
      <c r="AD92" s="585"/>
      <c r="AE92" s="585"/>
      <c r="AN92" s="438"/>
      <c r="AO92" s="438"/>
      <c r="AR92" s="62"/>
    </row>
    <row r="93" spans="1:45" s="3" customFormat="1" ht="13.8" thickBot="1" x14ac:dyDescent="0.3">
      <c r="A93" s="67" t="s">
        <v>122</v>
      </c>
      <c r="B93" s="173">
        <v>318.3</v>
      </c>
      <c r="C93" s="8"/>
      <c r="D93" s="173">
        <v>341.94</v>
      </c>
      <c r="E93" s="8"/>
      <c r="F93" s="173">
        <v>379.05</v>
      </c>
      <c r="G93" s="8"/>
      <c r="H93" s="173">
        <v>419.01</v>
      </c>
      <c r="I93" s="8"/>
      <c r="J93" s="173">
        <v>459.64</v>
      </c>
      <c r="K93" s="8"/>
      <c r="L93" s="173">
        <v>497.71</v>
      </c>
      <c r="M93" s="8"/>
      <c r="N93" s="173">
        <v>518.22</v>
      </c>
      <c r="O93" s="8"/>
      <c r="P93" s="173">
        <v>497.17</v>
      </c>
      <c r="Q93" s="8"/>
      <c r="R93" s="173">
        <v>552.37</v>
      </c>
      <c r="S93" s="8"/>
      <c r="T93" s="173">
        <v>562.1</v>
      </c>
      <c r="U93" s="8"/>
      <c r="V93" s="173">
        <f>+'Domestic Debt Colones'!V89</f>
        <v>512.5</v>
      </c>
      <c r="W93" s="8"/>
      <c r="X93" s="173">
        <f>+'Domestic Debt Colones'!X89</f>
        <v>510.82</v>
      </c>
      <c r="Y93" s="8"/>
      <c r="Z93" s="173">
        <f>+'Domestic Debt Colones'!Z89</f>
        <v>509.23</v>
      </c>
      <c r="AA93" s="8"/>
      <c r="AB93" s="173">
        <f>+'Domestic Debt Colones'!AB89</f>
        <v>502.47</v>
      </c>
      <c r="AC93" s="8"/>
      <c r="AD93" s="173">
        <f>+'Domestic Debt Colones'!AD89</f>
        <v>542.22</v>
      </c>
      <c r="AE93" s="8"/>
      <c r="AF93" s="173">
        <f>+'Domestic Debt Colones'!AF89</f>
        <v>537.80999999999995</v>
      </c>
      <c r="AG93" s="8"/>
      <c r="AH93" s="173">
        <f>+'Domestic Debt Colones'!AH89</f>
        <v>556.44000000000005</v>
      </c>
      <c r="AI93" s="8"/>
      <c r="AJ93" s="173">
        <f>+'Domestic Debt Colones'!AJ89</f>
        <v>570.49</v>
      </c>
      <c r="AK93" s="8"/>
      <c r="AL93" s="173">
        <f>+'Domestic Debt Colones'!AL89</f>
        <v>609.87</v>
      </c>
      <c r="AM93" s="67"/>
      <c r="AN93" s="689">
        <f>+'Domestic Debt Colones'!AN89</f>
        <v>573.53</v>
      </c>
      <c r="AO93" s="143"/>
      <c r="AP93" s="441">
        <f>+'Domestic Debt Colones'!AP89</f>
        <v>615.74</v>
      </c>
      <c r="AQ93" s="143"/>
      <c r="AR93" s="585"/>
    </row>
    <row r="94" spans="1:45" s="3" customFormat="1" x14ac:dyDescent="0.25">
      <c r="A94" s="67"/>
      <c r="D94" s="8"/>
      <c r="E94" s="8"/>
      <c r="H94" s="8"/>
      <c r="I94" s="8"/>
      <c r="J94" s="8"/>
      <c r="K94" s="8"/>
      <c r="Q94" s="8"/>
      <c r="R94" s="8"/>
      <c r="S94" s="81"/>
      <c r="T94" s="81"/>
      <c r="U94" s="81"/>
      <c r="V94" s="81"/>
      <c r="W94" s="81"/>
      <c r="X94" s="143"/>
      <c r="Y94" s="143"/>
      <c r="Z94" s="67"/>
      <c r="AA94" s="67"/>
      <c r="AB94" s="67"/>
      <c r="AC94" s="67"/>
      <c r="AD94" s="67"/>
      <c r="AE94" s="67"/>
      <c r="AF94" s="213"/>
      <c r="AG94" s="213"/>
      <c r="AH94" s="213"/>
      <c r="AI94" s="213"/>
      <c r="AJ94" s="213"/>
      <c r="AK94" s="213"/>
      <c r="AL94" s="67"/>
      <c r="AM94" s="67"/>
      <c r="AN94" s="143"/>
      <c r="AO94" s="143"/>
      <c r="AP94" s="143"/>
      <c r="AQ94" s="143"/>
      <c r="AR94" s="67"/>
    </row>
    <row r="95" spans="1:45" x14ac:dyDescent="0.25">
      <c r="A95" s="65"/>
      <c r="B95" s="136"/>
      <c r="D95" s="4"/>
      <c r="E95" s="4"/>
      <c r="F95" s="136"/>
      <c r="H95" s="4"/>
      <c r="I95" s="4"/>
      <c r="P95" s="4"/>
      <c r="Q95" s="4"/>
      <c r="X95" s="438"/>
      <c r="Y95" s="438"/>
      <c r="Z95" s="585"/>
      <c r="AA95" s="585"/>
      <c r="AB95" s="585"/>
      <c r="AC95" s="585"/>
      <c r="AD95" s="585"/>
      <c r="AE95" s="585"/>
      <c r="AN95" s="438"/>
      <c r="AO95" s="438"/>
      <c r="AR95" s="67"/>
    </row>
    <row r="96" spans="1:45" x14ac:dyDescent="0.25">
      <c r="A96" s="60">
        <f>+'Domestic Debt Colones'!A93</f>
        <v>0</v>
      </c>
      <c r="B96" s="14"/>
      <c r="D96" s="4"/>
      <c r="E96" s="4"/>
      <c r="F96" s="14"/>
      <c r="H96" s="4"/>
      <c r="I96" s="4"/>
      <c r="P96" s="4"/>
      <c r="Q96" s="4"/>
      <c r="X96" s="438"/>
      <c r="Y96" s="438"/>
      <c r="Z96" s="585"/>
      <c r="AA96" s="585"/>
      <c r="AB96" s="585"/>
      <c r="AC96" s="585"/>
      <c r="AD96" s="585"/>
      <c r="AE96" s="585"/>
      <c r="AN96" s="438"/>
      <c r="AO96" s="438"/>
      <c r="AR96" s="585"/>
    </row>
    <row r="97" spans="1:17" x14ac:dyDescent="0.25">
      <c r="A97" s="62"/>
      <c r="B97" s="106"/>
      <c r="D97" s="4"/>
      <c r="E97" s="4"/>
      <c r="F97" s="106"/>
      <c r="H97" s="4"/>
      <c r="I97" s="4"/>
      <c r="P97" s="4"/>
      <c r="Q97" s="4"/>
    </row>
    <row r="98" spans="1:17" x14ac:dyDescent="0.25">
      <c r="A98" s="62"/>
      <c r="B98" s="106"/>
      <c r="D98" s="4"/>
      <c r="E98" s="4"/>
      <c r="F98" s="106"/>
      <c r="H98" s="4"/>
      <c r="I98" s="4"/>
      <c r="P98" s="4"/>
      <c r="Q98" s="4"/>
    </row>
    <row r="99" spans="1:17" x14ac:dyDescent="0.25">
      <c r="A99" s="61"/>
      <c r="B99" s="106"/>
      <c r="D99" s="4"/>
      <c r="E99" s="4"/>
      <c r="F99" s="106"/>
      <c r="H99" s="4"/>
      <c r="I99" s="4"/>
      <c r="P99" s="4"/>
      <c r="Q99" s="4"/>
    </row>
    <row r="100" spans="1:17" x14ac:dyDescent="0.25">
      <c r="A100" s="62"/>
      <c r="D100" s="4"/>
      <c r="E100" s="4"/>
      <c r="H100" s="4"/>
      <c r="I100" s="4"/>
      <c r="P100" s="4"/>
      <c r="Q100" s="4"/>
    </row>
    <row r="101" spans="1:17" x14ac:dyDescent="0.25">
      <c r="A101" s="585"/>
      <c r="D101" s="4"/>
      <c r="E101" s="4"/>
      <c r="H101" s="4"/>
      <c r="I101" s="4"/>
      <c r="P101" s="4"/>
      <c r="Q101" s="4"/>
    </row>
    <row r="102" spans="1:17" x14ac:dyDescent="0.25">
      <c r="A102" s="585"/>
      <c r="D102" s="4"/>
      <c r="E102" s="4"/>
      <c r="H102" s="4"/>
      <c r="I102" s="4"/>
    </row>
    <row r="103" spans="1:17" x14ac:dyDescent="0.25">
      <c r="A103" s="585"/>
      <c r="D103" s="4"/>
      <c r="E103" s="4"/>
      <c r="H103" s="4"/>
      <c r="I103" s="4"/>
    </row>
    <row r="104" spans="1:17" x14ac:dyDescent="0.25">
      <c r="A104" s="585"/>
      <c r="D104" s="4"/>
      <c r="E104" s="4"/>
      <c r="H104" s="4"/>
      <c r="I104" s="4"/>
    </row>
    <row r="105" spans="1:17" x14ac:dyDescent="0.25">
      <c r="A105" s="585"/>
      <c r="D105" s="4"/>
      <c r="E105" s="4"/>
      <c r="H105" s="4"/>
      <c r="I105" s="4"/>
    </row>
    <row r="106" spans="1:17" x14ac:dyDescent="0.25">
      <c r="A106" s="585"/>
      <c r="D106" s="4"/>
      <c r="E106" s="4"/>
      <c r="H106" s="4"/>
      <c r="I106" s="4"/>
    </row>
    <row r="107" spans="1:17" x14ac:dyDescent="0.25">
      <c r="A107" s="585"/>
      <c r="D107" s="4"/>
      <c r="E107" s="4"/>
      <c r="H107" s="4"/>
      <c r="I107" s="4"/>
    </row>
    <row r="108" spans="1:17" x14ac:dyDescent="0.25">
      <c r="A108" s="585"/>
      <c r="D108" s="4"/>
      <c r="E108" s="4"/>
      <c r="H108" s="4"/>
      <c r="I108" s="4"/>
    </row>
    <row r="109" spans="1:17" x14ac:dyDescent="0.25">
      <c r="A109" s="585"/>
      <c r="D109" s="4"/>
      <c r="E109" s="4"/>
      <c r="H109" s="4"/>
      <c r="I109" s="4"/>
    </row>
    <row r="110" spans="1:17" x14ac:dyDescent="0.25">
      <c r="A110" s="438"/>
      <c r="D110" s="4"/>
      <c r="E110" s="4"/>
      <c r="H110" s="4"/>
      <c r="I110" s="4"/>
    </row>
    <row r="111" spans="1:17" x14ac:dyDescent="0.25">
      <c r="A111" s="438"/>
      <c r="D111" s="4"/>
      <c r="E111" s="4"/>
      <c r="H111" s="4"/>
      <c r="I111" s="4"/>
    </row>
    <row r="112" spans="1:17" x14ac:dyDescent="0.25">
      <c r="A112" s="438"/>
      <c r="D112" s="4"/>
      <c r="E112" s="4"/>
      <c r="H112" s="4"/>
      <c r="I112" s="4"/>
    </row>
    <row r="113" spans="4:9" x14ac:dyDescent="0.25">
      <c r="D113" s="4"/>
      <c r="E113" s="4"/>
      <c r="H113" s="4"/>
      <c r="I113" s="4"/>
    </row>
    <row r="114" spans="4:9" x14ac:dyDescent="0.25">
      <c r="D114" s="4"/>
      <c r="E114" s="4"/>
      <c r="H114" s="4"/>
      <c r="I114" s="4"/>
    </row>
    <row r="115" spans="4:9" x14ac:dyDescent="0.25">
      <c r="D115" s="4"/>
      <c r="E115" s="4"/>
      <c r="H115" s="4"/>
      <c r="I115" s="4"/>
    </row>
    <row r="116" spans="4:9" x14ac:dyDescent="0.25">
      <c r="D116" s="4"/>
      <c r="E116" s="4"/>
      <c r="H116" s="4"/>
      <c r="I116" s="4"/>
    </row>
    <row r="117" spans="4:9" x14ac:dyDescent="0.25">
      <c r="D117" s="4"/>
      <c r="E117" s="4"/>
      <c r="H117" s="4"/>
      <c r="I117" s="4"/>
    </row>
    <row r="118" spans="4:9" x14ac:dyDescent="0.25">
      <c r="D118" s="4"/>
      <c r="E118" s="4"/>
      <c r="H118" s="4"/>
      <c r="I118" s="4"/>
    </row>
    <row r="119" spans="4:9" x14ac:dyDescent="0.25">
      <c r="D119" s="4"/>
      <c r="E119" s="4"/>
      <c r="H119" s="4"/>
      <c r="I119" s="4"/>
    </row>
    <row r="120" spans="4:9" x14ac:dyDescent="0.25">
      <c r="D120" s="4"/>
      <c r="E120" s="4"/>
      <c r="H120" s="4"/>
      <c r="I120" s="4"/>
    </row>
    <row r="121" spans="4:9" x14ac:dyDescent="0.25">
      <c r="D121" s="4"/>
      <c r="E121" s="4"/>
      <c r="H121" s="4"/>
      <c r="I121" s="4"/>
    </row>
    <row r="122" spans="4:9" x14ac:dyDescent="0.25">
      <c r="D122" s="4"/>
      <c r="E122" s="4"/>
      <c r="H122" s="4"/>
      <c r="I122" s="4"/>
    </row>
    <row r="123" spans="4:9" x14ac:dyDescent="0.25">
      <c r="D123" s="4"/>
      <c r="E123" s="4"/>
      <c r="H123" s="4"/>
      <c r="I123" s="4"/>
    </row>
    <row r="124" spans="4:9" x14ac:dyDescent="0.25">
      <c r="D124" s="4"/>
      <c r="E124" s="4"/>
      <c r="H124" s="4"/>
      <c r="I124" s="4"/>
    </row>
    <row r="125" spans="4:9" x14ac:dyDescent="0.25">
      <c r="D125" s="4"/>
      <c r="E125" s="4"/>
      <c r="H125" s="4"/>
      <c r="I125" s="4"/>
    </row>
    <row r="126" spans="4:9" x14ac:dyDescent="0.25">
      <c r="D126" s="4"/>
      <c r="E126" s="4"/>
      <c r="H126" s="4"/>
      <c r="I126" s="4"/>
    </row>
    <row r="127" spans="4:9" x14ac:dyDescent="0.25">
      <c r="D127" s="4"/>
      <c r="E127" s="4"/>
      <c r="H127" s="4"/>
      <c r="I127" s="4"/>
    </row>
    <row r="128" spans="4:9" x14ac:dyDescent="0.25">
      <c r="D128" s="4"/>
      <c r="E128" s="4"/>
      <c r="H128" s="4"/>
      <c r="I128" s="4"/>
    </row>
    <row r="129" spans="4:9" x14ac:dyDescent="0.25">
      <c r="D129" s="4"/>
      <c r="E129" s="4"/>
      <c r="H129" s="4"/>
      <c r="I129" s="4"/>
    </row>
    <row r="130" spans="4:9" x14ac:dyDescent="0.25">
      <c r="D130" s="4"/>
      <c r="E130" s="4"/>
      <c r="H130" s="4"/>
      <c r="I130" s="4"/>
    </row>
    <row r="131" spans="4:9" x14ac:dyDescent="0.25">
      <c r="D131" s="4"/>
      <c r="E131" s="4"/>
      <c r="H131" s="4"/>
      <c r="I131" s="4"/>
    </row>
    <row r="132" spans="4:9" x14ac:dyDescent="0.25">
      <c r="D132" s="4"/>
      <c r="E132" s="4"/>
      <c r="H132" s="4"/>
      <c r="I132" s="4"/>
    </row>
    <row r="133" spans="4:9" x14ac:dyDescent="0.25">
      <c r="D133" s="4"/>
      <c r="E133" s="4"/>
      <c r="H133" s="4"/>
      <c r="I133" s="4"/>
    </row>
    <row r="134" spans="4:9" x14ac:dyDescent="0.25">
      <c r="D134" s="4"/>
      <c r="E134" s="4"/>
      <c r="H134" s="4"/>
      <c r="I134" s="4"/>
    </row>
    <row r="135" spans="4:9" x14ac:dyDescent="0.25">
      <c r="D135" s="4"/>
      <c r="E135" s="4"/>
      <c r="H135" s="4"/>
      <c r="I135" s="4"/>
    </row>
    <row r="136" spans="4:9" x14ac:dyDescent="0.25">
      <c r="D136" s="4"/>
      <c r="E136" s="4"/>
      <c r="H136" s="4"/>
      <c r="I136" s="4"/>
    </row>
    <row r="137" spans="4:9" x14ac:dyDescent="0.25">
      <c r="D137" s="4"/>
      <c r="E137" s="4"/>
      <c r="H137" s="4"/>
      <c r="I137" s="4"/>
    </row>
    <row r="138" spans="4:9" x14ac:dyDescent="0.25">
      <c r="D138" s="4"/>
      <c r="E138" s="4"/>
      <c r="H138" s="4"/>
      <c r="I138" s="4"/>
    </row>
    <row r="139" spans="4:9" x14ac:dyDescent="0.25">
      <c r="D139" s="4"/>
      <c r="E139" s="4"/>
      <c r="H139" s="4"/>
      <c r="I139" s="4"/>
    </row>
    <row r="140" spans="4:9" x14ac:dyDescent="0.25">
      <c r="D140" s="4"/>
      <c r="E140" s="4"/>
      <c r="H140" s="4"/>
      <c r="I140" s="4"/>
    </row>
    <row r="141" spans="4:9" x14ac:dyDescent="0.25">
      <c r="D141" s="4"/>
      <c r="E141" s="4"/>
      <c r="H141" s="4"/>
      <c r="I141" s="4"/>
    </row>
    <row r="142" spans="4:9" x14ac:dyDescent="0.25">
      <c r="D142" s="4"/>
      <c r="E142" s="4"/>
      <c r="H142" s="4"/>
      <c r="I142" s="4"/>
    </row>
    <row r="143" spans="4:9" x14ac:dyDescent="0.25">
      <c r="D143" s="4"/>
      <c r="E143" s="4"/>
      <c r="H143" s="4"/>
      <c r="I143" s="4"/>
    </row>
    <row r="144" spans="4:9" x14ac:dyDescent="0.25">
      <c r="D144" s="4"/>
      <c r="E144" s="4"/>
      <c r="H144" s="4"/>
      <c r="I144" s="4"/>
    </row>
    <row r="145" spans="4:9" x14ac:dyDescent="0.25">
      <c r="D145" s="4"/>
      <c r="E145" s="4"/>
      <c r="H145" s="4"/>
      <c r="I145" s="4"/>
    </row>
    <row r="146" spans="4:9" x14ac:dyDescent="0.25">
      <c r="D146" s="4"/>
      <c r="E146" s="4"/>
      <c r="H146" s="4"/>
      <c r="I146" s="4"/>
    </row>
    <row r="147" spans="4:9" x14ac:dyDescent="0.25">
      <c r="D147" s="4"/>
      <c r="E147" s="4"/>
      <c r="H147" s="4"/>
      <c r="I147" s="4"/>
    </row>
    <row r="148" spans="4:9" x14ac:dyDescent="0.25">
      <c r="D148" s="4"/>
      <c r="E148" s="4"/>
      <c r="H148" s="4"/>
      <c r="I148" s="4"/>
    </row>
    <row r="149" spans="4:9" x14ac:dyDescent="0.25">
      <c r="D149" s="4"/>
      <c r="E149" s="4"/>
      <c r="H149" s="4"/>
      <c r="I149" s="4"/>
    </row>
    <row r="150" spans="4:9" x14ac:dyDescent="0.25">
      <c r="D150" s="4"/>
      <c r="E150" s="4"/>
      <c r="H150" s="4"/>
      <c r="I150" s="4"/>
    </row>
    <row r="151" spans="4:9" x14ac:dyDescent="0.25">
      <c r="D151" s="4"/>
      <c r="E151" s="4"/>
      <c r="H151" s="4"/>
      <c r="I151" s="4"/>
    </row>
    <row r="152" spans="4:9" x14ac:dyDescent="0.25">
      <c r="D152" s="4"/>
      <c r="E152" s="4"/>
      <c r="H152" s="4"/>
      <c r="I152" s="4"/>
    </row>
    <row r="153" spans="4:9" x14ac:dyDescent="0.25">
      <c r="D153" s="4"/>
      <c r="E153" s="4"/>
      <c r="H153" s="4"/>
      <c r="I153" s="4"/>
    </row>
    <row r="154" spans="4:9" x14ac:dyDescent="0.25">
      <c r="D154" s="4"/>
      <c r="E154" s="4"/>
      <c r="H154" s="4"/>
      <c r="I154" s="4"/>
    </row>
    <row r="155" spans="4:9" x14ac:dyDescent="0.25">
      <c r="D155" s="4"/>
      <c r="E155" s="4"/>
      <c r="H155" s="4"/>
      <c r="I155" s="4"/>
    </row>
    <row r="156" spans="4:9" x14ac:dyDescent="0.25">
      <c r="D156" s="4"/>
      <c r="E156" s="4"/>
      <c r="H156" s="4"/>
      <c r="I156" s="4"/>
    </row>
    <row r="157" spans="4:9" x14ac:dyDescent="0.25">
      <c r="D157" s="4"/>
      <c r="E157" s="4"/>
      <c r="H157" s="4"/>
      <c r="I157" s="4"/>
    </row>
    <row r="158" spans="4:9" x14ac:dyDescent="0.25">
      <c r="D158" s="4"/>
      <c r="E158" s="4"/>
      <c r="H158" s="4"/>
      <c r="I158" s="4"/>
    </row>
    <row r="159" spans="4:9" x14ac:dyDescent="0.25">
      <c r="D159" s="4"/>
      <c r="E159" s="4"/>
      <c r="H159" s="4"/>
      <c r="I159" s="4"/>
    </row>
    <row r="160" spans="4:9" x14ac:dyDescent="0.25">
      <c r="D160" s="4"/>
      <c r="E160" s="4"/>
      <c r="H160" s="4"/>
      <c r="I160" s="4"/>
    </row>
    <row r="161" spans="4:9" x14ac:dyDescent="0.25">
      <c r="D161" s="4"/>
      <c r="E161" s="4"/>
      <c r="H161" s="4"/>
      <c r="I161" s="4"/>
    </row>
    <row r="162" spans="4:9" x14ac:dyDescent="0.25">
      <c r="D162" s="4"/>
      <c r="E162" s="4"/>
      <c r="H162" s="4"/>
      <c r="I162" s="4"/>
    </row>
    <row r="163" spans="4:9" x14ac:dyDescent="0.25">
      <c r="D163" s="4"/>
      <c r="E163" s="4"/>
      <c r="H163" s="4"/>
      <c r="I163" s="4"/>
    </row>
    <row r="164" spans="4:9" x14ac:dyDescent="0.25">
      <c r="D164" s="4"/>
      <c r="E164" s="4"/>
      <c r="H164" s="4"/>
      <c r="I164" s="4"/>
    </row>
    <row r="165" spans="4:9" x14ac:dyDescent="0.25">
      <c r="D165" s="4"/>
      <c r="E165" s="4"/>
      <c r="H165" s="4"/>
      <c r="I165" s="4"/>
    </row>
    <row r="166" spans="4:9" x14ac:dyDescent="0.25">
      <c r="D166" s="4"/>
      <c r="E166" s="4"/>
      <c r="H166" s="4"/>
      <c r="I166" s="4"/>
    </row>
    <row r="167" spans="4:9" x14ac:dyDescent="0.25">
      <c r="D167" s="4"/>
      <c r="E167" s="4"/>
      <c r="H167" s="4"/>
      <c r="I167" s="4"/>
    </row>
    <row r="168" spans="4:9" x14ac:dyDescent="0.25">
      <c r="D168" s="4"/>
      <c r="E168" s="4"/>
      <c r="H168" s="4"/>
      <c r="I168" s="4"/>
    </row>
    <row r="169" spans="4:9" x14ac:dyDescent="0.25">
      <c r="D169" s="4"/>
      <c r="E169" s="4"/>
      <c r="H169" s="4"/>
      <c r="I169" s="4"/>
    </row>
    <row r="170" spans="4:9" x14ac:dyDescent="0.25">
      <c r="D170" s="4"/>
      <c r="E170" s="4"/>
      <c r="H170" s="4"/>
      <c r="I170" s="4"/>
    </row>
    <row r="171" spans="4:9" x14ac:dyDescent="0.25">
      <c r="D171" s="4"/>
      <c r="E171" s="4"/>
      <c r="H171" s="4"/>
      <c r="I171" s="4"/>
    </row>
    <row r="172" spans="4:9" x14ac:dyDescent="0.25">
      <c r="D172" s="4"/>
      <c r="E172" s="4"/>
      <c r="H172" s="4"/>
      <c r="I172" s="4"/>
    </row>
    <row r="173" spans="4:9" x14ac:dyDescent="0.25">
      <c r="D173" s="4"/>
      <c r="E173" s="4"/>
      <c r="H173" s="4"/>
      <c r="I173" s="4"/>
    </row>
    <row r="174" spans="4:9" x14ac:dyDescent="0.25">
      <c r="D174" s="4"/>
      <c r="E174" s="4"/>
      <c r="H174" s="4"/>
      <c r="I174" s="4"/>
    </row>
    <row r="175" spans="4:9" x14ac:dyDescent="0.25">
      <c r="D175" s="4"/>
      <c r="E175" s="4"/>
      <c r="H175" s="4"/>
      <c r="I175" s="4"/>
    </row>
    <row r="176" spans="4:9" x14ac:dyDescent="0.25">
      <c r="D176" s="4"/>
      <c r="E176" s="4"/>
      <c r="H176" s="4"/>
      <c r="I176" s="4"/>
    </row>
    <row r="177" spans="4:9" x14ac:dyDescent="0.25">
      <c r="D177" s="4"/>
      <c r="E177" s="4"/>
      <c r="H177" s="4"/>
      <c r="I177" s="4"/>
    </row>
    <row r="178" spans="4:9" x14ac:dyDescent="0.25">
      <c r="D178" s="4"/>
      <c r="E178" s="4"/>
      <c r="H178" s="4"/>
      <c r="I178" s="4"/>
    </row>
    <row r="179" spans="4:9" x14ac:dyDescent="0.25">
      <c r="D179" s="4"/>
      <c r="E179" s="4"/>
      <c r="H179" s="4"/>
      <c r="I179" s="4"/>
    </row>
    <row r="180" spans="4:9" x14ac:dyDescent="0.25">
      <c r="D180" s="4"/>
      <c r="E180" s="4"/>
      <c r="H180" s="4"/>
      <c r="I180" s="4"/>
    </row>
    <row r="181" spans="4:9" x14ac:dyDescent="0.25">
      <c r="D181" s="4"/>
      <c r="E181" s="4"/>
      <c r="H181" s="4"/>
      <c r="I181" s="4"/>
    </row>
    <row r="182" spans="4:9" x14ac:dyDescent="0.25">
      <c r="D182" s="4"/>
      <c r="E182" s="4"/>
      <c r="H182" s="4"/>
      <c r="I182" s="4"/>
    </row>
    <row r="183" spans="4:9" x14ac:dyDescent="0.25">
      <c r="D183" s="4"/>
      <c r="E183" s="4"/>
      <c r="H183" s="4"/>
      <c r="I183" s="4"/>
    </row>
    <row r="184" spans="4:9" x14ac:dyDescent="0.25">
      <c r="D184" s="4"/>
      <c r="E184" s="4"/>
      <c r="H184" s="4"/>
      <c r="I184" s="4"/>
    </row>
    <row r="185" spans="4:9" x14ac:dyDescent="0.25">
      <c r="D185" s="4"/>
      <c r="E185" s="4"/>
      <c r="H185" s="4"/>
      <c r="I185" s="4"/>
    </row>
    <row r="186" spans="4:9" x14ac:dyDescent="0.25">
      <c r="D186" s="4"/>
      <c r="E186" s="4"/>
      <c r="H186" s="4"/>
      <c r="I186" s="4"/>
    </row>
    <row r="187" spans="4:9" x14ac:dyDescent="0.25">
      <c r="D187" s="4"/>
      <c r="E187" s="4"/>
      <c r="H187" s="4"/>
      <c r="I187" s="4"/>
    </row>
    <row r="188" spans="4:9" x14ac:dyDescent="0.25">
      <c r="D188" s="4"/>
      <c r="E188" s="4"/>
      <c r="H188" s="4"/>
      <c r="I188" s="4"/>
    </row>
    <row r="189" spans="4:9" x14ac:dyDescent="0.25">
      <c r="D189" s="4"/>
      <c r="E189" s="4"/>
      <c r="H189" s="4"/>
      <c r="I189" s="4"/>
    </row>
    <row r="190" spans="4:9" x14ac:dyDescent="0.25">
      <c r="D190" s="4"/>
      <c r="E190" s="4"/>
      <c r="H190" s="4"/>
      <c r="I190" s="4"/>
    </row>
    <row r="191" spans="4:9" x14ac:dyDescent="0.25">
      <c r="D191" s="4"/>
      <c r="E191" s="4"/>
      <c r="H191" s="4"/>
      <c r="I191" s="4"/>
    </row>
    <row r="192" spans="4:9" x14ac:dyDescent="0.25">
      <c r="D192" s="4"/>
      <c r="E192" s="4"/>
      <c r="H192" s="4"/>
      <c r="I192" s="4"/>
    </row>
    <row r="193" spans="4:9" x14ac:dyDescent="0.25">
      <c r="D193" s="4"/>
      <c r="E193" s="4"/>
      <c r="H193" s="4"/>
      <c r="I193" s="4"/>
    </row>
    <row r="194" spans="4:9" x14ac:dyDescent="0.25">
      <c r="D194" s="4"/>
      <c r="E194" s="4"/>
      <c r="H194" s="4"/>
      <c r="I194" s="4"/>
    </row>
    <row r="195" spans="4:9" x14ac:dyDescent="0.25">
      <c r="D195" s="4"/>
      <c r="E195" s="4"/>
      <c r="H195" s="4"/>
      <c r="I195" s="4"/>
    </row>
    <row r="196" spans="4:9" x14ac:dyDescent="0.25">
      <c r="D196" s="4"/>
      <c r="E196" s="4"/>
      <c r="H196" s="4"/>
      <c r="I196" s="4"/>
    </row>
    <row r="197" spans="4:9" x14ac:dyDescent="0.25">
      <c r="D197" s="4"/>
      <c r="E197" s="4"/>
      <c r="H197" s="4"/>
      <c r="I197" s="4"/>
    </row>
    <row r="198" spans="4:9" x14ac:dyDescent="0.25">
      <c r="D198" s="4"/>
      <c r="E198" s="4"/>
      <c r="H198" s="4"/>
      <c r="I198" s="4"/>
    </row>
    <row r="199" spans="4:9" x14ac:dyDescent="0.25">
      <c r="D199" s="4"/>
      <c r="E199" s="4"/>
      <c r="H199" s="4"/>
      <c r="I199" s="4"/>
    </row>
    <row r="200" spans="4:9" x14ac:dyDescent="0.25">
      <c r="D200" s="4"/>
      <c r="E200" s="4"/>
      <c r="H200" s="4"/>
      <c r="I200" s="4"/>
    </row>
    <row r="201" spans="4:9" x14ac:dyDescent="0.25">
      <c r="D201" s="4"/>
      <c r="E201" s="4"/>
      <c r="H201" s="4"/>
      <c r="I201" s="4"/>
    </row>
    <row r="202" spans="4:9" x14ac:dyDescent="0.25">
      <c r="D202" s="4"/>
      <c r="E202" s="4"/>
      <c r="H202" s="4"/>
      <c r="I202" s="4"/>
    </row>
    <row r="203" spans="4:9" x14ac:dyDescent="0.25">
      <c r="D203" s="4"/>
      <c r="E203" s="4"/>
      <c r="H203" s="4"/>
      <c r="I203" s="4"/>
    </row>
    <row r="204" spans="4:9" x14ac:dyDescent="0.25">
      <c r="D204" s="4"/>
      <c r="E204" s="4"/>
      <c r="H204" s="4"/>
      <c r="I204" s="4"/>
    </row>
    <row r="205" spans="4:9" x14ac:dyDescent="0.25">
      <c r="D205" s="4"/>
      <c r="E205" s="4"/>
      <c r="H205" s="4"/>
      <c r="I205" s="4"/>
    </row>
    <row r="206" spans="4:9" x14ac:dyDescent="0.25">
      <c r="D206" s="4"/>
      <c r="E206" s="4"/>
      <c r="H206" s="4"/>
      <c r="I206" s="4"/>
    </row>
    <row r="207" spans="4:9" x14ac:dyDescent="0.25">
      <c r="D207" s="4"/>
      <c r="E207" s="4"/>
      <c r="H207" s="4"/>
      <c r="I207" s="4"/>
    </row>
    <row r="208" spans="4:9" x14ac:dyDescent="0.25">
      <c r="D208" s="4"/>
      <c r="E208" s="4"/>
      <c r="H208" s="4"/>
      <c r="I208" s="4"/>
    </row>
    <row r="209" spans="4:9" x14ac:dyDescent="0.25">
      <c r="D209" s="4"/>
      <c r="E209" s="4"/>
      <c r="H209" s="4"/>
      <c r="I209" s="4"/>
    </row>
    <row r="210" spans="4:9" x14ac:dyDescent="0.25">
      <c r="D210" s="4"/>
      <c r="E210" s="4"/>
      <c r="H210" s="4"/>
      <c r="I210" s="4"/>
    </row>
    <row r="211" spans="4:9" x14ac:dyDescent="0.25">
      <c r="D211" s="4"/>
      <c r="E211" s="4"/>
      <c r="H211" s="4"/>
      <c r="I211" s="4"/>
    </row>
    <row r="212" spans="4:9" x14ac:dyDescent="0.25">
      <c r="D212" s="4"/>
      <c r="E212" s="4"/>
      <c r="H212" s="4"/>
      <c r="I212" s="4"/>
    </row>
    <row r="213" spans="4:9" x14ac:dyDescent="0.25">
      <c r="D213" s="4"/>
      <c r="E213" s="4"/>
      <c r="H213" s="4"/>
      <c r="I213" s="4"/>
    </row>
    <row r="214" spans="4:9" x14ac:dyDescent="0.25">
      <c r="D214" s="4"/>
      <c r="E214" s="4"/>
      <c r="H214" s="4"/>
      <c r="I214" s="4"/>
    </row>
    <row r="215" spans="4:9" x14ac:dyDescent="0.25">
      <c r="D215" s="4"/>
      <c r="E215" s="4"/>
      <c r="H215" s="4"/>
      <c r="I215" s="4"/>
    </row>
    <row r="216" spans="4:9" x14ac:dyDescent="0.25">
      <c r="D216" s="4"/>
      <c r="E216" s="4"/>
      <c r="H216" s="4"/>
      <c r="I216" s="4"/>
    </row>
    <row r="217" spans="4:9" x14ac:dyDescent="0.25">
      <c r="D217" s="4"/>
      <c r="E217" s="4"/>
      <c r="H217" s="4"/>
      <c r="I217" s="4"/>
    </row>
    <row r="218" spans="4:9" x14ac:dyDescent="0.25">
      <c r="D218" s="4"/>
      <c r="E218" s="4"/>
      <c r="H218" s="4"/>
      <c r="I218" s="4"/>
    </row>
    <row r="219" spans="4:9" x14ac:dyDescent="0.25">
      <c r="D219" s="4"/>
      <c r="E219" s="4"/>
      <c r="H219" s="4"/>
      <c r="I219" s="4"/>
    </row>
    <row r="220" spans="4:9" x14ac:dyDescent="0.25">
      <c r="D220" s="4"/>
      <c r="E220" s="4"/>
      <c r="H220" s="4"/>
      <c r="I220" s="4"/>
    </row>
    <row r="221" spans="4:9" x14ac:dyDescent="0.25">
      <c r="D221" s="4"/>
      <c r="E221" s="4"/>
      <c r="H221" s="4"/>
      <c r="I221" s="4"/>
    </row>
    <row r="222" spans="4:9" x14ac:dyDescent="0.25">
      <c r="D222" s="4"/>
      <c r="E222" s="4"/>
      <c r="H222" s="4"/>
      <c r="I222" s="4"/>
    </row>
    <row r="223" spans="4:9" x14ac:dyDescent="0.25">
      <c r="D223" s="4"/>
      <c r="E223" s="4"/>
      <c r="H223" s="4"/>
      <c r="I223" s="4"/>
    </row>
    <row r="224" spans="4:9" x14ac:dyDescent="0.25">
      <c r="D224" s="4"/>
      <c r="E224" s="4"/>
      <c r="H224" s="4"/>
      <c r="I224" s="4"/>
    </row>
    <row r="225" spans="4:9" x14ac:dyDescent="0.25">
      <c r="D225" s="4"/>
      <c r="E225" s="4"/>
      <c r="H225" s="4"/>
      <c r="I225" s="4"/>
    </row>
    <row r="226" spans="4:9" x14ac:dyDescent="0.25">
      <c r="D226" s="4"/>
      <c r="E226" s="4"/>
      <c r="H226" s="4"/>
      <c r="I226" s="4"/>
    </row>
    <row r="227" spans="4:9" x14ac:dyDescent="0.25">
      <c r="D227" s="4"/>
      <c r="E227" s="4"/>
      <c r="H227" s="4"/>
      <c r="I227" s="4"/>
    </row>
    <row r="228" spans="4:9" x14ac:dyDescent="0.25">
      <c r="D228" s="4"/>
      <c r="E228" s="4"/>
      <c r="H228" s="4"/>
      <c r="I228" s="4"/>
    </row>
    <row r="229" spans="4:9" x14ac:dyDescent="0.25">
      <c r="D229" s="4"/>
      <c r="E229" s="4"/>
      <c r="H229" s="4"/>
      <c r="I229" s="4"/>
    </row>
    <row r="230" spans="4:9" x14ac:dyDescent="0.25">
      <c r="D230" s="4"/>
      <c r="E230" s="4"/>
      <c r="H230" s="4"/>
      <c r="I230" s="4"/>
    </row>
    <row r="231" spans="4:9" x14ac:dyDescent="0.25">
      <c r="D231" s="4"/>
      <c r="E231" s="4"/>
      <c r="H231" s="4"/>
      <c r="I231" s="4"/>
    </row>
    <row r="232" spans="4:9" x14ac:dyDescent="0.25">
      <c r="D232" s="4"/>
      <c r="E232" s="4"/>
      <c r="H232" s="4"/>
      <c r="I232" s="4"/>
    </row>
    <row r="233" spans="4:9" x14ac:dyDescent="0.25">
      <c r="D233" s="4"/>
      <c r="E233" s="4"/>
      <c r="H233" s="4"/>
      <c r="I233" s="4"/>
    </row>
    <row r="234" spans="4:9" x14ac:dyDescent="0.25">
      <c r="D234" s="4"/>
      <c r="E234" s="4"/>
      <c r="H234" s="4"/>
      <c r="I234" s="4"/>
    </row>
    <row r="235" spans="4:9" x14ac:dyDescent="0.25">
      <c r="D235" s="4"/>
      <c r="E235" s="4"/>
      <c r="H235" s="4"/>
      <c r="I235" s="4"/>
    </row>
    <row r="236" spans="4:9" x14ac:dyDescent="0.25">
      <c r="D236" s="4"/>
      <c r="E236" s="4"/>
      <c r="H236" s="4"/>
      <c r="I236" s="4"/>
    </row>
    <row r="237" spans="4:9" x14ac:dyDescent="0.25">
      <c r="D237" s="4"/>
      <c r="E237" s="4"/>
      <c r="H237" s="4"/>
      <c r="I237" s="4"/>
    </row>
    <row r="238" spans="4:9" x14ac:dyDescent="0.25">
      <c r="D238" s="4"/>
      <c r="E238" s="4"/>
      <c r="H238" s="4"/>
      <c r="I238" s="4"/>
    </row>
    <row r="239" spans="4:9" x14ac:dyDescent="0.25">
      <c r="D239" s="4"/>
      <c r="E239" s="4"/>
      <c r="H239" s="4"/>
      <c r="I239" s="4"/>
    </row>
    <row r="240" spans="4:9" x14ac:dyDescent="0.25">
      <c r="D240" s="4"/>
      <c r="E240" s="4"/>
      <c r="H240" s="4"/>
      <c r="I240" s="4"/>
    </row>
    <row r="241" spans="4:9" x14ac:dyDescent="0.25">
      <c r="D241" s="4"/>
      <c r="E241" s="4"/>
      <c r="H241" s="4"/>
      <c r="I241" s="4"/>
    </row>
    <row r="242" spans="4:9" x14ac:dyDescent="0.25">
      <c r="D242" s="4"/>
      <c r="E242" s="4"/>
      <c r="H242" s="4"/>
      <c r="I242" s="4"/>
    </row>
    <row r="243" spans="4:9" x14ac:dyDescent="0.25">
      <c r="D243" s="4"/>
      <c r="E243" s="4"/>
      <c r="H243" s="4"/>
      <c r="I243" s="4"/>
    </row>
    <row r="244" spans="4:9" x14ac:dyDescent="0.25">
      <c r="D244" s="4"/>
      <c r="E244" s="4"/>
      <c r="H244" s="4"/>
      <c r="I244" s="4"/>
    </row>
    <row r="245" spans="4:9" x14ac:dyDescent="0.25">
      <c r="D245" s="4"/>
      <c r="E245" s="4"/>
      <c r="H245" s="4"/>
      <c r="I245" s="4"/>
    </row>
    <row r="246" spans="4:9" x14ac:dyDescent="0.25">
      <c r="D246" s="4"/>
      <c r="E246" s="4"/>
      <c r="H246" s="4"/>
      <c r="I246" s="4"/>
    </row>
    <row r="247" spans="4:9" x14ac:dyDescent="0.25">
      <c r="D247" s="4"/>
      <c r="E247" s="4"/>
      <c r="H247" s="4"/>
      <c r="I247" s="4"/>
    </row>
    <row r="248" spans="4:9" x14ac:dyDescent="0.25">
      <c r="D248" s="4"/>
      <c r="E248" s="4"/>
      <c r="H248" s="4"/>
      <c r="I248" s="4"/>
    </row>
    <row r="249" spans="4:9" x14ac:dyDescent="0.25">
      <c r="D249" s="4"/>
      <c r="E249" s="4"/>
      <c r="H249" s="4"/>
      <c r="I249" s="4"/>
    </row>
    <row r="250" spans="4:9" x14ac:dyDescent="0.25">
      <c r="D250" s="4"/>
      <c r="E250" s="4"/>
      <c r="H250" s="4"/>
      <c r="I250" s="4"/>
    </row>
    <row r="251" spans="4:9" x14ac:dyDescent="0.25">
      <c r="D251" s="4"/>
      <c r="E251" s="4"/>
      <c r="H251" s="4"/>
      <c r="I251" s="4"/>
    </row>
    <row r="252" spans="4:9" x14ac:dyDescent="0.25">
      <c r="D252" s="4"/>
      <c r="E252" s="4"/>
      <c r="H252" s="4"/>
      <c r="I252" s="4"/>
    </row>
    <row r="253" spans="4:9" x14ac:dyDescent="0.25">
      <c r="D253" s="4"/>
      <c r="E253" s="4"/>
      <c r="H253" s="4"/>
      <c r="I253" s="4"/>
    </row>
    <row r="254" spans="4:9" x14ac:dyDescent="0.25">
      <c r="D254" s="4"/>
      <c r="E254" s="4"/>
      <c r="H254" s="4"/>
      <c r="I254" s="4"/>
    </row>
    <row r="255" spans="4:9" x14ac:dyDescent="0.25">
      <c r="D255" s="4"/>
      <c r="E255" s="4"/>
      <c r="H255" s="4"/>
      <c r="I255" s="4"/>
    </row>
    <row r="256" spans="4:9" x14ac:dyDescent="0.25">
      <c r="D256" s="4"/>
      <c r="E256" s="4"/>
      <c r="H256" s="4"/>
      <c r="I256" s="4"/>
    </row>
    <row r="257" spans="4:9" x14ac:dyDescent="0.25">
      <c r="D257" s="4"/>
      <c r="E257" s="4"/>
      <c r="H257" s="4"/>
      <c r="I257" s="4"/>
    </row>
    <row r="258" spans="4:9" x14ac:dyDescent="0.25">
      <c r="D258" s="4"/>
      <c r="E258" s="4"/>
      <c r="H258" s="4"/>
      <c r="I258" s="4"/>
    </row>
    <row r="259" spans="4:9" x14ac:dyDescent="0.25">
      <c r="D259" s="4"/>
      <c r="E259" s="4"/>
      <c r="H259" s="4"/>
      <c r="I259" s="4"/>
    </row>
    <row r="260" spans="4:9" x14ac:dyDescent="0.25">
      <c r="D260" s="4"/>
      <c r="E260" s="4"/>
      <c r="H260" s="4"/>
      <c r="I260" s="4"/>
    </row>
    <row r="261" spans="4:9" x14ac:dyDescent="0.25">
      <c r="D261" s="4"/>
      <c r="E261" s="4"/>
      <c r="H261" s="4"/>
      <c r="I261" s="4"/>
    </row>
    <row r="262" spans="4:9" x14ac:dyDescent="0.25">
      <c r="D262" s="4"/>
      <c r="E262" s="4"/>
      <c r="H262" s="4"/>
      <c r="I262" s="4"/>
    </row>
    <row r="263" spans="4:9" x14ac:dyDescent="0.25">
      <c r="D263" s="4"/>
      <c r="E263" s="4"/>
      <c r="H263" s="4"/>
      <c r="I263" s="4"/>
    </row>
    <row r="264" spans="4:9" x14ac:dyDescent="0.25">
      <c r="D264" s="4"/>
      <c r="E264" s="4"/>
      <c r="H264" s="4"/>
      <c r="I264" s="4"/>
    </row>
    <row r="265" spans="4:9" x14ac:dyDescent="0.25">
      <c r="D265" s="4"/>
      <c r="E265" s="4"/>
      <c r="H265" s="4"/>
      <c r="I265" s="4"/>
    </row>
    <row r="266" spans="4:9" x14ac:dyDescent="0.25">
      <c r="D266" s="4"/>
      <c r="E266" s="4"/>
      <c r="H266" s="4"/>
      <c r="I266" s="4"/>
    </row>
    <row r="267" spans="4:9" x14ac:dyDescent="0.25">
      <c r="D267" s="4"/>
      <c r="E267" s="4"/>
      <c r="H267" s="4"/>
      <c r="I267" s="4"/>
    </row>
    <row r="268" spans="4:9" x14ac:dyDescent="0.25">
      <c r="D268" s="4"/>
      <c r="E268" s="4"/>
      <c r="H268" s="4"/>
      <c r="I268" s="4"/>
    </row>
    <row r="269" spans="4:9" x14ac:dyDescent="0.25">
      <c r="D269" s="4"/>
      <c r="E269" s="4"/>
      <c r="H269" s="4"/>
      <c r="I269" s="4"/>
    </row>
    <row r="270" spans="4:9" x14ac:dyDescent="0.25">
      <c r="D270" s="4"/>
      <c r="E270" s="4"/>
      <c r="H270" s="4"/>
      <c r="I270" s="4"/>
    </row>
    <row r="271" spans="4:9" x14ac:dyDescent="0.25">
      <c r="D271" s="4"/>
      <c r="E271" s="4"/>
      <c r="H271" s="4"/>
      <c r="I271" s="4"/>
    </row>
    <row r="272" spans="4:9" x14ac:dyDescent="0.25">
      <c r="D272" s="4"/>
      <c r="E272" s="4"/>
      <c r="H272" s="4"/>
      <c r="I272" s="4"/>
    </row>
    <row r="273" spans="4:9" x14ac:dyDescent="0.25">
      <c r="D273" s="4"/>
      <c r="E273" s="4"/>
      <c r="H273" s="4"/>
      <c r="I273" s="4"/>
    </row>
    <row r="274" spans="4:9" x14ac:dyDescent="0.25">
      <c r="D274" s="4"/>
      <c r="E274" s="4"/>
      <c r="H274" s="4"/>
      <c r="I274" s="4"/>
    </row>
    <row r="275" spans="4:9" x14ac:dyDescent="0.25">
      <c r="D275" s="4"/>
      <c r="E275" s="4"/>
      <c r="H275" s="4"/>
      <c r="I275" s="4"/>
    </row>
    <row r="276" spans="4:9" x14ac:dyDescent="0.25">
      <c r="D276" s="4"/>
      <c r="E276" s="4"/>
      <c r="H276" s="4"/>
      <c r="I276" s="4"/>
    </row>
    <row r="277" spans="4:9" x14ac:dyDescent="0.25">
      <c r="D277" s="4"/>
      <c r="E277" s="4"/>
      <c r="H277" s="4"/>
      <c r="I277" s="4"/>
    </row>
    <row r="278" spans="4:9" x14ac:dyDescent="0.25">
      <c r="D278" s="4"/>
      <c r="E278" s="4"/>
      <c r="H278" s="4"/>
      <c r="I278" s="4"/>
    </row>
    <row r="279" spans="4:9" x14ac:dyDescent="0.25">
      <c r="D279" s="4"/>
      <c r="E279" s="4"/>
      <c r="H279" s="4"/>
      <c r="I279" s="4"/>
    </row>
    <row r="280" spans="4:9" x14ac:dyDescent="0.25">
      <c r="D280" s="4"/>
      <c r="E280" s="4"/>
      <c r="H280" s="4"/>
      <c r="I280" s="4"/>
    </row>
    <row r="281" spans="4:9" x14ac:dyDescent="0.25">
      <c r="D281" s="4"/>
      <c r="E281" s="4"/>
      <c r="H281" s="4"/>
      <c r="I281" s="4"/>
    </row>
    <row r="282" spans="4:9" x14ac:dyDescent="0.25">
      <c r="D282" s="4"/>
      <c r="E282" s="4"/>
      <c r="H282" s="4"/>
      <c r="I282" s="4"/>
    </row>
    <row r="283" spans="4:9" x14ac:dyDescent="0.25">
      <c r="D283" s="4"/>
      <c r="E283" s="4"/>
      <c r="H283" s="4"/>
      <c r="I283" s="4"/>
    </row>
    <row r="284" spans="4:9" x14ac:dyDescent="0.25">
      <c r="D284" s="4"/>
      <c r="E284" s="4"/>
      <c r="H284" s="4"/>
      <c r="I284" s="4"/>
    </row>
    <row r="285" spans="4:9" x14ac:dyDescent="0.25">
      <c r="D285" s="4"/>
      <c r="E285" s="4"/>
      <c r="H285" s="4"/>
      <c r="I285" s="4"/>
    </row>
    <row r="286" spans="4:9" x14ac:dyDescent="0.25">
      <c r="D286" s="4"/>
      <c r="E286" s="4"/>
      <c r="H286" s="4"/>
      <c r="I286" s="4"/>
    </row>
    <row r="287" spans="4:9" x14ac:dyDescent="0.25">
      <c r="D287" s="4"/>
      <c r="E287" s="4"/>
      <c r="H287" s="4"/>
      <c r="I287" s="4"/>
    </row>
    <row r="288" spans="4:9" x14ac:dyDescent="0.25">
      <c r="D288" s="4"/>
      <c r="E288" s="4"/>
      <c r="H288" s="4"/>
      <c r="I288" s="4"/>
    </row>
    <row r="289" spans="4:9" x14ac:dyDescent="0.25">
      <c r="D289" s="4"/>
      <c r="E289" s="4"/>
      <c r="H289" s="4"/>
      <c r="I289" s="4"/>
    </row>
    <row r="290" spans="4:9" x14ac:dyDescent="0.25">
      <c r="D290" s="4"/>
      <c r="E290" s="4"/>
      <c r="H290" s="4"/>
      <c r="I290" s="4"/>
    </row>
    <row r="291" spans="4:9" x14ac:dyDescent="0.25">
      <c r="D291" s="4"/>
      <c r="E291" s="4"/>
      <c r="H291" s="4"/>
      <c r="I291" s="4"/>
    </row>
    <row r="292" spans="4:9" x14ac:dyDescent="0.25">
      <c r="D292" s="4"/>
      <c r="E292" s="4"/>
      <c r="H292" s="4"/>
      <c r="I292" s="4"/>
    </row>
    <row r="293" spans="4:9" x14ac:dyDescent="0.25">
      <c r="D293" s="4"/>
      <c r="E293" s="4"/>
      <c r="H293" s="4"/>
      <c r="I293" s="4"/>
    </row>
    <row r="294" spans="4:9" x14ac:dyDescent="0.25">
      <c r="D294" s="4"/>
      <c r="E294" s="4"/>
      <c r="H294" s="4"/>
      <c r="I294" s="4"/>
    </row>
    <row r="295" spans="4:9" x14ac:dyDescent="0.25">
      <c r="D295" s="4"/>
      <c r="E295" s="4"/>
      <c r="H295" s="4"/>
      <c r="I295" s="4"/>
    </row>
    <row r="296" spans="4:9" x14ac:dyDescent="0.25">
      <c r="D296" s="4"/>
      <c r="E296" s="4"/>
      <c r="H296" s="4"/>
      <c r="I296" s="4"/>
    </row>
    <row r="297" spans="4:9" x14ac:dyDescent="0.25">
      <c r="D297" s="4"/>
      <c r="E297" s="4"/>
      <c r="H297" s="4"/>
      <c r="I297" s="4"/>
    </row>
    <row r="298" spans="4:9" x14ac:dyDescent="0.25">
      <c r="D298" s="4"/>
      <c r="E298" s="4"/>
      <c r="H298" s="4"/>
      <c r="I298" s="4"/>
    </row>
    <row r="299" spans="4:9" x14ac:dyDescent="0.25">
      <c r="D299" s="4"/>
      <c r="E299" s="4"/>
      <c r="H299" s="4"/>
      <c r="I299" s="4"/>
    </row>
    <row r="300" spans="4:9" x14ac:dyDescent="0.25">
      <c r="D300" s="4"/>
      <c r="E300" s="4"/>
      <c r="H300" s="4"/>
      <c r="I300" s="4"/>
    </row>
    <row r="301" spans="4:9" x14ac:dyDescent="0.25">
      <c r="D301" s="4"/>
      <c r="E301" s="4"/>
      <c r="H301" s="4"/>
      <c r="I301" s="4"/>
    </row>
    <row r="302" spans="4:9" x14ac:dyDescent="0.25">
      <c r="D302" s="4"/>
      <c r="E302" s="4"/>
      <c r="H302" s="4"/>
      <c r="I302" s="4"/>
    </row>
    <row r="303" spans="4:9" x14ac:dyDescent="0.25">
      <c r="D303" s="4"/>
      <c r="E303" s="4"/>
      <c r="H303" s="4"/>
      <c r="I303" s="4"/>
    </row>
    <row r="304" spans="4:9" x14ac:dyDescent="0.25">
      <c r="D304" s="4"/>
      <c r="E304" s="4"/>
      <c r="H304" s="4"/>
      <c r="I304" s="4"/>
    </row>
    <row r="305" spans="4:9" x14ac:dyDescent="0.25">
      <c r="D305" s="4"/>
      <c r="E305" s="4"/>
      <c r="H305" s="4"/>
      <c r="I305" s="4"/>
    </row>
    <row r="306" spans="4:9" x14ac:dyDescent="0.25">
      <c r="D306" s="4"/>
      <c r="E306" s="4"/>
      <c r="H306" s="4"/>
      <c r="I306" s="4"/>
    </row>
    <row r="307" spans="4:9" x14ac:dyDescent="0.25">
      <c r="D307" s="4"/>
      <c r="E307" s="4"/>
      <c r="H307" s="4"/>
      <c r="I307" s="4"/>
    </row>
    <row r="308" spans="4:9" x14ac:dyDescent="0.25">
      <c r="D308" s="4"/>
      <c r="E308" s="4"/>
      <c r="H308" s="4"/>
      <c r="I308" s="4"/>
    </row>
    <row r="309" spans="4:9" x14ac:dyDescent="0.25">
      <c r="D309" s="4"/>
      <c r="E309" s="4"/>
      <c r="H309" s="4"/>
      <c r="I309" s="4"/>
    </row>
    <row r="310" spans="4:9" x14ac:dyDescent="0.25">
      <c r="D310" s="4"/>
      <c r="E310" s="4"/>
      <c r="H310" s="4"/>
      <c r="I310" s="4"/>
    </row>
    <row r="311" spans="4:9" x14ac:dyDescent="0.25">
      <c r="D311" s="4"/>
      <c r="E311" s="4"/>
      <c r="H311" s="4"/>
      <c r="I311" s="4"/>
    </row>
    <row r="312" spans="4:9" x14ac:dyDescent="0.25">
      <c r="D312" s="4"/>
      <c r="E312" s="4"/>
      <c r="H312" s="4"/>
      <c r="I312" s="4"/>
    </row>
    <row r="313" spans="4:9" x14ac:dyDescent="0.25">
      <c r="D313" s="4"/>
      <c r="E313" s="4"/>
      <c r="H313" s="4"/>
      <c r="I313" s="4"/>
    </row>
    <row r="314" spans="4:9" x14ac:dyDescent="0.25">
      <c r="D314" s="4"/>
      <c r="E314" s="4"/>
      <c r="H314" s="4"/>
      <c r="I314" s="4"/>
    </row>
    <row r="315" spans="4:9" x14ac:dyDescent="0.25">
      <c r="D315" s="4"/>
      <c r="E315" s="4"/>
      <c r="H315" s="4"/>
      <c r="I315" s="4"/>
    </row>
    <row r="316" spans="4:9" x14ac:dyDescent="0.25">
      <c r="D316" s="4"/>
      <c r="E316" s="4"/>
      <c r="H316" s="4"/>
      <c r="I316" s="4"/>
    </row>
    <row r="317" spans="4:9" x14ac:dyDescent="0.25">
      <c r="D317" s="4"/>
      <c r="E317" s="4"/>
      <c r="H317" s="4"/>
      <c r="I317" s="4"/>
    </row>
    <row r="318" spans="4:9" x14ac:dyDescent="0.25">
      <c r="D318" s="4"/>
      <c r="E318" s="4"/>
      <c r="H318" s="4"/>
      <c r="I318" s="4"/>
    </row>
    <row r="319" spans="4:9" x14ac:dyDescent="0.25">
      <c r="D319" s="4"/>
      <c r="E319" s="4"/>
      <c r="H319" s="4"/>
      <c r="I319" s="4"/>
    </row>
    <row r="320" spans="4:9" x14ac:dyDescent="0.25">
      <c r="D320" s="4"/>
      <c r="E320" s="4"/>
      <c r="H320" s="4"/>
      <c r="I320" s="4"/>
    </row>
    <row r="321" spans="4:9" x14ac:dyDescent="0.25">
      <c r="D321" s="4"/>
      <c r="E321" s="4"/>
      <c r="H321" s="4"/>
      <c r="I321" s="4"/>
    </row>
    <row r="322" spans="4:9" x14ac:dyDescent="0.25">
      <c r="D322" s="4"/>
      <c r="E322" s="4"/>
      <c r="H322" s="4"/>
      <c r="I322" s="4"/>
    </row>
    <row r="323" spans="4:9" x14ac:dyDescent="0.25">
      <c r="D323" s="4"/>
      <c r="E323" s="4"/>
      <c r="H323" s="4"/>
      <c r="I323" s="4"/>
    </row>
    <row r="324" spans="4:9" x14ac:dyDescent="0.25">
      <c r="D324" s="4"/>
      <c r="E324" s="4"/>
      <c r="H324" s="4"/>
      <c r="I324" s="4"/>
    </row>
    <row r="325" spans="4:9" x14ac:dyDescent="0.25">
      <c r="D325" s="4"/>
      <c r="E325" s="4"/>
      <c r="H325" s="4"/>
      <c r="I325" s="4"/>
    </row>
    <row r="326" spans="4:9" x14ac:dyDescent="0.25">
      <c r="D326" s="4"/>
      <c r="E326" s="4"/>
      <c r="H326" s="4"/>
      <c r="I326" s="4"/>
    </row>
    <row r="327" spans="4:9" x14ac:dyDescent="0.25">
      <c r="D327" s="4"/>
      <c r="E327" s="4"/>
      <c r="H327" s="4"/>
      <c r="I327" s="4"/>
    </row>
    <row r="328" spans="4:9" x14ac:dyDescent="0.25">
      <c r="D328" s="4"/>
      <c r="E328" s="4"/>
      <c r="H328" s="4"/>
      <c r="I328" s="4"/>
    </row>
    <row r="329" spans="4:9" x14ac:dyDescent="0.25">
      <c r="D329" s="4"/>
      <c r="E329" s="4"/>
      <c r="H329" s="4"/>
      <c r="I329" s="4"/>
    </row>
    <row r="330" spans="4:9" x14ac:dyDescent="0.25">
      <c r="D330" s="4"/>
      <c r="E330" s="4"/>
      <c r="H330" s="4"/>
      <c r="I330" s="4"/>
    </row>
    <row r="331" spans="4:9" x14ac:dyDescent="0.25">
      <c r="D331" s="4"/>
      <c r="E331" s="4"/>
      <c r="H331" s="4"/>
      <c r="I331" s="4"/>
    </row>
    <row r="332" spans="4:9" x14ac:dyDescent="0.25">
      <c r="D332" s="4"/>
      <c r="E332" s="4"/>
      <c r="H332" s="4"/>
      <c r="I332" s="4"/>
    </row>
    <row r="333" spans="4:9" x14ac:dyDescent="0.25">
      <c r="D333" s="4"/>
      <c r="E333" s="4"/>
      <c r="H333" s="4"/>
      <c r="I333" s="4"/>
    </row>
    <row r="334" spans="4:9" x14ac:dyDescent="0.25">
      <c r="D334" s="4"/>
      <c r="E334" s="4"/>
      <c r="H334" s="4"/>
      <c r="I334" s="4"/>
    </row>
    <row r="335" spans="4:9" x14ac:dyDescent="0.25">
      <c r="D335" s="4"/>
      <c r="E335" s="4"/>
      <c r="H335" s="4"/>
      <c r="I335" s="4"/>
    </row>
    <row r="336" spans="4:9" x14ac:dyDescent="0.25">
      <c r="D336" s="4"/>
      <c r="E336" s="4"/>
      <c r="H336" s="4"/>
      <c r="I336" s="4"/>
    </row>
    <row r="337" spans="4:9" x14ac:dyDescent="0.25">
      <c r="D337" s="4"/>
      <c r="E337" s="4"/>
      <c r="H337" s="4"/>
      <c r="I337" s="4"/>
    </row>
    <row r="338" spans="4:9" x14ac:dyDescent="0.25">
      <c r="D338" s="4"/>
      <c r="E338" s="4"/>
      <c r="H338" s="4"/>
      <c r="I338" s="4"/>
    </row>
    <row r="339" spans="4:9" x14ac:dyDescent="0.25">
      <c r="D339" s="4"/>
      <c r="E339" s="4"/>
      <c r="H339" s="4"/>
      <c r="I339" s="4"/>
    </row>
    <row r="340" spans="4:9" x14ac:dyDescent="0.25">
      <c r="D340" s="4"/>
      <c r="E340" s="4"/>
      <c r="H340" s="4"/>
      <c r="I340" s="4"/>
    </row>
    <row r="341" spans="4:9" x14ac:dyDescent="0.25">
      <c r="D341" s="4"/>
      <c r="E341" s="4"/>
      <c r="H341" s="4"/>
      <c r="I341" s="4"/>
    </row>
    <row r="342" spans="4:9" x14ac:dyDescent="0.25">
      <c r="D342" s="4"/>
      <c r="E342" s="4"/>
      <c r="H342" s="4"/>
      <c r="I342" s="4"/>
    </row>
    <row r="343" spans="4:9" x14ac:dyDescent="0.25">
      <c r="D343" s="4"/>
      <c r="E343" s="4"/>
      <c r="H343" s="4"/>
      <c r="I343" s="4"/>
    </row>
    <row r="344" spans="4:9" x14ac:dyDescent="0.25">
      <c r="D344" s="4"/>
      <c r="E344" s="4"/>
      <c r="H344" s="4"/>
      <c r="I344" s="4"/>
    </row>
    <row r="345" spans="4:9" x14ac:dyDescent="0.25">
      <c r="D345" s="4"/>
      <c r="E345" s="4"/>
      <c r="H345" s="4"/>
      <c r="I345" s="4"/>
    </row>
    <row r="346" spans="4:9" x14ac:dyDescent="0.25">
      <c r="D346" s="4"/>
      <c r="E346" s="4"/>
      <c r="H346" s="4"/>
      <c r="I346" s="4"/>
    </row>
    <row r="347" spans="4:9" x14ac:dyDescent="0.25">
      <c r="D347" s="4"/>
      <c r="E347" s="4"/>
      <c r="H347" s="4"/>
      <c r="I347" s="4"/>
    </row>
    <row r="348" spans="4:9" x14ac:dyDescent="0.25">
      <c r="D348" s="4"/>
      <c r="E348" s="4"/>
      <c r="H348" s="4"/>
      <c r="I348" s="4"/>
    </row>
    <row r="349" spans="4:9" x14ac:dyDescent="0.25">
      <c r="D349" s="4"/>
      <c r="E349" s="4"/>
      <c r="H349" s="4"/>
      <c r="I349" s="4"/>
    </row>
    <row r="350" spans="4:9" x14ac:dyDescent="0.25">
      <c r="D350" s="4"/>
      <c r="E350" s="4"/>
      <c r="H350" s="4"/>
      <c r="I350" s="4"/>
    </row>
    <row r="351" spans="4:9" x14ac:dyDescent="0.25">
      <c r="D351" s="4"/>
      <c r="E351" s="4"/>
      <c r="H351" s="4"/>
      <c r="I351" s="4"/>
    </row>
    <row r="352" spans="4:9" x14ac:dyDescent="0.25">
      <c r="D352" s="4"/>
      <c r="E352" s="4"/>
      <c r="H352" s="4"/>
      <c r="I352" s="4"/>
    </row>
    <row r="353" spans="4:9" x14ac:dyDescent="0.25">
      <c r="D353" s="4"/>
      <c r="E353" s="4"/>
      <c r="H353" s="4"/>
      <c r="I353" s="4"/>
    </row>
    <row r="354" spans="4:9" x14ac:dyDescent="0.25">
      <c r="D354" s="4"/>
      <c r="E354" s="4"/>
      <c r="H354" s="4"/>
      <c r="I354" s="4"/>
    </row>
    <row r="355" spans="4:9" x14ac:dyDescent="0.25">
      <c r="D355" s="4"/>
      <c r="E355" s="4"/>
      <c r="H355" s="4"/>
      <c r="I355" s="4"/>
    </row>
    <row r="356" spans="4:9" x14ac:dyDescent="0.25">
      <c r="D356" s="4"/>
      <c r="E356" s="4"/>
      <c r="H356" s="4"/>
      <c r="I356" s="4"/>
    </row>
    <row r="357" spans="4:9" x14ac:dyDescent="0.25">
      <c r="D357" s="4"/>
      <c r="E357" s="4"/>
      <c r="H357" s="4"/>
      <c r="I357" s="4"/>
    </row>
    <row r="358" spans="4:9" x14ac:dyDescent="0.25">
      <c r="D358" s="4"/>
      <c r="E358" s="4"/>
      <c r="H358" s="4"/>
      <c r="I358" s="4"/>
    </row>
    <row r="359" spans="4:9" x14ac:dyDescent="0.25">
      <c r="D359" s="4"/>
      <c r="E359" s="4"/>
      <c r="H359" s="4"/>
      <c r="I359" s="4"/>
    </row>
    <row r="360" spans="4:9" x14ac:dyDescent="0.25">
      <c r="D360" s="4"/>
      <c r="E360" s="4"/>
      <c r="H360" s="4"/>
      <c r="I360" s="4"/>
    </row>
    <row r="361" spans="4:9" x14ac:dyDescent="0.25">
      <c r="D361" s="4"/>
      <c r="E361" s="4"/>
      <c r="H361" s="4"/>
      <c r="I361" s="4"/>
    </row>
    <row r="362" spans="4:9" x14ac:dyDescent="0.25">
      <c r="D362" s="4"/>
      <c r="E362" s="4"/>
      <c r="H362" s="4"/>
      <c r="I362" s="4"/>
    </row>
    <row r="363" spans="4:9" x14ac:dyDescent="0.25">
      <c r="D363" s="4"/>
      <c r="E363" s="4"/>
      <c r="H363" s="4"/>
      <c r="I363" s="4"/>
    </row>
    <row r="364" spans="4:9" x14ac:dyDescent="0.25">
      <c r="D364" s="4"/>
      <c r="E364" s="4"/>
      <c r="H364" s="4"/>
      <c r="I364" s="4"/>
    </row>
    <row r="365" spans="4:9" x14ac:dyDescent="0.25">
      <c r="D365" s="4"/>
      <c r="E365" s="4"/>
      <c r="H365" s="4"/>
      <c r="I365" s="4"/>
    </row>
    <row r="366" spans="4:9" x14ac:dyDescent="0.25">
      <c r="D366" s="4"/>
      <c r="E366" s="4"/>
      <c r="H366" s="4"/>
      <c r="I366" s="4"/>
    </row>
    <row r="367" spans="4:9" x14ac:dyDescent="0.25">
      <c r="D367" s="4"/>
      <c r="E367" s="4"/>
      <c r="H367" s="4"/>
      <c r="I367" s="4"/>
    </row>
    <row r="368" spans="4:9" x14ac:dyDescent="0.25">
      <c r="D368" s="4"/>
      <c r="E368" s="4"/>
      <c r="H368" s="4"/>
      <c r="I368" s="4"/>
    </row>
    <row r="369" spans="4:9" x14ac:dyDescent="0.25">
      <c r="D369" s="4"/>
      <c r="E369" s="4"/>
      <c r="H369" s="4"/>
      <c r="I369" s="4"/>
    </row>
    <row r="370" spans="4:9" x14ac:dyDescent="0.25">
      <c r="D370" s="4"/>
      <c r="E370" s="4"/>
      <c r="H370" s="4"/>
      <c r="I370" s="4"/>
    </row>
    <row r="371" spans="4:9" x14ac:dyDescent="0.25">
      <c r="D371" s="4"/>
      <c r="E371" s="4"/>
      <c r="H371" s="4"/>
      <c r="I371" s="4"/>
    </row>
    <row r="372" spans="4:9" x14ac:dyDescent="0.25">
      <c r="D372" s="4"/>
      <c r="E372" s="4"/>
      <c r="H372" s="4"/>
      <c r="I372" s="4"/>
    </row>
    <row r="373" spans="4:9" x14ac:dyDescent="0.25">
      <c r="D373" s="4"/>
      <c r="E373" s="4"/>
      <c r="H373" s="4"/>
      <c r="I373" s="4"/>
    </row>
    <row r="374" spans="4:9" x14ac:dyDescent="0.25">
      <c r="D374" s="4"/>
      <c r="E374" s="4"/>
      <c r="H374" s="4"/>
      <c r="I374" s="4"/>
    </row>
    <row r="375" spans="4:9" x14ac:dyDescent="0.25">
      <c r="D375" s="4"/>
      <c r="E375" s="4"/>
      <c r="H375" s="4"/>
      <c r="I375" s="4"/>
    </row>
    <row r="376" spans="4:9" x14ac:dyDescent="0.25">
      <c r="D376" s="4"/>
      <c r="E376" s="4"/>
      <c r="H376" s="4"/>
      <c r="I376" s="4"/>
    </row>
    <row r="377" spans="4:9" x14ac:dyDescent="0.25">
      <c r="D377" s="4"/>
      <c r="E377" s="4"/>
      <c r="H377" s="4"/>
      <c r="I377" s="4"/>
    </row>
    <row r="378" spans="4:9" x14ac:dyDescent="0.25">
      <c r="D378" s="4"/>
      <c r="E378" s="4"/>
      <c r="H378" s="4"/>
      <c r="I378" s="4"/>
    </row>
    <row r="379" spans="4:9" x14ac:dyDescent="0.25">
      <c r="D379" s="4"/>
      <c r="E379" s="4"/>
      <c r="H379" s="4"/>
      <c r="I379" s="4"/>
    </row>
    <row r="380" spans="4:9" x14ac:dyDescent="0.25">
      <c r="D380" s="4"/>
      <c r="E380" s="4"/>
      <c r="H380" s="4"/>
      <c r="I380" s="4"/>
    </row>
    <row r="381" spans="4:9" x14ac:dyDescent="0.25">
      <c r="D381" s="4"/>
      <c r="E381" s="4"/>
      <c r="H381" s="4"/>
      <c r="I381" s="4"/>
    </row>
    <row r="382" spans="4:9" x14ac:dyDescent="0.25">
      <c r="D382" s="4"/>
      <c r="E382" s="4"/>
      <c r="H382" s="4"/>
      <c r="I382" s="4"/>
    </row>
    <row r="383" spans="4:9" x14ac:dyDescent="0.25">
      <c r="D383" s="4"/>
      <c r="E383" s="4"/>
      <c r="H383" s="4"/>
      <c r="I383" s="4"/>
    </row>
    <row r="384" spans="4:9" x14ac:dyDescent="0.25">
      <c r="D384" s="4"/>
      <c r="E384" s="4"/>
      <c r="H384" s="4"/>
      <c r="I384" s="4"/>
    </row>
    <row r="385" spans="4:9" x14ac:dyDescent="0.25">
      <c r="D385" s="4"/>
      <c r="E385" s="4"/>
      <c r="H385" s="4"/>
      <c r="I385" s="4"/>
    </row>
    <row r="386" spans="4:9" x14ac:dyDescent="0.25">
      <c r="D386" s="4"/>
      <c r="E386" s="4"/>
      <c r="H386" s="4"/>
      <c r="I386" s="4"/>
    </row>
    <row r="387" spans="4:9" x14ac:dyDescent="0.25">
      <c r="D387" s="4"/>
      <c r="E387" s="4"/>
      <c r="H387" s="4"/>
      <c r="I387" s="4"/>
    </row>
    <row r="388" spans="4:9" x14ac:dyDescent="0.25">
      <c r="D388" s="4"/>
      <c r="E388" s="4"/>
      <c r="H388" s="4"/>
      <c r="I388" s="4"/>
    </row>
    <row r="389" spans="4:9" x14ac:dyDescent="0.25">
      <c r="D389" s="4"/>
      <c r="E389" s="4"/>
      <c r="H389" s="4"/>
      <c r="I389" s="4"/>
    </row>
    <row r="390" spans="4:9" x14ac:dyDescent="0.25">
      <c r="D390" s="4"/>
      <c r="E390" s="4"/>
      <c r="H390" s="4"/>
      <c r="I390" s="4"/>
    </row>
    <row r="391" spans="4:9" x14ac:dyDescent="0.25">
      <c r="D391" s="4"/>
      <c r="E391" s="4"/>
      <c r="H391" s="4"/>
      <c r="I391" s="4"/>
    </row>
    <row r="392" spans="4:9" x14ac:dyDescent="0.25">
      <c r="D392" s="4"/>
      <c r="E392" s="4"/>
      <c r="H392" s="4"/>
      <c r="I392" s="4"/>
    </row>
    <row r="393" spans="4:9" x14ac:dyDescent="0.25">
      <c r="D393" s="4"/>
      <c r="E393" s="4"/>
      <c r="H393" s="4"/>
      <c r="I393" s="4"/>
    </row>
    <row r="394" spans="4:9" x14ac:dyDescent="0.25">
      <c r="D394" s="4"/>
      <c r="E394" s="4"/>
      <c r="H394" s="4"/>
      <c r="I394" s="4"/>
    </row>
    <row r="395" spans="4:9" x14ac:dyDescent="0.25">
      <c r="D395" s="4"/>
      <c r="E395" s="4"/>
      <c r="H395" s="4"/>
      <c r="I395" s="4"/>
    </row>
    <row r="396" spans="4:9" x14ac:dyDescent="0.25">
      <c r="D396" s="4"/>
      <c r="E396" s="4"/>
      <c r="H396" s="4"/>
      <c r="I396" s="4"/>
    </row>
    <row r="397" spans="4:9" x14ac:dyDescent="0.25">
      <c r="D397" s="4"/>
      <c r="E397" s="4"/>
      <c r="H397" s="4"/>
      <c r="I397" s="4"/>
    </row>
    <row r="398" spans="4:9" x14ac:dyDescent="0.25">
      <c r="D398" s="4"/>
      <c r="E398" s="4"/>
      <c r="H398" s="4"/>
      <c r="I398" s="4"/>
    </row>
    <row r="399" spans="4:9" x14ac:dyDescent="0.25">
      <c r="D399" s="4"/>
      <c r="E399" s="4"/>
      <c r="H399" s="4"/>
      <c r="I399" s="4"/>
    </row>
    <row r="400" spans="4:9" x14ac:dyDescent="0.25">
      <c r="D400" s="4"/>
      <c r="E400" s="4"/>
      <c r="H400" s="4"/>
      <c r="I400" s="4"/>
    </row>
    <row r="401" spans="4:9" x14ac:dyDescent="0.25">
      <c r="D401" s="4"/>
      <c r="E401" s="4"/>
      <c r="H401" s="4"/>
      <c r="I401" s="4"/>
    </row>
    <row r="402" spans="4:9" x14ac:dyDescent="0.25">
      <c r="D402" s="4"/>
      <c r="E402" s="4"/>
      <c r="H402" s="4"/>
      <c r="I402" s="4"/>
    </row>
    <row r="403" spans="4:9" x14ac:dyDescent="0.25">
      <c r="D403" s="4"/>
      <c r="E403" s="4"/>
      <c r="H403" s="4"/>
      <c r="I403" s="4"/>
    </row>
    <row r="404" spans="4:9" x14ac:dyDescent="0.25">
      <c r="D404" s="4"/>
      <c r="E404" s="4"/>
      <c r="H404" s="4"/>
      <c r="I404" s="4"/>
    </row>
    <row r="405" spans="4:9" x14ac:dyDescent="0.25">
      <c r="D405" s="4"/>
      <c r="E405" s="4"/>
      <c r="H405" s="4"/>
      <c r="I405" s="4"/>
    </row>
    <row r="406" spans="4:9" x14ac:dyDescent="0.25">
      <c r="D406" s="4"/>
      <c r="E406" s="4"/>
      <c r="H406" s="4"/>
      <c r="I406" s="4"/>
    </row>
    <row r="407" spans="4:9" x14ac:dyDescent="0.25">
      <c r="D407" s="4"/>
      <c r="E407" s="4"/>
      <c r="H407" s="4"/>
      <c r="I407" s="4"/>
    </row>
    <row r="408" spans="4:9" x14ac:dyDescent="0.25">
      <c r="D408" s="4"/>
      <c r="E408" s="4"/>
      <c r="H408" s="4"/>
      <c r="I408" s="4"/>
    </row>
    <row r="409" spans="4:9" x14ac:dyDescent="0.25">
      <c r="D409" s="4"/>
      <c r="E409" s="4"/>
      <c r="H409" s="4"/>
      <c r="I409" s="4"/>
    </row>
    <row r="410" spans="4:9" x14ac:dyDescent="0.25">
      <c r="D410" s="4"/>
      <c r="E410" s="4"/>
      <c r="H410" s="4"/>
      <c r="I410" s="4"/>
    </row>
    <row r="411" spans="4:9" x14ac:dyDescent="0.25">
      <c r="D411" s="4"/>
      <c r="E411" s="4"/>
      <c r="H411" s="4"/>
      <c r="I411" s="4"/>
    </row>
    <row r="412" spans="4:9" x14ac:dyDescent="0.25">
      <c r="D412" s="4"/>
      <c r="E412" s="4"/>
      <c r="H412" s="4"/>
      <c r="I412" s="4"/>
    </row>
    <row r="413" spans="4:9" x14ac:dyDescent="0.25">
      <c r="D413" s="4"/>
      <c r="E413" s="4"/>
      <c r="H413" s="4"/>
      <c r="I413" s="4"/>
    </row>
    <row r="414" spans="4:9" x14ac:dyDescent="0.25">
      <c r="D414" s="4"/>
      <c r="E414" s="4"/>
      <c r="H414" s="4"/>
      <c r="I414" s="4"/>
    </row>
    <row r="415" spans="4:9" x14ac:dyDescent="0.25">
      <c r="D415" s="4"/>
      <c r="E415" s="4"/>
      <c r="H415" s="4"/>
      <c r="I415" s="4"/>
    </row>
    <row r="416" spans="4:9" x14ac:dyDescent="0.25">
      <c r="D416" s="4"/>
      <c r="E416" s="4"/>
      <c r="H416" s="4"/>
      <c r="I416" s="4"/>
    </row>
    <row r="417" spans="4:9" x14ac:dyDescent="0.25">
      <c r="D417" s="4"/>
      <c r="E417" s="4"/>
      <c r="H417" s="4"/>
      <c r="I417" s="4"/>
    </row>
    <row r="418" spans="4:9" x14ac:dyDescent="0.25">
      <c r="D418" s="4"/>
      <c r="E418" s="4"/>
      <c r="H418" s="4"/>
      <c r="I418" s="4"/>
    </row>
    <row r="419" spans="4:9" x14ac:dyDescent="0.25">
      <c r="D419" s="4"/>
      <c r="E419" s="4"/>
      <c r="H419" s="4"/>
      <c r="I419" s="4"/>
    </row>
    <row r="420" spans="4:9" x14ac:dyDescent="0.25">
      <c r="D420" s="4"/>
      <c r="E420" s="4"/>
      <c r="H420" s="4"/>
      <c r="I420" s="4"/>
    </row>
    <row r="421" spans="4:9" x14ac:dyDescent="0.25">
      <c r="D421" s="4"/>
      <c r="E421" s="4"/>
      <c r="H421" s="4"/>
      <c r="I421" s="4"/>
    </row>
    <row r="422" spans="4:9" x14ac:dyDescent="0.25">
      <c r="D422" s="4"/>
      <c r="E422" s="4"/>
      <c r="H422" s="4"/>
      <c r="I422" s="4"/>
    </row>
    <row r="423" spans="4:9" x14ac:dyDescent="0.25">
      <c r="D423" s="4"/>
      <c r="E423" s="4"/>
      <c r="H423" s="4"/>
      <c r="I423" s="4"/>
    </row>
    <row r="424" spans="4:9" x14ac:dyDescent="0.25">
      <c r="D424" s="4"/>
      <c r="E424" s="4"/>
      <c r="H424" s="4"/>
      <c r="I424" s="4"/>
    </row>
    <row r="425" spans="4:9" x14ac:dyDescent="0.25">
      <c r="D425" s="4"/>
      <c r="E425" s="4"/>
      <c r="H425" s="4"/>
      <c r="I425" s="4"/>
    </row>
    <row r="426" spans="4:9" x14ac:dyDescent="0.25">
      <c r="D426" s="4"/>
      <c r="E426" s="4"/>
      <c r="H426" s="4"/>
      <c r="I426" s="4"/>
    </row>
    <row r="427" spans="4:9" x14ac:dyDescent="0.25">
      <c r="D427" s="4"/>
      <c r="E427" s="4"/>
      <c r="H427" s="4"/>
      <c r="I427" s="4"/>
    </row>
    <row r="428" spans="4:9" x14ac:dyDescent="0.25">
      <c r="D428" s="4"/>
      <c r="E428" s="4"/>
      <c r="H428" s="4"/>
      <c r="I428" s="4"/>
    </row>
    <row r="429" spans="4:9" x14ac:dyDescent="0.25">
      <c r="D429" s="4"/>
      <c r="E429" s="4"/>
      <c r="H429" s="4"/>
      <c r="I429" s="4"/>
    </row>
    <row r="430" spans="4:9" x14ac:dyDescent="0.25">
      <c r="D430" s="4"/>
      <c r="E430" s="4"/>
      <c r="H430" s="4"/>
      <c r="I430" s="4"/>
    </row>
    <row r="431" spans="4:9" x14ac:dyDescent="0.25">
      <c r="D431" s="4"/>
      <c r="E431" s="4"/>
      <c r="H431" s="4"/>
      <c r="I431" s="4"/>
    </row>
    <row r="432" spans="4:9" x14ac:dyDescent="0.25">
      <c r="D432" s="4"/>
      <c r="E432" s="4"/>
      <c r="H432" s="4"/>
      <c r="I432" s="4"/>
    </row>
    <row r="433" spans="4:9" x14ac:dyDescent="0.25">
      <c r="D433" s="4"/>
      <c r="E433" s="4"/>
      <c r="H433" s="4"/>
      <c r="I433" s="4"/>
    </row>
    <row r="434" spans="4:9" x14ac:dyDescent="0.25">
      <c r="D434" s="4"/>
      <c r="E434" s="4"/>
      <c r="H434" s="4"/>
      <c r="I434" s="4"/>
    </row>
    <row r="435" spans="4:9" x14ac:dyDescent="0.25">
      <c r="D435" s="4"/>
      <c r="E435" s="4"/>
      <c r="H435" s="4"/>
      <c r="I435" s="4"/>
    </row>
    <row r="436" spans="4:9" x14ac:dyDescent="0.25">
      <c r="D436" s="4"/>
      <c r="E436" s="4"/>
      <c r="H436" s="4"/>
      <c r="I436" s="4"/>
    </row>
    <row r="437" spans="4:9" x14ac:dyDescent="0.25">
      <c r="D437" s="4"/>
      <c r="E437" s="4"/>
      <c r="H437" s="4"/>
      <c r="I437" s="4"/>
    </row>
    <row r="438" spans="4:9" x14ac:dyDescent="0.25">
      <c r="D438" s="4"/>
      <c r="E438" s="4"/>
      <c r="H438" s="4"/>
      <c r="I438" s="4"/>
    </row>
    <row r="439" spans="4:9" x14ac:dyDescent="0.25">
      <c r="D439" s="4"/>
      <c r="E439" s="4"/>
      <c r="H439" s="4"/>
      <c r="I439" s="4"/>
    </row>
    <row r="440" spans="4:9" x14ac:dyDescent="0.25">
      <c r="D440" s="4"/>
      <c r="E440" s="4"/>
      <c r="H440" s="4"/>
      <c r="I440" s="4"/>
    </row>
    <row r="441" spans="4:9" x14ac:dyDescent="0.25">
      <c r="D441" s="4"/>
      <c r="E441" s="4"/>
      <c r="H441" s="4"/>
      <c r="I441" s="4"/>
    </row>
    <row r="442" spans="4:9" x14ac:dyDescent="0.25">
      <c r="D442" s="4"/>
      <c r="E442" s="4"/>
      <c r="H442" s="4"/>
      <c r="I442" s="4"/>
    </row>
    <row r="443" spans="4:9" x14ac:dyDescent="0.25">
      <c r="D443" s="4"/>
      <c r="E443" s="4"/>
      <c r="H443" s="4"/>
      <c r="I443" s="4"/>
    </row>
    <row r="444" spans="4:9" x14ac:dyDescent="0.25">
      <c r="D444" s="4"/>
      <c r="E444" s="4"/>
      <c r="H444" s="4"/>
      <c r="I444" s="4"/>
    </row>
    <row r="445" spans="4:9" x14ac:dyDescent="0.25">
      <c r="D445" s="4"/>
      <c r="E445" s="4"/>
      <c r="H445" s="4"/>
      <c r="I445" s="4"/>
    </row>
    <row r="446" spans="4:9" x14ac:dyDescent="0.25">
      <c r="D446" s="4"/>
      <c r="E446" s="4"/>
      <c r="H446" s="4"/>
      <c r="I446" s="4"/>
    </row>
    <row r="447" spans="4:9" x14ac:dyDescent="0.25">
      <c r="D447" s="4"/>
      <c r="E447" s="4"/>
      <c r="H447" s="4"/>
      <c r="I447" s="4"/>
    </row>
    <row r="448" spans="4:9" x14ac:dyDescent="0.25">
      <c r="D448" s="4"/>
      <c r="E448" s="4"/>
      <c r="H448" s="4"/>
      <c r="I448" s="4"/>
    </row>
    <row r="449" spans="4:9" x14ac:dyDescent="0.25">
      <c r="D449" s="4"/>
      <c r="E449" s="4"/>
      <c r="H449" s="4"/>
      <c r="I449" s="4"/>
    </row>
    <row r="450" spans="4:9" x14ac:dyDescent="0.25">
      <c r="D450" s="4"/>
      <c r="E450" s="4"/>
      <c r="H450" s="4"/>
      <c r="I450" s="4"/>
    </row>
    <row r="451" spans="4:9" x14ac:dyDescent="0.25">
      <c r="D451" s="4"/>
      <c r="E451" s="4"/>
      <c r="H451" s="4"/>
      <c r="I451" s="4"/>
    </row>
    <row r="452" spans="4:9" x14ac:dyDescent="0.25">
      <c r="D452" s="4"/>
      <c r="E452" s="4"/>
      <c r="H452" s="4"/>
      <c r="I452" s="4"/>
    </row>
    <row r="453" spans="4:9" x14ac:dyDescent="0.25">
      <c r="D453" s="4"/>
      <c r="E453" s="4"/>
      <c r="H453" s="4"/>
      <c r="I453" s="4"/>
    </row>
    <row r="454" spans="4:9" x14ac:dyDescent="0.25">
      <c r="D454" s="4"/>
      <c r="E454" s="4"/>
      <c r="H454" s="4"/>
      <c r="I454" s="4"/>
    </row>
    <row r="455" spans="4:9" x14ac:dyDescent="0.25">
      <c r="D455" s="4"/>
      <c r="E455" s="4"/>
      <c r="H455" s="4"/>
      <c r="I455" s="4"/>
    </row>
    <row r="456" spans="4:9" x14ac:dyDescent="0.25">
      <c r="D456" s="4"/>
      <c r="E456" s="4"/>
      <c r="H456" s="4"/>
      <c r="I456" s="4"/>
    </row>
    <row r="457" spans="4:9" x14ac:dyDescent="0.25">
      <c r="D457" s="4"/>
      <c r="E457" s="4"/>
      <c r="H457" s="4"/>
      <c r="I457" s="4"/>
    </row>
    <row r="458" spans="4:9" x14ac:dyDescent="0.25">
      <c r="D458" s="4"/>
      <c r="E458" s="4"/>
      <c r="H458" s="4"/>
      <c r="I458" s="4"/>
    </row>
    <row r="459" spans="4:9" x14ac:dyDescent="0.25">
      <c r="D459" s="4"/>
      <c r="E459" s="4"/>
      <c r="H459" s="4"/>
      <c r="I459" s="4"/>
    </row>
    <row r="460" spans="4:9" x14ac:dyDescent="0.25">
      <c r="D460" s="4"/>
      <c r="E460" s="4"/>
      <c r="H460" s="4"/>
      <c r="I460" s="4"/>
    </row>
    <row r="461" spans="4:9" x14ac:dyDescent="0.25">
      <c r="D461" s="4"/>
      <c r="E461" s="4"/>
      <c r="H461" s="4"/>
      <c r="I461" s="4"/>
    </row>
    <row r="462" spans="4:9" x14ac:dyDescent="0.25">
      <c r="D462" s="4"/>
      <c r="E462" s="4"/>
      <c r="H462" s="4"/>
      <c r="I462" s="4"/>
    </row>
    <row r="463" spans="4:9" x14ac:dyDescent="0.25">
      <c r="D463" s="4"/>
      <c r="E463" s="4"/>
      <c r="H463" s="4"/>
      <c r="I463" s="4"/>
    </row>
    <row r="464" spans="4:9" x14ac:dyDescent="0.25">
      <c r="D464" s="4"/>
      <c r="E464" s="4"/>
      <c r="H464" s="4"/>
      <c r="I464" s="4"/>
    </row>
    <row r="465" spans="4:9" x14ac:dyDescent="0.25">
      <c r="D465" s="4"/>
      <c r="E465" s="4"/>
      <c r="H465" s="4"/>
      <c r="I465" s="4"/>
    </row>
    <row r="466" spans="4:9" x14ac:dyDescent="0.25">
      <c r="D466" s="4"/>
      <c r="E466" s="4"/>
      <c r="H466" s="4"/>
      <c r="I466" s="4"/>
    </row>
    <row r="467" spans="4:9" x14ac:dyDescent="0.25">
      <c r="D467" s="4"/>
      <c r="E467" s="4"/>
      <c r="H467" s="4"/>
      <c r="I467" s="4"/>
    </row>
    <row r="468" spans="4:9" x14ac:dyDescent="0.25">
      <c r="D468" s="4"/>
      <c r="E468" s="4"/>
      <c r="H468" s="4"/>
      <c r="I468" s="4"/>
    </row>
    <row r="469" spans="4:9" x14ac:dyDescent="0.25">
      <c r="D469" s="4"/>
      <c r="E469" s="4"/>
      <c r="H469" s="4"/>
      <c r="I469" s="4"/>
    </row>
    <row r="470" spans="4:9" x14ac:dyDescent="0.25">
      <c r="D470" s="4"/>
      <c r="E470" s="4"/>
      <c r="H470" s="4"/>
      <c r="I470" s="4"/>
    </row>
    <row r="471" spans="4:9" x14ac:dyDescent="0.25">
      <c r="D471" s="4"/>
      <c r="E471" s="4"/>
      <c r="H471" s="4"/>
      <c r="I471" s="4"/>
    </row>
    <row r="472" spans="4:9" x14ac:dyDescent="0.25">
      <c r="D472" s="4"/>
      <c r="E472" s="4"/>
      <c r="H472" s="4"/>
      <c r="I472" s="4"/>
    </row>
    <row r="473" spans="4:9" x14ac:dyDescent="0.25">
      <c r="D473" s="4"/>
      <c r="E473" s="4"/>
      <c r="H473" s="4"/>
      <c r="I473" s="4"/>
    </row>
    <row r="474" spans="4:9" x14ac:dyDescent="0.25">
      <c r="D474" s="4"/>
      <c r="E474" s="4"/>
      <c r="H474" s="4"/>
      <c r="I474" s="4"/>
    </row>
    <row r="475" spans="4:9" x14ac:dyDescent="0.25">
      <c r="D475" s="4"/>
      <c r="E475" s="4"/>
      <c r="H475" s="4"/>
      <c r="I475" s="4"/>
    </row>
    <row r="476" spans="4:9" x14ac:dyDescent="0.25">
      <c r="D476" s="4"/>
      <c r="E476" s="4"/>
      <c r="H476" s="4"/>
      <c r="I476" s="4"/>
    </row>
    <row r="477" spans="4:9" x14ac:dyDescent="0.25">
      <c r="D477" s="4"/>
      <c r="E477" s="4"/>
      <c r="H477" s="4"/>
      <c r="I477" s="4"/>
    </row>
    <row r="478" spans="4:9" x14ac:dyDescent="0.25">
      <c r="D478" s="4"/>
      <c r="E478" s="4"/>
      <c r="H478" s="4"/>
      <c r="I478" s="4"/>
    </row>
    <row r="479" spans="4:9" x14ac:dyDescent="0.25">
      <c r="D479" s="4"/>
      <c r="E479" s="4"/>
      <c r="H479" s="4"/>
      <c r="I479" s="4"/>
    </row>
    <row r="480" spans="4:9" x14ac:dyDescent="0.25">
      <c r="D480" s="4"/>
      <c r="E480" s="4"/>
      <c r="H480" s="4"/>
      <c r="I480" s="4"/>
    </row>
    <row r="481" spans="4:9" x14ac:dyDescent="0.25">
      <c r="D481" s="4"/>
      <c r="E481" s="4"/>
      <c r="H481" s="4"/>
      <c r="I481" s="4"/>
    </row>
    <row r="482" spans="4:9" x14ac:dyDescent="0.25">
      <c r="D482" s="4"/>
      <c r="E482" s="4"/>
      <c r="H482" s="4"/>
      <c r="I482" s="4"/>
    </row>
    <row r="483" spans="4:9" x14ac:dyDescent="0.25">
      <c r="D483" s="4"/>
      <c r="E483" s="4"/>
      <c r="H483" s="4"/>
      <c r="I483" s="4"/>
    </row>
    <row r="484" spans="4:9" x14ac:dyDescent="0.25">
      <c r="D484" s="4"/>
      <c r="E484" s="4"/>
      <c r="H484" s="4"/>
      <c r="I484" s="4"/>
    </row>
    <row r="485" spans="4:9" x14ac:dyDescent="0.25">
      <c r="D485" s="4"/>
      <c r="E485" s="4"/>
      <c r="H485" s="4"/>
      <c r="I485" s="4"/>
    </row>
    <row r="486" spans="4:9" x14ac:dyDescent="0.25">
      <c r="D486" s="4"/>
      <c r="E486" s="4"/>
      <c r="H486" s="4"/>
      <c r="I486" s="4"/>
    </row>
    <row r="487" spans="4:9" x14ac:dyDescent="0.25">
      <c r="D487" s="4"/>
      <c r="E487" s="4"/>
      <c r="H487" s="4"/>
      <c r="I487" s="4"/>
    </row>
    <row r="488" spans="4:9" x14ac:dyDescent="0.25">
      <c r="D488" s="4"/>
      <c r="E488" s="4"/>
      <c r="H488" s="4"/>
      <c r="I488" s="4"/>
    </row>
    <row r="489" spans="4:9" x14ac:dyDescent="0.25">
      <c r="D489" s="4"/>
      <c r="E489" s="4"/>
      <c r="H489" s="4"/>
      <c r="I489" s="4"/>
    </row>
    <row r="490" spans="4:9" x14ac:dyDescent="0.25">
      <c r="D490" s="4"/>
      <c r="E490" s="4"/>
      <c r="H490" s="4"/>
      <c r="I490" s="4"/>
    </row>
    <row r="491" spans="4:9" x14ac:dyDescent="0.25">
      <c r="D491" s="4"/>
      <c r="E491" s="4"/>
      <c r="H491" s="4"/>
      <c r="I491" s="4"/>
    </row>
    <row r="492" spans="4:9" x14ac:dyDescent="0.25">
      <c r="D492" s="4"/>
      <c r="E492" s="4"/>
      <c r="H492" s="4"/>
      <c r="I492" s="4"/>
    </row>
    <row r="493" spans="4:9" x14ac:dyDescent="0.25">
      <c r="D493" s="4"/>
      <c r="E493" s="4"/>
      <c r="H493" s="4"/>
      <c r="I493" s="4"/>
    </row>
    <row r="494" spans="4:9" x14ac:dyDescent="0.25">
      <c r="D494" s="4"/>
      <c r="E494" s="4"/>
      <c r="H494" s="4"/>
      <c r="I494" s="4"/>
    </row>
    <row r="495" spans="4:9" x14ac:dyDescent="0.25">
      <c r="D495" s="4"/>
      <c r="E495" s="4"/>
      <c r="H495" s="4"/>
      <c r="I495" s="4"/>
    </row>
    <row r="496" spans="4:9" x14ac:dyDescent="0.25">
      <c r="D496" s="4"/>
      <c r="E496" s="4"/>
      <c r="H496" s="4"/>
      <c r="I496" s="4"/>
    </row>
    <row r="497" spans="4:9" x14ac:dyDescent="0.25">
      <c r="D497" s="4"/>
      <c r="E497" s="4"/>
      <c r="H497" s="4"/>
      <c r="I497" s="4"/>
    </row>
    <row r="498" spans="4:9" x14ac:dyDescent="0.25">
      <c r="D498" s="4"/>
      <c r="E498" s="4"/>
      <c r="H498" s="4"/>
      <c r="I498" s="4"/>
    </row>
    <row r="499" spans="4:9" x14ac:dyDescent="0.25">
      <c r="D499" s="4"/>
      <c r="E499" s="4"/>
      <c r="H499" s="4"/>
      <c r="I499" s="4"/>
    </row>
    <row r="500" spans="4:9" x14ac:dyDescent="0.25">
      <c r="D500" s="4"/>
      <c r="E500" s="4"/>
      <c r="H500" s="4"/>
      <c r="I500" s="4"/>
    </row>
    <row r="501" spans="4:9" x14ac:dyDescent="0.25">
      <c r="D501" s="4"/>
      <c r="E501" s="4"/>
      <c r="H501" s="4"/>
      <c r="I501" s="4"/>
    </row>
    <row r="502" spans="4:9" x14ac:dyDescent="0.25">
      <c r="D502" s="4"/>
      <c r="E502" s="4"/>
      <c r="H502" s="4"/>
      <c r="I502" s="4"/>
    </row>
    <row r="503" spans="4:9" x14ac:dyDescent="0.25">
      <c r="D503" s="4"/>
      <c r="E503" s="4"/>
      <c r="H503" s="4"/>
      <c r="I503" s="4"/>
    </row>
    <row r="504" spans="4:9" x14ac:dyDescent="0.25">
      <c r="D504" s="4"/>
      <c r="E504" s="4"/>
      <c r="H504" s="4"/>
      <c r="I504" s="4"/>
    </row>
    <row r="505" spans="4:9" x14ac:dyDescent="0.25">
      <c r="D505" s="4"/>
      <c r="E505" s="4"/>
      <c r="H505" s="4"/>
      <c r="I505" s="4"/>
    </row>
    <row r="506" spans="4:9" x14ac:dyDescent="0.25">
      <c r="D506" s="4"/>
      <c r="E506" s="4"/>
      <c r="H506" s="4"/>
      <c r="I506" s="4"/>
    </row>
    <row r="507" spans="4:9" x14ac:dyDescent="0.25">
      <c r="D507" s="4"/>
      <c r="E507" s="4"/>
      <c r="H507" s="4"/>
      <c r="I507" s="4"/>
    </row>
    <row r="508" spans="4:9" x14ac:dyDescent="0.25">
      <c r="D508" s="4"/>
      <c r="E508" s="4"/>
      <c r="H508" s="4"/>
      <c r="I508" s="4"/>
    </row>
    <row r="509" spans="4:9" x14ac:dyDescent="0.25">
      <c r="D509" s="4"/>
      <c r="E509" s="4"/>
      <c r="H509" s="4"/>
      <c r="I509" s="4"/>
    </row>
    <row r="510" spans="4:9" x14ac:dyDescent="0.25">
      <c r="D510" s="4"/>
      <c r="E510" s="4"/>
      <c r="H510" s="4"/>
      <c r="I510" s="4"/>
    </row>
    <row r="511" spans="4:9" x14ac:dyDescent="0.25">
      <c r="D511" s="4"/>
      <c r="E511" s="4"/>
      <c r="H511" s="4"/>
      <c r="I511" s="4"/>
    </row>
    <row r="512" spans="4:9" x14ac:dyDescent="0.25">
      <c r="D512" s="4"/>
      <c r="E512" s="4"/>
      <c r="H512" s="4"/>
      <c r="I512" s="4"/>
    </row>
    <row r="513" spans="4:9" x14ac:dyDescent="0.25">
      <c r="D513" s="4"/>
      <c r="E513" s="4"/>
      <c r="H513" s="4"/>
      <c r="I513" s="4"/>
    </row>
    <row r="514" spans="4:9" x14ac:dyDescent="0.25">
      <c r="D514" s="4"/>
      <c r="E514" s="4"/>
      <c r="H514" s="4"/>
      <c r="I514" s="4"/>
    </row>
    <row r="515" spans="4:9" x14ac:dyDescent="0.25">
      <c r="D515" s="4"/>
      <c r="E515" s="4"/>
      <c r="H515" s="4"/>
      <c r="I515" s="4"/>
    </row>
    <row r="516" spans="4:9" x14ac:dyDescent="0.25">
      <c r="D516" s="4"/>
      <c r="E516" s="4"/>
      <c r="H516" s="4"/>
      <c r="I516" s="4"/>
    </row>
    <row r="517" spans="4:9" x14ac:dyDescent="0.25">
      <c r="D517" s="4"/>
      <c r="E517" s="4"/>
      <c r="H517" s="4"/>
      <c r="I517" s="4"/>
    </row>
    <row r="518" spans="4:9" x14ac:dyDescent="0.25">
      <c r="D518" s="4"/>
      <c r="E518" s="4"/>
      <c r="H518" s="4"/>
      <c r="I518" s="4"/>
    </row>
    <row r="519" spans="4:9" x14ac:dyDescent="0.25">
      <c r="D519" s="4"/>
      <c r="E519" s="4"/>
      <c r="H519" s="4"/>
      <c r="I519" s="4"/>
    </row>
    <row r="520" spans="4:9" x14ac:dyDescent="0.25">
      <c r="D520" s="4"/>
      <c r="E520" s="4"/>
      <c r="H520" s="4"/>
      <c r="I520" s="4"/>
    </row>
    <row r="521" spans="4:9" x14ac:dyDescent="0.25">
      <c r="D521" s="4"/>
      <c r="E521" s="4"/>
      <c r="H521" s="4"/>
      <c r="I521" s="4"/>
    </row>
    <row r="522" spans="4:9" x14ac:dyDescent="0.25">
      <c r="D522" s="4"/>
      <c r="E522" s="4"/>
      <c r="H522" s="4"/>
      <c r="I522" s="4"/>
    </row>
    <row r="523" spans="4:9" x14ac:dyDescent="0.25">
      <c r="D523" s="4"/>
      <c r="E523" s="4"/>
      <c r="H523" s="4"/>
      <c r="I523" s="4"/>
    </row>
    <row r="524" spans="4:9" x14ac:dyDescent="0.25">
      <c r="D524" s="4"/>
      <c r="E524" s="4"/>
      <c r="H524" s="4"/>
      <c r="I524" s="4"/>
    </row>
    <row r="525" spans="4:9" x14ac:dyDescent="0.25">
      <c r="D525" s="4"/>
      <c r="E525" s="4"/>
      <c r="H525" s="4"/>
      <c r="I525" s="4"/>
    </row>
    <row r="526" spans="4:9" x14ac:dyDescent="0.25">
      <c r="D526" s="4"/>
      <c r="E526" s="4"/>
      <c r="H526" s="4"/>
      <c r="I526" s="4"/>
    </row>
    <row r="527" spans="4:9" x14ac:dyDescent="0.25">
      <c r="D527" s="4"/>
      <c r="E527" s="4"/>
      <c r="H527" s="4"/>
      <c r="I527" s="4"/>
    </row>
    <row r="528" spans="4:9" x14ac:dyDescent="0.25">
      <c r="D528" s="4"/>
      <c r="E528" s="4"/>
      <c r="H528" s="4"/>
      <c r="I528" s="4"/>
    </row>
    <row r="529" spans="4:9" x14ac:dyDescent="0.25">
      <c r="D529" s="4"/>
      <c r="E529" s="4"/>
      <c r="H529" s="4"/>
      <c r="I529" s="4"/>
    </row>
    <row r="530" spans="4:9" x14ac:dyDescent="0.25">
      <c r="D530" s="4"/>
      <c r="E530" s="4"/>
      <c r="H530" s="4"/>
      <c r="I530" s="4"/>
    </row>
    <row r="531" spans="4:9" x14ac:dyDescent="0.25">
      <c r="D531" s="4"/>
      <c r="E531" s="4"/>
      <c r="H531" s="4"/>
      <c r="I531" s="4"/>
    </row>
    <row r="532" spans="4:9" x14ac:dyDescent="0.25">
      <c r="D532" s="4"/>
      <c r="E532" s="4"/>
      <c r="H532" s="4"/>
      <c r="I532" s="4"/>
    </row>
    <row r="533" spans="4:9" x14ac:dyDescent="0.25">
      <c r="D533" s="4"/>
      <c r="E533" s="4"/>
      <c r="H533" s="4"/>
      <c r="I533" s="4"/>
    </row>
    <row r="534" spans="4:9" x14ac:dyDescent="0.25">
      <c r="D534" s="4"/>
      <c r="E534" s="4"/>
      <c r="H534" s="4"/>
      <c r="I534" s="4"/>
    </row>
    <row r="535" spans="4:9" x14ac:dyDescent="0.25">
      <c r="D535" s="4"/>
      <c r="E535" s="4"/>
      <c r="H535" s="4"/>
      <c r="I535" s="4"/>
    </row>
    <row r="536" spans="4:9" x14ac:dyDescent="0.25">
      <c r="D536" s="4"/>
      <c r="E536" s="4"/>
      <c r="H536" s="4"/>
      <c r="I536" s="4"/>
    </row>
    <row r="537" spans="4:9" x14ac:dyDescent="0.25">
      <c r="D537" s="4"/>
      <c r="E537" s="4"/>
      <c r="H537" s="4"/>
      <c r="I537" s="4"/>
    </row>
    <row r="538" spans="4:9" x14ac:dyDescent="0.25">
      <c r="D538" s="4"/>
      <c r="E538" s="4"/>
      <c r="H538" s="4"/>
      <c r="I538" s="4"/>
    </row>
    <row r="539" spans="4:9" x14ac:dyDescent="0.25">
      <c r="D539" s="4"/>
      <c r="E539" s="4"/>
      <c r="H539" s="4"/>
      <c r="I539" s="4"/>
    </row>
    <row r="540" spans="4:9" x14ac:dyDescent="0.25">
      <c r="D540" s="4"/>
      <c r="E540" s="4"/>
      <c r="H540" s="4"/>
      <c r="I540" s="4"/>
    </row>
    <row r="541" spans="4:9" x14ac:dyDescent="0.25">
      <c r="D541" s="4"/>
      <c r="E541" s="4"/>
      <c r="H541" s="4"/>
      <c r="I541" s="4"/>
    </row>
    <row r="542" spans="4:9" x14ac:dyDescent="0.25">
      <c r="D542" s="4"/>
      <c r="E542" s="4"/>
      <c r="H542" s="4"/>
      <c r="I542" s="4"/>
    </row>
    <row r="543" spans="4:9" x14ac:dyDescent="0.25">
      <c r="D543" s="4"/>
      <c r="E543" s="4"/>
      <c r="H543" s="4"/>
      <c r="I543" s="4"/>
    </row>
    <row r="544" spans="4:9" x14ac:dyDescent="0.25">
      <c r="D544" s="4"/>
      <c r="E544" s="4"/>
      <c r="H544" s="4"/>
      <c r="I544" s="4"/>
    </row>
    <row r="545" spans="4:9" x14ac:dyDescent="0.25">
      <c r="D545" s="4"/>
      <c r="E545" s="4"/>
      <c r="H545" s="4"/>
      <c r="I545" s="4"/>
    </row>
    <row r="546" spans="4:9" x14ac:dyDescent="0.25">
      <c r="D546" s="4"/>
      <c r="E546" s="4"/>
      <c r="H546" s="4"/>
      <c r="I546" s="4"/>
    </row>
    <row r="547" spans="4:9" x14ac:dyDescent="0.25">
      <c r="D547" s="4"/>
      <c r="E547" s="4"/>
      <c r="H547" s="4"/>
      <c r="I547" s="4"/>
    </row>
    <row r="548" spans="4:9" x14ac:dyDescent="0.25">
      <c r="D548" s="4"/>
      <c r="E548" s="4"/>
      <c r="H548" s="4"/>
      <c r="I548" s="4"/>
    </row>
    <row r="549" spans="4:9" x14ac:dyDescent="0.25">
      <c r="D549" s="4"/>
      <c r="E549" s="4"/>
      <c r="H549" s="4"/>
      <c r="I549" s="4"/>
    </row>
    <row r="550" spans="4:9" x14ac:dyDescent="0.25">
      <c r="D550" s="4"/>
      <c r="E550" s="4"/>
      <c r="H550" s="4"/>
      <c r="I550" s="4"/>
    </row>
    <row r="551" spans="4:9" x14ac:dyDescent="0.25">
      <c r="D551" s="4"/>
      <c r="E551" s="4"/>
      <c r="H551" s="4"/>
      <c r="I551" s="4"/>
    </row>
    <row r="552" spans="4:9" x14ac:dyDescent="0.25">
      <c r="D552" s="4"/>
      <c r="E552" s="4"/>
      <c r="H552" s="4"/>
      <c r="I552" s="4"/>
    </row>
    <row r="553" spans="4:9" x14ac:dyDescent="0.25">
      <c r="D553" s="4"/>
      <c r="E553" s="4"/>
      <c r="H553" s="4"/>
      <c r="I553" s="4"/>
    </row>
    <row r="554" spans="4:9" x14ac:dyDescent="0.25">
      <c r="D554" s="4"/>
      <c r="E554" s="4"/>
      <c r="H554" s="4"/>
      <c r="I554" s="4"/>
    </row>
    <row r="555" spans="4:9" x14ac:dyDescent="0.25">
      <c r="D555" s="4"/>
      <c r="E555" s="4"/>
      <c r="H555" s="4"/>
      <c r="I555" s="4"/>
    </row>
    <row r="556" spans="4:9" x14ac:dyDescent="0.25">
      <c r="D556" s="4"/>
      <c r="E556" s="4"/>
      <c r="H556" s="4"/>
      <c r="I556" s="4"/>
    </row>
    <row r="557" spans="4:9" x14ac:dyDescent="0.25">
      <c r="D557" s="4"/>
      <c r="E557" s="4"/>
      <c r="H557" s="4"/>
      <c r="I557" s="4"/>
    </row>
    <row r="558" spans="4:9" x14ac:dyDescent="0.25">
      <c r="D558" s="4"/>
      <c r="E558" s="4"/>
      <c r="H558" s="4"/>
      <c r="I558" s="4"/>
    </row>
    <row r="559" spans="4:9" x14ac:dyDescent="0.25">
      <c r="D559" s="4"/>
      <c r="E559" s="4"/>
      <c r="H559" s="4"/>
      <c r="I559" s="4"/>
    </row>
    <row r="560" spans="4:9" x14ac:dyDescent="0.25">
      <c r="D560" s="4"/>
      <c r="E560" s="4"/>
      <c r="H560" s="4"/>
      <c r="I560" s="4"/>
    </row>
    <row r="561" spans="4:9" x14ac:dyDescent="0.25">
      <c r="D561" s="4"/>
      <c r="E561" s="4"/>
      <c r="H561" s="4"/>
      <c r="I561" s="4"/>
    </row>
    <row r="562" spans="4:9" x14ac:dyDescent="0.25">
      <c r="D562" s="4"/>
      <c r="E562" s="4"/>
      <c r="H562" s="4"/>
      <c r="I562" s="4"/>
    </row>
    <row r="563" spans="4:9" x14ac:dyDescent="0.25">
      <c r="D563" s="4"/>
      <c r="E563" s="4"/>
      <c r="H563" s="4"/>
      <c r="I563" s="4"/>
    </row>
    <row r="564" spans="4:9" x14ac:dyDescent="0.25">
      <c r="D564" s="4"/>
      <c r="E564" s="4"/>
      <c r="H564" s="4"/>
      <c r="I564" s="4"/>
    </row>
    <row r="565" spans="4:9" x14ac:dyDescent="0.25">
      <c r="D565" s="4"/>
      <c r="E565" s="4"/>
      <c r="H565" s="4"/>
      <c r="I565" s="4"/>
    </row>
    <row r="566" spans="4:9" x14ac:dyDescent="0.25">
      <c r="D566" s="4"/>
      <c r="E566" s="4"/>
      <c r="H566" s="4"/>
      <c r="I566" s="4"/>
    </row>
    <row r="567" spans="4:9" x14ac:dyDescent="0.25">
      <c r="D567" s="4"/>
      <c r="E567" s="4"/>
      <c r="H567" s="4"/>
      <c r="I567" s="4"/>
    </row>
    <row r="568" spans="4:9" x14ac:dyDescent="0.25">
      <c r="D568" s="4"/>
      <c r="E568" s="4"/>
      <c r="H568" s="4"/>
      <c r="I568" s="4"/>
    </row>
    <row r="569" spans="4:9" x14ac:dyDescent="0.25">
      <c r="D569" s="4"/>
      <c r="E569" s="4"/>
      <c r="H569" s="4"/>
      <c r="I569" s="4"/>
    </row>
    <row r="570" spans="4:9" x14ac:dyDescent="0.25">
      <c r="D570" s="4"/>
      <c r="E570" s="4"/>
      <c r="H570" s="4"/>
      <c r="I570" s="4"/>
    </row>
    <row r="571" spans="4:9" x14ac:dyDescent="0.25">
      <c r="D571" s="4"/>
      <c r="E571" s="4"/>
      <c r="H571" s="4"/>
      <c r="I571" s="4"/>
    </row>
    <row r="572" spans="4:9" x14ac:dyDescent="0.25">
      <c r="D572" s="4"/>
      <c r="E572" s="4"/>
      <c r="H572" s="4"/>
      <c r="I572" s="4"/>
    </row>
    <row r="573" spans="4:9" x14ac:dyDescent="0.25">
      <c r="D573" s="4"/>
      <c r="E573" s="4"/>
      <c r="H573" s="4"/>
      <c r="I573" s="4"/>
    </row>
    <row r="574" spans="4:9" x14ac:dyDescent="0.25">
      <c r="D574" s="4"/>
      <c r="E574" s="4"/>
      <c r="H574" s="4"/>
      <c r="I574" s="4"/>
    </row>
    <row r="575" spans="4:9" x14ac:dyDescent="0.25">
      <c r="D575" s="4"/>
      <c r="E575" s="4"/>
      <c r="H575" s="4"/>
      <c r="I575" s="4"/>
    </row>
    <row r="576" spans="4:9" x14ac:dyDescent="0.25">
      <c r="D576" s="4"/>
      <c r="E576" s="4"/>
      <c r="H576" s="4"/>
      <c r="I576" s="4"/>
    </row>
    <row r="577" spans="4:9" x14ac:dyDescent="0.25">
      <c r="D577" s="4"/>
      <c r="E577" s="4"/>
      <c r="H577" s="4"/>
      <c r="I577" s="4"/>
    </row>
    <row r="578" spans="4:9" x14ac:dyDescent="0.25">
      <c r="D578" s="4"/>
      <c r="E578" s="4"/>
      <c r="H578" s="4"/>
      <c r="I578" s="4"/>
    </row>
    <row r="579" spans="4:9" x14ac:dyDescent="0.25">
      <c r="D579" s="4"/>
      <c r="E579" s="4"/>
      <c r="H579" s="4"/>
      <c r="I579" s="4"/>
    </row>
    <row r="580" spans="4:9" x14ac:dyDescent="0.25">
      <c r="D580" s="4"/>
      <c r="E580" s="4"/>
      <c r="H580" s="4"/>
      <c r="I580" s="4"/>
    </row>
    <row r="581" spans="4:9" x14ac:dyDescent="0.25">
      <c r="D581" s="4"/>
      <c r="E581" s="4"/>
      <c r="H581" s="4"/>
      <c r="I581" s="4"/>
    </row>
    <row r="582" spans="4:9" x14ac:dyDescent="0.25">
      <c r="D582" s="4"/>
      <c r="E582" s="4"/>
      <c r="H582" s="4"/>
      <c r="I582" s="4"/>
    </row>
    <row r="583" spans="4:9" x14ac:dyDescent="0.25">
      <c r="D583" s="4"/>
      <c r="E583" s="4"/>
      <c r="H583" s="4"/>
      <c r="I583" s="4"/>
    </row>
    <row r="584" spans="4:9" x14ac:dyDescent="0.25">
      <c r="D584" s="4"/>
      <c r="E584" s="4"/>
      <c r="H584" s="4"/>
      <c r="I584" s="4"/>
    </row>
    <row r="585" spans="4:9" x14ac:dyDescent="0.25">
      <c r="D585" s="4"/>
      <c r="E585" s="4"/>
      <c r="H585" s="4"/>
      <c r="I585" s="4"/>
    </row>
    <row r="586" spans="4:9" x14ac:dyDescent="0.25">
      <c r="D586" s="4"/>
      <c r="E586" s="4"/>
      <c r="H586" s="4"/>
      <c r="I586" s="4"/>
    </row>
    <row r="587" spans="4:9" x14ac:dyDescent="0.25">
      <c r="D587" s="4"/>
      <c r="E587" s="4"/>
      <c r="H587" s="4"/>
      <c r="I587" s="4"/>
    </row>
    <row r="588" spans="4:9" x14ac:dyDescent="0.25">
      <c r="D588" s="4"/>
      <c r="E588" s="4"/>
      <c r="H588" s="4"/>
      <c r="I588" s="4"/>
    </row>
    <row r="589" spans="4:9" x14ac:dyDescent="0.25">
      <c r="D589" s="4"/>
      <c r="E589" s="4"/>
      <c r="H589" s="4"/>
      <c r="I589" s="4"/>
    </row>
    <row r="590" spans="4:9" x14ac:dyDescent="0.25">
      <c r="D590" s="4"/>
      <c r="E590" s="4"/>
      <c r="H590" s="4"/>
      <c r="I590" s="4"/>
    </row>
    <row r="591" spans="4:9" x14ac:dyDescent="0.25">
      <c r="D591" s="4"/>
      <c r="E591" s="4"/>
      <c r="H591" s="4"/>
      <c r="I591" s="4"/>
    </row>
    <row r="592" spans="4:9" x14ac:dyDescent="0.25">
      <c r="D592" s="4"/>
      <c r="E592" s="4"/>
      <c r="H592" s="4"/>
      <c r="I592" s="4"/>
    </row>
    <row r="593" spans="4:9" x14ac:dyDescent="0.25">
      <c r="D593" s="4"/>
      <c r="E593" s="4"/>
      <c r="H593" s="4"/>
      <c r="I593" s="4"/>
    </row>
    <row r="594" spans="4:9" x14ac:dyDescent="0.25">
      <c r="D594" s="4"/>
      <c r="E594" s="4"/>
      <c r="H594" s="4"/>
      <c r="I594" s="4"/>
    </row>
    <row r="595" spans="4:9" x14ac:dyDescent="0.25">
      <c r="D595" s="4"/>
      <c r="E595" s="4"/>
      <c r="H595" s="4"/>
      <c r="I595" s="4"/>
    </row>
    <row r="596" spans="4:9" x14ac:dyDescent="0.25">
      <c r="D596" s="4"/>
      <c r="E596" s="4"/>
      <c r="H596" s="4"/>
      <c r="I596" s="4"/>
    </row>
    <row r="597" spans="4:9" x14ac:dyDescent="0.25">
      <c r="D597" s="4"/>
      <c r="E597" s="4"/>
      <c r="H597" s="4"/>
      <c r="I597" s="4"/>
    </row>
    <row r="598" spans="4:9" x14ac:dyDescent="0.25">
      <c r="D598" s="4"/>
      <c r="E598" s="4"/>
      <c r="H598" s="4"/>
      <c r="I598" s="4"/>
    </row>
    <row r="599" spans="4:9" x14ac:dyDescent="0.25">
      <c r="D599" s="4"/>
      <c r="E599" s="4"/>
      <c r="H599" s="4"/>
      <c r="I599" s="4"/>
    </row>
    <row r="600" spans="4:9" x14ac:dyDescent="0.25">
      <c r="D600" s="4"/>
      <c r="E600" s="4"/>
      <c r="H600" s="4"/>
      <c r="I600" s="4"/>
    </row>
    <row r="601" spans="4:9" x14ac:dyDescent="0.25">
      <c r="D601" s="4"/>
      <c r="E601" s="4"/>
      <c r="H601" s="4"/>
      <c r="I601" s="4"/>
    </row>
    <row r="602" spans="4:9" x14ac:dyDescent="0.25">
      <c r="D602" s="4"/>
      <c r="E602" s="4"/>
      <c r="H602" s="4"/>
      <c r="I602" s="4"/>
    </row>
    <row r="603" spans="4:9" x14ac:dyDescent="0.25">
      <c r="D603" s="4"/>
      <c r="E603" s="4"/>
      <c r="H603" s="4"/>
      <c r="I603" s="4"/>
    </row>
    <row r="604" spans="4:9" x14ac:dyDescent="0.25">
      <c r="D604" s="4"/>
      <c r="E604" s="4"/>
      <c r="H604" s="4"/>
      <c r="I604" s="4"/>
    </row>
    <row r="605" spans="4:9" x14ac:dyDescent="0.25">
      <c r="D605" s="4"/>
      <c r="E605" s="4"/>
      <c r="H605" s="4"/>
      <c r="I605" s="4"/>
    </row>
    <row r="606" spans="4:9" x14ac:dyDescent="0.25">
      <c r="D606" s="4"/>
      <c r="E606" s="4"/>
      <c r="H606" s="4"/>
      <c r="I606" s="4"/>
    </row>
    <row r="607" spans="4:9" x14ac:dyDescent="0.25">
      <c r="D607" s="4"/>
      <c r="E607" s="4"/>
      <c r="H607" s="4"/>
      <c r="I607" s="4"/>
    </row>
    <row r="608" spans="4:9" x14ac:dyDescent="0.25">
      <c r="D608" s="4"/>
      <c r="E608" s="4"/>
      <c r="H608" s="4"/>
      <c r="I608" s="4"/>
    </row>
    <row r="609" spans="4:9" x14ac:dyDescent="0.25">
      <c r="D609" s="4"/>
      <c r="E609" s="4"/>
      <c r="H609" s="4"/>
      <c r="I609" s="4"/>
    </row>
    <row r="610" spans="4:9" x14ac:dyDescent="0.25">
      <c r="D610" s="4"/>
      <c r="E610" s="4"/>
      <c r="H610" s="4"/>
      <c r="I610" s="4"/>
    </row>
    <row r="611" spans="4:9" x14ac:dyDescent="0.25">
      <c r="D611" s="4"/>
      <c r="E611" s="4"/>
      <c r="H611" s="4"/>
      <c r="I611" s="4"/>
    </row>
    <row r="612" spans="4:9" x14ac:dyDescent="0.25">
      <c r="D612" s="4"/>
      <c r="E612" s="4"/>
      <c r="H612" s="4"/>
      <c r="I612" s="4"/>
    </row>
    <row r="613" spans="4:9" x14ac:dyDescent="0.25">
      <c r="D613" s="4"/>
      <c r="E613" s="4"/>
      <c r="H613" s="4"/>
      <c r="I613" s="4"/>
    </row>
    <row r="614" spans="4:9" x14ac:dyDescent="0.25">
      <c r="D614" s="4"/>
      <c r="E614" s="4"/>
      <c r="H614" s="4"/>
      <c r="I614" s="4"/>
    </row>
    <row r="615" spans="4:9" x14ac:dyDescent="0.25">
      <c r="D615" s="4"/>
      <c r="E615" s="4"/>
      <c r="H615" s="4"/>
      <c r="I615" s="4"/>
    </row>
    <row r="616" spans="4:9" x14ac:dyDescent="0.25">
      <c r="D616" s="4"/>
      <c r="E616" s="4"/>
      <c r="H616" s="4"/>
      <c r="I616" s="4"/>
    </row>
    <row r="617" spans="4:9" x14ac:dyDescent="0.25">
      <c r="D617" s="4"/>
      <c r="E617" s="4"/>
      <c r="H617" s="4"/>
      <c r="I617" s="4"/>
    </row>
    <row r="618" spans="4:9" x14ac:dyDescent="0.25">
      <c r="D618" s="4"/>
      <c r="E618" s="4"/>
      <c r="H618" s="4"/>
      <c r="I618" s="4"/>
    </row>
    <row r="619" spans="4:9" x14ac:dyDescent="0.25">
      <c r="D619" s="4"/>
      <c r="E619" s="4"/>
      <c r="H619" s="4"/>
      <c r="I619" s="4"/>
    </row>
    <row r="620" spans="4:9" x14ac:dyDescent="0.25">
      <c r="D620" s="4"/>
      <c r="E620" s="4"/>
      <c r="H620" s="4"/>
      <c r="I620" s="4"/>
    </row>
    <row r="621" spans="4:9" x14ac:dyDescent="0.25">
      <c r="D621" s="4"/>
      <c r="E621" s="4"/>
      <c r="H621" s="4"/>
      <c r="I621" s="4"/>
    </row>
    <row r="622" spans="4:9" x14ac:dyDescent="0.25">
      <c r="D622" s="4"/>
      <c r="E622" s="4"/>
      <c r="H622" s="4"/>
      <c r="I622" s="4"/>
    </row>
    <row r="623" spans="4:9" x14ac:dyDescent="0.25">
      <c r="D623" s="4"/>
      <c r="E623" s="4"/>
      <c r="H623" s="4"/>
      <c r="I623" s="4"/>
    </row>
    <row r="624" spans="4:9" x14ac:dyDescent="0.25">
      <c r="D624" s="4"/>
      <c r="E624" s="4"/>
      <c r="H624" s="4"/>
      <c r="I624" s="4"/>
    </row>
    <row r="625" spans="4:9" x14ac:dyDescent="0.25">
      <c r="D625" s="4"/>
      <c r="E625" s="4"/>
      <c r="H625" s="4"/>
      <c r="I625" s="4"/>
    </row>
    <row r="626" spans="4:9" x14ac:dyDescent="0.25">
      <c r="D626" s="4"/>
      <c r="E626" s="4"/>
      <c r="H626" s="4"/>
      <c r="I626" s="4"/>
    </row>
    <row r="627" spans="4:9" x14ac:dyDescent="0.25">
      <c r="D627" s="4"/>
      <c r="E627" s="4"/>
      <c r="H627" s="4"/>
      <c r="I627" s="4"/>
    </row>
    <row r="628" spans="4:9" x14ac:dyDescent="0.25">
      <c r="D628" s="4"/>
      <c r="E628" s="4"/>
      <c r="H628" s="4"/>
      <c r="I628" s="4"/>
    </row>
    <row r="629" spans="4:9" x14ac:dyDescent="0.25">
      <c r="D629" s="4"/>
      <c r="E629" s="4"/>
      <c r="H629" s="4"/>
      <c r="I629" s="4"/>
    </row>
    <row r="630" spans="4:9" x14ac:dyDescent="0.25">
      <c r="D630" s="4"/>
      <c r="E630" s="4"/>
      <c r="H630" s="4"/>
      <c r="I630" s="4"/>
    </row>
    <row r="631" spans="4:9" x14ac:dyDescent="0.25">
      <c r="D631" s="4"/>
      <c r="E631" s="4"/>
      <c r="H631" s="4"/>
      <c r="I631" s="4"/>
    </row>
    <row r="632" spans="4:9" x14ac:dyDescent="0.25">
      <c r="D632" s="4"/>
      <c r="E632" s="4"/>
      <c r="H632" s="4"/>
      <c r="I632" s="4"/>
    </row>
    <row r="633" spans="4:9" x14ac:dyDescent="0.25">
      <c r="D633" s="4"/>
      <c r="E633" s="4"/>
      <c r="H633" s="4"/>
      <c r="I633" s="4"/>
    </row>
    <row r="634" spans="4:9" x14ac:dyDescent="0.25">
      <c r="D634" s="4"/>
      <c r="E634" s="4"/>
      <c r="H634" s="4"/>
      <c r="I634" s="4"/>
    </row>
    <row r="635" spans="4:9" x14ac:dyDescent="0.25">
      <c r="D635" s="4"/>
      <c r="E635" s="4"/>
      <c r="H635" s="4"/>
      <c r="I635" s="4"/>
    </row>
    <row r="636" spans="4:9" x14ac:dyDescent="0.25">
      <c r="D636" s="4"/>
      <c r="E636" s="4"/>
      <c r="H636" s="4"/>
      <c r="I636" s="4"/>
    </row>
    <row r="637" spans="4:9" x14ac:dyDescent="0.25">
      <c r="D637" s="4"/>
      <c r="E637" s="4"/>
      <c r="H637" s="4"/>
      <c r="I637" s="4"/>
    </row>
    <row r="638" spans="4:9" x14ac:dyDescent="0.25">
      <c r="D638" s="4"/>
      <c r="E638" s="4"/>
      <c r="H638" s="4"/>
      <c r="I638" s="4"/>
    </row>
    <row r="639" spans="4:9" x14ac:dyDescent="0.25">
      <c r="D639" s="4"/>
      <c r="E639" s="4"/>
      <c r="H639" s="4"/>
      <c r="I639" s="4"/>
    </row>
    <row r="640" spans="4:9" x14ac:dyDescent="0.25">
      <c r="D640" s="4"/>
      <c r="E640" s="4"/>
      <c r="H640" s="4"/>
      <c r="I640" s="4"/>
    </row>
    <row r="641" spans="4:9" x14ac:dyDescent="0.25">
      <c r="D641" s="4"/>
      <c r="E641" s="4"/>
      <c r="H641" s="4"/>
      <c r="I641" s="4"/>
    </row>
    <row r="642" spans="4:9" x14ac:dyDescent="0.25">
      <c r="D642" s="4"/>
      <c r="E642" s="4"/>
      <c r="H642" s="4"/>
      <c r="I642" s="4"/>
    </row>
    <row r="643" spans="4:9" x14ac:dyDescent="0.25">
      <c r="D643" s="4"/>
      <c r="E643" s="4"/>
      <c r="H643" s="4"/>
      <c r="I643" s="4"/>
    </row>
    <row r="644" spans="4:9" x14ac:dyDescent="0.25">
      <c r="D644" s="4"/>
      <c r="E644" s="4"/>
      <c r="H644" s="4"/>
      <c r="I644" s="4"/>
    </row>
    <row r="645" spans="4:9" x14ac:dyDescent="0.25">
      <c r="D645" s="4"/>
      <c r="E645" s="4"/>
      <c r="H645" s="4"/>
      <c r="I645" s="4"/>
    </row>
    <row r="646" spans="4:9" x14ac:dyDescent="0.25">
      <c r="D646" s="4"/>
      <c r="E646" s="4"/>
      <c r="H646" s="4"/>
      <c r="I646" s="4"/>
    </row>
    <row r="647" spans="4:9" x14ac:dyDescent="0.25">
      <c r="D647" s="4"/>
      <c r="E647" s="4"/>
      <c r="H647" s="4"/>
      <c r="I647" s="4"/>
    </row>
    <row r="648" spans="4:9" x14ac:dyDescent="0.25">
      <c r="D648" s="4"/>
      <c r="E648" s="4"/>
      <c r="H648" s="4"/>
      <c r="I648" s="4"/>
    </row>
    <row r="649" spans="4:9" x14ac:dyDescent="0.25">
      <c r="D649" s="4"/>
      <c r="E649" s="4"/>
      <c r="H649" s="4"/>
      <c r="I649" s="4"/>
    </row>
    <row r="650" spans="4:9" x14ac:dyDescent="0.25">
      <c r="D650" s="4"/>
      <c r="E650" s="4"/>
      <c r="H650" s="4"/>
      <c r="I650" s="4"/>
    </row>
    <row r="651" spans="4:9" x14ac:dyDescent="0.25">
      <c r="D651" s="4"/>
      <c r="E651" s="4"/>
      <c r="H651" s="4"/>
      <c r="I651" s="4"/>
    </row>
    <row r="652" spans="4:9" x14ac:dyDescent="0.25">
      <c r="D652" s="4"/>
      <c r="E652" s="4"/>
      <c r="H652" s="4"/>
      <c r="I652" s="4"/>
    </row>
    <row r="653" spans="4:9" x14ac:dyDescent="0.25">
      <c r="D653" s="4"/>
      <c r="E653" s="4"/>
      <c r="H653" s="4"/>
      <c r="I653" s="4"/>
    </row>
    <row r="654" spans="4:9" x14ac:dyDescent="0.25">
      <c r="D654" s="4"/>
      <c r="E654" s="4"/>
      <c r="H654" s="4"/>
      <c r="I654" s="4"/>
    </row>
    <row r="655" spans="4:9" x14ac:dyDescent="0.25">
      <c r="D655" s="4"/>
      <c r="E655" s="4"/>
      <c r="H655" s="4"/>
      <c r="I655" s="4"/>
    </row>
    <row r="656" spans="4:9" x14ac:dyDescent="0.25">
      <c r="D656" s="4"/>
      <c r="E656" s="4"/>
      <c r="H656" s="4"/>
      <c r="I656" s="4"/>
    </row>
    <row r="657" spans="4:9" x14ac:dyDescent="0.25">
      <c r="D657" s="4"/>
      <c r="E657" s="4"/>
      <c r="H657" s="4"/>
      <c r="I657" s="4"/>
    </row>
    <row r="658" spans="4:9" x14ac:dyDescent="0.25">
      <c r="D658" s="4"/>
      <c r="E658" s="4"/>
      <c r="H658" s="4"/>
      <c r="I658" s="4"/>
    </row>
    <row r="659" spans="4:9" x14ac:dyDescent="0.25">
      <c r="D659" s="4"/>
      <c r="E659" s="4"/>
      <c r="H659" s="4"/>
      <c r="I659" s="4"/>
    </row>
    <row r="660" spans="4:9" x14ac:dyDescent="0.25">
      <c r="D660" s="4"/>
      <c r="E660" s="4"/>
      <c r="H660" s="4"/>
      <c r="I660" s="4"/>
    </row>
    <row r="661" spans="4:9" x14ac:dyDescent="0.25">
      <c r="D661" s="4"/>
      <c r="E661" s="4"/>
      <c r="H661" s="4"/>
      <c r="I661" s="4"/>
    </row>
    <row r="662" spans="4:9" x14ac:dyDescent="0.25">
      <c r="D662" s="4"/>
      <c r="E662" s="4"/>
      <c r="H662" s="4"/>
      <c r="I662" s="4"/>
    </row>
    <row r="663" spans="4:9" x14ac:dyDescent="0.25">
      <c r="D663" s="4"/>
      <c r="E663" s="4"/>
      <c r="H663" s="4"/>
      <c r="I663" s="4"/>
    </row>
    <row r="664" spans="4:9" x14ac:dyDescent="0.25">
      <c r="D664" s="4"/>
      <c r="E664" s="4"/>
      <c r="H664" s="4"/>
      <c r="I664" s="4"/>
    </row>
    <row r="665" spans="4:9" x14ac:dyDescent="0.25">
      <c r="D665" s="4"/>
      <c r="E665" s="4"/>
      <c r="H665" s="4"/>
      <c r="I665" s="4"/>
    </row>
    <row r="666" spans="4:9" x14ac:dyDescent="0.25">
      <c r="D666" s="4"/>
      <c r="E666" s="4"/>
      <c r="H666" s="4"/>
      <c r="I666" s="4"/>
    </row>
    <row r="667" spans="4:9" x14ac:dyDescent="0.25">
      <c r="D667" s="4"/>
      <c r="E667" s="4"/>
      <c r="H667" s="4"/>
      <c r="I667" s="4"/>
    </row>
    <row r="668" spans="4:9" x14ac:dyDescent="0.25">
      <c r="D668" s="4"/>
      <c r="E668" s="4"/>
      <c r="H668" s="4"/>
      <c r="I668" s="4"/>
    </row>
    <row r="669" spans="4:9" x14ac:dyDescent="0.25">
      <c r="D669" s="4"/>
      <c r="E669" s="4"/>
      <c r="H669" s="4"/>
      <c r="I669" s="4"/>
    </row>
    <row r="670" spans="4:9" x14ac:dyDescent="0.25">
      <c r="D670" s="4"/>
      <c r="E670" s="4"/>
      <c r="H670" s="4"/>
      <c r="I670" s="4"/>
    </row>
    <row r="671" spans="4:9" x14ac:dyDescent="0.25">
      <c r="D671" s="4"/>
      <c r="E671" s="4"/>
      <c r="H671" s="4"/>
      <c r="I671" s="4"/>
    </row>
    <row r="672" spans="4:9" x14ac:dyDescent="0.25">
      <c r="D672" s="4"/>
      <c r="E672" s="4"/>
      <c r="H672" s="4"/>
      <c r="I672" s="4"/>
    </row>
    <row r="673" spans="4:9" x14ac:dyDescent="0.25">
      <c r="D673" s="4"/>
      <c r="E673" s="4"/>
      <c r="H673" s="4"/>
      <c r="I673" s="4"/>
    </row>
    <row r="674" spans="4:9" x14ac:dyDescent="0.25">
      <c r="D674" s="4"/>
      <c r="E674" s="4"/>
      <c r="H674" s="4"/>
      <c r="I674" s="4"/>
    </row>
    <row r="675" spans="4:9" x14ac:dyDescent="0.25">
      <c r="D675" s="4"/>
      <c r="E675" s="4"/>
      <c r="H675" s="4"/>
      <c r="I675" s="4"/>
    </row>
    <row r="676" spans="4:9" x14ac:dyDescent="0.25">
      <c r="D676" s="4"/>
      <c r="E676" s="4"/>
      <c r="H676" s="4"/>
      <c r="I676" s="4"/>
    </row>
    <row r="677" spans="4:9" x14ac:dyDescent="0.25">
      <c r="D677" s="4"/>
      <c r="E677" s="4"/>
      <c r="H677" s="4"/>
      <c r="I677" s="4"/>
    </row>
    <row r="678" spans="4:9" x14ac:dyDescent="0.25">
      <c r="D678" s="4"/>
      <c r="E678" s="4"/>
      <c r="H678" s="4"/>
      <c r="I678" s="4"/>
    </row>
    <row r="679" spans="4:9" x14ac:dyDescent="0.25">
      <c r="D679" s="4"/>
      <c r="E679" s="4"/>
      <c r="H679" s="4"/>
      <c r="I679" s="4"/>
    </row>
    <row r="680" spans="4:9" x14ac:dyDescent="0.25">
      <c r="D680" s="4"/>
      <c r="E680" s="4"/>
      <c r="H680" s="4"/>
      <c r="I680" s="4"/>
    </row>
    <row r="681" spans="4:9" x14ac:dyDescent="0.25">
      <c r="D681" s="4"/>
      <c r="E681" s="4"/>
      <c r="H681" s="4"/>
      <c r="I681" s="4"/>
    </row>
    <row r="682" spans="4:9" x14ac:dyDescent="0.25">
      <c r="D682" s="4"/>
      <c r="E682" s="4"/>
      <c r="H682" s="4"/>
      <c r="I682" s="4"/>
    </row>
    <row r="683" spans="4:9" x14ac:dyDescent="0.25">
      <c r="D683" s="4"/>
      <c r="E683" s="4"/>
      <c r="H683" s="4"/>
      <c r="I683" s="4"/>
    </row>
    <row r="684" spans="4:9" x14ac:dyDescent="0.25">
      <c r="D684" s="4"/>
      <c r="E684" s="4"/>
      <c r="H684" s="4"/>
      <c r="I684" s="4"/>
    </row>
    <row r="685" spans="4:9" x14ac:dyDescent="0.25">
      <c r="D685" s="4"/>
      <c r="E685" s="4"/>
      <c r="H685" s="4"/>
      <c r="I685" s="4"/>
    </row>
    <row r="686" spans="4:9" x14ac:dyDescent="0.25">
      <c r="D686" s="4"/>
      <c r="E686" s="4"/>
      <c r="H686" s="4"/>
      <c r="I686" s="4"/>
    </row>
    <row r="687" spans="4:9" x14ac:dyDescent="0.25">
      <c r="D687" s="4"/>
      <c r="E687" s="4"/>
      <c r="H687" s="4"/>
      <c r="I687" s="4"/>
    </row>
    <row r="688" spans="4:9" x14ac:dyDescent="0.25">
      <c r="D688" s="4"/>
      <c r="E688" s="4"/>
      <c r="H688" s="4"/>
      <c r="I688" s="4"/>
    </row>
    <row r="689" spans="4:9" x14ac:dyDescent="0.25">
      <c r="D689" s="4"/>
      <c r="E689" s="4"/>
      <c r="H689" s="4"/>
      <c r="I689" s="4"/>
    </row>
    <row r="690" spans="4:9" x14ac:dyDescent="0.25">
      <c r="D690" s="4"/>
      <c r="E690" s="4"/>
      <c r="H690" s="4"/>
      <c r="I690" s="4"/>
    </row>
    <row r="691" spans="4:9" x14ac:dyDescent="0.25">
      <c r="D691" s="4"/>
      <c r="E691" s="4"/>
      <c r="H691" s="4"/>
      <c r="I691" s="4"/>
    </row>
    <row r="692" spans="4:9" x14ac:dyDescent="0.25">
      <c r="D692" s="4"/>
      <c r="E692" s="4"/>
      <c r="H692" s="4"/>
      <c r="I692" s="4"/>
    </row>
    <row r="693" spans="4:9" x14ac:dyDescent="0.25">
      <c r="D693" s="4"/>
      <c r="E693" s="4"/>
      <c r="H693" s="4"/>
      <c r="I693" s="4"/>
    </row>
    <row r="694" spans="4:9" x14ac:dyDescent="0.25">
      <c r="D694" s="4"/>
      <c r="E694" s="4"/>
      <c r="H694" s="4"/>
      <c r="I694" s="4"/>
    </row>
    <row r="695" spans="4:9" x14ac:dyDescent="0.25">
      <c r="D695" s="4"/>
      <c r="E695" s="4"/>
      <c r="H695" s="4"/>
      <c r="I695" s="4"/>
    </row>
    <row r="696" spans="4:9" x14ac:dyDescent="0.25">
      <c r="D696" s="4"/>
      <c r="E696" s="4"/>
      <c r="H696" s="4"/>
      <c r="I696" s="4"/>
    </row>
    <row r="697" spans="4:9" x14ac:dyDescent="0.25">
      <c r="D697" s="4"/>
      <c r="E697" s="4"/>
      <c r="H697" s="4"/>
      <c r="I697" s="4"/>
    </row>
    <row r="698" spans="4:9" x14ac:dyDescent="0.25">
      <c r="D698" s="4"/>
      <c r="E698" s="4"/>
      <c r="H698" s="4"/>
      <c r="I698" s="4"/>
    </row>
    <row r="699" spans="4:9" x14ac:dyDescent="0.25">
      <c r="D699" s="4"/>
      <c r="E699" s="4"/>
      <c r="H699" s="4"/>
      <c r="I699" s="4"/>
    </row>
    <row r="700" spans="4:9" x14ac:dyDescent="0.25">
      <c r="D700" s="4"/>
      <c r="E700" s="4"/>
      <c r="H700" s="4"/>
      <c r="I700" s="4"/>
    </row>
    <row r="701" spans="4:9" x14ac:dyDescent="0.25">
      <c r="D701" s="4"/>
      <c r="E701" s="4"/>
      <c r="H701" s="4"/>
      <c r="I701" s="4"/>
    </row>
    <row r="702" spans="4:9" x14ac:dyDescent="0.25">
      <c r="D702" s="4"/>
      <c r="E702" s="4"/>
      <c r="H702" s="4"/>
      <c r="I702" s="4"/>
    </row>
    <row r="703" spans="4:9" x14ac:dyDescent="0.25">
      <c r="D703" s="4"/>
      <c r="E703" s="4"/>
      <c r="H703" s="4"/>
      <c r="I703" s="4"/>
    </row>
    <row r="704" spans="4:9" x14ac:dyDescent="0.25">
      <c r="D704" s="4"/>
      <c r="E704" s="4"/>
      <c r="H704" s="4"/>
      <c r="I704" s="4"/>
    </row>
    <row r="705" spans="4:9" x14ac:dyDescent="0.25">
      <c r="D705" s="4"/>
      <c r="E705" s="4"/>
      <c r="H705" s="4"/>
      <c r="I705" s="4"/>
    </row>
    <row r="706" spans="4:9" x14ac:dyDescent="0.25">
      <c r="D706" s="4"/>
      <c r="E706" s="4"/>
      <c r="H706" s="4"/>
      <c r="I706" s="4"/>
    </row>
    <row r="707" spans="4:9" x14ac:dyDescent="0.25">
      <c r="D707" s="4"/>
      <c r="E707" s="4"/>
      <c r="H707" s="4"/>
      <c r="I707" s="4"/>
    </row>
    <row r="708" spans="4:9" x14ac:dyDescent="0.25">
      <c r="D708" s="4"/>
      <c r="E708" s="4"/>
      <c r="H708" s="4"/>
      <c r="I708" s="4"/>
    </row>
    <row r="709" spans="4:9" x14ac:dyDescent="0.25">
      <c r="D709" s="4"/>
      <c r="E709" s="4"/>
      <c r="H709" s="4"/>
      <c r="I709" s="4"/>
    </row>
    <row r="710" spans="4:9" x14ac:dyDescent="0.25">
      <c r="D710" s="4"/>
      <c r="E710" s="4"/>
      <c r="H710" s="4"/>
      <c r="I710" s="4"/>
    </row>
    <row r="711" spans="4:9" x14ac:dyDescent="0.25">
      <c r="D711" s="4"/>
      <c r="E711" s="4"/>
      <c r="H711" s="4"/>
      <c r="I711" s="4"/>
    </row>
    <row r="712" spans="4:9" x14ac:dyDescent="0.25">
      <c r="D712" s="4"/>
      <c r="E712" s="4"/>
      <c r="H712" s="4"/>
      <c r="I712" s="4"/>
    </row>
    <row r="713" spans="4:9" x14ac:dyDescent="0.25">
      <c r="D713" s="4"/>
      <c r="E713" s="4"/>
      <c r="H713" s="4"/>
      <c r="I713" s="4"/>
    </row>
    <row r="714" spans="4:9" x14ac:dyDescent="0.25">
      <c r="D714" s="4"/>
      <c r="E714" s="4"/>
      <c r="H714" s="4"/>
      <c r="I714" s="4"/>
    </row>
    <row r="715" spans="4:9" x14ac:dyDescent="0.25">
      <c r="D715" s="4"/>
      <c r="E715" s="4"/>
      <c r="H715" s="4"/>
      <c r="I715" s="4"/>
    </row>
    <row r="716" spans="4:9" x14ac:dyDescent="0.25">
      <c r="D716" s="4"/>
      <c r="E716" s="4"/>
      <c r="H716" s="4"/>
      <c r="I716" s="4"/>
    </row>
    <row r="717" spans="4:9" x14ac:dyDescent="0.25">
      <c r="D717" s="4"/>
      <c r="E717" s="4"/>
      <c r="H717" s="4"/>
      <c r="I717" s="4"/>
    </row>
    <row r="718" spans="4:9" x14ac:dyDescent="0.25">
      <c r="D718" s="4"/>
      <c r="E718" s="4"/>
      <c r="H718" s="4"/>
      <c r="I718" s="4"/>
    </row>
    <row r="719" spans="4:9" x14ac:dyDescent="0.25">
      <c r="D719" s="4"/>
      <c r="E719" s="4"/>
      <c r="H719" s="4"/>
      <c r="I719" s="4"/>
    </row>
    <row r="720" spans="4:9" x14ac:dyDescent="0.25">
      <c r="D720" s="4"/>
      <c r="E720" s="4"/>
      <c r="H720" s="4"/>
      <c r="I720" s="4"/>
    </row>
    <row r="721" spans="4:9" x14ac:dyDescent="0.25">
      <c r="D721" s="4"/>
      <c r="E721" s="4"/>
      <c r="H721" s="4"/>
      <c r="I721" s="4"/>
    </row>
    <row r="722" spans="4:9" x14ac:dyDescent="0.25">
      <c r="D722" s="4"/>
      <c r="E722" s="4"/>
      <c r="H722" s="4"/>
      <c r="I722" s="4"/>
    </row>
    <row r="723" spans="4:9" x14ac:dyDescent="0.25">
      <c r="D723" s="4"/>
      <c r="E723" s="4"/>
      <c r="H723" s="4"/>
      <c r="I723" s="4"/>
    </row>
    <row r="724" spans="4:9" x14ac:dyDescent="0.25">
      <c r="D724" s="4"/>
      <c r="E724" s="4"/>
      <c r="H724" s="4"/>
      <c r="I724" s="4"/>
    </row>
    <row r="725" spans="4:9" x14ac:dyDescent="0.25">
      <c r="D725" s="4"/>
      <c r="E725" s="4"/>
      <c r="H725" s="4"/>
      <c r="I725" s="4"/>
    </row>
    <row r="726" spans="4:9" x14ac:dyDescent="0.25">
      <c r="D726" s="4"/>
      <c r="E726" s="4"/>
      <c r="H726" s="4"/>
      <c r="I726" s="4"/>
    </row>
    <row r="727" spans="4:9" x14ac:dyDescent="0.25">
      <c r="D727" s="4"/>
      <c r="E727" s="4"/>
      <c r="H727" s="4"/>
      <c r="I727" s="4"/>
    </row>
    <row r="728" spans="4:9" x14ac:dyDescent="0.25">
      <c r="D728" s="4"/>
      <c r="E728" s="4"/>
      <c r="H728" s="4"/>
      <c r="I728" s="4"/>
    </row>
    <row r="729" spans="4:9" x14ac:dyDescent="0.25">
      <c r="D729" s="4"/>
      <c r="E729" s="4"/>
      <c r="H729" s="4"/>
      <c r="I729" s="4"/>
    </row>
    <row r="730" spans="4:9" x14ac:dyDescent="0.25">
      <c r="D730" s="4"/>
      <c r="E730" s="4"/>
      <c r="H730" s="4"/>
      <c r="I730" s="4"/>
    </row>
    <row r="731" spans="4:9" x14ac:dyDescent="0.25">
      <c r="D731" s="4"/>
      <c r="E731" s="4"/>
      <c r="H731" s="4"/>
      <c r="I731" s="4"/>
    </row>
    <row r="732" spans="4:9" x14ac:dyDescent="0.25">
      <c r="D732" s="4"/>
      <c r="E732" s="4"/>
      <c r="H732" s="4"/>
      <c r="I732" s="4"/>
    </row>
    <row r="733" spans="4:9" x14ac:dyDescent="0.25">
      <c r="D733" s="4"/>
      <c r="E733" s="4"/>
      <c r="H733" s="4"/>
      <c r="I733" s="4"/>
    </row>
    <row r="734" spans="4:9" x14ac:dyDescent="0.25">
      <c r="D734" s="4"/>
      <c r="E734" s="4"/>
      <c r="H734" s="4"/>
      <c r="I734" s="4"/>
    </row>
    <row r="735" spans="4:9" x14ac:dyDescent="0.25">
      <c r="D735" s="4"/>
      <c r="E735" s="4"/>
      <c r="H735" s="4"/>
      <c r="I735" s="4"/>
    </row>
    <row r="736" spans="4:9" x14ac:dyDescent="0.25">
      <c r="D736" s="4"/>
      <c r="E736" s="4"/>
      <c r="H736" s="4"/>
      <c r="I736" s="4"/>
    </row>
    <row r="737" spans="4:9" x14ac:dyDescent="0.25">
      <c r="D737" s="4"/>
      <c r="E737" s="4"/>
      <c r="H737" s="4"/>
      <c r="I737" s="4"/>
    </row>
    <row r="738" spans="4:9" x14ac:dyDescent="0.25">
      <c r="D738" s="4"/>
      <c r="E738" s="4"/>
      <c r="H738" s="4"/>
      <c r="I738" s="4"/>
    </row>
    <row r="739" spans="4:9" x14ac:dyDescent="0.25">
      <c r="D739" s="4"/>
      <c r="E739" s="4"/>
      <c r="H739" s="4"/>
      <c r="I739" s="4"/>
    </row>
    <row r="740" spans="4:9" x14ac:dyDescent="0.25">
      <c r="D740" s="4"/>
      <c r="E740" s="4"/>
      <c r="H740" s="4"/>
      <c r="I740" s="4"/>
    </row>
    <row r="741" spans="4:9" x14ac:dyDescent="0.25">
      <c r="D741" s="4"/>
      <c r="E741" s="4"/>
      <c r="H741" s="4"/>
      <c r="I741" s="4"/>
    </row>
    <row r="742" spans="4:9" x14ac:dyDescent="0.25">
      <c r="D742" s="4"/>
      <c r="E742" s="4"/>
      <c r="H742" s="4"/>
      <c r="I742" s="4"/>
    </row>
    <row r="743" spans="4:9" x14ac:dyDescent="0.25">
      <c r="D743" s="4"/>
      <c r="E743" s="4"/>
      <c r="H743" s="4"/>
      <c r="I743" s="4"/>
    </row>
    <row r="744" spans="4:9" x14ac:dyDescent="0.25">
      <c r="D744" s="4"/>
      <c r="E744" s="4"/>
      <c r="H744" s="4"/>
      <c r="I744" s="4"/>
    </row>
    <row r="745" spans="4:9" x14ac:dyDescent="0.25">
      <c r="D745" s="4"/>
      <c r="E745" s="4"/>
      <c r="H745" s="4"/>
      <c r="I745" s="4"/>
    </row>
    <row r="746" spans="4:9" x14ac:dyDescent="0.25">
      <c r="D746" s="4"/>
      <c r="E746" s="4"/>
      <c r="H746" s="4"/>
      <c r="I746" s="4"/>
    </row>
    <row r="747" spans="4:9" x14ac:dyDescent="0.25">
      <c r="D747" s="4"/>
      <c r="E747" s="4"/>
      <c r="H747" s="4"/>
      <c r="I747" s="4"/>
    </row>
    <row r="748" spans="4:9" x14ac:dyDescent="0.25">
      <c r="D748" s="4"/>
      <c r="E748" s="4"/>
      <c r="H748" s="4"/>
      <c r="I748" s="4"/>
    </row>
    <row r="749" spans="4:9" x14ac:dyDescent="0.25">
      <c r="D749" s="4"/>
      <c r="E749" s="4"/>
      <c r="H749" s="4"/>
      <c r="I749" s="4"/>
    </row>
    <row r="750" spans="4:9" x14ac:dyDescent="0.25">
      <c r="D750" s="4"/>
      <c r="E750" s="4"/>
      <c r="H750" s="4"/>
      <c r="I750" s="4"/>
    </row>
    <row r="751" spans="4:9" x14ac:dyDescent="0.25">
      <c r="D751" s="4"/>
      <c r="E751" s="4"/>
      <c r="H751" s="4"/>
      <c r="I751" s="4"/>
    </row>
    <row r="752" spans="4:9" x14ac:dyDescent="0.25">
      <c r="D752" s="4"/>
      <c r="E752" s="4"/>
      <c r="H752" s="4"/>
      <c r="I752" s="4"/>
    </row>
    <row r="753" spans="4:9" x14ac:dyDescent="0.25">
      <c r="D753" s="4"/>
      <c r="E753" s="4"/>
      <c r="H753" s="4"/>
      <c r="I753" s="4"/>
    </row>
    <row r="754" spans="4:9" x14ac:dyDescent="0.25">
      <c r="D754" s="4"/>
      <c r="E754" s="4"/>
      <c r="H754" s="4"/>
      <c r="I754" s="4"/>
    </row>
    <row r="755" spans="4:9" x14ac:dyDescent="0.25">
      <c r="D755" s="4"/>
      <c r="E755" s="4"/>
      <c r="H755" s="4"/>
      <c r="I755" s="4"/>
    </row>
    <row r="756" spans="4:9" x14ac:dyDescent="0.25">
      <c r="D756" s="4"/>
      <c r="E756" s="4"/>
      <c r="H756" s="4"/>
      <c r="I756" s="4"/>
    </row>
    <row r="757" spans="4:9" x14ac:dyDescent="0.25">
      <c r="D757" s="4"/>
      <c r="E757" s="4"/>
      <c r="H757" s="4"/>
      <c r="I757" s="4"/>
    </row>
    <row r="758" spans="4:9" x14ac:dyDescent="0.25">
      <c r="D758" s="4"/>
      <c r="E758" s="4"/>
      <c r="H758" s="4"/>
      <c r="I758" s="4"/>
    </row>
    <row r="759" spans="4:9" x14ac:dyDescent="0.25">
      <c r="D759" s="4"/>
      <c r="E759" s="4"/>
      <c r="H759" s="4"/>
      <c r="I759" s="4"/>
    </row>
    <row r="760" spans="4:9" x14ac:dyDescent="0.25">
      <c r="D760" s="4"/>
      <c r="E760" s="4"/>
      <c r="H760" s="4"/>
      <c r="I760" s="4"/>
    </row>
    <row r="761" spans="4:9" x14ac:dyDescent="0.25">
      <c r="D761" s="4"/>
      <c r="E761" s="4"/>
      <c r="H761" s="4"/>
      <c r="I761" s="4"/>
    </row>
    <row r="762" spans="4:9" x14ac:dyDescent="0.25">
      <c r="D762" s="4"/>
      <c r="E762" s="4"/>
      <c r="H762" s="4"/>
      <c r="I762" s="4"/>
    </row>
    <row r="763" spans="4:9" x14ac:dyDescent="0.25">
      <c r="D763" s="4"/>
      <c r="E763" s="4"/>
      <c r="H763" s="4"/>
      <c r="I763" s="4"/>
    </row>
    <row r="764" spans="4:9" x14ac:dyDescent="0.25">
      <c r="D764" s="4"/>
      <c r="E764" s="4"/>
      <c r="H764" s="4"/>
      <c r="I764" s="4"/>
    </row>
    <row r="765" spans="4:9" x14ac:dyDescent="0.25">
      <c r="D765" s="4"/>
      <c r="E765" s="4"/>
      <c r="H765" s="4"/>
      <c r="I765" s="4"/>
    </row>
    <row r="766" spans="4:9" x14ac:dyDescent="0.25">
      <c r="D766" s="4"/>
      <c r="E766" s="4"/>
      <c r="H766" s="4"/>
      <c r="I766" s="4"/>
    </row>
    <row r="767" spans="4:9" x14ac:dyDescent="0.25">
      <c r="D767" s="4"/>
      <c r="E767" s="4"/>
      <c r="H767" s="4"/>
      <c r="I767" s="4"/>
    </row>
    <row r="768" spans="4:9" x14ac:dyDescent="0.25">
      <c r="D768" s="4"/>
      <c r="E768" s="4"/>
      <c r="H768" s="4"/>
      <c r="I768" s="4"/>
    </row>
    <row r="769" spans="4:9" x14ac:dyDescent="0.25">
      <c r="D769" s="4"/>
      <c r="E769" s="4"/>
      <c r="H769" s="4"/>
      <c r="I769" s="4"/>
    </row>
    <row r="770" spans="4:9" x14ac:dyDescent="0.25">
      <c r="D770" s="4"/>
      <c r="E770" s="4"/>
      <c r="H770" s="4"/>
      <c r="I770" s="4"/>
    </row>
    <row r="771" spans="4:9" x14ac:dyDescent="0.25">
      <c r="D771" s="4"/>
      <c r="E771" s="4"/>
      <c r="H771" s="4"/>
      <c r="I771" s="4"/>
    </row>
    <row r="772" spans="4:9" x14ac:dyDescent="0.25">
      <c r="D772" s="4"/>
      <c r="E772" s="4"/>
      <c r="H772" s="4"/>
      <c r="I772" s="4"/>
    </row>
    <row r="773" spans="4:9" x14ac:dyDescent="0.25">
      <c r="D773" s="4"/>
      <c r="E773" s="4"/>
      <c r="H773" s="4"/>
      <c r="I773" s="4"/>
    </row>
    <row r="774" spans="4:9" x14ac:dyDescent="0.25">
      <c r="D774" s="4"/>
      <c r="E774" s="4"/>
      <c r="H774" s="4"/>
      <c r="I774" s="4"/>
    </row>
    <row r="775" spans="4:9" x14ac:dyDescent="0.25">
      <c r="D775" s="4"/>
      <c r="E775" s="4"/>
      <c r="H775" s="4"/>
      <c r="I775" s="4"/>
    </row>
    <row r="776" spans="4:9" x14ac:dyDescent="0.25">
      <c r="D776" s="4"/>
      <c r="E776" s="4"/>
      <c r="H776" s="4"/>
      <c r="I776" s="4"/>
    </row>
    <row r="777" spans="4:9" x14ac:dyDescent="0.25">
      <c r="D777" s="4"/>
      <c r="E777" s="4"/>
      <c r="H777" s="4"/>
      <c r="I777" s="4"/>
    </row>
    <row r="778" spans="4:9" x14ac:dyDescent="0.25">
      <c r="D778" s="4"/>
      <c r="E778" s="4"/>
      <c r="H778" s="4"/>
      <c r="I778" s="4"/>
    </row>
    <row r="779" spans="4:9" x14ac:dyDescent="0.25">
      <c r="D779" s="4"/>
      <c r="E779" s="4"/>
      <c r="H779" s="4"/>
      <c r="I779" s="4"/>
    </row>
    <row r="780" spans="4:9" x14ac:dyDescent="0.25">
      <c r="D780" s="4"/>
      <c r="E780" s="4"/>
      <c r="H780" s="4"/>
      <c r="I780" s="4"/>
    </row>
    <row r="781" spans="4:9" x14ac:dyDescent="0.25">
      <c r="D781" s="4"/>
      <c r="E781" s="4"/>
      <c r="H781" s="4"/>
      <c r="I781" s="4"/>
    </row>
    <row r="782" spans="4:9" x14ac:dyDescent="0.25">
      <c r="D782" s="4"/>
      <c r="E782" s="4"/>
      <c r="H782" s="4"/>
      <c r="I782" s="4"/>
    </row>
    <row r="783" spans="4:9" x14ac:dyDescent="0.25">
      <c r="D783" s="4"/>
      <c r="E783" s="4"/>
      <c r="H783" s="4"/>
      <c r="I783" s="4"/>
    </row>
    <row r="784" spans="4:9" x14ac:dyDescent="0.25">
      <c r="D784" s="4"/>
      <c r="E784" s="4"/>
      <c r="H784" s="4"/>
      <c r="I784" s="4"/>
    </row>
    <row r="785" spans="4:9" x14ac:dyDescent="0.25">
      <c r="D785" s="4"/>
      <c r="E785" s="4"/>
      <c r="H785" s="4"/>
      <c r="I785" s="4"/>
    </row>
    <row r="786" spans="4:9" x14ac:dyDescent="0.25">
      <c r="D786" s="4"/>
      <c r="E786" s="4"/>
      <c r="H786" s="4"/>
      <c r="I786" s="4"/>
    </row>
    <row r="787" spans="4:9" x14ac:dyDescent="0.25">
      <c r="D787" s="4"/>
      <c r="E787" s="4"/>
      <c r="H787" s="4"/>
      <c r="I787" s="4"/>
    </row>
    <row r="788" spans="4:9" x14ac:dyDescent="0.25">
      <c r="D788" s="4"/>
      <c r="E788" s="4"/>
      <c r="H788" s="4"/>
      <c r="I788" s="4"/>
    </row>
    <row r="789" spans="4:9" x14ac:dyDescent="0.25">
      <c r="D789" s="4"/>
      <c r="E789" s="4"/>
      <c r="H789" s="4"/>
      <c r="I789" s="4"/>
    </row>
    <row r="790" spans="4:9" x14ac:dyDescent="0.25">
      <c r="D790" s="4"/>
      <c r="E790" s="4"/>
      <c r="H790" s="4"/>
      <c r="I790" s="4"/>
    </row>
    <row r="791" spans="4:9" x14ac:dyDescent="0.25">
      <c r="D791" s="4"/>
      <c r="E791" s="4"/>
      <c r="H791" s="4"/>
      <c r="I791" s="4"/>
    </row>
    <row r="792" spans="4:9" x14ac:dyDescent="0.25">
      <c r="D792" s="4"/>
      <c r="E792" s="4"/>
      <c r="H792" s="4"/>
      <c r="I792" s="4"/>
    </row>
    <row r="793" spans="4:9" x14ac:dyDescent="0.25">
      <c r="D793" s="4"/>
      <c r="E793" s="4"/>
      <c r="H793" s="4"/>
      <c r="I793" s="4"/>
    </row>
    <row r="794" spans="4:9" x14ac:dyDescent="0.25">
      <c r="D794" s="4"/>
      <c r="E794" s="4"/>
      <c r="H794" s="4"/>
      <c r="I794" s="4"/>
    </row>
    <row r="795" spans="4:9" x14ac:dyDescent="0.25">
      <c r="D795" s="4"/>
      <c r="E795" s="4"/>
      <c r="H795" s="4"/>
      <c r="I795" s="4"/>
    </row>
    <row r="796" spans="4:9" x14ac:dyDescent="0.25">
      <c r="D796" s="4"/>
      <c r="E796" s="4"/>
      <c r="H796" s="4"/>
      <c r="I796" s="4"/>
    </row>
    <row r="797" spans="4:9" x14ac:dyDescent="0.25">
      <c r="D797" s="4"/>
      <c r="E797" s="4"/>
      <c r="H797" s="4"/>
      <c r="I797" s="4"/>
    </row>
    <row r="798" spans="4:9" x14ac:dyDescent="0.25">
      <c r="D798" s="4"/>
      <c r="E798" s="4"/>
      <c r="H798" s="4"/>
      <c r="I798" s="4"/>
    </row>
    <row r="799" spans="4:9" x14ac:dyDescent="0.25">
      <c r="D799" s="4"/>
      <c r="E799" s="4"/>
      <c r="H799" s="4"/>
      <c r="I799" s="4"/>
    </row>
    <row r="800" spans="4:9" x14ac:dyDescent="0.25">
      <c r="D800" s="4"/>
      <c r="E800" s="4"/>
      <c r="H800" s="4"/>
      <c r="I800" s="4"/>
    </row>
    <row r="801" spans="4:9" x14ac:dyDescent="0.25">
      <c r="D801" s="4"/>
      <c r="E801" s="4"/>
      <c r="H801" s="4"/>
      <c r="I801" s="4"/>
    </row>
    <row r="802" spans="4:9" x14ac:dyDescent="0.25">
      <c r="D802" s="4"/>
      <c r="E802" s="4"/>
      <c r="H802" s="4"/>
      <c r="I802" s="4"/>
    </row>
    <row r="803" spans="4:9" x14ac:dyDescent="0.25">
      <c r="D803" s="4"/>
      <c r="E803" s="4"/>
      <c r="H803" s="4"/>
      <c r="I803" s="4"/>
    </row>
    <row r="804" spans="4:9" x14ac:dyDescent="0.25">
      <c r="D804" s="4"/>
      <c r="E804" s="4"/>
      <c r="H804" s="4"/>
      <c r="I804" s="4"/>
    </row>
    <row r="805" spans="4:9" x14ac:dyDescent="0.25">
      <c r="D805" s="4"/>
      <c r="E805" s="4"/>
      <c r="H805" s="4"/>
      <c r="I805" s="4"/>
    </row>
    <row r="806" spans="4:9" x14ac:dyDescent="0.25">
      <c r="D806" s="4"/>
      <c r="E806" s="4"/>
      <c r="H806" s="4"/>
      <c r="I806" s="4"/>
    </row>
    <row r="807" spans="4:9" x14ac:dyDescent="0.25">
      <c r="D807" s="4"/>
      <c r="E807" s="4"/>
      <c r="H807" s="4"/>
      <c r="I807" s="4"/>
    </row>
    <row r="808" spans="4:9" x14ac:dyDescent="0.25">
      <c r="D808" s="4"/>
      <c r="E808" s="4"/>
      <c r="H808" s="4"/>
      <c r="I808" s="4"/>
    </row>
    <row r="809" spans="4:9" x14ac:dyDescent="0.25">
      <c r="D809" s="4"/>
      <c r="E809" s="4"/>
      <c r="H809" s="4"/>
      <c r="I809" s="4"/>
    </row>
    <row r="810" spans="4:9" x14ac:dyDescent="0.25">
      <c r="D810" s="4"/>
      <c r="E810" s="4"/>
      <c r="H810" s="4"/>
      <c r="I810" s="4"/>
    </row>
    <row r="811" spans="4:9" x14ac:dyDescent="0.25">
      <c r="D811" s="4"/>
      <c r="E811" s="4"/>
      <c r="H811" s="4"/>
      <c r="I811" s="4"/>
    </row>
    <row r="812" spans="4:9" x14ac:dyDescent="0.25">
      <c r="D812" s="4"/>
      <c r="E812" s="4"/>
      <c r="H812" s="4"/>
      <c r="I812" s="4"/>
    </row>
    <row r="813" spans="4:9" x14ac:dyDescent="0.25">
      <c r="D813" s="4"/>
      <c r="E813" s="4"/>
      <c r="H813" s="4"/>
      <c r="I813" s="4"/>
    </row>
    <row r="814" spans="4:9" x14ac:dyDescent="0.25">
      <c r="D814" s="4"/>
      <c r="E814" s="4"/>
      <c r="H814" s="4"/>
      <c r="I814" s="4"/>
    </row>
    <row r="815" spans="4:9" x14ac:dyDescent="0.25">
      <c r="D815" s="4"/>
      <c r="E815" s="4"/>
      <c r="H815" s="4"/>
      <c r="I815" s="4"/>
    </row>
    <row r="816" spans="4:9" x14ac:dyDescent="0.25">
      <c r="D816" s="4"/>
      <c r="E816" s="4"/>
      <c r="H816" s="4"/>
      <c r="I816" s="4"/>
    </row>
    <row r="817" spans="4:9" x14ac:dyDescent="0.25">
      <c r="D817" s="4"/>
      <c r="E817" s="4"/>
      <c r="H817" s="4"/>
      <c r="I817" s="4"/>
    </row>
    <row r="818" spans="4:9" x14ac:dyDescent="0.25">
      <c r="D818" s="4"/>
      <c r="E818" s="4"/>
      <c r="H818" s="4"/>
      <c r="I818" s="4"/>
    </row>
    <row r="819" spans="4:9" x14ac:dyDescent="0.25">
      <c r="D819" s="4"/>
      <c r="E819" s="4"/>
      <c r="H819" s="4"/>
      <c r="I819" s="4"/>
    </row>
    <row r="820" spans="4:9" x14ac:dyDescent="0.25">
      <c r="D820" s="4"/>
      <c r="E820" s="4"/>
      <c r="H820" s="4"/>
      <c r="I820" s="4"/>
    </row>
    <row r="821" spans="4:9" x14ac:dyDescent="0.25">
      <c r="D821" s="4"/>
      <c r="E821" s="4"/>
      <c r="H821" s="4"/>
      <c r="I821" s="4"/>
    </row>
    <row r="822" spans="4:9" x14ac:dyDescent="0.25">
      <c r="D822" s="4"/>
      <c r="E822" s="4"/>
      <c r="H822" s="4"/>
      <c r="I822" s="4"/>
    </row>
    <row r="823" spans="4:9" x14ac:dyDescent="0.25">
      <c r="D823" s="4"/>
      <c r="E823" s="4"/>
      <c r="H823" s="4"/>
      <c r="I823" s="4"/>
    </row>
    <row r="824" spans="4:9" x14ac:dyDescent="0.25">
      <c r="D824" s="4"/>
      <c r="E824" s="4"/>
      <c r="H824" s="4"/>
      <c r="I824" s="4"/>
    </row>
    <row r="825" spans="4:9" x14ac:dyDescent="0.25">
      <c r="D825" s="4"/>
      <c r="E825" s="4"/>
      <c r="H825" s="4"/>
      <c r="I825" s="4"/>
    </row>
    <row r="826" spans="4:9" x14ac:dyDescent="0.25">
      <c r="D826" s="4"/>
      <c r="E826" s="4"/>
      <c r="H826" s="4"/>
      <c r="I826" s="4"/>
    </row>
    <row r="827" spans="4:9" x14ac:dyDescent="0.25">
      <c r="D827" s="4"/>
      <c r="E827" s="4"/>
      <c r="H827" s="4"/>
      <c r="I827" s="4"/>
    </row>
    <row r="828" spans="4:9" x14ac:dyDescent="0.25">
      <c r="D828" s="4"/>
      <c r="E828" s="4"/>
      <c r="H828" s="4"/>
      <c r="I828" s="4"/>
    </row>
    <row r="829" spans="4:9" x14ac:dyDescent="0.25">
      <c r="D829" s="4"/>
      <c r="E829" s="4"/>
      <c r="H829" s="4"/>
      <c r="I829" s="4"/>
    </row>
    <row r="830" spans="4:9" x14ac:dyDescent="0.25">
      <c r="D830" s="4"/>
      <c r="E830" s="4"/>
      <c r="H830" s="4"/>
      <c r="I830" s="4"/>
    </row>
    <row r="831" spans="4:9" x14ac:dyDescent="0.25">
      <c r="D831" s="4"/>
      <c r="E831" s="4"/>
      <c r="H831" s="4"/>
      <c r="I831" s="4"/>
    </row>
    <row r="832" spans="4:9" x14ac:dyDescent="0.25">
      <c r="D832" s="4"/>
      <c r="E832" s="4"/>
      <c r="H832" s="4"/>
      <c r="I832" s="4"/>
    </row>
    <row r="833" spans="4:9" x14ac:dyDescent="0.25">
      <c r="D833" s="4"/>
      <c r="E833" s="4"/>
      <c r="H833" s="4"/>
      <c r="I833" s="4"/>
    </row>
    <row r="834" spans="4:9" x14ac:dyDescent="0.25">
      <c r="D834" s="4"/>
      <c r="E834" s="4"/>
      <c r="H834" s="4"/>
      <c r="I834" s="4"/>
    </row>
    <row r="835" spans="4:9" x14ac:dyDescent="0.25">
      <c r="D835" s="4"/>
      <c r="E835" s="4"/>
      <c r="H835" s="4"/>
      <c r="I835" s="4"/>
    </row>
    <row r="836" spans="4:9" x14ac:dyDescent="0.25">
      <c r="D836" s="4"/>
      <c r="E836" s="4"/>
      <c r="H836" s="4"/>
      <c r="I836" s="4"/>
    </row>
    <row r="837" spans="4:9" x14ac:dyDescent="0.25">
      <c r="D837" s="4"/>
      <c r="E837" s="4"/>
      <c r="H837" s="4"/>
      <c r="I837" s="4"/>
    </row>
    <row r="838" spans="4:9" x14ac:dyDescent="0.25">
      <c r="D838" s="4"/>
      <c r="E838" s="4"/>
      <c r="H838" s="4"/>
      <c r="I838" s="4"/>
    </row>
    <row r="839" spans="4:9" x14ac:dyDescent="0.25">
      <c r="D839" s="4"/>
      <c r="E839" s="4"/>
      <c r="H839" s="4"/>
      <c r="I839" s="4"/>
    </row>
    <row r="840" spans="4:9" x14ac:dyDescent="0.25">
      <c r="D840" s="4"/>
      <c r="E840" s="4"/>
      <c r="H840" s="4"/>
      <c r="I840" s="4"/>
    </row>
    <row r="841" spans="4:9" x14ac:dyDescent="0.25">
      <c r="D841" s="4"/>
      <c r="E841" s="4"/>
      <c r="H841" s="4"/>
      <c r="I841" s="4"/>
    </row>
    <row r="842" spans="4:9" x14ac:dyDescent="0.25">
      <c r="D842" s="4"/>
      <c r="E842" s="4"/>
      <c r="H842" s="4"/>
      <c r="I842" s="4"/>
    </row>
    <row r="843" spans="4:9" x14ac:dyDescent="0.25">
      <c r="D843" s="4"/>
      <c r="E843" s="4"/>
      <c r="H843" s="4"/>
      <c r="I843" s="4"/>
    </row>
    <row r="844" spans="4:9" x14ac:dyDescent="0.25">
      <c r="D844" s="4"/>
      <c r="E844" s="4"/>
      <c r="H844" s="4"/>
      <c r="I844" s="4"/>
    </row>
    <row r="845" spans="4:9" x14ac:dyDescent="0.25">
      <c r="D845" s="4"/>
      <c r="E845" s="4"/>
      <c r="H845" s="4"/>
      <c r="I845" s="4"/>
    </row>
    <row r="846" spans="4:9" x14ac:dyDescent="0.25">
      <c r="D846" s="4"/>
      <c r="E846" s="4"/>
      <c r="H846" s="4"/>
      <c r="I846" s="4"/>
    </row>
    <row r="847" spans="4:9" x14ac:dyDescent="0.25">
      <c r="D847" s="4"/>
      <c r="E847" s="4"/>
      <c r="H847" s="4"/>
      <c r="I847" s="4"/>
    </row>
    <row r="848" spans="4:9" x14ac:dyDescent="0.25">
      <c r="D848" s="4"/>
      <c r="E848" s="4"/>
      <c r="H848" s="4"/>
      <c r="I848" s="4"/>
    </row>
    <row r="849" spans="4:9" x14ac:dyDescent="0.25">
      <c r="D849" s="4"/>
      <c r="E849" s="4"/>
      <c r="H849" s="4"/>
      <c r="I849" s="4"/>
    </row>
    <row r="850" spans="4:9" x14ac:dyDescent="0.25">
      <c r="D850" s="4"/>
      <c r="E850" s="4"/>
      <c r="H850" s="4"/>
      <c r="I850" s="4"/>
    </row>
    <row r="851" spans="4:9" x14ac:dyDescent="0.25">
      <c r="D851" s="4"/>
      <c r="E851" s="4"/>
      <c r="H851" s="4"/>
      <c r="I851" s="4"/>
    </row>
    <row r="852" spans="4:9" x14ac:dyDescent="0.25">
      <c r="D852" s="4"/>
      <c r="E852" s="4"/>
      <c r="H852" s="4"/>
      <c r="I852" s="4"/>
    </row>
    <row r="853" spans="4:9" x14ac:dyDescent="0.25">
      <c r="D853" s="4"/>
      <c r="E853" s="4"/>
      <c r="H853" s="4"/>
      <c r="I853" s="4"/>
    </row>
    <row r="854" spans="4:9" x14ac:dyDescent="0.25">
      <c r="D854" s="4"/>
      <c r="E854" s="4"/>
      <c r="H854" s="4"/>
      <c r="I854" s="4"/>
    </row>
    <row r="855" spans="4:9" x14ac:dyDescent="0.25">
      <c r="D855" s="4"/>
      <c r="E855" s="4"/>
      <c r="H855" s="4"/>
      <c r="I855" s="4"/>
    </row>
    <row r="856" spans="4:9" x14ac:dyDescent="0.25">
      <c r="D856" s="4"/>
      <c r="E856" s="4"/>
      <c r="H856" s="4"/>
      <c r="I856" s="4"/>
    </row>
    <row r="857" spans="4:9" x14ac:dyDescent="0.25">
      <c r="D857" s="4"/>
      <c r="E857" s="4"/>
      <c r="H857" s="4"/>
      <c r="I857" s="4"/>
    </row>
    <row r="858" spans="4:9" x14ac:dyDescent="0.25">
      <c r="D858" s="4"/>
      <c r="E858" s="4"/>
      <c r="H858" s="4"/>
      <c r="I858" s="4"/>
    </row>
    <row r="859" spans="4:9" x14ac:dyDescent="0.25">
      <c r="D859" s="4"/>
      <c r="E859" s="4"/>
      <c r="H859" s="4"/>
      <c r="I859" s="4"/>
    </row>
    <row r="860" spans="4:9" x14ac:dyDescent="0.25">
      <c r="D860" s="4"/>
      <c r="E860" s="4"/>
      <c r="H860" s="4"/>
      <c r="I860" s="4"/>
    </row>
    <row r="861" spans="4:9" x14ac:dyDescent="0.25">
      <c r="D861" s="4"/>
      <c r="E861" s="4"/>
      <c r="H861" s="4"/>
      <c r="I861" s="4"/>
    </row>
    <row r="862" spans="4:9" x14ac:dyDescent="0.25">
      <c r="D862" s="4"/>
      <c r="E862" s="4"/>
      <c r="H862" s="4"/>
      <c r="I862" s="4"/>
    </row>
    <row r="863" spans="4:9" x14ac:dyDescent="0.25">
      <c r="D863" s="4"/>
      <c r="E863" s="4"/>
      <c r="H863" s="4"/>
      <c r="I863" s="4"/>
    </row>
    <row r="864" spans="4:9" x14ac:dyDescent="0.25">
      <c r="D864" s="4"/>
      <c r="E864" s="4"/>
      <c r="H864" s="4"/>
      <c r="I864" s="4"/>
    </row>
    <row r="865" spans="4:9" x14ac:dyDescent="0.25">
      <c r="D865" s="4"/>
      <c r="E865" s="4"/>
      <c r="H865" s="4"/>
      <c r="I865" s="4"/>
    </row>
    <row r="866" spans="4:9" x14ac:dyDescent="0.25">
      <c r="D866" s="4"/>
      <c r="E866" s="4"/>
      <c r="H866" s="4"/>
      <c r="I866" s="4"/>
    </row>
    <row r="867" spans="4:9" x14ac:dyDescent="0.25">
      <c r="D867" s="4"/>
      <c r="E867" s="4"/>
      <c r="H867" s="4"/>
      <c r="I867" s="4"/>
    </row>
    <row r="868" spans="4:9" x14ac:dyDescent="0.25">
      <c r="D868" s="4"/>
      <c r="E868" s="4"/>
      <c r="H868" s="4"/>
      <c r="I868" s="4"/>
    </row>
    <row r="869" spans="4:9" x14ac:dyDescent="0.25">
      <c r="D869" s="4"/>
      <c r="E869" s="4"/>
      <c r="H869" s="4"/>
      <c r="I869" s="4"/>
    </row>
    <row r="870" spans="4:9" x14ac:dyDescent="0.25">
      <c r="D870" s="4"/>
      <c r="E870" s="4"/>
      <c r="H870" s="4"/>
      <c r="I870" s="4"/>
    </row>
    <row r="871" spans="4:9" x14ac:dyDescent="0.25">
      <c r="D871" s="4"/>
      <c r="E871" s="4"/>
      <c r="H871" s="4"/>
      <c r="I871" s="4"/>
    </row>
    <row r="872" spans="4:9" x14ac:dyDescent="0.25">
      <c r="D872" s="4"/>
      <c r="E872" s="4"/>
      <c r="H872" s="4"/>
      <c r="I872" s="4"/>
    </row>
    <row r="873" spans="4:9" x14ac:dyDescent="0.25">
      <c r="D873" s="4"/>
      <c r="E873" s="4"/>
      <c r="H873" s="4"/>
      <c r="I873" s="4"/>
    </row>
    <row r="874" spans="4:9" x14ac:dyDescent="0.25">
      <c r="D874" s="4"/>
      <c r="E874" s="4"/>
      <c r="H874" s="4"/>
      <c r="I874" s="4"/>
    </row>
    <row r="875" spans="4:9" x14ac:dyDescent="0.25">
      <c r="D875" s="4"/>
      <c r="E875" s="4"/>
      <c r="H875" s="4"/>
      <c r="I875" s="4"/>
    </row>
    <row r="876" spans="4:9" x14ac:dyDescent="0.25">
      <c r="D876" s="4"/>
      <c r="E876" s="4"/>
      <c r="H876" s="4"/>
      <c r="I876" s="4"/>
    </row>
    <row r="877" spans="4:9" x14ac:dyDescent="0.25">
      <c r="D877" s="4"/>
      <c r="E877" s="4"/>
      <c r="H877" s="4"/>
      <c r="I877" s="4"/>
    </row>
    <row r="878" spans="4:9" x14ac:dyDescent="0.25">
      <c r="D878" s="4"/>
      <c r="E878" s="4"/>
      <c r="H878" s="4"/>
      <c r="I878" s="4"/>
    </row>
    <row r="879" spans="4:9" x14ac:dyDescent="0.25">
      <c r="D879" s="4"/>
      <c r="E879" s="4"/>
      <c r="H879" s="4"/>
      <c r="I879" s="4"/>
    </row>
    <row r="880" spans="4:9" x14ac:dyDescent="0.25">
      <c r="D880" s="4"/>
      <c r="E880" s="4"/>
      <c r="H880" s="4"/>
      <c r="I880" s="4"/>
    </row>
    <row r="881" spans="4:9" x14ac:dyDescent="0.25">
      <c r="D881" s="4"/>
      <c r="E881" s="4"/>
      <c r="H881" s="4"/>
      <c r="I881" s="4"/>
    </row>
    <row r="882" spans="4:9" x14ac:dyDescent="0.25">
      <c r="D882" s="4"/>
      <c r="E882" s="4"/>
      <c r="H882" s="4"/>
      <c r="I882" s="4"/>
    </row>
    <row r="883" spans="4:9" x14ac:dyDescent="0.25">
      <c r="D883" s="4"/>
      <c r="E883" s="4"/>
      <c r="H883" s="4"/>
      <c r="I883" s="4"/>
    </row>
    <row r="884" spans="4:9" x14ac:dyDescent="0.25">
      <c r="D884" s="4"/>
      <c r="E884" s="4"/>
      <c r="H884" s="4"/>
      <c r="I884" s="4"/>
    </row>
    <row r="885" spans="4:9" x14ac:dyDescent="0.25">
      <c r="D885" s="4"/>
      <c r="E885" s="4"/>
      <c r="H885" s="4"/>
      <c r="I885" s="4"/>
    </row>
    <row r="886" spans="4:9" x14ac:dyDescent="0.25">
      <c r="D886" s="4"/>
      <c r="E886" s="4"/>
      <c r="H886" s="4"/>
      <c r="I886" s="4"/>
    </row>
    <row r="887" spans="4:9" x14ac:dyDescent="0.25">
      <c r="D887" s="4"/>
      <c r="E887" s="4"/>
      <c r="H887" s="4"/>
      <c r="I887" s="4"/>
    </row>
    <row r="888" spans="4:9" x14ac:dyDescent="0.25">
      <c r="D888" s="4"/>
      <c r="E888" s="4"/>
      <c r="H888" s="4"/>
      <c r="I888" s="4"/>
    </row>
    <row r="889" spans="4:9" x14ac:dyDescent="0.25">
      <c r="D889" s="4"/>
      <c r="E889" s="4"/>
      <c r="H889" s="4"/>
      <c r="I889" s="4"/>
    </row>
    <row r="890" spans="4:9" x14ac:dyDescent="0.25">
      <c r="D890" s="4"/>
      <c r="E890" s="4"/>
      <c r="H890" s="4"/>
      <c r="I890" s="4"/>
    </row>
    <row r="891" spans="4:9" x14ac:dyDescent="0.25">
      <c r="D891" s="4"/>
      <c r="E891" s="4"/>
      <c r="H891" s="4"/>
      <c r="I891" s="4"/>
    </row>
    <row r="892" spans="4:9" x14ac:dyDescent="0.25">
      <c r="D892" s="4"/>
      <c r="E892" s="4"/>
      <c r="H892" s="4"/>
      <c r="I892" s="4"/>
    </row>
    <row r="893" spans="4:9" x14ac:dyDescent="0.25">
      <c r="D893" s="4"/>
      <c r="E893" s="4"/>
      <c r="H893" s="4"/>
      <c r="I893" s="4"/>
    </row>
    <row r="894" spans="4:9" x14ac:dyDescent="0.25">
      <c r="D894" s="4"/>
      <c r="E894" s="4"/>
      <c r="H894" s="4"/>
      <c r="I894" s="4"/>
    </row>
    <row r="895" spans="4:9" x14ac:dyDescent="0.25">
      <c r="D895" s="4"/>
      <c r="E895" s="4"/>
      <c r="H895" s="4"/>
      <c r="I895" s="4"/>
    </row>
    <row r="896" spans="4:9" x14ac:dyDescent="0.25">
      <c r="D896" s="4"/>
      <c r="E896" s="4"/>
      <c r="H896" s="4"/>
      <c r="I896" s="4"/>
    </row>
    <row r="897" spans="4:9" x14ac:dyDescent="0.25">
      <c r="D897" s="4"/>
      <c r="E897" s="4"/>
      <c r="H897" s="4"/>
      <c r="I897" s="4"/>
    </row>
    <row r="898" spans="4:9" x14ac:dyDescent="0.25">
      <c r="D898" s="4"/>
      <c r="E898" s="4"/>
      <c r="H898" s="4"/>
      <c r="I898" s="4"/>
    </row>
    <row r="899" spans="4:9" x14ac:dyDescent="0.25">
      <c r="D899" s="4"/>
      <c r="E899" s="4"/>
      <c r="H899" s="4"/>
      <c r="I899" s="4"/>
    </row>
    <row r="900" spans="4:9" x14ac:dyDescent="0.25">
      <c r="D900" s="4"/>
      <c r="E900" s="4"/>
      <c r="H900" s="4"/>
      <c r="I900" s="4"/>
    </row>
    <row r="901" spans="4:9" x14ac:dyDescent="0.25">
      <c r="D901" s="4"/>
      <c r="E901" s="4"/>
      <c r="H901" s="4"/>
      <c r="I901" s="4"/>
    </row>
    <row r="902" spans="4:9" x14ac:dyDescent="0.25">
      <c r="D902" s="4"/>
      <c r="E902" s="4"/>
      <c r="H902" s="4"/>
      <c r="I902" s="4"/>
    </row>
    <row r="903" spans="4:9" x14ac:dyDescent="0.25">
      <c r="D903" s="4"/>
      <c r="E903" s="4"/>
      <c r="H903" s="4"/>
      <c r="I903" s="4"/>
    </row>
    <row r="904" spans="4:9" x14ac:dyDescent="0.25">
      <c r="D904" s="4"/>
      <c r="E904" s="4"/>
      <c r="H904" s="4"/>
      <c r="I904" s="4"/>
    </row>
    <row r="905" spans="4:9" x14ac:dyDescent="0.25">
      <c r="D905" s="4"/>
      <c r="E905" s="4"/>
      <c r="H905" s="4"/>
      <c r="I905" s="4"/>
    </row>
    <row r="906" spans="4:9" x14ac:dyDescent="0.25">
      <c r="D906" s="4"/>
      <c r="E906" s="4"/>
      <c r="H906" s="4"/>
      <c r="I906" s="4"/>
    </row>
    <row r="907" spans="4:9" x14ac:dyDescent="0.25">
      <c r="D907" s="4"/>
      <c r="E907" s="4"/>
      <c r="H907" s="4"/>
      <c r="I907" s="4"/>
    </row>
    <row r="908" spans="4:9" x14ac:dyDescent="0.25">
      <c r="D908" s="4"/>
      <c r="E908" s="4"/>
      <c r="H908" s="4"/>
      <c r="I908" s="4"/>
    </row>
    <row r="909" spans="4:9" x14ac:dyDescent="0.25">
      <c r="D909" s="4"/>
      <c r="E909" s="4"/>
      <c r="H909" s="4"/>
      <c r="I909" s="4"/>
    </row>
    <row r="910" spans="4:9" x14ac:dyDescent="0.25">
      <c r="D910" s="4"/>
      <c r="E910" s="4"/>
      <c r="H910" s="4"/>
      <c r="I910" s="4"/>
    </row>
    <row r="911" spans="4:9" x14ac:dyDescent="0.25">
      <c r="D911" s="4"/>
      <c r="E911" s="4"/>
      <c r="H911" s="4"/>
      <c r="I911" s="4"/>
    </row>
    <row r="912" spans="4:9" x14ac:dyDescent="0.25">
      <c r="D912" s="4"/>
      <c r="E912" s="4"/>
      <c r="H912" s="4"/>
      <c r="I912" s="4"/>
    </row>
    <row r="913" spans="4:9" x14ac:dyDescent="0.25">
      <c r="D913" s="4"/>
      <c r="E913" s="4"/>
      <c r="H913" s="4"/>
      <c r="I913" s="4"/>
    </row>
    <row r="914" spans="4:9" x14ac:dyDescent="0.25">
      <c r="D914" s="4"/>
      <c r="E914" s="4"/>
      <c r="H914" s="4"/>
      <c r="I914" s="4"/>
    </row>
    <row r="915" spans="4:9" x14ac:dyDescent="0.25">
      <c r="D915" s="4"/>
      <c r="E915" s="4"/>
      <c r="H915" s="4"/>
      <c r="I915" s="4"/>
    </row>
    <row r="916" spans="4:9" x14ac:dyDescent="0.25">
      <c r="D916" s="4"/>
      <c r="E916" s="4"/>
      <c r="H916" s="4"/>
      <c r="I916" s="4"/>
    </row>
    <row r="917" spans="4:9" x14ac:dyDescent="0.25">
      <c r="D917" s="4"/>
      <c r="E917" s="4"/>
      <c r="H917" s="4"/>
      <c r="I917" s="4"/>
    </row>
    <row r="918" spans="4:9" x14ac:dyDescent="0.25">
      <c r="D918" s="4"/>
      <c r="E918" s="4"/>
      <c r="H918" s="4"/>
      <c r="I918" s="4"/>
    </row>
    <row r="919" spans="4:9" x14ac:dyDescent="0.25">
      <c r="D919" s="4"/>
      <c r="E919" s="4"/>
      <c r="H919" s="4"/>
      <c r="I919" s="4"/>
    </row>
    <row r="920" spans="4:9" x14ac:dyDescent="0.25">
      <c r="D920" s="4"/>
      <c r="E920" s="4"/>
      <c r="H920" s="4"/>
      <c r="I920" s="4"/>
    </row>
    <row r="921" spans="4:9" x14ac:dyDescent="0.25">
      <c r="D921" s="4"/>
      <c r="E921" s="4"/>
      <c r="H921" s="4"/>
      <c r="I921" s="4"/>
    </row>
    <row r="922" spans="4:9" x14ac:dyDescent="0.25">
      <c r="D922" s="4"/>
      <c r="E922" s="4"/>
      <c r="H922" s="4"/>
      <c r="I922" s="4"/>
    </row>
    <row r="923" spans="4:9" x14ac:dyDescent="0.25">
      <c r="D923" s="4"/>
      <c r="E923" s="4"/>
      <c r="H923" s="4"/>
      <c r="I923" s="4"/>
    </row>
    <row r="924" spans="4:9" x14ac:dyDescent="0.25">
      <c r="D924" s="4"/>
      <c r="E924" s="4"/>
      <c r="H924" s="4"/>
      <c r="I924" s="4"/>
    </row>
    <row r="925" spans="4:9" x14ac:dyDescent="0.25">
      <c r="D925" s="4"/>
      <c r="E925" s="4"/>
      <c r="H925" s="4"/>
      <c r="I925" s="4"/>
    </row>
    <row r="926" spans="4:9" x14ac:dyDescent="0.25">
      <c r="D926" s="4"/>
      <c r="E926" s="4"/>
      <c r="H926" s="4"/>
      <c r="I926" s="4"/>
    </row>
    <row r="927" spans="4:9" x14ac:dyDescent="0.25">
      <c r="D927" s="4"/>
      <c r="E927" s="4"/>
      <c r="H927" s="4"/>
      <c r="I927" s="4"/>
    </row>
    <row r="928" spans="4:9" x14ac:dyDescent="0.25">
      <c r="D928" s="4"/>
      <c r="E928" s="4"/>
      <c r="H928" s="4"/>
      <c r="I928" s="4"/>
    </row>
    <row r="929" spans="4:9" x14ac:dyDescent="0.25">
      <c r="D929" s="4"/>
      <c r="E929" s="4"/>
      <c r="H929" s="4"/>
      <c r="I929" s="4"/>
    </row>
    <row r="930" spans="4:9" x14ac:dyDescent="0.25">
      <c r="D930" s="4"/>
      <c r="E930" s="4"/>
      <c r="H930" s="4"/>
      <c r="I930" s="4"/>
    </row>
    <row r="931" spans="4:9" x14ac:dyDescent="0.25">
      <c r="D931" s="4"/>
      <c r="E931" s="4"/>
      <c r="H931" s="4"/>
      <c r="I931" s="4"/>
    </row>
    <row r="932" spans="4:9" x14ac:dyDescent="0.25">
      <c r="D932" s="4"/>
      <c r="E932" s="4"/>
      <c r="H932" s="4"/>
      <c r="I932" s="4"/>
    </row>
    <row r="933" spans="4:9" x14ac:dyDescent="0.25">
      <c r="D933" s="4"/>
      <c r="E933" s="4"/>
      <c r="H933" s="4"/>
      <c r="I933" s="4"/>
    </row>
    <row r="934" spans="4:9" x14ac:dyDescent="0.25">
      <c r="D934" s="4"/>
      <c r="E934" s="4"/>
      <c r="H934" s="4"/>
      <c r="I934" s="4"/>
    </row>
    <row r="935" spans="4:9" x14ac:dyDescent="0.25">
      <c r="D935" s="4"/>
      <c r="E935" s="4"/>
      <c r="H935" s="4"/>
      <c r="I935" s="4"/>
    </row>
    <row r="936" spans="4:9" x14ac:dyDescent="0.25">
      <c r="D936" s="4"/>
      <c r="E936" s="4"/>
      <c r="H936" s="4"/>
      <c r="I936" s="4"/>
    </row>
    <row r="937" spans="4:9" x14ac:dyDescent="0.25">
      <c r="D937" s="4"/>
      <c r="E937" s="4"/>
      <c r="H937" s="4"/>
      <c r="I937" s="4"/>
    </row>
    <row r="938" spans="4:9" x14ac:dyDescent="0.25">
      <c r="D938" s="4"/>
      <c r="E938" s="4"/>
      <c r="H938" s="4"/>
      <c r="I938" s="4"/>
    </row>
    <row r="939" spans="4:9" x14ac:dyDescent="0.25">
      <c r="D939" s="4"/>
      <c r="E939" s="4"/>
      <c r="H939" s="4"/>
      <c r="I939" s="4"/>
    </row>
    <row r="940" spans="4:9" x14ac:dyDescent="0.25">
      <c r="D940" s="4"/>
      <c r="E940" s="4"/>
      <c r="H940" s="4"/>
      <c r="I940" s="4"/>
    </row>
    <row r="941" spans="4:9" x14ac:dyDescent="0.25">
      <c r="D941" s="4"/>
      <c r="E941" s="4"/>
      <c r="H941" s="4"/>
      <c r="I941" s="4"/>
    </row>
    <row r="942" spans="4:9" x14ac:dyDescent="0.25">
      <c r="D942" s="4"/>
      <c r="E942" s="4"/>
      <c r="H942" s="4"/>
      <c r="I942" s="4"/>
    </row>
    <row r="943" spans="4:9" x14ac:dyDescent="0.25">
      <c r="D943" s="4"/>
      <c r="E943" s="4"/>
      <c r="H943" s="4"/>
      <c r="I943" s="4"/>
    </row>
    <row r="944" spans="4:9" x14ac:dyDescent="0.25">
      <c r="D944" s="4"/>
      <c r="E944" s="4"/>
      <c r="H944" s="4"/>
      <c r="I944" s="4"/>
    </row>
    <row r="945" spans="4:9" x14ac:dyDescent="0.25">
      <c r="D945" s="4"/>
      <c r="E945" s="4"/>
      <c r="H945" s="4"/>
      <c r="I945" s="4"/>
    </row>
    <row r="946" spans="4:9" x14ac:dyDescent="0.25">
      <c r="D946" s="4"/>
      <c r="E946" s="4"/>
      <c r="H946" s="4"/>
      <c r="I946" s="4"/>
    </row>
    <row r="947" spans="4:9" x14ac:dyDescent="0.25">
      <c r="D947" s="4"/>
      <c r="E947" s="4"/>
      <c r="H947" s="4"/>
      <c r="I947" s="4"/>
    </row>
    <row r="948" spans="4:9" x14ac:dyDescent="0.25">
      <c r="D948" s="4"/>
      <c r="E948" s="4"/>
      <c r="H948" s="4"/>
      <c r="I948" s="4"/>
    </row>
    <row r="949" spans="4:9" x14ac:dyDescent="0.25">
      <c r="D949" s="4"/>
      <c r="E949" s="4"/>
      <c r="H949" s="4"/>
      <c r="I949" s="4"/>
    </row>
    <row r="950" spans="4:9" x14ac:dyDescent="0.25">
      <c r="D950" s="4"/>
      <c r="E950" s="4"/>
      <c r="H950" s="4"/>
      <c r="I950" s="4"/>
    </row>
    <row r="951" spans="4:9" x14ac:dyDescent="0.25">
      <c r="D951" s="4"/>
      <c r="E951" s="4"/>
      <c r="H951" s="4"/>
      <c r="I951" s="4"/>
    </row>
    <row r="952" spans="4:9" x14ac:dyDescent="0.25">
      <c r="D952" s="4"/>
      <c r="E952" s="4"/>
      <c r="H952" s="4"/>
      <c r="I952" s="4"/>
    </row>
    <row r="953" spans="4:9" x14ac:dyDescent="0.25">
      <c r="D953" s="4"/>
      <c r="E953" s="4"/>
      <c r="H953" s="4"/>
      <c r="I953" s="4"/>
    </row>
    <row r="954" spans="4:9" x14ac:dyDescent="0.25">
      <c r="D954" s="4"/>
      <c r="E954" s="4"/>
      <c r="H954" s="4"/>
      <c r="I954" s="4"/>
    </row>
    <row r="955" spans="4:9" x14ac:dyDescent="0.25">
      <c r="D955" s="4"/>
      <c r="E955" s="4"/>
      <c r="H955" s="4"/>
      <c r="I955" s="4"/>
    </row>
    <row r="956" spans="4:9" x14ac:dyDescent="0.25">
      <c r="D956" s="4"/>
      <c r="E956" s="4"/>
      <c r="H956" s="4"/>
      <c r="I956" s="4"/>
    </row>
    <row r="957" spans="4:9" x14ac:dyDescent="0.25">
      <c r="D957" s="4"/>
      <c r="E957" s="4"/>
      <c r="H957" s="4"/>
      <c r="I957" s="4"/>
    </row>
    <row r="958" spans="4:9" x14ac:dyDescent="0.25">
      <c r="D958" s="4"/>
      <c r="E958" s="4"/>
      <c r="H958" s="4"/>
      <c r="I958" s="4"/>
    </row>
    <row r="959" spans="4:9" x14ac:dyDescent="0.25">
      <c r="D959" s="4"/>
      <c r="E959" s="4"/>
      <c r="H959" s="4"/>
      <c r="I959" s="4"/>
    </row>
    <row r="960" spans="4:9" x14ac:dyDescent="0.25">
      <c r="D960" s="4"/>
      <c r="E960" s="4"/>
      <c r="H960" s="4"/>
      <c r="I960" s="4"/>
    </row>
    <row r="961" spans="4:9" x14ac:dyDescent="0.25">
      <c r="D961" s="4"/>
      <c r="E961" s="4"/>
      <c r="H961" s="4"/>
      <c r="I961" s="4"/>
    </row>
    <row r="962" spans="4:9" x14ac:dyDescent="0.25">
      <c r="D962" s="4"/>
      <c r="E962" s="4"/>
      <c r="H962" s="4"/>
      <c r="I962" s="4"/>
    </row>
    <row r="963" spans="4:9" x14ac:dyDescent="0.25">
      <c r="D963" s="4"/>
      <c r="E963" s="4"/>
      <c r="H963" s="4"/>
      <c r="I963" s="4"/>
    </row>
    <row r="964" spans="4:9" x14ac:dyDescent="0.25">
      <c r="D964" s="4"/>
      <c r="E964" s="4"/>
      <c r="H964" s="4"/>
      <c r="I964" s="4"/>
    </row>
    <row r="965" spans="4:9" x14ac:dyDescent="0.25">
      <c r="D965" s="4"/>
      <c r="E965" s="4"/>
      <c r="H965" s="4"/>
      <c r="I965" s="4"/>
    </row>
    <row r="966" spans="4:9" x14ac:dyDescent="0.25">
      <c r="D966" s="4"/>
      <c r="E966" s="4"/>
      <c r="H966" s="4"/>
      <c r="I966" s="4"/>
    </row>
    <row r="967" spans="4:9" x14ac:dyDescent="0.25">
      <c r="D967" s="4"/>
      <c r="E967" s="4"/>
      <c r="H967" s="4"/>
      <c r="I967" s="4"/>
    </row>
    <row r="968" spans="4:9" x14ac:dyDescent="0.25">
      <c r="D968" s="4"/>
      <c r="E968" s="4"/>
      <c r="H968" s="4"/>
      <c r="I968" s="4"/>
    </row>
    <row r="969" spans="4:9" x14ac:dyDescent="0.25">
      <c r="D969" s="4"/>
      <c r="E969" s="4"/>
      <c r="H969" s="4"/>
      <c r="I969" s="4"/>
    </row>
    <row r="970" spans="4:9" x14ac:dyDescent="0.25">
      <c r="D970" s="4"/>
      <c r="E970" s="4"/>
      <c r="H970" s="4"/>
      <c r="I970" s="4"/>
    </row>
    <row r="971" spans="4:9" x14ac:dyDescent="0.25">
      <c r="D971" s="4"/>
      <c r="E971" s="4"/>
      <c r="H971" s="4"/>
      <c r="I971" s="4"/>
    </row>
    <row r="972" spans="4:9" x14ac:dyDescent="0.25">
      <c r="D972" s="4"/>
      <c r="E972" s="4"/>
      <c r="H972" s="4"/>
      <c r="I972" s="4"/>
    </row>
    <row r="973" spans="4:9" x14ac:dyDescent="0.25">
      <c r="D973" s="4"/>
      <c r="E973" s="4"/>
      <c r="H973" s="4"/>
      <c r="I973" s="4"/>
    </row>
    <row r="974" spans="4:9" x14ac:dyDescent="0.25">
      <c r="D974" s="4"/>
      <c r="E974" s="4"/>
      <c r="H974" s="4"/>
      <c r="I974" s="4"/>
    </row>
    <row r="975" spans="4:9" x14ac:dyDescent="0.25">
      <c r="D975" s="4"/>
      <c r="E975" s="4"/>
      <c r="H975" s="4"/>
      <c r="I975" s="4"/>
    </row>
    <row r="976" spans="4:9" x14ac:dyDescent="0.25">
      <c r="D976" s="4"/>
      <c r="E976" s="4"/>
      <c r="H976" s="4"/>
      <c r="I976" s="4"/>
    </row>
    <row r="977" spans="4:9" x14ac:dyDescent="0.25">
      <c r="D977" s="4"/>
      <c r="E977" s="4"/>
      <c r="H977" s="4"/>
      <c r="I977" s="4"/>
    </row>
    <row r="978" spans="4:9" x14ac:dyDescent="0.25">
      <c r="D978" s="4"/>
      <c r="E978" s="4"/>
      <c r="H978" s="4"/>
      <c r="I978" s="4"/>
    </row>
    <row r="979" spans="4:9" x14ac:dyDescent="0.25">
      <c r="D979" s="4"/>
      <c r="E979" s="4"/>
      <c r="H979" s="4"/>
      <c r="I979" s="4"/>
    </row>
    <row r="980" spans="4:9" x14ac:dyDescent="0.25">
      <c r="D980" s="4"/>
      <c r="E980" s="4"/>
      <c r="H980" s="4"/>
      <c r="I980" s="4"/>
    </row>
    <row r="981" spans="4:9" x14ac:dyDescent="0.25">
      <c r="D981" s="4"/>
      <c r="E981" s="4"/>
      <c r="H981" s="4"/>
      <c r="I981" s="4"/>
    </row>
    <row r="982" spans="4:9" x14ac:dyDescent="0.25">
      <c r="D982" s="4"/>
      <c r="E982" s="4"/>
      <c r="H982" s="4"/>
      <c r="I982" s="4"/>
    </row>
    <row r="983" spans="4:9" x14ac:dyDescent="0.25">
      <c r="D983" s="4"/>
      <c r="E983" s="4"/>
      <c r="H983" s="4"/>
      <c r="I983" s="4"/>
    </row>
    <row r="984" spans="4:9" x14ac:dyDescent="0.25">
      <c r="D984" s="4"/>
      <c r="E984" s="4"/>
      <c r="H984" s="4"/>
      <c r="I984" s="4"/>
    </row>
    <row r="985" spans="4:9" x14ac:dyDescent="0.25">
      <c r="D985" s="4"/>
      <c r="E985" s="4"/>
      <c r="H985" s="4"/>
      <c r="I985" s="4"/>
    </row>
    <row r="986" spans="4:9" x14ac:dyDescent="0.25">
      <c r="D986" s="4"/>
      <c r="E986" s="4"/>
      <c r="H986" s="4"/>
      <c r="I986" s="4"/>
    </row>
    <row r="987" spans="4:9" x14ac:dyDescent="0.25">
      <c r="D987" s="4"/>
      <c r="E987" s="4"/>
      <c r="H987" s="4"/>
      <c r="I987" s="4"/>
    </row>
    <row r="988" spans="4:9" x14ac:dyDescent="0.25">
      <c r="D988" s="4"/>
      <c r="E988" s="4"/>
      <c r="H988" s="4"/>
      <c r="I988" s="4"/>
    </row>
    <row r="989" spans="4:9" x14ac:dyDescent="0.25">
      <c r="D989" s="4"/>
      <c r="E989" s="4"/>
      <c r="H989" s="4"/>
      <c r="I989" s="4"/>
    </row>
    <row r="990" spans="4:9" x14ac:dyDescent="0.25">
      <c r="D990" s="4"/>
      <c r="E990" s="4"/>
      <c r="H990" s="4"/>
      <c r="I990" s="4"/>
    </row>
    <row r="991" spans="4:9" x14ac:dyDescent="0.25">
      <c r="D991" s="4"/>
      <c r="E991" s="4"/>
      <c r="H991" s="4"/>
      <c r="I991" s="4"/>
    </row>
    <row r="992" spans="4:9" x14ac:dyDescent="0.25">
      <c r="D992" s="4"/>
      <c r="E992" s="4"/>
      <c r="H992" s="4"/>
      <c r="I992" s="4"/>
    </row>
    <row r="993" spans="4:9" x14ac:dyDescent="0.25">
      <c r="D993" s="4"/>
      <c r="E993" s="4"/>
      <c r="H993" s="4"/>
      <c r="I993" s="4"/>
    </row>
    <row r="994" spans="4:9" x14ac:dyDescent="0.25">
      <c r="D994" s="4"/>
      <c r="E994" s="4"/>
      <c r="H994" s="4"/>
      <c r="I994" s="4"/>
    </row>
    <row r="995" spans="4:9" x14ac:dyDescent="0.25">
      <c r="D995" s="4"/>
      <c r="E995" s="4"/>
      <c r="H995" s="4"/>
      <c r="I995" s="4"/>
    </row>
    <row r="996" spans="4:9" x14ac:dyDescent="0.25">
      <c r="D996" s="4"/>
      <c r="E996" s="4"/>
      <c r="H996" s="4"/>
      <c r="I996" s="4"/>
    </row>
    <row r="997" spans="4:9" x14ac:dyDescent="0.25">
      <c r="D997" s="4"/>
      <c r="E997" s="4"/>
      <c r="H997" s="4"/>
      <c r="I997" s="4"/>
    </row>
    <row r="998" spans="4:9" x14ac:dyDescent="0.25">
      <c r="D998" s="4"/>
      <c r="E998" s="4"/>
      <c r="H998" s="4"/>
      <c r="I998" s="4"/>
    </row>
    <row r="999" spans="4:9" x14ac:dyDescent="0.25">
      <c r="D999" s="4"/>
      <c r="E999" s="4"/>
      <c r="H999" s="4"/>
      <c r="I999" s="4"/>
    </row>
    <row r="1000" spans="4:9" x14ac:dyDescent="0.25">
      <c r="D1000" s="4"/>
      <c r="E1000" s="4"/>
      <c r="H1000" s="4"/>
      <c r="I1000" s="4"/>
    </row>
    <row r="1001" spans="4:9" x14ac:dyDescent="0.25">
      <c r="D1001" s="4"/>
      <c r="E1001" s="4"/>
      <c r="H1001" s="4"/>
      <c r="I1001" s="4"/>
    </row>
    <row r="1002" spans="4:9" x14ac:dyDescent="0.25">
      <c r="D1002" s="4"/>
      <c r="E1002" s="4"/>
      <c r="H1002" s="4"/>
      <c r="I1002" s="4"/>
    </row>
    <row r="1003" spans="4:9" x14ac:dyDescent="0.25">
      <c r="D1003" s="4"/>
      <c r="E1003" s="4"/>
      <c r="H1003" s="4"/>
      <c r="I1003" s="4"/>
    </row>
    <row r="1004" spans="4:9" x14ac:dyDescent="0.25">
      <c r="D1004" s="4"/>
      <c r="E1004" s="4"/>
      <c r="H1004" s="4"/>
      <c r="I1004" s="4"/>
    </row>
    <row r="1005" spans="4:9" x14ac:dyDescent="0.25">
      <c r="D1005" s="4"/>
      <c r="E1005" s="4"/>
      <c r="H1005" s="4"/>
      <c r="I1005" s="4"/>
    </row>
    <row r="1006" spans="4:9" x14ac:dyDescent="0.25">
      <c r="D1006" s="4"/>
      <c r="E1006" s="4"/>
      <c r="H1006" s="4"/>
      <c r="I1006" s="4"/>
    </row>
    <row r="1007" spans="4:9" x14ac:dyDescent="0.25">
      <c r="D1007" s="4"/>
      <c r="E1007" s="4"/>
      <c r="H1007" s="4"/>
      <c r="I1007" s="4"/>
    </row>
    <row r="1008" spans="4:9" x14ac:dyDescent="0.25">
      <c r="D1008" s="4"/>
      <c r="E1008" s="4"/>
      <c r="H1008" s="4"/>
      <c r="I1008" s="4"/>
    </row>
    <row r="1009" spans="4:9" x14ac:dyDescent="0.25">
      <c r="D1009" s="4"/>
      <c r="E1009" s="4"/>
      <c r="H1009" s="4"/>
      <c r="I1009" s="4"/>
    </row>
    <row r="1010" spans="4:9" x14ac:dyDescent="0.25">
      <c r="D1010" s="4"/>
      <c r="E1010" s="4"/>
      <c r="H1010" s="4"/>
      <c r="I1010" s="4"/>
    </row>
    <row r="1011" spans="4:9" x14ac:dyDescent="0.25">
      <c r="D1011" s="4"/>
      <c r="E1011" s="4"/>
      <c r="H1011" s="4"/>
      <c r="I1011" s="4"/>
    </row>
    <row r="1012" spans="4:9" x14ac:dyDescent="0.25">
      <c r="D1012" s="4"/>
      <c r="E1012" s="4"/>
      <c r="H1012" s="4"/>
      <c r="I1012" s="4"/>
    </row>
    <row r="1013" spans="4:9" x14ac:dyDescent="0.25">
      <c r="D1013" s="4"/>
      <c r="E1013" s="4"/>
      <c r="H1013" s="4"/>
      <c r="I1013" s="4"/>
    </row>
    <row r="1014" spans="4:9" x14ac:dyDescent="0.25">
      <c r="D1014" s="4"/>
      <c r="E1014" s="4"/>
      <c r="H1014" s="4"/>
      <c r="I1014" s="4"/>
    </row>
    <row r="1015" spans="4:9" x14ac:dyDescent="0.25">
      <c r="D1015" s="4"/>
      <c r="E1015" s="4"/>
      <c r="H1015" s="4"/>
      <c r="I1015" s="4"/>
    </row>
    <row r="1016" spans="4:9" x14ac:dyDescent="0.25">
      <c r="D1016" s="4"/>
      <c r="E1016" s="4"/>
      <c r="H1016" s="4"/>
      <c r="I1016" s="4"/>
    </row>
    <row r="1017" spans="4:9" x14ac:dyDescent="0.25">
      <c r="D1017" s="4"/>
      <c r="E1017" s="4"/>
      <c r="H1017" s="4"/>
      <c r="I1017" s="4"/>
    </row>
    <row r="1018" spans="4:9" x14ac:dyDescent="0.25">
      <c r="D1018" s="4"/>
      <c r="E1018" s="4"/>
      <c r="H1018" s="4"/>
      <c r="I1018" s="4"/>
    </row>
    <row r="1019" spans="4:9" x14ac:dyDescent="0.25">
      <c r="D1019" s="4"/>
      <c r="E1019" s="4"/>
      <c r="H1019" s="4"/>
      <c r="I1019" s="4"/>
    </row>
    <row r="1020" spans="4:9" x14ac:dyDescent="0.25">
      <c r="D1020" s="4"/>
      <c r="E1020" s="4"/>
      <c r="H1020" s="4"/>
      <c r="I1020" s="4"/>
    </row>
    <row r="1021" spans="4:9" x14ac:dyDescent="0.25">
      <c r="D1021" s="4"/>
      <c r="E1021" s="4"/>
      <c r="H1021" s="4"/>
      <c r="I1021" s="4"/>
    </row>
    <row r="1022" spans="4:9" x14ac:dyDescent="0.25">
      <c r="D1022" s="4"/>
      <c r="E1022" s="4"/>
      <c r="H1022" s="4"/>
      <c r="I1022" s="4"/>
    </row>
    <row r="1023" spans="4:9" x14ac:dyDescent="0.25">
      <c r="D1023" s="4"/>
      <c r="E1023" s="4"/>
      <c r="H1023" s="4"/>
      <c r="I1023" s="4"/>
    </row>
    <row r="1024" spans="4:9" x14ac:dyDescent="0.25">
      <c r="D1024" s="4"/>
      <c r="E1024" s="4"/>
      <c r="H1024" s="4"/>
      <c r="I1024" s="4"/>
    </row>
    <row r="1025" spans="4:9" x14ac:dyDescent="0.25">
      <c r="D1025" s="4"/>
      <c r="E1025" s="4"/>
      <c r="H1025" s="4"/>
      <c r="I1025" s="4"/>
    </row>
    <row r="1026" spans="4:9" x14ac:dyDescent="0.25">
      <c r="D1026" s="4"/>
      <c r="E1026" s="4"/>
      <c r="H1026" s="4"/>
      <c r="I1026" s="4"/>
    </row>
    <row r="1027" spans="4:9" x14ac:dyDescent="0.25">
      <c r="D1027" s="4"/>
      <c r="E1027" s="4"/>
      <c r="H1027" s="4"/>
      <c r="I1027" s="4"/>
    </row>
    <row r="1028" spans="4:9" x14ac:dyDescent="0.25">
      <c r="D1028" s="4"/>
      <c r="E1028" s="4"/>
      <c r="H1028" s="4"/>
      <c r="I1028" s="4"/>
    </row>
    <row r="1029" spans="4:9" x14ac:dyDescent="0.25">
      <c r="D1029" s="4"/>
      <c r="E1029" s="4"/>
      <c r="H1029" s="4"/>
      <c r="I1029" s="4"/>
    </row>
    <row r="1030" spans="4:9" x14ac:dyDescent="0.25">
      <c r="D1030" s="4"/>
      <c r="E1030" s="4"/>
      <c r="H1030" s="4"/>
      <c r="I1030" s="4"/>
    </row>
    <row r="1031" spans="4:9" x14ac:dyDescent="0.25">
      <c r="D1031" s="4"/>
      <c r="E1031" s="4"/>
      <c r="H1031" s="4"/>
      <c r="I1031" s="4"/>
    </row>
    <row r="1032" spans="4:9" x14ac:dyDescent="0.25">
      <c r="D1032" s="4"/>
      <c r="E1032" s="4"/>
      <c r="H1032" s="4"/>
      <c r="I1032" s="4"/>
    </row>
    <row r="1033" spans="4:9" x14ac:dyDescent="0.25">
      <c r="D1033" s="4"/>
      <c r="E1033" s="4"/>
      <c r="H1033" s="4"/>
      <c r="I1033" s="4"/>
    </row>
    <row r="1034" spans="4:9" x14ac:dyDescent="0.25">
      <c r="D1034" s="4"/>
      <c r="E1034" s="4"/>
      <c r="H1034" s="4"/>
      <c r="I1034" s="4"/>
    </row>
    <row r="1035" spans="4:9" x14ac:dyDescent="0.25">
      <c r="D1035" s="4"/>
      <c r="E1035" s="4"/>
      <c r="H1035" s="4"/>
      <c r="I1035" s="4"/>
    </row>
    <row r="1036" spans="4:9" x14ac:dyDescent="0.25">
      <c r="D1036" s="4"/>
      <c r="E1036" s="4"/>
      <c r="H1036" s="4"/>
      <c r="I1036" s="4"/>
    </row>
    <row r="1037" spans="4:9" x14ac:dyDescent="0.25">
      <c r="D1037" s="4"/>
      <c r="E1037" s="4"/>
      <c r="H1037" s="4"/>
      <c r="I1037" s="4"/>
    </row>
    <row r="1038" spans="4:9" x14ac:dyDescent="0.25">
      <c r="D1038" s="4"/>
      <c r="E1038" s="4"/>
      <c r="H1038" s="4"/>
      <c r="I1038" s="4"/>
    </row>
    <row r="1039" spans="4:9" x14ac:dyDescent="0.25">
      <c r="D1039" s="4"/>
      <c r="E1039" s="4"/>
      <c r="H1039" s="4"/>
      <c r="I1039" s="4"/>
    </row>
    <row r="1040" spans="4:9" x14ac:dyDescent="0.25">
      <c r="D1040" s="4"/>
      <c r="E1040" s="4"/>
      <c r="H1040" s="4"/>
      <c r="I1040" s="4"/>
    </row>
    <row r="1041" spans="4:9" x14ac:dyDescent="0.25">
      <c r="D1041" s="4"/>
      <c r="E1041" s="4"/>
      <c r="H1041" s="4"/>
      <c r="I1041" s="4"/>
    </row>
    <row r="1042" spans="4:9" x14ac:dyDescent="0.25">
      <c r="D1042" s="4"/>
      <c r="E1042" s="4"/>
      <c r="H1042" s="4"/>
      <c r="I1042" s="4"/>
    </row>
    <row r="1043" spans="4:9" x14ac:dyDescent="0.25">
      <c r="D1043" s="4"/>
      <c r="E1043" s="4"/>
      <c r="H1043" s="4"/>
      <c r="I1043" s="4"/>
    </row>
    <row r="1044" spans="4:9" x14ac:dyDescent="0.25">
      <c r="D1044" s="4"/>
      <c r="E1044" s="4"/>
      <c r="H1044" s="4"/>
      <c r="I1044" s="4"/>
    </row>
    <row r="1045" spans="4:9" x14ac:dyDescent="0.25">
      <c r="D1045" s="4"/>
      <c r="E1045" s="4"/>
      <c r="H1045" s="4"/>
      <c r="I1045" s="4"/>
    </row>
    <row r="1046" spans="4:9" x14ac:dyDescent="0.25">
      <c r="D1046" s="4"/>
      <c r="E1046" s="4"/>
      <c r="H1046" s="4"/>
      <c r="I1046" s="4"/>
    </row>
    <row r="1047" spans="4:9" x14ac:dyDescent="0.25">
      <c r="D1047" s="4"/>
      <c r="E1047" s="4"/>
      <c r="H1047" s="4"/>
      <c r="I1047" s="4"/>
    </row>
    <row r="1048" spans="4:9" x14ac:dyDescent="0.25">
      <c r="D1048" s="4"/>
      <c r="E1048" s="4"/>
      <c r="H1048" s="4"/>
      <c r="I1048" s="4"/>
    </row>
    <row r="1049" spans="4:9" x14ac:dyDescent="0.25">
      <c r="D1049" s="4"/>
      <c r="E1049" s="4"/>
      <c r="H1049" s="4"/>
      <c r="I1049" s="4"/>
    </row>
    <row r="1050" spans="4:9" x14ac:dyDescent="0.25">
      <c r="D1050" s="4"/>
      <c r="E1050" s="4"/>
      <c r="H1050" s="4"/>
      <c r="I1050" s="4"/>
    </row>
    <row r="1051" spans="4:9" x14ac:dyDescent="0.25">
      <c r="D1051" s="4"/>
      <c r="E1051" s="4"/>
      <c r="H1051" s="4"/>
      <c r="I1051" s="4"/>
    </row>
    <row r="1052" spans="4:9" x14ac:dyDescent="0.25">
      <c r="D1052" s="4"/>
      <c r="E1052" s="4"/>
      <c r="H1052" s="4"/>
      <c r="I1052" s="4"/>
    </row>
    <row r="1053" spans="4:9" x14ac:dyDescent="0.25">
      <c r="D1053" s="4"/>
      <c r="E1053" s="4"/>
      <c r="H1053" s="4"/>
      <c r="I1053" s="4"/>
    </row>
    <row r="1054" spans="4:9" x14ac:dyDescent="0.25">
      <c r="D1054" s="4"/>
      <c r="E1054" s="4"/>
      <c r="H1054" s="4"/>
      <c r="I1054" s="4"/>
    </row>
    <row r="1055" spans="4:9" x14ac:dyDescent="0.25">
      <c r="D1055" s="4"/>
      <c r="E1055" s="4"/>
      <c r="H1055" s="4"/>
      <c r="I1055" s="4"/>
    </row>
    <row r="1056" spans="4:9" x14ac:dyDescent="0.25">
      <c r="D1056" s="4"/>
      <c r="E1056" s="4"/>
      <c r="H1056" s="4"/>
      <c r="I1056" s="4"/>
    </row>
    <row r="1057" spans="4:9" x14ac:dyDescent="0.25">
      <c r="D1057" s="4"/>
      <c r="E1057" s="4"/>
      <c r="H1057" s="4"/>
      <c r="I1057" s="4"/>
    </row>
    <row r="1058" spans="4:9" x14ac:dyDescent="0.25">
      <c r="D1058" s="4"/>
      <c r="E1058" s="4"/>
      <c r="H1058" s="4"/>
      <c r="I1058" s="4"/>
    </row>
    <row r="1059" spans="4:9" x14ac:dyDescent="0.25">
      <c r="D1059" s="4"/>
      <c r="E1059" s="4"/>
      <c r="H1059" s="4"/>
      <c r="I1059" s="4"/>
    </row>
    <row r="1060" spans="4:9" x14ac:dyDescent="0.25">
      <c r="D1060" s="4"/>
      <c r="E1060" s="4"/>
      <c r="H1060" s="4"/>
      <c r="I1060" s="4"/>
    </row>
    <row r="1061" spans="4:9" x14ac:dyDescent="0.25">
      <c r="D1061" s="4"/>
      <c r="E1061" s="4"/>
      <c r="H1061" s="4"/>
      <c r="I1061" s="4"/>
    </row>
    <row r="1062" spans="4:9" x14ac:dyDescent="0.25">
      <c r="D1062" s="4"/>
      <c r="E1062" s="4"/>
      <c r="H1062" s="4"/>
      <c r="I1062" s="4"/>
    </row>
    <row r="1063" spans="4:9" x14ac:dyDescent="0.25">
      <c r="D1063" s="4"/>
      <c r="E1063" s="4"/>
      <c r="H1063" s="4"/>
      <c r="I1063" s="4"/>
    </row>
    <row r="1064" spans="4:9" x14ac:dyDescent="0.25">
      <c r="D1064" s="4"/>
      <c r="E1064" s="4"/>
      <c r="H1064" s="4"/>
      <c r="I1064" s="4"/>
    </row>
    <row r="1065" spans="4:9" x14ac:dyDescent="0.25">
      <c r="D1065" s="4"/>
      <c r="E1065" s="4"/>
      <c r="H1065" s="4"/>
      <c r="I1065" s="4"/>
    </row>
    <row r="1066" spans="4:9" x14ac:dyDescent="0.25">
      <c r="D1066" s="4"/>
      <c r="E1066" s="4"/>
      <c r="H1066" s="4"/>
      <c r="I1066" s="4"/>
    </row>
    <row r="1067" spans="4:9" x14ac:dyDescent="0.25">
      <c r="D1067" s="4"/>
      <c r="E1067" s="4"/>
      <c r="H1067" s="4"/>
      <c r="I1067" s="4"/>
    </row>
    <row r="1068" spans="4:9" x14ac:dyDescent="0.25">
      <c r="D1068" s="4"/>
      <c r="E1068" s="4"/>
      <c r="H1068" s="4"/>
      <c r="I1068" s="4"/>
    </row>
    <row r="1069" spans="4:9" x14ac:dyDescent="0.25">
      <c r="D1069" s="4"/>
      <c r="E1069" s="4"/>
      <c r="H1069" s="4"/>
      <c r="I1069" s="4"/>
    </row>
    <row r="1070" spans="4:9" x14ac:dyDescent="0.25">
      <c r="D1070" s="4"/>
      <c r="E1070" s="4"/>
      <c r="H1070" s="4"/>
      <c r="I1070" s="4"/>
    </row>
    <row r="1071" spans="4:9" x14ac:dyDescent="0.25">
      <c r="D1071" s="4"/>
      <c r="E1071" s="4"/>
      <c r="H1071" s="4"/>
      <c r="I1071" s="4"/>
    </row>
    <row r="1072" spans="4:9" x14ac:dyDescent="0.25">
      <c r="D1072" s="4"/>
      <c r="E1072" s="4"/>
      <c r="H1072" s="4"/>
      <c r="I1072" s="4"/>
    </row>
    <row r="1073" spans="4:9" x14ac:dyDescent="0.25">
      <c r="D1073" s="4"/>
      <c r="E1073" s="4"/>
      <c r="H1073" s="4"/>
      <c r="I1073" s="4"/>
    </row>
    <row r="1074" spans="4:9" x14ac:dyDescent="0.25">
      <c r="D1074" s="4"/>
      <c r="E1074" s="4"/>
      <c r="H1074" s="4"/>
      <c r="I1074" s="4"/>
    </row>
    <row r="1075" spans="4:9" x14ac:dyDescent="0.25">
      <c r="D1075" s="4"/>
      <c r="E1075" s="4"/>
      <c r="H1075" s="4"/>
      <c r="I1075" s="4"/>
    </row>
    <row r="1076" spans="4:9" x14ac:dyDescent="0.25">
      <c r="D1076" s="4"/>
      <c r="E1076" s="4"/>
      <c r="H1076" s="4"/>
      <c r="I1076" s="4"/>
    </row>
    <row r="1077" spans="4:9" x14ac:dyDescent="0.25">
      <c r="D1077" s="4"/>
      <c r="E1077" s="4"/>
      <c r="H1077" s="4"/>
      <c r="I1077" s="4"/>
    </row>
    <row r="1078" spans="4:9" x14ac:dyDescent="0.25">
      <c r="D1078" s="4"/>
      <c r="E1078" s="4"/>
      <c r="H1078" s="4"/>
      <c r="I1078" s="4"/>
    </row>
    <row r="1079" spans="4:9" x14ac:dyDescent="0.25">
      <c r="D1079" s="4"/>
      <c r="E1079" s="4"/>
      <c r="H1079" s="4"/>
      <c r="I1079" s="4"/>
    </row>
    <row r="1080" spans="4:9" x14ac:dyDescent="0.25">
      <c r="D1080" s="4"/>
      <c r="E1080" s="4"/>
      <c r="H1080" s="4"/>
      <c r="I1080" s="4"/>
    </row>
    <row r="1081" spans="4:9" x14ac:dyDescent="0.25">
      <c r="D1081" s="4"/>
      <c r="E1081" s="4"/>
      <c r="H1081" s="4"/>
      <c r="I1081" s="4"/>
    </row>
    <row r="1082" spans="4:9" x14ac:dyDescent="0.25">
      <c r="D1082" s="4"/>
      <c r="E1082" s="4"/>
      <c r="H1082" s="4"/>
      <c r="I1082" s="4"/>
    </row>
    <row r="1083" spans="4:9" x14ac:dyDescent="0.25">
      <c r="D1083" s="4"/>
      <c r="E1083" s="4"/>
      <c r="H1083" s="4"/>
      <c r="I1083" s="4"/>
    </row>
    <row r="1084" spans="4:9" x14ac:dyDescent="0.25">
      <c r="D1084" s="4"/>
      <c r="E1084" s="4"/>
      <c r="H1084" s="4"/>
      <c r="I1084" s="4"/>
    </row>
    <row r="1085" spans="4:9" x14ac:dyDescent="0.25">
      <c r="D1085" s="4"/>
      <c r="E1085" s="4"/>
      <c r="H1085" s="4"/>
      <c r="I1085" s="4"/>
    </row>
    <row r="1086" spans="4:9" x14ac:dyDescent="0.25">
      <c r="D1086" s="4"/>
      <c r="E1086" s="4"/>
      <c r="H1086" s="4"/>
      <c r="I1086" s="4"/>
    </row>
    <row r="1087" spans="4:9" x14ac:dyDescent="0.25">
      <c r="D1087" s="4"/>
      <c r="E1087" s="4"/>
      <c r="H1087" s="4"/>
      <c r="I1087" s="4"/>
    </row>
    <row r="1088" spans="4:9" x14ac:dyDescent="0.25">
      <c r="D1088" s="4"/>
      <c r="E1088" s="4"/>
      <c r="H1088" s="4"/>
      <c r="I1088" s="4"/>
    </row>
    <row r="1089" spans="4:9" x14ac:dyDescent="0.25">
      <c r="D1089" s="4"/>
      <c r="E1089" s="4"/>
      <c r="H1089" s="4"/>
      <c r="I1089" s="4"/>
    </row>
    <row r="1090" spans="4:9" x14ac:dyDescent="0.25">
      <c r="D1090" s="4"/>
      <c r="E1090" s="4"/>
      <c r="H1090" s="4"/>
      <c r="I1090" s="4"/>
    </row>
    <row r="1091" spans="4:9" x14ac:dyDescent="0.25">
      <c r="D1091" s="4"/>
      <c r="E1091" s="4"/>
      <c r="H1091" s="4"/>
      <c r="I1091" s="4"/>
    </row>
    <row r="1092" spans="4:9" x14ac:dyDescent="0.25">
      <c r="D1092" s="4"/>
      <c r="E1092" s="4"/>
      <c r="H1092" s="4"/>
      <c r="I1092" s="4"/>
    </row>
    <row r="1093" spans="4:9" x14ac:dyDescent="0.25">
      <c r="D1093" s="4"/>
      <c r="E1093" s="4"/>
      <c r="H1093" s="4"/>
      <c r="I1093" s="4"/>
    </row>
    <row r="1094" spans="4:9" x14ac:dyDescent="0.25">
      <c r="D1094" s="4"/>
      <c r="E1094" s="4"/>
      <c r="H1094" s="4"/>
      <c r="I1094" s="4"/>
    </row>
    <row r="1095" spans="4:9" x14ac:dyDescent="0.25">
      <c r="D1095" s="4"/>
      <c r="E1095" s="4"/>
      <c r="H1095" s="4"/>
      <c r="I1095" s="4"/>
    </row>
    <row r="1096" spans="4:9" x14ac:dyDescent="0.25">
      <c r="D1096" s="4"/>
      <c r="E1096" s="4"/>
      <c r="H1096" s="4"/>
      <c r="I1096" s="4"/>
    </row>
    <row r="1097" spans="4:9" x14ac:dyDescent="0.25">
      <c r="D1097" s="4"/>
      <c r="E1097" s="4"/>
      <c r="H1097" s="4"/>
      <c r="I1097" s="4"/>
    </row>
    <row r="1098" spans="4:9" x14ac:dyDescent="0.25">
      <c r="D1098" s="4"/>
      <c r="E1098" s="4"/>
      <c r="H1098" s="4"/>
      <c r="I1098" s="4"/>
    </row>
    <row r="1099" spans="4:9" x14ac:dyDescent="0.25">
      <c r="D1099" s="4"/>
      <c r="E1099" s="4"/>
      <c r="H1099" s="4"/>
      <c r="I1099" s="4"/>
    </row>
    <row r="1100" spans="4:9" x14ac:dyDescent="0.25">
      <c r="D1100" s="4"/>
      <c r="E1100" s="4"/>
      <c r="H1100" s="4"/>
      <c r="I1100" s="4"/>
    </row>
    <row r="1101" spans="4:9" x14ac:dyDescent="0.25">
      <c r="D1101" s="4"/>
      <c r="E1101" s="4"/>
      <c r="H1101" s="4"/>
      <c r="I1101" s="4"/>
    </row>
    <row r="1102" spans="4:9" x14ac:dyDescent="0.25">
      <c r="D1102" s="4"/>
      <c r="E1102" s="4"/>
      <c r="H1102" s="4"/>
      <c r="I1102" s="4"/>
    </row>
    <row r="1103" spans="4:9" x14ac:dyDescent="0.25">
      <c r="D1103" s="4"/>
      <c r="E1103" s="4"/>
      <c r="H1103" s="4"/>
      <c r="I1103" s="4"/>
    </row>
    <row r="1104" spans="4:9" x14ac:dyDescent="0.25">
      <c r="D1104" s="4"/>
      <c r="E1104" s="4"/>
      <c r="H1104" s="4"/>
      <c r="I1104" s="4"/>
    </row>
    <row r="1105" spans="4:9" x14ac:dyDescent="0.25">
      <c r="D1105" s="4"/>
      <c r="E1105" s="4"/>
      <c r="H1105" s="4"/>
      <c r="I1105" s="4"/>
    </row>
    <row r="1106" spans="4:9" x14ac:dyDescent="0.25">
      <c r="D1106" s="4"/>
      <c r="E1106" s="4"/>
      <c r="H1106" s="4"/>
      <c r="I1106" s="4"/>
    </row>
    <row r="1107" spans="4:9" x14ac:dyDescent="0.25">
      <c r="D1107" s="4"/>
      <c r="E1107" s="4"/>
      <c r="H1107" s="4"/>
      <c r="I1107" s="4"/>
    </row>
    <row r="1108" spans="4:9" x14ac:dyDescent="0.25">
      <c r="D1108" s="4"/>
      <c r="E1108" s="4"/>
      <c r="H1108" s="4"/>
      <c r="I1108" s="4"/>
    </row>
    <row r="1109" spans="4:9" x14ac:dyDescent="0.25">
      <c r="D1109" s="4"/>
      <c r="E1109" s="4"/>
      <c r="H1109" s="4"/>
      <c r="I1109" s="4"/>
    </row>
    <row r="1110" spans="4:9" x14ac:dyDescent="0.25">
      <c r="D1110" s="4"/>
      <c r="E1110" s="4"/>
      <c r="H1110" s="4"/>
      <c r="I1110" s="4"/>
    </row>
    <row r="1111" spans="4:9" x14ac:dyDescent="0.25">
      <c r="D1111" s="4"/>
      <c r="E1111" s="4"/>
      <c r="H1111" s="4"/>
      <c r="I1111" s="4"/>
    </row>
    <row r="1112" spans="4:9" x14ac:dyDescent="0.25">
      <c r="D1112" s="4"/>
      <c r="E1112" s="4"/>
      <c r="H1112" s="4"/>
      <c r="I1112" s="4"/>
    </row>
    <row r="1113" spans="4:9" x14ac:dyDescent="0.25">
      <c r="D1113" s="4"/>
      <c r="E1113" s="4"/>
      <c r="H1113" s="4"/>
      <c r="I1113" s="4"/>
    </row>
    <row r="1114" spans="4:9" x14ac:dyDescent="0.25">
      <c r="D1114" s="4"/>
      <c r="E1114" s="4"/>
      <c r="H1114" s="4"/>
      <c r="I1114" s="4"/>
    </row>
    <row r="1115" spans="4:9" x14ac:dyDescent="0.25">
      <c r="D1115" s="4"/>
      <c r="E1115" s="4"/>
      <c r="H1115" s="4"/>
      <c r="I1115" s="4"/>
    </row>
    <row r="1116" spans="4:9" x14ac:dyDescent="0.25">
      <c r="D1116" s="4"/>
      <c r="E1116" s="4"/>
      <c r="H1116" s="4"/>
      <c r="I1116" s="4"/>
    </row>
    <row r="1117" spans="4:9" x14ac:dyDescent="0.25">
      <c r="D1117" s="4"/>
      <c r="E1117" s="4"/>
      <c r="H1117" s="4"/>
      <c r="I1117" s="4"/>
    </row>
    <row r="1118" spans="4:9" x14ac:dyDescent="0.25">
      <c r="D1118" s="4"/>
      <c r="E1118" s="4"/>
      <c r="H1118" s="4"/>
      <c r="I1118" s="4"/>
    </row>
    <row r="1119" spans="4:9" x14ac:dyDescent="0.25">
      <c r="D1119" s="4"/>
      <c r="E1119" s="4"/>
      <c r="H1119" s="4"/>
      <c r="I1119" s="4"/>
    </row>
    <row r="1120" spans="4:9" x14ac:dyDescent="0.25">
      <c r="D1120" s="4"/>
      <c r="E1120" s="4"/>
      <c r="H1120" s="4"/>
      <c r="I1120" s="4"/>
    </row>
    <row r="1121" spans="4:9" x14ac:dyDescent="0.25">
      <c r="D1121" s="4"/>
      <c r="E1121" s="4"/>
      <c r="H1121" s="4"/>
      <c r="I1121" s="4"/>
    </row>
    <row r="1122" spans="4:9" x14ac:dyDescent="0.25">
      <c r="D1122" s="4"/>
      <c r="E1122" s="4"/>
      <c r="H1122" s="4"/>
      <c r="I1122" s="4"/>
    </row>
    <row r="1123" spans="4:9" x14ac:dyDescent="0.25">
      <c r="D1123" s="4"/>
      <c r="E1123" s="4"/>
      <c r="H1123" s="4"/>
      <c r="I1123" s="4"/>
    </row>
    <row r="1124" spans="4:9" x14ac:dyDescent="0.25">
      <c r="D1124" s="4"/>
      <c r="E1124" s="4"/>
      <c r="H1124" s="4"/>
      <c r="I1124" s="4"/>
    </row>
    <row r="1125" spans="4:9" x14ac:dyDescent="0.25">
      <c r="D1125" s="4"/>
      <c r="E1125" s="4"/>
      <c r="H1125" s="4"/>
      <c r="I1125" s="4"/>
    </row>
    <row r="1126" spans="4:9" x14ac:dyDescent="0.25">
      <c r="D1126" s="4"/>
      <c r="E1126" s="4"/>
      <c r="H1126" s="4"/>
      <c r="I1126" s="4"/>
    </row>
    <row r="1127" spans="4:9" x14ac:dyDescent="0.25">
      <c r="D1127" s="4"/>
      <c r="E1127" s="4"/>
      <c r="H1127" s="4"/>
      <c r="I1127" s="4"/>
    </row>
    <row r="1128" spans="4:9" x14ac:dyDescent="0.25">
      <c r="D1128" s="4"/>
      <c r="E1128" s="4"/>
      <c r="H1128" s="4"/>
      <c r="I1128" s="4"/>
    </row>
    <row r="1129" spans="4:9" x14ac:dyDescent="0.25">
      <c r="D1129" s="4"/>
      <c r="E1129" s="4"/>
      <c r="H1129" s="4"/>
      <c r="I1129" s="4"/>
    </row>
    <row r="1130" spans="4:9" x14ac:dyDescent="0.25">
      <c r="D1130" s="4"/>
      <c r="E1130" s="4"/>
      <c r="H1130" s="4"/>
      <c r="I1130" s="4"/>
    </row>
    <row r="1131" spans="4:9" x14ac:dyDescent="0.25">
      <c r="D1131" s="4"/>
      <c r="E1131" s="4"/>
      <c r="H1131" s="4"/>
      <c r="I1131" s="4"/>
    </row>
    <row r="1132" spans="4:9" x14ac:dyDescent="0.25">
      <c r="D1132" s="4"/>
      <c r="E1132" s="4"/>
      <c r="H1132" s="4"/>
      <c r="I1132" s="4"/>
    </row>
    <row r="1133" spans="4:9" x14ac:dyDescent="0.25">
      <c r="D1133" s="4"/>
      <c r="E1133" s="4"/>
      <c r="H1133" s="4"/>
      <c r="I1133" s="4"/>
    </row>
    <row r="1134" spans="4:9" x14ac:dyDescent="0.25">
      <c r="D1134" s="4"/>
      <c r="E1134" s="4"/>
      <c r="H1134" s="4"/>
      <c r="I1134" s="4"/>
    </row>
    <row r="1135" spans="4:9" x14ac:dyDescent="0.25">
      <c r="D1135" s="4"/>
      <c r="E1135" s="4"/>
      <c r="H1135" s="4"/>
      <c r="I1135" s="4"/>
    </row>
    <row r="1136" spans="4:9" x14ac:dyDescent="0.25">
      <c r="D1136" s="4"/>
      <c r="E1136" s="4"/>
      <c r="H1136" s="4"/>
      <c r="I1136" s="4"/>
    </row>
    <row r="1137" spans="4:9" x14ac:dyDescent="0.25">
      <c r="D1137" s="4"/>
      <c r="E1137" s="4"/>
      <c r="H1137" s="4"/>
      <c r="I1137" s="4"/>
    </row>
    <row r="1138" spans="4:9" x14ac:dyDescent="0.25">
      <c r="D1138" s="4"/>
      <c r="E1138" s="4"/>
      <c r="H1138" s="4"/>
      <c r="I1138" s="4"/>
    </row>
    <row r="1139" spans="4:9" x14ac:dyDescent="0.25">
      <c r="D1139" s="4"/>
      <c r="E1139" s="4"/>
      <c r="H1139" s="4"/>
      <c r="I1139" s="4"/>
    </row>
    <row r="1140" spans="4:9" x14ac:dyDescent="0.25">
      <c r="D1140" s="4"/>
      <c r="E1140" s="4"/>
      <c r="H1140" s="4"/>
      <c r="I1140" s="4"/>
    </row>
    <row r="1141" spans="4:9" x14ac:dyDescent="0.25">
      <c r="D1141" s="4"/>
      <c r="E1141" s="4"/>
      <c r="H1141" s="4"/>
      <c r="I1141" s="4"/>
    </row>
    <row r="1142" spans="4:9" x14ac:dyDescent="0.25">
      <c r="D1142" s="4"/>
      <c r="E1142" s="4"/>
      <c r="H1142" s="4"/>
      <c r="I1142" s="4"/>
    </row>
    <row r="1143" spans="4:9" x14ac:dyDescent="0.25">
      <c r="D1143" s="4"/>
      <c r="E1143" s="4"/>
      <c r="H1143" s="4"/>
      <c r="I1143" s="4"/>
    </row>
    <row r="1144" spans="4:9" x14ac:dyDescent="0.25">
      <c r="D1144" s="4"/>
      <c r="E1144" s="4"/>
      <c r="H1144" s="4"/>
      <c r="I1144" s="4"/>
    </row>
    <row r="1145" spans="4:9" x14ac:dyDescent="0.25">
      <c r="D1145" s="4"/>
      <c r="E1145" s="4"/>
      <c r="H1145" s="4"/>
      <c r="I1145" s="4"/>
    </row>
    <row r="1146" spans="4:9" x14ac:dyDescent="0.25">
      <c r="D1146" s="4"/>
      <c r="E1146" s="4"/>
      <c r="H1146" s="4"/>
      <c r="I1146" s="4"/>
    </row>
    <row r="1147" spans="4:9" x14ac:dyDescent="0.25">
      <c r="D1147" s="4"/>
      <c r="E1147" s="4"/>
      <c r="H1147" s="4"/>
      <c r="I1147" s="4"/>
    </row>
    <row r="1148" spans="4:9" x14ac:dyDescent="0.25">
      <c r="D1148" s="4"/>
      <c r="E1148" s="4"/>
      <c r="H1148" s="4"/>
      <c r="I1148" s="4"/>
    </row>
    <row r="1149" spans="4:9" x14ac:dyDescent="0.25">
      <c r="D1149" s="4"/>
      <c r="E1149" s="4"/>
      <c r="H1149" s="4"/>
      <c r="I1149" s="4"/>
    </row>
    <row r="1150" spans="4:9" x14ac:dyDescent="0.25">
      <c r="D1150" s="4"/>
      <c r="E1150" s="4"/>
      <c r="H1150" s="4"/>
      <c r="I1150" s="4"/>
    </row>
    <row r="1151" spans="4:9" x14ac:dyDescent="0.25">
      <c r="D1151" s="4"/>
      <c r="E1151" s="4"/>
      <c r="H1151" s="4"/>
      <c r="I1151" s="4"/>
    </row>
    <row r="1152" spans="4:9" x14ac:dyDescent="0.25">
      <c r="D1152" s="4"/>
      <c r="E1152" s="4"/>
      <c r="H1152" s="4"/>
      <c r="I1152" s="4"/>
    </row>
    <row r="1153" spans="4:9" x14ac:dyDescent="0.25">
      <c r="D1153" s="4"/>
      <c r="E1153" s="4"/>
      <c r="H1153" s="4"/>
      <c r="I1153" s="4"/>
    </row>
    <row r="1154" spans="4:9" x14ac:dyDescent="0.25">
      <c r="D1154" s="4"/>
      <c r="E1154" s="4"/>
      <c r="H1154" s="4"/>
      <c r="I1154" s="4"/>
    </row>
    <row r="1155" spans="4:9" x14ac:dyDescent="0.25">
      <c r="D1155" s="4"/>
      <c r="E1155" s="4"/>
      <c r="H1155" s="4"/>
      <c r="I1155" s="4"/>
    </row>
    <row r="1156" spans="4:9" x14ac:dyDescent="0.25">
      <c r="D1156" s="4"/>
      <c r="E1156" s="4"/>
      <c r="H1156" s="4"/>
      <c r="I1156" s="4"/>
    </row>
    <row r="1157" spans="4:9" x14ac:dyDescent="0.25">
      <c r="D1157" s="4"/>
      <c r="E1157" s="4"/>
      <c r="H1157" s="4"/>
      <c r="I1157" s="4"/>
    </row>
    <row r="1158" spans="4:9" x14ac:dyDescent="0.25">
      <c r="D1158" s="4"/>
      <c r="E1158" s="4"/>
      <c r="H1158" s="4"/>
      <c r="I1158" s="4"/>
    </row>
    <row r="1159" spans="4:9" x14ac:dyDescent="0.25">
      <c r="D1159" s="4"/>
      <c r="E1159" s="4"/>
      <c r="H1159" s="4"/>
      <c r="I1159" s="4"/>
    </row>
    <row r="1160" spans="4:9" x14ac:dyDescent="0.25">
      <c r="D1160" s="4"/>
      <c r="E1160" s="4"/>
      <c r="H1160" s="4"/>
      <c r="I1160" s="4"/>
    </row>
    <row r="1161" spans="4:9" x14ac:dyDescent="0.25">
      <c r="D1161" s="4"/>
      <c r="E1161" s="4"/>
      <c r="H1161" s="4"/>
      <c r="I1161" s="4"/>
    </row>
    <row r="1162" spans="4:9" x14ac:dyDescent="0.25">
      <c r="D1162" s="4"/>
      <c r="E1162" s="4"/>
      <c r="H1162" s="4"/>
      <c r="I1162" s="4"/>
    </row>
    <row r="1163" spans="4:9" x14ac:dyDescent="0.25">
      <c r="D1163" s="4"/>
      <c r="E1163" s="4"/>
      <c r="H1163" s="4"/>
      <c r="I1163" s="4"/>
    </row>
    <row r="1164" spans="4:9" x14ac:dyDescent="0.25">
      <c r="D1164" s="4"/>
      <c r="E1164" s="4"/>
      <c r="H1164" s="4"/>
      <c r="I1164" s="4"/>
    </row>
    <row r="1165" spans="4:9" x14ac:dyDescent="0.25">
      <c r="D1165" s="4"/>
      <c r="E1165" s="4"/>
      <c r="H1165" s="4"/>
      <c r="I1165" s="4"/>
    </row>
    <row r="1166" spans="4:9" x14ac:dyDescent="0.25">
      <c r="D1166" s="4"/>
      <c r="E1166" s="4"/>
      <c r="H1166" s="4"/>
      <c r="I1166" s="4"/>
    </row>
    <row r="1167" spans="4:9" x14ac:dyDescent="0.25">
      <c r="D1167" s="4"/>
      <c r="E1167" s="4"/>
      <c r="H1167" s="4"/>
      <c r="I1167" s="4"/>
    </row>
    <row r="1168" spans="4:9" x14ac:dyDescent="0.25">
      <c r="D1168" s="4"/>
      <c r="E1168" s="4"/>
      <c r="H1168" s="4"/>
      <c r="I1168" s="4"/>
    </row>
    <row r="1169" spans="4:9" x14ac:dyDescent="0.25">
      <c r="D1169" s="4"/>
      <c r="E1169" s="4"/>
      <c r="H1169" s="4"/>
      <c r="I1169" s="4"/>
    </row>
    <row r="1170" spans="4:9" x14ac:dyDescent="0.25">
      <c r="D1170" s="4"/>
      <c r="E1170" s="4"/>
      <c r="H1170" s="4"/>
      <c r="I1170" s="4"/>
    </row>
    <row r="1171" spans="4:9" x14ac:dyDescent="0.25">
      <c r="D1171" s="4"/>
      <c r="E1171" s="4"/>
      <c r="H1171" s="4"/>
      <c r="I1171" s="4"/>
    </row>
    <row r="1172" spans="4:9" x14ac:dyDescent="0.25">
      <c r="D1172" s="4"/>
      <c r="E1172" s="4"/>
      <c r="H1172" s="4"/>
      <c r="I1172" s="4"/>
    </row>
    <row r="1173" spans="4:9" x14ac:dyDescent="0.25">
      <c r="D1173" s="4"/>
      <c r="E1173" s="4"/>
      <c r="H1173" s="4"/>
      <c r="I1173" s="4"/>
    </row>
    <row r="1174" spans="4:9" x14ac:dyDescent="0.25">
      <c r="D1174" s="4"/>
      <c r="E1174" s="4"/>
      <c r="H1174" s="4"/>
      <c r="I1174" s="4"/>
    </row>
    <row r="1175" spans="4:9" x14ac:dyDescent="0.25">
      <c r="D1175" s="4"/>
      <c r="E1175" s="4"/>
      <c r="H1175" s="4"/>
      <c r="I1175" s="4"/>
    </row>
    <row r="1176" spans="4:9" x14ac:dyDescent="0.25">
      <c r="D1176" s="4"/>
      <c r="E1176" s="4"/>
      <c r="H1176" s="4"/>
      <c r="I1176" s="4"/>
    </row>
    <row r="1177" spans="4:9" x14ac:dyDescent="0.25">
      <c r="D1177" s="4"/>
      <c r="E1177" s="4"/>
      <c r="H1177" s="4"/>
      <c r="I1177" s="4"/>
    </row>
    <row r="1178" spans="4:9" x14ac:dyDescent="0.25">
      <c r="D1178" s="4"/>
      <c r="E1178" s="4"/>
      <c r="H1178" s="4"/>
      <c r="I1178" s="4"/>
    </row>
    <row r="1179" spans="4:9" x14ac:dyDescent="0.25">
      <c r="D1179" s="4"/>
      <c r="E1179" s="4"/>
      <c r="H1179" s="4"/>
      <c r="I1179" s="4"/>
    </row>
    <row r="1180" spans="4:9" x14ac:dyDescent="0.25">
      <c r="D1180" s="4"/>
      <c r="E1180" s="4"/>
      <c r="H1180" s="4"/>
      <c r="I1180" s="4"/>
    </row>
    <row r="1181" spans="4:9" x14ac:dyDescent="0.25">
      <c r="D1181" s="4"/>
      <c r="E1181" s="4"/>
      <c r="H1181" s="4"/>
      <c r="I1181" s="4"/>
    </row>
    <row r="1182" spans="4:9" x14ac:dyDescent="0.25">
      <c r="D1182" s="4"/>
      <c r="E1182" s="4"/>
      <c r="H1182" s="4"/>
      <c r="I1182" s="4"/>
    </row>
    <row r="1183" spans="4:9" x14ac:dyDescent="0.25">
      <c r="D1183" s="4"/>
      <c r="E1183" s="4"/>
      <c r="H1183" s="4"/>
      <c r="I1183" s="4"/>
    </row>
    <row r="1184" spans="4:9" x14ac:dyDescent="0.25">
      <c r="D1184" s="4"/>
      <c r="E1184" s="4"/>
      <c r="H1184" s="4"/>
      <c r="I1184" s="4"/>
    </row>
    <row r="1185" spans="4:9" x14ac:dyDescent="0.25">
      <c r="D1185" s="4"/>
      <c r="E1185" s="4"/>
      <c r="H1185" s="4"/>
      <c r="I1185" s="4"/>
    </row>
    <row r="1186" spans="4:9" x14ac:dyDescent="0.25">
      <c r="D1186" s="4"/>
      <c r="E1186" s="4"/>
      <c r="H1186" s="4"/>
      <c r="I1186" s="4"/>
    </row>
    <row r="1187" spans="4:9" x14ac:dyDescent="0.25">
      <c r="D1187" s="4"/>
      <c r="E1187" s="4"/>
      <c r="H1187" s="4"/>
      <c r="I1187" s="4"/>
    </row>
    <row r="1188" spans="4:9" x14ac:dyDescent="0.25">
      <c r="D1188" s="4"/>
      <c r="E1188" s="4"/>
      <c r="H1188" s="4"/>
      <c r="I1188" s="4"/>
    </row>
    <row r="1189" spans="4:9" x14ac:dyDescent="0.25">
      <c r="D1189" s="4"/>
      <c r="E1189" s="4"/>
      <c r="H1189" s="4"/>
      <c r="I1189" s="4"/>
    </row>
    <row r="1190" spans="4:9" x14ac:dyDescent="0.25">
      <c r="D1190" s="4"/>
      <c r="E1190" s="4"/>
      <c r="H1190" s="4"/>
      <c r="I1190" s="4"/>
    </row>
    <row r="1191" spans="4:9" x14ac:dyDescent="0.25">
      <c r="D1191" s="4"/>
      <c r="E1191" s="4"/>
      <c r="H1191" s="4"/>
      <c r="I1191" s="4"/>
    </row>
    <row r="1192" spans="4:9" x14ac:dyDescent="0.25">
      <c r="D1192" s="4"/>
      <c r="E1192" s="4"/>
      <c r="H1192" s="4"/>
      <c r="I1192" s="4"/>
    </row>
    <row r="1193" spans="4:9" x14ac:dyDescent="0.25">
      <c r="D1193" s="4"/>
      <c r="E1193" s="4"/>
      <c r="H1193" s="4"/>
      <c r="I1193" s="4"/>
    </row>
    <row r="1194" spans="4:9" x14ac:dyDescent="0.25">
      <c r="D1194" s="4"/>
      <c r="E1194" s="4"/>
      <c r="H1194" s="4"/>
      <c r="I1194" s="4"/>
    </row>
    <row r="1195" spans="4:9" x14ac:dyDescent="0.25">
      <c r="D1195" s="4"/>
      <c r="E1195" s="4"/>
      <c r="H1195" s="4"/>
      <c r="I1195" s="4"/>
    </row>
    <row r="1196" spans="4:9" x14ac:dyDescent="0.25">
      <c r="D1196" s="4"/>
      <c r="E1196" s="4"/>
      <c r="H1196" s="4"/>
      <c r="I1196" s="4"/>
    </row>
    <row r="1197" spans="4:9" x14ac:dyDescent="0.25">
      <c r="D1197" s="4"/>
      <c r="E1197" s="4"/>
      <c r="H1197" s="4"/>
      <c r="I1197" s="4"/>
    </row>
    <row r="1198" spans="4:9" x14ac:dyDescent="0.25">
      <c r="D1198" s="4"/>
      <c r="E1198" s="4"/>
      <c r="H1198" s="4"/>
      <c r="I1198" s="4"/>
    </row>
    <row r="1199" spans="4:9" x14ac:dyDescent="0.25">
      <c r="D1199" s="4"/>
      <c r="E1199" s="4"/>
      <c r="H1199" s="4"/>
      <c r="I1199" s="4"/>
    </row>
    <row r="1200" spans="4:9" x14ac:dyDescent="0.25">
      <c r="D1200" s="4"/>
      <c r="E1200" s="4"/>
      <c r="H1200" s="4"/>
      <c r="I1200" s="4"/>
    </row>
    <row r="1201" spans="4:9" x14ac:dyDescent="0.25">
      <c r="D1201" s="4"/>
      <c r="E1201" s="4"/>
      <c r="H1201" s="4"/>
      <c r="I1201" s="4"/>
    </row>
    <row r="1202" spans="4:9" x14ac:dyDescent="0.25">
      <c r="D1202" s="4"/>
      <c r="E1202" s="4"/>
      <c r="H1202" s="4"/>
      <c r="I1202" s="4"/>
    </row>
    <row r="1203" spans="4:9" x14ac:dyDescent="0.25">
      <c r="D1203" s="4"/>
      <c r="E1203" s="4"/>
      <c r="H1203" s="4"/>
      <c r="I1203" s="4"/>
    </row>
    <row r="1204" spans="4:9" x14ac:dyDescent="0.25">
      <c r="D1204" s="4"/>
      <c r="E1204" s="4"/>
      <c r="H1204" s="4"/>
      <c r="I1204" s="4"/>
    </row>
    <row r="1205" spans="4:9" x14ac:dyDescent="0.25">
      <c r="D1205" s="4"/>
      <c r="E1205" s="4"/>
      <c r="H1205" s="4"/>
      <c r="I1205" s="4"/>
    </row>
    <row r="1206" spans="4:9" x14ac:dyDescent="0.25">
      <c r="D1206" s="4"/>
      <c r="E1206" s="4"/>
      <c r="H1206" s="4"/>
      <c r="I1206" s="4"/>
    </row>
    <row r="1207" spans="4:9" x14ac:dyDescent="0.25">
      <c r="D1207" s="4"/>
      <c r="E1207" s="4"/>
      <c r="H1207" s="4"/>
      <c r="I1207" s="4"/>
    </row>
    <row r="1208" spans="4:9" x14ac:dyDescent="0.25">
      <c r="D1208" s="4"/>
      <c r="E1208" s="4"/>
      <c r="H1208" s="4"/>
      <c r="I1208" s="4"/>
    </row>
    <row r="1209" spans="4:9" x14ac:dyDescent="0.25">
      <c r="D1209" s="4"/>
      <c r="E1209" s="4"/>
      <c r="H1209" s="4"/>
      <c r="I1209" s="4"/>
    </row>
    <row r="1210" spans="4:9" x14ac:dyDescent="0.25">
      <c r="D1210" s="4"/>
      <c r="E1210" s="4"/>
      <c r="H1210" s="4"/>
      <c r="I1210" s="4"/>
    </row>
    <row r="1211" spans="4:9" x14ac:dyDescent="0.25">
      <c r="D1211" s="4"/>
      <c r="E1211" s="4"/>
      <c r="H1211" s="4"/>
      <c r="I1211" s="4"/>
    </row>
    <row r="1212" spans="4:9" x14ac:dyDescent="0.25">
      <c r="D1212" s="4"/>
      <c r="E1212" s="4"/>
      <c r="H1212" s="4"/>
      <c r="I1212" s="4"/>
    </row>
    <row r="1213" spans="4:9" x14ac:dyDescent="0.25">
      <c r="D1213" s="4"/>
      <c r="E1213" s="4"/>
      <c r="H1213" s="4"/>
      <c r="I1213" s="4"/>
    </row>
    <row r="1214" spans="4:9" x14ac:dyDescent="0.25">
      <c r="D1214" s="4"/>
      <c r="E1214" s="4"/>
      <c r="H1214" s="4"/>
      <c r="I1214" s="4"/>
    </row>
    <row r="1215" spans="4:9" x14ac:dyDescent="0.25">
      <c r="D1215" s="4"/>
      <c r="E1215" s="4"/>
      <c r="H1215" s="4"/>
      <c r="I1215" s="4"/>
    </row>
    <row r="1216" spans="4:9" x14ac:dyDescent="0.25">
      <c r="D1216" s="4"/>
      <c r="E1216" s="4"/>
      <c r="H1216" s="4"/>
      <c r="I1216" s="4"/>
    </row>
    <row r="1217" spans="4:9" x14ac:dyDescent="0.25">
      <c r="D1217" s="4"/>
      <c r="E1217" s="4"/>
      <c r="H1217" s="4"/>
      <c r="I1217" s="4"/>
    </row>
    <row r="1218" spans="4:9" x14ac:dyDescent="0.25">
      <c r="D1218" s="4"/>
      <c r="E1218" s="4"/>
      <c r="H1218" s="4"/>
      <c r="I1218" s="4"/>
    </row>
    <row r="1219" spans="4:9" x14ac:dyDescent="0.25">
      <c r="D1219" s="4"/>
      <c r="E1219" s="4"/>
      <c r="H1219" s="4"/>
      <c r="I1219" s="4"/>
    </row>
    <row r="1220" spans="4:9" x14ac:dyDescent="0.25">
      <c r="D1220" s="4"/>
      <c r="E1220" s="4"/>
      <c r="H1220" s="4"/>
      <c r="I1220" s="4"/>
    </row>
    <row r="1221" spans="4:9" x14ac:dyDescent="0.25">
      <c r="D1221" s="4"/>
      <c r="E1221" s="4"/>
      <c r="H1221" s="4"/>
      <c r="I1221" s="4"/>
    </row>
    <row r="1222" spans="4:9" x14ac:dyDescent="0.25">
      <c r="D1222" s="4"/>
      <c r="E1222" s="4"/>
      <c r="H1222" s="4"/>
      <c r="I1222" s="4"/>
    </row>
    <row r="1223" spans="4:9" x14ac:dyDescent="0.25">
      <c r="D1223" s="4"/>
      <c r="E1223" s="4"/>
      <c r="H1223" s="4"/>
      <c r="I1223" s="4"/>
    </row>
    <row r="1224" spans="4:9" x14ac:dyDescent="0.25">
      <c r="D1224" s="4"/>
      <c r="E1224" s="4"/>
      <c r="H1224" s="4"/>
      <c r="I1224" s="4"/>
    </row>
    <row r="1225" spans="4:9" x14ac:dyDescent="0.25">
      <c r="D1225" s="4"/>
      <c r="E1225" s="4"/>
      <c r="H1225" s="4"/>
      <c r="I1225" s="4"/>
    </row>
    <row r="1226" spans="4:9" x14ac:dyDescent="0.25">
      <c r="D1226" s="4"/>
      <c r="E1226" s="4"/>
      <c r="H1226" s="4"/>
      <c r="I1226" s="4"/>
    </row>
    <row r="1227" spans="4:9" x14ac:dyDescent="0.25">
      <c r="D1227" s="4"/>
      <c r="E1227" s="4"/>
      <c r="H1227" s="4"/>
      <c r="I1227" s="4"/>
    </row>
    <row r="1228" spans="4:9" x14ac:dyDescent="0.25">
      <c r="D1228" s="4"/>
      <c r="E1228" s="4"/>
      <c r="H1228" s="4"/>
      <c r="I1228" s="4"/>
    </row>
    <row r="1229" spans="4:9" x14ac:dyDescent="0.25">
      <c r="D1229" s="4"/>
      <c r="E1229" s="4"/>
      <c r="H1229" s="4"/>
      <c r="I1229" s="4"/>
    </row>
    <row r="1230" spans="4:9" x14ac:dyDescent="0.25">
      <c r="D1230" s="4"/>
      <c r="E1230" s="4"/>
      <c r="H1230" s="4"/>
      <c r="I1230" s="4"/>
    </row>
    <row r="1231" spans="4:9" x14ac:dyDescent="0.25">
      <c r="D1231" s="4"/>
      <c r="E1231" s="4"/>
      <c r="H1231" s="4"/>
      <c r="I1231" s="4"/>
    </row>
    <row r="1232" spans="4:9" x14ac:dyDescent="0.25">
      <c r="D1232" s="4"/>
      <c r="E1232" s="4"/>
      <c r="H1232" s="4"/>
      <c r="I1232" s="4"/>
    </row>
    <row r="1233" spans="4:9" x14ac:dyDescent="0.25">
      <c r="D1233" s="4"/>
      <c r="E1233" s="4"/>
      <c r="H1233" s="4"/>
      <c r="I1233" s="4"/>
    </row>
    <row r="1234" spans="4:9" x14ac:dyDescent="0.25">
      <c r="D1234" s="4"/>
      <c r="E1234" s="4"/>
      <c r="H1234" s="4"/>
      <c r="I1234" s="4"/>
    </row>
    <row r="1235" spans="4:9" x14ac:dyDescent="0.25">
      <c r="D1235" s="4"/>
      <c r="E1235" s="4"/>
      <c r="H1235" s="4"/>
      <c r="I1235" s="4"/>
    </row>
    <row r="1236" spans="4:9" x14ac:dyDescent="0.25">
      <c r="D1236" s="4"/>
      <c r="E1236" s="4"/>
      <c r="H1236" s="4"/>
      <c r="I1236" s="4"/>
    </row>
    <row r="1237" spans="4:9" x14ac:dyDescent="0.25">
      <c r="D1237" s="4"/>
      <c r="E1237" s="4"/>
      <c r="H1237" s="4"/>
      <c r="I1237" s="4"/>
    </row>
    <row r="1238" spans="4:9" x14ac:dyDescent="0.25">
      <c r="D1238" s="4"/>
      <c r="E1238" s="4"/>
      <c r="H1238" s="4"/>
      <c r="I1238" s="4"/>
    </row>
    <row r="1239" spans="4:9" x14ac:dyDescent="0.25">
      <c r="D1239" s="4"/>
      <c r="E1239" s="4"/>
      <c r="H1239" s="4"/>
      <c r="I1239" s="4"/>
    </row>
    <row r="1240" spans="4:9" x14ac:dyDescent="0.25">
      <c r="D1240" s="4"/>
      <c r="E1240" s="4"/>
      <c r="H1240" s="4"/>
      <c r="I1240" s="4"/>
    </row>
    <row r="1241" spans="4:9" x14ac:dyDescent="0.25">
      <c r="D1241" s="4"/>
      <c r="E1241" s="4"/>
      <c r="H1241" s="4"/>
      <c r="I1241" s="4"/>
    </row>
    <row r="1242" spans="4:9" x14ac:dyDescent="0.25">
      <c r="D1242" s="4"/>
      <c r="E1242" s="4"/>
      <c r="H1242" s="4"/>
      <c r="I1242" s="4"/>
    </row>
    <row r="1243" spans="4:9" x14ac:dyDescent="0.25">
      <c r="D1243" s="4"/>
      <c r="E1243" s="4"/>
      <c r="H1243" s="4"/>
      <c r="I1243" s="4"/>
    </row>
    <row r="1244" spans="4:9" x14ac:dyDescent="0.25">
      <c r="D1244" s="4"/>
      <c r="E1244" s="4"/>
      <c r="H1244" s="4"/>
      <c r="I1244" s="4"/>
    </row>
    <row r="1245" spans="4:9" x14ac:dyDescent="0.25">
      <c r="D1245" s="4"/>
      <c r="E1245" s="4"/>
      <c r="H1245" s="4"/>
      <c r="I1245" s="4"/>
    </row>
    <row r="1246" spans="4:9" x14ac:dyDescent="0.25">
      <c r="D1246" s="4"/>
      <c r="E1246" s="4"/>
      <c r="H1246" s="4"/>
      <c r="I1246" s="4"/>
    </row>
    <row r="1247" spans="4:9" x14ac:dyDescent="0.25">
      <c r="D1247" s="4"/>
      <c r="E1247" s="4"/>
      <c r="H1247" s="4"/>
      <c r="I1247" s="4"/>
    </row>
    <row r="1248" spans="4:9" x14ac:dyDescent="0.25">
      <c r="D1248" s="4"/>
      <c r="E1248" s="4"/>
      <c r="H1248" s="4"/>
      <c r="I1248" s="4"/>
    </row>
    <row r="1249" spans="4:9" x14ac:dyDescent="0.25">
      <c r="D1249" s="4"/>
      <c r="E1249" s="4"/>
      <c r="H1249" s="4"/>
      <c r="I1249" s="4"/>
    </row>
    <row r="1250" spans="4:9" x14ac:dyDescent="0.25">
      <c r="D1250" s="4"/>
      <c r="E1250" s="4"/>
      <c r="H1250" s="4"/>
      <c r="I1250" s="4"/>
    </row>
    <row r="1251" spans="4:9" x14ac:dyDescent="0.25">
      <c r="D1251" s="4"/>
      <c r="E1251" s="4"/>
      <c r="H1251" s="4"/>
      <c r="I1251" s="4"/>
    </row>
    <row r="1252" spans="4:9" x14ac:dyDescent="0.25">
      <c r="D1252" s="4"/>
      <c r="E1252" s="4"/>
      <c r="H1252" s="4"/>
      <c r="I1252" s="4"/>
    </row>
    <row r="1253" spans="4:9" x14ac:dyDescent="0.25">
      <c r="D1253" s="4"/>
      <c r="E1253" s="4"/>
      <c r="H1253" s="4"/>
      <c r="I1253" s="4"/>
    </row>
    <row r="1254" spans="4:9" x14ac:dyDescent="0.25">
      <c r="D1254" s="4"/>
      <c r="E1254" s="4"/>
      <c r="H1254" s="4"/>
      <c r="I1254" s="4"/>
    </row>
    <row r="1255" spans="4:9" x14ac:dyDescent="0.25">
      <c r="D1255" s="4"/>
      <c r="E1255" s="4"/>
      <c r="H1255" s="4"/>
      <c r="I1255" s="4"/>
    </row>
    <row r="1256" spans="4:9" x14ac:dyDescent="0.25">
      <c r="D1256" s="4"/>
      <c r="E1256" s="4"/>
      <c r="H1256" s="4"/>
      <c r="I1256" s="4"/>
    </row>
    <row r="1257" spans="4:9" x14ac:dyDescent="0.25">
      <c r="D1257" s="4"/>
      <c r="E1257" s="4"/>
      <c r="H1257" s="4"/>
      <c r="I1257" s="4"/>
    </row>
    <row r="1258" spans="4:9" x14ac:dyDescent="0.25">
      <c r="D1258" s="4"/>
      <c r="E1258" s="4"/>
      <c r="H1258" s="4"/>
      <c r="I1258" s="4"/>
    </row>
    <row r="1259" spans="4:9" x14ac:dyDescent="0.25">
      <c r="D1259" s="4"/>
      <c r="E1259" s="4"/>
      <c r="H1259" s="4"/>
      <c r="I1259" s="4"/>
    </row>
    <row r="1260" spans="4:9" x14ac:dyDescent="0.25">
      <c r="D1260" s="4"/>
      <c r="E1260" s="4"/>
      <c r="H1260" s="4"/>
      <c r="I1260" s="4"/>
    </row>
    <row r="1261" spans="4:9" x14ac:dyDescent="0.25">
      <c r="D1261" s="4"/>
      <c r="E1261" s="4"/>
      <c r="H1261" s="4"/>
      <c r="I1261" s="4"/>
    </row>
    <row r="1262" spans="4:9" x14ac:dyDescent="0.25">
      <c r="D1262" s="4"/>
      <c r="E1262" s="4"/>
      <c r="H1262" s="4"/>
      <c r="I1262" s="4"/>
    </row>
    <row r="1263" spans="4:9" x14ac:dyDescent="0.25">
      <c r="D1263" s="4"/>
      <c r="E1263" s="4"/>
      <c r="H1263" s="4"/>
      <c r="I1263" s="4"/>
    </row>
    <row r="1264" spans="4:9" x14ac:dyDescent="0.25">
      <c r="D1264" s="4"/>
      <c r="E1264" s="4"/>
      <c r="H1264" s="4"/>
      <c r="I1264" s="4"/>
    </row>
    <row r="1265" spans="4:9" x14ac:dyDescent="0.25">
      <c r="D1265" s="4"/>
      <c r="E1265" s="4"/>
      <c r="H1265" s="4"/>
      <c r="I1265" s="4"/>
    </row>
    <row r="1266" spans="4:9" x14ac:dyDescent="0.25">
      <c r="D1266" s="4"/>
      <c r="E1266" s="4"/>
      <c r="H1266" s="4"/>
      <c r="I1266" s="4"/>
    </row>
    <row r="1267" spans="4:9" x14ac:dyDescent="0.25">
      <c r="D1267" s="4"/>
      <c r="E1267" s="4"/>
      <c r="H1267" s="4"/>
      <c r="I1267" s="4"/>
    </row>
    <row r="1268" spans="4:9" x14ac:dyDescent="0.25">
      <c r="D1268" s="4"/>
      <c r="E1268" s="4"/>
      <c r="H1268" s="4"/>
      <c r="I1268" s="4"/>
    </row>
    <row r="1269" spans="4:9" x14ac:dyDescent="0.25">
      <c r="D1269" s="4"/>
      <c r="E1269" s="4"/>
      <c r="H1269" s="4"/>
      <c r="I1269" s="4"/>
    </row>
    <row r="1270" spans="4:9" x14ac:dyDescent="0.25">
      <c r="D1270" s="4"/>
      <c r="E1270" s="4"/>
      <c r="H1270" s="4"/>
      <c r="I1270" s="4"/>
    </row>
    <row r="1271" spans="4:9" x14ac:dyDescent="0.25">
      <c r="D1271" s="4"/>
      <c r="E1271" s="4"/>
      <c r="H1271" s="4"/>
      <c r="I1271" s="4"/>
    </row>
    <row r="1272" spans="4:9" x14ac:dyDescent="0.25">
      <c r="D1272" s="4"/>
      <c r="E1272" s="4"/>
      <c r="H1272" s="4"/>
      <c r="I1272" s="4"/>
    </row>
    <row r="1273" spans="4:9" x14ac:dyDescent="0.25">
      <c r="D1273" s="4"/>
      <c r="E1273" s="4"/>
      <c r="H1273" s="4"/>
      <c r="I1273" s="4"/>
    </row>
    <row r="1274" spans="4:9" x14ac:dyDescent="0.25">
      <c r="D1274" s="4"/>
      <c r="E1274" s="4"/>
      <c r="H1274" s="4"/>
      <c r="I1274" s="4"/>
    </row>
    <row r="1275" spans="4:9" x14ac:dyDescent="0.25">
      <c r="D1275" s="4"/>
      <c r="E1275" s="4"/>
      <c r="H1275" s="4"/>
      <c r="I1275" s="4"/>
    </row>
    <row r="1276" spans="4:9" x14ac:dyDescent="0.25">
      <c r="D1276" s="4"/>
      <c r="E1276" s="4"/>
      <c r="H1276" s="4"/>
      <c r="I1276" s="4"/>
    </row>
    <row r="1277" spans="4:9" x14ac:dyDescent="0.25">
      <c r="D1277" s="4"/>
      <c r="E1277" s="4"/>
      <c r="H1277" s="4"/>
      <c r="I1277" s="4"/>
    </row>
    <row r="1278" spans="4:9" x14ac:dyDescent="0.25">
      <c r="D1278" s="4"/>
      <c r="E1278" s="4"/>
      <c r="H1278" s="4"/>
      <c r="I1278" s="4"/>
    </row>
    <row r="1279" spans="4:9" x14ac:dyDescent="0.25">
      <c r="D1279" s="4"/>
      <c r="E1279" s="4"/>
      <c r="H1279" s="4"/>
      <c r="I1279" s="4"/>
    </row>
    <row r="1280" spans="4:9" x14ac:dyDescent="0.25">
      <c r="D1280" s="4"/>
      <c r="E1280" s="4"/>
      <c r="H1280" s="4"/>
      <c r="I1280" s="4"/>
    </row>
    <row r="1281" spans="4:9" x14ac:dyDescent="0.25">
      <c r="D1281" s="4"/>
      <c r="E1281" s="4"/>
      <c r="H1281" s="4"/>
      <c r="I1281" s="4"/>
    </row>
    <row r="1282" spans="4:9" x14ac:dyDescent="0.25">
      <c r="D1282" s="4"/>
      <c r="E1282" s="4"/>
      <c r="H1282" s="4"/>
      <c r="I1282" s="4"/>
    </row>
    <row r="1283" spans="4:9" x14ac:dyDescent="0.25">
      <c r="D1283" s="4"/>
      <c r="E1283" s="4"/>
      <c r="H1283" s="4"/>
      <c r="I1283" s="4"/>
    </row>
    <row r="1284" spans="4:9" x14ac:dyDescent="0.25">
      <c r="D1284" s="4"/>
      <c r="E1284" s="4"/>
      <c r="H1284" s="4"/>
      <c r="I1284" s="4"/>
    </row>
    <row r="1285" spans="4:9" x14ac:dyDescent="0.25">
      <c r="D1285" s="4"/>
      <c r="E1285" s="4"/>
      <c r="H1285" s="4"/>
      <c r="I1285" s="4"/>
    </row>
    <row r="1286" spans="4:9" x14ac:dyDescent="0.25">
      <c r="D1286" s="4"/>
      <c r="E1286" s="4"/>
      <c r="H1286" s="4"/>
      <c r="I1286" s="4"/>
    </row>
    <row r="1287" spans="4:9" x14ac:dyDescent="0.25">
      <c r="D1287" s="4"/>
      <c r="E1287" s="4"/>
      <c r="H1287" s="4"/>
      <c r="I1287" s="4"/>
    </row>
    <row r="1288" spans="4:9" x14ac:dyDescent="0.25">
      <c r="D1288" s="4"/>
      <c r="E1288" s="4"/>
      <c r="H1288" s="4"/>
      <c r="I1288" s="4"/>
    </row>
    <row r="1289" spans="4:9" x14ac:dyDescent="0.25">
      <c r="D1289" s="4"/>
      <c r="E1289" s="4"/>
      <c r="H1289" s="4"/>
      <c r="I1289" s="4"/>
    </row>
    <row r="1290" spans="4:9" x14ac:dyDescent="0.25">
      <c r="D1290" s="4"/>
      <c r="E1290" s="4"/>
      <c r="H1290" s="4"/>
      <c r="I1290" s="4"/>
    </row>
    <row r="1291" spans="4:9" x14ac:dyDescent="0.25">
      <c r="D1291" s="4"/>
      <c r="E1291" s="4"/>
      <c r="H1291" s="4"/>
      <c r="I1291" s="4"/>
    </row>
    <row r="1292" spans="4:9" x14ac:dyDescent="0.25">
      <c r="D1292" s="4"/>
      <c r="E1292" s="4"/>
      <c r="H1292" s="4"/>
      <c r="I1292" s="4"/>
    </row>
    <row r="1293" spans="4:9" x14ac:dyDescent="0.25">
      <c r="D1293" s="4"/>
      <c r="E1293" s="4"/>
      <c r="H1293" s="4"/>
      <c r="I1293" s="4"/>
    </row>
    <row r="1294" spans="4:9" x14ac:dyDescent="0.25">
      <c r="D1294" s="4"/>
      <c r="E1294" s="4"/>
      <c r="H1294" s="4"/>
      <c r="I1294" s="4"/>
    </row>
    <row r="1295" spans="4:9" x14ac:dyDescent="0.25">
      <c r="D1295" s="4"/>
      <c r="E1295" s="4"/>
      <c r="H1295" s="4"/>
      <c r="I1295" s="4"/>
    </row>
    <row r="1296" spans="4:9" x14ac:dyDescent="0.25">
      <c r="D1296" s="4"/>
      <c r="E1296" s="4"/>
      <c r="H1296" s="4"/>
      <c r="I1296" s="4"/>
    </row>
    <row r="1297" spans="4:9" x14ac:dyDescent="0.25">
      <c r="D1297" s="4"/>
      <c r="E1297" s="4"/>
      <c r="H1297" s="4"/>
      <c r="I1297" s="4"/>
    </row>
    <row r="1298" spans="4:9" x14ac:dyDescent="0.25">
      <c r="D1298" s="4"/>
      <c r="E1298" s="4"/>
      <c r="H1298" s="4"/>
      <c r="I1298" s="4"/>
    </row>
    <row r="1299" spans="4:9" x14ac:dyDescent="0.25">
      <c r="D1299" s="4"/>
      <c r="E1299" s="4"/>
      <c r="H1299" s="4"/>
      <c r="I1299" s="4"/>
    </row>
    <row r="1300" spans="4:9" x14ac:dyDescent="0.25">
      <c r="D1300" s="4"/>
      <c r="E1300" s="4"/>
      <c r="H1300" s="4"/>
      <c r="I1300" s="4"/>
    </row>
    <row r="1301" spans="4:9" x14ac:dyDescent="0.25">
      <c r="D1301" s="4"/>
      <c r="E1301" s="4"/>
      <c r="H1301" s="4"/>
      <c r="I1301" s="4"/>
    </row>
    <row r="1302" spans="4:9" x14ac:dyDescent="0.25">
      <c r="D1302" s="4"/>
      <c r="E1302" s="4"/>
      <c r="H1302" s="4"/>
      <c r="I1302" s="4"/>
    </row>
    <row r="1303" spans="4:9" x14ac:dyDescent="0.25">
      <c r="D1303" s="4"/>
      <c r="E1303" s="4"/>
      <c r="H1303" s="4"/>
      <c r="I1303" s="4"/>
    </row>
    <row r="1304" spans="4:9" x14ac:dyDescent="0.25">
      <c r="D1304" s="4"/>
      <c r="E1304" s="4"/>
      <c r="H1304" s="4"/>
      <c r="I1304" s="4"/>
    </row>
    <row r="1305" spans="4:9" x14ac:dyDescent="0.25">
      <c r="D1305" s="4"/>
      <c r="E1305" s="4"/>
      <c r="H1305" s="4"/>
      <c r="I1305" s="4"/>
    </row>
    <row r="1306" spans="4:9" x14ac:dyDescent="0.25">
      <c r="D1306" s="4"/>
      <c r="E1306" s="4"/>
      <c r="H1306" s="4"/>
      <c r="I1306" s="4"/>
    </row>
    <row r="1307" spans="4:9" x14ac:dyDescent="0.25">
      <c r="D1307" s="4"/>
      <c r="E1307" s="4"/>
      <c r="H1307" s="4"/>
      <c r="I1307" s="4"/>
    </row>
    <row r="1308" spans="4:9" x14ac:dyDescent="0.25">
      <c r="D1308" s="4"/>
      <c r="E1308" s="4"/>
      <c r="H1308" s="4"/>
      <c r="I1308" s="4"/>
    </row>
    <row r="1309" spans="4:9" x14ac:dyDescent="0.25">
      <c r="D1309" s="4"/>
      <c r="E1309" s="4"/>
      <c r="H1309" s="4"/>
      <c r="I1309" s="4"/>
    </row>
    <row r="1310" spans="4:9" x14ac:dyDescent="0.25">
      <c r="D1310" s="4"/>
      <c r="E1310" s="4"/>
      <c r="H1310" s="4"/>
      <c r="I1310" s="4"/>
    </row>
    <row r="1311" spans="4:9" x14ac:dyDescent="0.25">
      <c r="D1311" s="4"/>
      <c r="E1311" s="4"/>
      <c r="H1311" s="4"/>
      <c r="I1311" s="4"/>
    </row>
    <row r="1312" spans="4:9" x14ac:dyDescent="0.25">
      <c r="D1312" s="4"/>
      <c r="E1312" s="4"/>
      <c r="H1312" s="4"/>
      <c r="I1312" s="4"/>
    </row>
    <row r="1313" spans="4:9" x14ac:dyDescent="0.25">
      <c r="D1313" s="4"/>
      <c r="E1313" s="4"/>
      <c r="H1313" s="4"/>
      <c r="I1313" s="4"/>
    </row>
    <row r="1314" spans="4:9" x14ac:dyDescent="0.25">
      <c r="D1314" s="4"/>
      <c r="E1314" s="4"/>
      <c r="H1314" s="4"/>
      <c r="I1314" s="4"/>
    </row>
    <row r="1315" spans="4:9" x14ac:dyDescent="0.25">
      <c r="D1315" s="4"/>
      <c r="E1315" s="4"/>
      <c r="H1315" s="4"/>
      <c r="I1315" s="4"/>
    </row>
    <row r="1316" spans="4:9" x14ac:dyDescent="0.25">
      <c r="D1316" s="4"/>
      <c r="E1316" s="4"/>
      <c r="H1316" s="4"/>
      <c r="I1316" s="4"/>
    </row>
    <row r="1317" spans="4:9" x14ac:dyDescent="0.25">
      <c r="D1317" s="4"/>
      <c r="E1317" s="4"/>
      <c r="H1317" s="4"/>
      <c r="I1317" s="4"/>
    </row>
    <row r="1318" spans="4:9" x14ac:dyDescent="0.25">
      <c r="D1318" s="4"/>
      <c r="E1318" s="4"/>
      <c r="H1318" s="4"/>
      <c r="I1318" s="4"/>
    </row>
    <row r="1319" spans="4:9" x14ac:dyDescent="0.25">
      <c r="D1319" s="4"/>
      <c r="E1319" s="4"/>
      <c r="H1319" s="4"/>
      <c r="I1319" s="4"/>
    </row>
    <row r="1320" spans="4:9" x14ac:dyDescent="0.25">
      <c r="D1320" s="4"/>
      <c r="E1320" s="4"/>
      <c r="H1320" s="4"/>
      <c r="I1320" s="4"/>
    </row>
    <row r="1321" spans="4:9" x14ac:dyDescent="0.25">
      <c r="D1321" s="4"/>
      <c r="E1321" s="4"/>
      <c r="H1321" s="4"/>
      <c r="I1321" s="4"/>
    </row>
    <row r="1322" spans="4:9" x14ac:dyDescent="0.25">
      <c r="D1322" s="4"/>
      <c r="E1322" s="4"/>
      <c r="H1322" s="4"/>
      <c r="I1322" s="4"/>
    </row>
    <row r="1323" spans="4:9" x14ac:dyDescent="0.25">
      <c r="D1323" s="4"/>
      <c r="E1323" s="4"/>
      <c r="H1323" s="4"/>
      <c r="I1323" s="4"/>
    </row>
    <row r="1324" spans="4:9" x14ac:dyDescent="0.25">
      <c r="D1324" s="4"/>
      <c r="E1324" s="4"/>
      <c r="H1324" s="4"/>
      <c r="I1324" s="4"/>
    </row>
    <row r="1325" spans="4:9" x14ac:dyDescent="0.25">
      <c r="D1325" s="4"/>
      <c r="E1325" s="4"/>
      <c r="H1325" s="4"/>
      <c r="I1325" s="4"/>
    </row>
    <row r="1326" spans="4:9" x14ac:dyDescent="0.25">
      <c r="D1326" s="4"/>
      <c r="E1326" s="4"/>
      <c r="H1326" s="4"/>
      <c r="I1326" s="4"/>
    </row>
    <row r="1327" spans="4:9" x14ac:dyDescent="0.25">
      <c r="D1327" s="4"/>
      <c r="E1327" s="4"/>
      <c r="H1327" s="4"/>
      <c r="I1327" s="4"/>
    </row>
    <row r="1328" spans="4:9" x14ac:dyDescent="0.25">
      <c r="D1328" s="4"/>
      <c r="E1328" s="4"/>
      <c r="H1328" s="4"/>
      <c r="I1328" s="4"/>
    </row>
    <row r="1329" spans="4:9" x14ac:dyDescent="0.25">
      <c r="D1329" s="4"/>
      <c r="E1329" s="4"/>
      <c r="H1329" s="4"/>
      <c r="I1329" s="4"/>
    </row>
    <row r="1330" spans="4:9" x14ac:dyDescent="0.25">
      <c r="D1330" s="4"/>
      <c r="E1330" s="4"/>
      <c r="H1330" s="4"/>
      <c r="I1330" s="4"/>
    </row>
    <row r="1331" spans="4:9" x14ac:dyDescent="0.25">
      <c r="D1331" s="4"/>
      <c r="E1331" s="4"/>
      <c r="H1331" s="4"/>
      <c r="I1331" s="4"/>
    </row>
    <row r="1332" spans="4:9" x14ac:dyDescent="0.25">
      <c r="D1332" s="4"/>
      <c r="E1332" s="4"/>
      <c r="H1332" s="4"/>
      <c r="I1332" s="4"/>
    </row>
    <row r="1333" spans="4:9" x14ac:dyDescent="0.25">
      <c r="D1333" s="4"/>
      <c r="E1333" s="4"/>
      <c r="H1333" s="4"/>
      <c r="I1333" s="4"/>
    </row>
    <row r="1334" spans="4:9" x14ac:dyDescent="0.25">
      <c r="D1334" s="4"/>
      <c r="E1334" s="4"/>
      <c r="H1334" s="4"/>
      <c r="I1334" s="4"/>
    </row>
    <row r="1335" spans="4:9" x14ac:dyDescent="0.25">
      <c r="D1335" s="4"/>
      <c r="E1335" s="4"/>
      <c r="H1335" s="4"/>
      <c r="I1335" s="4"/>
    </row>
    <row r="1336" spans="4:9" x14ac:dyDescent="0.25">
      <c r="D1336" s="4"/>
      <c r="E1336" s="4"/>
      <c r="H1336" s="4"/>
      <c r="I1336" s="4"/>
    </row>
    <row r="1337" spans="4:9" x14ac:dyDescent="0.25">
      <c r="D1337" s="4"/>
      <c r="E1337" s="4"/>
      <c r="H1337" s="4"/>
      <c r="I1337" s="4"/>
    </row>
    <row r="1338" spans="4:9" x14ac:dyDescent="0.25">
      <c r="D1338" s="4"/>
      <c r="E1338" s="4"/>
      <c r="H1338" s="4"/>
      <c r="I1338" s="4"/>
    </row>
    <row r="1339" spans="4:9" x14ac:dyDescent="0.25">
      <c r="D1339" s="4"/>
      <c r="E1339" s="4"/>
      <c r="H1339" s="4"/>
      <c r="I1339" s="4"/>
    </row>
    <row r="1340" spans="4:9" x14ac:dyDescent="0.25">
      <c r="D1340" s="4"/>
      <c r="E1340" s="4"/>
      <c r="H1340" s="4"/>
      <c r="I1340" s="4"/>
    </row>
    <row r="1341" spans="4:9" x14ac:dyDescent="0.25">
      <c r="D1341" s="4"/>
      <c r="E1341" s="4"/>
      <c r="H1341" s="4"/>
      <c r="I1341" s="4"/>
    </row>
    <row r="1342" spans="4:9" x14ac:dyDescent="0.25">
      <c r="D1342" s="4"/>
      <c r="E1342" s="4"/>
      <c r="H1342" s="4"/>
      <c r="I1342" s="4"/>
    </row>
    <row r="1343" spans="4:9" x14ac:dyDescent="0.25">
      <c r="D1343" s="4"/>
      <c r="E1343" s="4"/>
      <c r="H1343" s="4"/>
      <c r="I1343" s="4"/>
    </row>
    <row r="1344" spans="4:9" x14ac:dyDescent="0.25">
      <c r="D1344" s="4"/>
      <c r="E1344" s="4"/>
      <c r="H1344" s="4"/>
      <c r="I1344" s="4"/>
    </row>
    <row r="1345" spans="4:9" x14ac:dyDescent="0.25">
      <c r="D1345" s="4"/>
      <c r="E1345" s="4"/>
      <c r="H1345" s="4"/>
      <c r="I1345" s="4"/>
    </row>
    <row r="1346" spans="4:9" x14ac:dyDescent="0.25">
      <c r="D1346" s="4"/>
      <c r="E1346" s="4"/>
      <c r="H1346" s="4"/>
      <c r="I1346" s="4"/>
    </row>
    <row r="1347" spans="4:9" x14ac:dyDescent="0.25">
      <c r="D1347" s="4"/>
      <c r="E1347" s="4"/>
      <c r="H1347" s="4"/>
      <c r="I1347" s="4"/>
    </row>
    <row r="1348" spans="4:9" x14ac:dyDescent="0.25">
      <c r="D1348" s="4"/>
      <c r="E1348" s="4"/>
      <c r="H1348" s="4"/>
      <c r="I1348" s="4"/>
    </row>
    <row r="1349" spans="4:9" x14ac:dyDescent="0.25">
      <c r="D1349" s="4"/>
      <c r="E1349" s="4"/>
      <c r="H1349" s="4"/>
      <c r="I1349" s="4"/>
    </row>
    <row r="1350" spans="4:9" x14ac:dyDescent="0.25">
      <c r="D1350" s="4"/>
      <c r="E1350" s="4"/>
      <c r="H1350" s="4"/>
      <c r="I1350" s="4"/>
    </row>
    <row r="1351" spans="4:9" x14ac:dyDescent="0.25">
      <c r="D1351" s="4"/>
      <c r="E1351" s="4"/>
      <c r="H1351" s="4"/>
      <c r="I1351" s="4"/>
    </row>
    <row r="1352" spans="4:9" x14ac:dyDescent="0.25">
      <c r="D1352" s="4"/>
      <c r="E1352" s="4"/>
      <c r="H1352" s="4"/>
      <c r="I1352" s="4"/>
    </row>
    <row r="1353" spans="4:9" x14ac:dyDescent="0.25">
      <c r="D1353" s="4"/>
      <c r="E1353" s="4"/>
      <c r="H1353" s="4"/>
      <c r="I1353" s="4"/>
    </row>
    <row r="1354" spans="4:9" x14ac:dyDescent="0.25">
      <c r="D1354" s="4"/>
      <c r="E1354" s="4"/>
      <c r="H1354" s="4"/>
      <c r="I1354" s="4"/>
    </row>
    <row r="1355" spans="4:9" x14ac:dyDescent="0.25">
      <c r="D1355" s="4"/>
      <c r="E1355" s="4"/>
      <c r="H1355" s="4"/>
      <c r="I1355" s="4"/>
    </row>
    <row r="1356" spans="4:9" x14ac:dyDescent="0.25">
      <c r="D1356" s="4"/>
      <c r="E1356" s="4"/>
      <c r="H1356" s="4"/>
      <c r="I1356" s="4"/>
    </row>
    <row r="1357" spans="4:9" x14ac:dyDescent="0.25">
      <c r="D1357" s="4"/>
      <c r="E1357" s="4"/>
      <c r="H1357" s="4"/>
      <c r="I1357" s="4"/>
    </row>
    <row r="1358" spans="4:9" x14ac:dyDescent="0.25">
      <c r="D1358" s="4"/>
      <c r="E1358" s="4"/>
      <c r="H1358" s="4"/>
      <c r="I1358" s="4"/>
    </row>
    <row r="1359" spans="4:9" x14ac:dyDescent="0.25">
      <c r="D1359" s="4"/>
      <c r="E1359" s="4"/>
      <c r="H1359" s="4"/>
      <c r="I1359" s="4"/>
    </row>
    <row r="1360" spans="4:9" x14ac:dyDescent="0.25">
      <c r="D1360" s="4"/>
      <c r="E1360" s="4"/>
      <c r="H1360" s="4"/>
      <c r="I1360" s="4"/>
    </row>
    <row r="1361" spans="4:9" x14ac:dyDescent="0.25">
      <c r="D1361" s="4"/>
      <c r="E1361" s="4"/>
      <c r="H1361" s="4"/>
      <c r="I1361" s="4"/>
    </row>
    <row r="1362" spans="4:9" x14ac:dyDescent="0.25">
      <c r="D1362" s="4"/>
      <c r="E1362" s="4"/>
      <c r="H1362" s="4"/>
      <c r="I1362" s="4"/>
    </row>
    <row r="1363" spans="4:9" x14ac:dyDescent="0.25">
      <c r="D1363" s="4"/>
      <c r="E1363" s="4"/>
      <c r="H1363" s="4"/>
      <c r="I1363" s="4"/>
    </row>
    <row r="1364" spans="4:9" x14ac:dyDescent="0.25">
      <c r="D1364" s="4"/>
      <c r="E1364" s="4"/>
      <c r="H1364" s="4"/>
      <c r="I1364" s="4"/>
    </row>
    <row r="1365" spans="4:9" x14ac:dyDescent="0.25">
      <c r="D1365" s="4"/>
      <c r="E1365" s="4"/>
      <c r="H1365" s="4"/>
      <c r="I1365" s="4"/>
    </row>
    <row r="1366" spans="4:9" x14ac:dyDescent="0.25">
      <c r="D1366" s="4"/>
      <c r="E1366" s="4"/>
      <c r="H1366" s="4"/>
      <c r="I1366" s="4"/>
    </row>
    <row r="1367" spans="4:9" x14ac:dyDescent="0.25">
      <c r="D1367" s="4"/>
      <c r="E1367" s="4"/>
      <c r="H1367" s="4"/>
      <c r="I1367" s="4"/>
    </row>
    <row r="1368" spans="4:9" x14ac:dyDescent="0.25">
      <c r="D1368" s="4"/>
      <c r="E1368" s="4"/>
      <c r="H1368" s="4"/>
      <c r="I1368" s="4"/>
    </row>
    <row r="1369" spans="4:9" x14ac:dyDescent="0.25">
      <c r="D1369" s="4"/>
      <c r="E1369" s="4"/>
      <c r="H1369" s="4"/>
      <c r="I1369" s="4"/>
    </row>
    <row r="1370" spans="4:9" x14ac:dyDescent="0.25">
      <c r="D1370" s="4"/>
      <c r="E1370" s="4"/>
      <c r="H1370" s="4"/>
      <c r="I1370" s="4"/>
    </row>
    <row r="1371" spans="4:9" x14ac:dyDescent="0.25">
      <c r="D1371" s="4"/>
      <c r="E1371" s="4"/>
      <c r="H1371" s="4"/>
      <c r="I1371" s="4"/>
    </row>
    <row r="1372" spans="4:9" x14ac:dyDescent="0.25">
      <c r="D1372" s="4"/>
      <c r="E1372" s="4"/>
      <c r="H1372" s="4"/>
      <c r="I1372" s="4"/>
    </row>
    <row r="1373" spans="4:9" x14ac:dyDescent="0.25">
      <c r="D1373" s="4"/>
      <c r="E1373" s="4"/>
      <c r="H1373" s="4"/>
      <c r="I1373" s="4"/>
    </row>
    <row r="1374" spans="4:9" x14ac:dyDescent="0.25">
      <c r="D1374" s="4"/>
      <c r="E1374" s="4"/>
      <c r="H1374" s="4"/>
      <c r="I1374" s="4"/>
    </row>
    <row r="1375" spans="4:9" x14ac:dyDescent="0.25">
      <c r="D1375" s="4"/>
      <c r="E1375" s="4"/>
      <c r="H1375" s="4"/>
      <c r="I1375" s="4"/>
    </row>
    <row r="1376" spans="4:9" x14ac:dyDescent="0.25">
      <c r="D1376" s="4"/>
      <c r="E1376" s="4"/>
      <c r="H1376" s="4"/>
      <c r="I1376" s="4"/>
    </row>
    <row r="1377" spans="4:9" x14ac:dyDescent="0.25">
      <c r="D1377" s="4"/>
      <c r="E1377" s="4"/>
      <c r="H1377" s="4"/>
      <c r="I1377" s="4"/>
    </row>
    <row r="1378" spans="4:9" x14ac:dyDescent="0.25">
      <c r="D1378" s="4"/>
      <c r="E1378" s="4"/>
      <c r="H1378" s="4"/>
      <c r="I1378" s="4"/>
    </row>
    <row r="1379" spans="4:9" x14ac:dyDescent="0.25">
      <c r="D1379" s="4"/>
      <c r="E1379" s="4"/>
      <c r="H1379" s="4"/>
      <c r="I1379" s="4"/>
    </row>
    <row r="1380" spans="4:9" x14ac:dyDescent="0.25">
      <c r="D1380" s="4"/>
      <c r="E1380" s="4"/>
      <c r="H1380" s="4"/>
      <c r="I1380" s="4"/>
    </row>
    <row r="1381" spans="4:9" x14ac:dyDescent="0.25">
      <c r="D1381" s="4"/>
      <c r="E1381" s="4"/>
      <c r="H1381" s="4"/>
      <c r="I1381" s="4"/>
    </row>
    <row r="1382" spans="4:9" x14ac:dyDescent="0.25">
      <c r="D1382" s="4"/>
      <c r="E1382" s="4"/>
      <c r="H1382" s="4"/>
      <c r="I1382" s="4"/>
    </row>
    <row r="1383" spans="4:9" x14ac:dyDescent="0.25">
      <c r="D1383" s="4"/>
      <c r="E1383" s="4"/>
      <c r="H1383" s="4"/>
      <c r="I1383" s="4"/>
    </row>
    <row r="1384" spans="4:9" x14ac:dyDescent="0.25">
      <c r="D1384" s="4"/>
      <c r="E1384" s="4"/>
      <c r="H1384" s="4"/>
      <c r="I1384" s="4"/>
    </row>
    <row r="1385" spans="4:9" x14ac:dyDescent="0.25">
      <c r="D1385" s="4"/>
      <c r="E1385" s="4"/>
      <c r="H1385" s="4"/>
      <c r="I1385" s="4"/>
    </row>
    <row r="1386" spans="4:9" x14ac:dyDescent="0.25">
      <c r="D1386" s="4"/>
      <c r="E1386" s="4"/>
      <c r="H1386" s="4"/>
      <c r="I1386" s="4"/>
    </row>
    <row r="1387" spans="4:9" x14ac:dyDescent="0.25">
      <c r="D1387" s="4"/>
      <c r="E1387" s="4"/>
      <c r="H1387" s="4"/>
      <c r="I1387" s="4"/>
    </row>
    <row r="1388" spans="4:9" x14ac:dyDescent="0.25">
      <c r="D1388" s="4"/>
      <c r="E1388" s="4"/>
      <c r="H1388" s="4"/>
      <c r="I1388" s="4"/>
    </row>
    <row r="1389" spans="4:9" x14ac:dyDescent="0.25">
      <c r="D1389" s="4"/>
      <c r="E1389" s="4"/>
      <c r="H1389" s="4"/>
      <c r="I1389" s="4"/>
    </row>
    <row r="1390" spans="4:9" x14ac:dyDescent="0.25">
      <c r="D1390" s="4"/>
      <c r="E1390" s="4"/>
      <c r="H1390" s="4"/>
      <c r="I1390" s="4"/>
    </row>
    <row r="1391" spans="4:9" x14ac:dyDescent="0.25">
      <c r="D1391" s="4"/>
      <c r="E1391" s="4"/>
      <c r="H1391" s="4"/>
      <c r="I1391" s="4"/>
    </row>
    <row r="1392" spans="4:9" x14ac:dyDescent="0.25">
      <c r="D1392" s="4"/>
      <c r="E1392" s="4"/>
      <c r="H1392" s="4"/>
      <c r="I1392" s="4"/>
    </row>
    <row r="1393" spans="4:9" x14ac:dyDescent="0.25">
      <c r="D1393" s="4"/>
      <c r="E1393" s="4"/>
      <c r="H1393" s="4"/>
      <c r="I1393" s="4"/>
    </row>
    <row r="1394" spans="4:9" x14ac:dyDescent="0.25">
      <c r="D1394" s="4"/>
      <c r="E1394" s="4"/>
      <c r="H1394" s="4"/>
      <c r="I1394" s="4"/>
    </row>
    <row r="1395" spans="4:9" x14ac:dyDescent="0.25">
      <c r="D1395" s="4"/>
      <c r="E1395" s="4"/>
      <c r="H1395" s="4"/>
      <c r="I1395" s="4"/>
    </row>
    <row r="1396" spans="4:9" x14ac:dyDescent="0.25">
      <c r="D1396" s="4"/>
      <c r="E1396" s="4"/>
      <c r="H1396" s="4"/>
      <c r="I1396" s="4"/>
    </row>
    <row r="1397" spans="4:9" x14ac:dyDescent="0.25">
      <c r="D1397" s="4"/>
      <c r="E1397" s="4"/>
      <c r="H1397" s="4"/>
      <c r="I1397" s="4"/>
    </row>
    <row r="1398" spans="4:9" x14ac:dyDescent="0.25">
      <c r="D1398" s="4"/>
      <c r="E1398" s="4"/>
      <c r="H1398" s="4"/>
      <c r="I1398" s="4"/>
    </row>
    <row r="1399" spans="4:9" x14ac:dyDescent="0.25">
      <c r="D1399" s="4"/>
      <c r="E1399" s="4"/>
      <c r="H1399" s="4"/>
      <c r="I1399" s="4"/>
    </row>
    <row r="1400" spans="4:9" x14ac:dyDescent="0.25">
      <c r="D1400" s="4"/>
      <c r="E1400" s="4"/>
      <c r="H1400" s="4"/>
      <c r="I1400" s="4"/>
    </row>
    <row r="1401" spans="4:9" x14ac:dyDescent="0.25">
      <c r="D1401" s="4"/>
      <c r="E1401" s="4"/>
      <c r="H1401" s="4"/>
      <c r="I1401" s="4"/>
    </row>
    <row r="1402" spans="4:9" x14ac:dyDescent="0.25">
      <c r="D1402" s="4"/>
      <c r="E1402" s="4"/>
      <c r="H1402" s="4"/>
      <c r="I1402" s="4"/>
    </row>
    <row r="1403" spans="4:9" x14ac:dyDescent="0.25">
      <c r="D1403" s="4"/>
      <c r="E1403" s="4"/>
      <c r="H1403" s="4"/>
      <c r="I1403" s="4"/>
    </row>
    <row r="1404" spans="4:9" x14ac:dyDescent="0.25">
      <c r="D1404" s="4"/>
      <c r="E1404" s="4"/>
      <c r="H1404" s="4"/>
      <c r="I1404" s="4"/>
    </row>
    <row r="1405" spans="4:9" x14ac:dyDescent="0.25">
      <c r="D1405" s="4"/>
      <c r="E1405" s="4"/>
      <c r="H1405" s="4"/>
      <c r="I1405" s="4"/>
    </row>
    <row r="1406" spans="4:9" x14ac:dyDescent="0.25">
      <c r="D1406" s="4"/>
      <c r="E1406" s="4"/>
      <c r="H1406" s="4"/>
      <c r="I1406" s="4"/>
    </row>
    <row r="1407" spans="4:9" x14ac:dyDescent="0.25">
      <c r="D1407" s="4"/>
      <c r="E1407" s="4"/>
      <c r="H1407" s="4"/>
      <c r="I1407" s="4"/>
    </row>
    <row r="1408" spans="4:9" x14ac:dyDescent="0.25">
      <c r="D1408" s="4"/>
      <c r="E1408" s="4"/>
      <c r="H1408" s="4"/>
      <c r="I1408" s="4"/>
    </row>
    <row r="1409" spans="4:9" x14ac:dyDescent="0.25">
      <c r="D1409" s="4"/>
      <c r="E1409" s="4"/>
      <c r="H1409" s="4"/>
      <c r="I1409" s="4"/>
    </row>
    <row r="1410" spans="4:9" x14ac:dyDescent="0.25">
      <c r="D1410" s="4"/>
      <c r="E1410" s="4"/>
      <c r="H1410" s="4"/>
      <c r="I1410" s="4"/>
    </row>
    <row r="1411" spans="4:9" x14ac:dyDescent="0.25">
      <c r="D1411" s="4"/>
      <c r="E1411" s="4"/>
      <c r="H1411" s="4"/>
      <c r="I1411" s="4"/>
    </row>
    <row r="1412" spans="4:9" x14ac:dyDescent="0.25">
      <c r="D1412" s="4"/>
      <c r="E1412" s="4"/>
      <c r="H1412" s="4"/>
      <c r="I1412" s="4"/>
    </row>
    <row r="1413" spans="4:9" x14ac:dyDescent="0.25">
      <c r="D1413" s="4"/>
      <c r="E1413" s="4"/>
      <c r="H1413" s="4"/>
      <c r="I1413" s="4"/>
    </row>
    <row r="1414" spans="4:9" x14ac:dyDescent="0.25">
      <c r="D1414" s="4"/>
      <c r="E1414" s="4"/>
      <c r="H1414" s="4"/>
      <c r="I1414" s="4"/>
    </row>
    <row r="1415" spans="4:9" x14ac:dyDescent="0.25">
      <c r="D1415" s="4"/>
      <c r="E1415" s="4"/>
      <c r="H1415" s="4"/>
      <c r="I1415" s="4"/>
    </row>
    <row r="1416" spans="4:9" x14ac:dyDescent="0.25">
      <c r="D1416" s="4"/>
      <c r="E1416" s="4"/>
      <c r="H1416" s="4"/>
      <c r="I1416" s="4"/>
    </row>
    <row r="1417" spans="4:9" x14ac:dyDescent="0.25">
      <c r="D1417" s="4"/>
      <c r="E1417" s="4"/>
      <c r="H1417" s="4"/>
      <c r="I1417" s="4"/>
    </row>
    <row r="1418" spans="4:9" x14ac:dyDescent="0.25">
      <c r="D1418" s="4"/>
      <c r="E1418" s="4"/>
      <c r="H1418" s="4"/>
      <c r="I1418" s="4"/>
    </row>
    <row r="1419" spans="4:9" x14ac:dyDescent="0.25">
      <c r="D1419" s="4"/>
      <c r="E1419" s="4"/>
      <c r="H1419" s="4"/>
      <c r="I1419" s="4"/>
    </row>
    <row r="1420" spans="4:9" x14ac:dyDescent="0.25">
      <c r="D1420" s="4"/>
      <c r="E1420" s="4"/>
      <c r="H1420" s="4"/>
      <c r="I1420" s="4"/>
    </row>
    <row r="1421" spans="4:9" x14ac:dyDescent="0.25">
      <c r="D1421" s="4"/>
      <c r="E1421" s="4"/>
      <c r="H1421" s="4"/>
      <c r="I1421" s="4"/>
    </row>
    <row r="1422" spans="4:9" x14ac:dyDescent="0.25">
      <c r="D1422" s="4"/>
      <c r="E1422" s="4"/>
      <c r="H1422" s="4"/>
      <c r="I1422" s="4"/>
    </row>
    <row r="1423" spans="4:9" x14ac:dyDescent="0.25">
      <c r="D1423" s="4"/>
      <c r="E1423" s="4"/>
      <c r="H1423" s="4"/>
      <c r="I1423" s="4"/>
    </row>
    <row r="1424" spans="4:9" x14ac:dyDescent="0.25">
      <c r="D1424" s="4"/>
      <c r="E1424" s="4"/>
      <c r="H1424" s="4"/>
      <c r="I1424" s="4"/>
    </row>
    <row r="1425" spans="4:9" x14ac:dyDescent="0.25">
      <c r="D1425" s="4"/>
      <c r="E1425" s="4"/>
      <c r="H1425" s="4"/>
      <c r="I1425" s="4"/>
    </row>
    <row r="1426" spans="4:9" x14ac:dyDescent="0.25">
      <c r="D1426" s="4"/>
      <c r="E1426" s="4"/>
      <c r="H1426" s="4"/>
      <c r="I1426" s="4"/>
    </row>
    <row r="1427" spans="4:9" x14ac:dyDescent="0.25">
      <c r="D1427" s="4"/>
      <c r="E1427" s="4"/>
      <c r="H1427" s="4"/>
      <c r="I1427" s="4"/>
    </row>
    <row r="1428" spans="4:9" x14ac:dyDescent="0.25">
      <c r="D1428" s="4"/>
      <c r="E1428" s="4"/>
      <c r="H1428" s="4"/>
      <c r="I1428" s="4"/>
    </row>
    <row r="1429" spans="4:9" x14ac:dyDescent="0.25">
      <c r="D1429" s="4"/>
      <c r="E1429" s="4"/>
      <c r="H1429" s="4"/>
      <c r="I1429" s="4"/>
    </row>
    <row r="1430" spans="4:9" x14ac:dyDescent="0.25">
      <c r="D1430" s="4"/>
      <c r="E1430" s="4"/>
      <c r="H1430" s="4"/>
      <c r="I1430" s="4"/>
    </row>
    <row r="1431" spans="4:9" x14ac:dyDescent="0.25">
      <c r="D1431" s="4"/>
      <c r="E1431" s="4"/>
      <c r="H1431" s="4"/>
      <c r="I1431" s="4"/>
    </row>
    <row r="1432" spans="4:9" x14ac:dyDescent="0.25">
      <c r="D1432" s="4"/>
      <c r="E1432" s="4"/>
      <c r="H1432" s="4"/>
      <c r="I1432" s="4"/>
    </row>
    <row r="1433" spans="4:9" x14ac:dyDescent="0.25">
      <c r="D1433" s="4"/>
      <c r="E1433" s="4"/>
      <c r="H1433" s="4"/>
      <c r="I1433" s="4"/>
    </row>
    <row r="1434" spans="4:9" x14ac:dyDescent="0.25">
      <c r="D1434" s="4"/>
      <c r="E1434" s="4"/>
      <c r="H1434" s="4"/>
      <c r="I1434" s="4"/>
    </row>
    <row r="1435" spans="4:9" x14ac:dyDescent="0.25">
      <c r="D1435" s="4"/>
      <c r="E1435" s="4"/>
      <c r="H1435" s="4"/>
      <c r="I1435" s="4"/>
    </row>
    <row r="1436" spans="4:9" x14ac:dyDescent="0.25">
      <c r="D1436" s="4"/>
      <c r="E1436" s="4"/>
      <c r="H1436" s="4"/>
      <c r="I1436" s="4"/>
    </row>
    <row r="1437" spans="4:9" x14ac:dyDescent="0.25">
      <c r="D1437" s="4"/>
      <c r="E1437" s="4"/>
      <c r="H1437" s="4"/>
      <c r="I1437" s="4"/>
    </row>
    <row r="1438" spans="4:9" x14ac:dyDescent="0.25">
      <c r="D1438" s="4"/>
      <c r="E1438" s="4"/>
      <c r="H1438" s="4"/>
      <c r="I1438" s="4"/>
    </row>
    <row r="1439" spans="4:9" x14ac:dyDescent="0.25">
      <c r="D1439" s="4"/>
      <c r="E1439" s="4"/>
      <c r="H1439" s="4"/>
      <c r="I1439" s="4"/>
    </row>
    <row r="1440" spans="4:9" x14ac:dyDescent="0.25">
      <c r="D1440" s="4"/>
      <c r="E1440" s="4"/>
      <c r="H1440" s="4"/>
      <c r="I1440" s="4"/>
    </row>
    <row r="1441" spans="4:9" x14ac:dyDescent="0.25">
      <c r="D1441" s="4"/>
      <c r="E1441" s="4"/>
      <c r="H1441" s="4"/>
      <c r="I1441" s="4"/>
    </row>
    <row r="1442" spans="4:9" x14ac:dyDescent="0.25">
      <c r="D1442" s="4"/>
      <c r="E1442" s="4"/>
      <c r="H1442" s="4"/>
      <c r="I1442" s="4"/>
    </row>
    <row r="1443" spans="4:9" x14ac:dyDescent="0.25">
      <c r="D1443" s="4"/>
      <c r="E1443" s="4"/>
      <c r="H1443" s="4"/>
      <c r="I1443" s="4"/>
    </row>
    <row r="1444" spans="4:9" x14ac:dyDescent="0.25">
      <c r="D1444" s="4"/>
      <c r="E1444" s="4"/>
      <c r="H1444" s="4"/>
      <c r="I1444" s="4"/>
    </row>
    <row r="1445" spans="4:9" x14ac:dyDescent="0.25">
      <c r="D1445" s="4"/>
      <c r="E1445" s="4"/>
      <c r="H1445" s="4"/>
      <c r="I1445" s="4"/>
    </row>
    <row r="1446" spans="4:9" x14ac:dyDescent="0.25">
      <c r="D1446" s="4"/>
      <c r="E1446" s="4"/>
      <c r="H1446" s="4"/>
      <c r="I1446" s="4"/>
    </row>
    <row r="1447" spans="4:9" x14ac:dyDescent="0.25">
      <c r="D1447" s="4"/>
      <c r="E1447" s="4"/>
      <c r="H1447" s="4"/>
      <c r="I1447" s="4"/>
    </row>
    <row r="1448" spans="4:9" x14ac:dyDescent="0.25">
      <c r="D1448" s="4"/>
      <c r="E1448" s="4"/>
      <c r="H1448" s="4"/>
      <c r="I1448" s="4"/>
    </row>
    <row r="1449" spans="4:9" x14ac:dyDescent="0.25">
      <c r="D1449" s="4"/>
      <c r="E1449" s="4"/>
      <c r="H1449" s="4"/>
      <c r="I1449" s="4"/>
    </row>
    <row r="1450" spans="4:9" x14ac:dyDescent="0.25">
      <c r="D1450" s="4"/>
      <c r="E1450" s="4"/>
      <c r="H1450" s="4"/>
      <c r="I1450" s="4"/>
    </row>
    <row r="1451" spans="4:9" x14ac:dyDescent="0.25">
      <c r="D1451" s="4"/>
      <c r="E1451" s="4"/>
      <c r="H1451" s="4"/>
      <c r="I1451" s="4"/>
    </row>
    <row r="1452" spans="4:9" x14ac:dyDescent="0.25">
      <c r="D1452" s="4"/>
      <c r="E1452" s="4"/>
      <c r="H1452" s="4"/>
      <c r="I1452" s="4"/>
    </row>
    <row r="1453" spans="4:9" x14ac:dyDescent="0.25">
      <c r="D1453" s="4"/>
      <c r="E1453" s="4"/>
      <c r="H1453" s="4"/>
      <c r="I1453" s="4"/>
    </row>
    <row r="1454" spans="4:9" x14ac:dyDescent="0.25">
      <c r="D1454" s="4"/>
      <c r="E1454" s="4"/>
      <c r="H1454" s="4"/>
      <c r="I1454" s="4"/>
    </row>
    <row r="1455" spans="4:9" x14ac:dyDescent="0.25">
      <c r="D1455" s="4"/>
      <c r="E1455" s="4"/>
      <c r="H1455" s="4"/>
      <c r="I1455" s="4"/>
    </row>
    <row r="1456" spans="4:9" x14ac:dyDescent="0.25">
      <c r="D1456" s="4"/>
      <c r="E1456" s="4"/>
      <c r="H1456" s="4"/>
      <c r="I1456" s="4"/>
    </row>
    <row r="1457" spans="4:9" x14ac:dyDescent="0.25">
      <c r="D1457" s="4"/>
      <c r="E1457" s="4"/>
      <c r="H1457" s="4"/>
      <c r="I1457" s="4"/>
    </row>
    <row r="1458" spans="4:9" x14ac:dyDescent="0.25">
      <c r="D1458" s="4"/>
      <c r="E1458" s="4"/>
      <c r="H1458" s="4"/>
      <c r="I1458" s="4"/>
    </row>
    <row r="1459" spans="4:9" x14ac:dyDescent="0.25">
      <c r="D1459" s="4"/>
      <c r="E1459" s="4"/>
      <c r="H1459" s="4"/>
      <c r="I1459" s="4"/>
    </row>
    <row r="1460" spans="4:9" x14ac:dyDescent="0.25">
      <c r="D1460" s="4"/>
      <c r="E1460" s="4"/>
      <c r="H1460" s="4"/>
      <c r="I1460" s="4"/>
    </row>
    <row r="1461" spans="4:9" x14ac:dyDescent="0.25">
      <c r="D1461" s="4"/>
      <c r="E1461" s="4"/>
      <c r="H1461" s="4"/>
      <c r="I1461" s="4"/>
    </row>
    <row r="1462" spans="4:9" x14ac:dyDescent="0.25">
      <c r="D1462" s="4"/>
      <c r="E1462" s="4"/>
      <c r="H1462" s="4"/>
      <c r="I1462" s="4"/>
    </row>
    <row r="1463" spans="4:9" x14ac:dyDescent="0.25">
      <c r="D1463" s="4"/>
      <c r="E1463" s="4"/>
      <c r="H1463" s="4"/>
      <c r="I1463" s="4"/>
    </row>
    <row r="1464" spans="4:9" x14ac:dyDescent="0.25">
      <c r="D1464" s="4"/>
      <c r="E1464" s="4"/>
      <c r="H1464" s="4"/>
      <c r="I1464" s="4"/>
    </row>
    <row r="1465" spans="4:9" x14ac:dyDescent="0.25">
      <c r="D1465" s="4"/>
      <c r="E1465" s="4"/>
      <c r="H1465" s="4"/>
      <c r="I1465" s="4"/>
    </row>
    <row r="1466" spans="4:9" x14ac:dyDescent="0.25">
      <c r="D1466" s="4"/>
      <c r="E1466" s="4"/>
      <c r="H1466" s="4"/>
      <c r="I1466" s="4"/>
    </row>
    <row r="1467" spans="4:9" x14ac:dyDescent="0.25">
      <c r="D1467" s="4"/>
      <c r="E1467" s="4"/>
      <c r="H1467" s="4"/>
      <c r="I1467" s="4"/>
    </row>
    <row r="1468" spans="4:9" x14ac:dyDescent="0.25">
      <c r="D1468" s="4"/>
      <c r="E1468" s="4"/>
      <c r="H1468" s="4"/>
      <c r="I1468" s="4"/>
    </row>
    <row r="1469" spans="4:9" x14ac:dyDescent="0.25">
      <c r="D1469" s="4"/>
      <c r="E1469" s="4"/>
      <c r="H1469" s="4"/>
      <c r="I1469" s="4"/>
    </row>
    <row r="1470" spans="4:9" x14ac:dyDescent="0.25">
      <c r="D1470" s="4"/>
      <c r="E1470" s="4"/>
      <c r="H1470" s="4"/>
      <c r="I1470" s="4"/>
    </row>
    <row r="1471" spans="4:9" x14ac:dyDescent="0.25">
      <c r="D1471" s="4"/>
      <c r="E1471" s="4"/>
      <c r="H1471" s="4"/>
      <c r="I1471" s="4"/>
    </row>
    <row r="1472" spans="4:9" x14ac:dyDescent="0.25">
      <c r="D1472" s="4"/>
      <c r="E1472" s="4"/>
      <c r="H1472" s="4"/>
      <c r="I1472" s="4"/>
    </row>
    <row r="1473" spans="4:9" x14ac:dyDescent="0.25">
      <c r="D1473" s="4"/>
      <c r="E1473" s="4"/>
      <c r="H1473" s="4"/>
      <c r="I1473" s="4"/>
    </row>
    <row r="1474" spans="4:9" x14ac:dyDescent="0.25">
      <c r="D1474" s="4"/>
      <c r="E1474" s="4"/>
      <c r="H1474" s="4"/>
      <c r="I1474" s="4"/>
    </row>
    <row r="1475" spans="4:9" x14ac:dyDescent="0.25">
      <c r="D1475" s="4"/>
      <c r="E1475" s="4"/>
      <c r="H1475" s="4"/>
      <c r="I1475" s="4"/>
    </row>
    <row r="1476" spans="4:9" x14ac:dyDescent="0.25">
      <c r="D1476" s="4"/>
      <c r="E1476" s="4"/>
      <c r="H1476" s="4"/>
      <c r="I1476" s="4"/>
    </row>
    <row r="1477" spans="4:9" x14ac:dyDescent="0.25">
      <c r="D1477" s="4"/>
      <c r="E1477" s="4"/>
      <c r="H1477" s="4"/>
      <c r="I1477" s="4"/>
    </row>
    <row r="1478" spans="4:9" x14ac:dyDescent="0.25">
      <c r="D1478" s="4"/>
      <c r="E1478" s="4"/>
      <c r="H1478" s="4"/>
      <c r="I1478" s="4"/>
    </row>
    <row r="1479" spans="4:9" x14ac:dyDescent="0.25">
      <c r="D1479" s="4"/>
      <c r="E1479" s="4"/>
      <c r="H1479" s="4"/>
      <c r="I1479" s="4"/>
    </row>
    <row r="1480" spans="4:9" x14ac:dyDescent="0.25">
      <c r="D1480" s="4"/>
      <c r="E1480" s="4"/>
      <c r="H1480" s="4"/>
      <c r="I1480" s="4"/>
    </row>
    <row r="1481" spans="4:9" x14ac:dyDescent="0.25">
      <c r="D1481" s="4"/>
      <c r="E1481" s="4"/>
      <c r="H1481" s="4"/>
      <c r="I1481" s="4"/>
    </row>
    <row r="1482" spans="4:9" x14ac:dyDescent="0.25">
      <c r="D1482" s="4"/>
      <c r="E1482" s="4"/>
      <c r="H1482" s="4"/>
      <c r="I1482" s="4"/>
    </row>
    <row r="1483" spans="4:9" x14ac:dyDescent="0.25">
      <c r="D1483" s="4"/>
      <c r="E1483" s="4"/>
      <c r="H1483" s="4"/>
      <c r="I1483" s="4"/>
    </row>
    <row r="1484" spans="4:9" x14ac:dyDescent="0.25">
      <c r="D1484" s="4"/>
      <c r="E1484" s="4"/>
      <c r="H1484" s="4"/>
      <c r="I1484" s="4"/>
    </row>
    <row r="1485" spans="4:9" x14ac:dyDescent="0.25">
      <c r="D1485" s="4"/>
      <c r="E1485" s="4"/>
      <c r="H1485" s="4"/>
      <c r="I1485" s="4"/>
    </row>
    <row r="1486" spans="4:9" x14ac:dyDescent="0.25">
      <c r="D1486" s="4"/>
      <c r="E1486" s="4"/>
      <c r="H1486" s="4"/>
      <c r="I1486" s="4"/>
    </row>
    <row r="1487" spans="4:9" x14ac:dyDescent="0.25">
      <c r="D1487" s="4"/>
      <c r="E1487" s="4"/>
      <c r="H1487" s="4"/>
      <c r="I1487" s="4"/>
    </row>
    <row r="1488" spans="4:9" x14ac:dyDescent="0.25">
      <c r="D1488" s="4"/>
      <c r="E1488" s="4"/>
      <c r="H1488" s="4"/>
      <c r="I1488" s="4"/>
    </row>
    <row r="1489" spans="4:9" x14ac:dyDescent="0.25">
      <c r="D1489" s="4"/>
      <c r="E1489" s="4"/>
      <c r="H1489" s="4"/>
      <c r="I1489" s="4"/>
    </row>
    <row r="1490" spans="4:9" x14ac:dyDescent="0.25">
      <c r="D1490" s="4"/>
      <c r="E1490" s="4"/>
      <c r="H1490" s="4"/>
      <c r="I1490" s="4"/>
    </row>
    <row r="1491" spans="4:9" x14ac:dyDescent="0.25">
      <c r="D1491" s="4"/>
      <c r="E1491" s="4"/>
      <c r="H1491" s="4"/>
      <c r="I1491" s="4"/>
    </row>
    <row r="1492" spans="4:9" x14ac:dyDescent="0.25">
      <c r="D1492" s="4"/>
      <c r="E1492" s="4"/>
      <c r="H1492" s="4"/>
      <c r="I1492" s="4"/>
    </row>
    <row r="1493" spans="4:9" x14ac:dyDescent="0.25">
      <c r="D1493" s="4"/>
      <c r="E1493" s="4"/>
      <c r="H1493" s="4"/>
      <c r="I1493" s="4"/>
    </row>
    <row r="1494" spans="4:9" x14ac:dyDescent="0.25">
      <c r="D1494" s="4"/>
      <c r="E1494" s="4"/>
      <c r="H1494" s="4"/>
      <c r="I1494" s="4"/>
    </row>
    <row r="1495" spans="4:9" x14ac:dyDescent="0.25">
      <c r="D1495" s="4"/>
      <c r="E1495" s="4"/>
      <c r="H1495" s="4"/>
      <c r="I1495" s="4"/>
    </row>
    <row r="1496" spans="4:9" x14ac:dyDescent="0.25">
      <c r="D1496" s="4"/>
      <c r="E1496" s="4"/>
      <c r="H1496" s="4"/>
      <c r="I1496" s="4"/>
    </row>
    <row r="1497" spans="4:9" x14ac:dyDescent="0.25">
      <c r="D1497" s="4"/>
      <c r="E1497" s="4"/>
      <c r="H1497" s="4"/>
      <c r="I1497" s="4"/>
    </row>
    <row r="1498" spans="4:9" x14ac:dyDescent="0.25">
      <c r="D1498" s="4"/>
      <c r="E1498" s="4"/>
      <c r="H1498" s="4"/>
      <c r="I1498" s="4"/>
    </row>
    <row r="1499" spans="4:9" x14ac:dyDescent="0.25">
      <c r="D1499" s="4"/>
      <c r="E1499" s="4"/>
      <c r="H1499" s="4"/>
      <c r="I1499" s="4"/>
    </row>
    <row r="1500" spans="4:9" x14ac:dyDescent="0.25">
      <c r="D1500" s="4"/>
      <c r="E1500" s="4"/>
      <c r="H1500" s="4"/>
      <c r="I1500" s="4"/>
    </row>
    <row r="1501" spans="4:9" x14ac:dyDescent="0.25">
      <c r="D1501" s="4"/>
      <c r="E1501" s="4"/>
      <c r="H1501" s="4"/>
      <c r="I1501" s="4"/>
    </row>
    <row r="1502" spans="4:9" x14ac:dyDescent="0.25">
      <c r="D1502" s="4"/>
      <c r="E1502" s="4"/>
      <c r="H1502" s="4"/>
      <c r="I1502" s="4"/>
    </row>
    <row r="1503" spans="4:9" x14ac:dyDescent="0.25">
      <c r="D1503" s="4"/>
      <c r="E1503" s="4"/>
      <c r="H1503" s="4"/>
      <c r="I1503" s="4"/>
    </row>
    <row r="1504" spans="4:9" x14ac:dyDescent="0.25">
      <c r="D1504" s="4"/>
      <c r="E1504" s="4"/>
      <c r="H1504" s="4"/>
      <c r="I1504" s="4"/>
    </row>
    <row r="1505" spans="4:9" x14ac:dyDescent="0.25">
      <c r="D1505" s="4"/>
      <c r="E1505" s="4"/>
      <c r="H1505" s="4"/>
      <c r="I1505" s="4"/>
    </row>
    <row r="1506" spans="4:9" x14ac:dyDescent="0.25">
      <c r="D1506" s="4"/>
      <c r="E1506" s="4"/>
      <c r="H1506" s="4"/>
      <c r="I1506" s="4"/>
    </row>
    <row r="1507" spans="4:9" x14ac:dyDescent="0.25">
      <c r="D1507" s="4"/>
      <c r="E1507" s="4"/>
      <c r="H1507" s="4"/>
      <c r="I1507" s="4"/>
    </row>
    <row r="1508" spans="4:9" x14ac:dyDescent="0.25">
      <c r="D1508" s="4"/>
      <c r="E1508" s="4"/>
      <c r="H1508" s="4"/>
      <c r="I1508" s="4"/>
    </row>
    <row r="1509" spans="4:9" x14ac:dyDescent="0.25">
      <c r="D1509" s="4"/>
      <c r="E1509" s="4"/>
      <c r="H1509" s="4"/>
      <c r="I1509" s="4"/>
    </row>
    <row r="1510" spans="4:9" x14ac:dyDescent="0.25">
      <c r="D1510" s="4"/>
      <c r="E1510" s="4"/>
      <c r="H1510" s="4"/>
      <c r="I1510" s="4"/>
    </row>
    <row r="1511" spans="4:9" x14ac:dyDescent="0.25">
      <c r="D1511" s="4"/>
      <c r="E1511" s="4"/>
      <c r="H1511" s="4"/>
      <c r="I1511" s="4"/>
    </row>
    <row r="1512" spans="4:9" x14ac:dyDescent="0.25">
      <c r="D1512" s="4"/>
      <c r="E1512" s="4"/>
      <c r="H1512" s="4"/>
      <c r="I1512" s="4"/>
    </row>
    <row r="1513" spans="4:9" x14ac:dyDescent="0.25">
      <c r="D1513" s="4"/>
      <c r="E1513" s="4"/>
      <c r="H1513" s="4"/>
      <c r="I1513" s="4"/>
    </row>
    <row r="1514" spans="4:9" x14ac:dyDescent="0.25">
      <c r="D1514" s="4"/>
      <c r="E1514" s="4"/>
      <c r="H1514" s="4"/>
      <c r="I1514" s="4"/>
    </row>
    <row r="1515" spans="4:9" x14ac:dyDescent="0.25">
      <c r="D1515" s="4"/>
      <c r="E1515" s="4"/>
      <c r="H1515" s="4"/>
      <c r="I1515" s="4"/>
    </row>
    <row r="1516" spans="4:9" x14ac:dyDescent="0.25">
      <c r="D1516" s="4"/>
      <c r="E1516" s="4"/>
      <c r="H1516" s="4"/>
      <c r="I1516" s="4"/>
    </row>
    <row r="1517" spans="4:9" x14ac:dyDescent="0.25">
      <c r="D1517" s="4"/>
      <c r="E1517" s="4"/>
      <c r="H1517" s="4"/>
      <c r="I1517" s="4"/>
    </row>
    <row r="1518" spans="4:9" x14ac:dyDescent="0.25">
      <c r="D1518" s="4"/>
      <c r="E1518" s="4"/>
      <c r="H1518" s="4"/>
      <c r="I1518" s="4"/>
    </row>
    <row r="1519" spans="4:9" x14ac:dyDescent="0.25">
      <c r="D1519" s="4"/>
      <c r="E1519" s="4"/>
      <c r="H1519" s="4"/>
      <c r="I1519" s="4"/>
    </row>
    <row r="1520" spans="4:9" x14ac:dyDescent="0.25">
      <c r="D1520" s="4"/>
      <c r="E1520" s="4"/>
      <c r="H1520" s="4"/>
      <c r="I1520" s="4"/>
    </row>
    <row r="1521" spans="4:9" x14ac:dyDescent="0.25">
      <c r="D1521" s="4"/>
      <c r="E1521" s="4"/>
      <c r="H1521" s="4"/>
      <c r="I1521" s="4"/>
    </row>
    <row r="1522" spans="4:9" x14ac:dyDescent="0.25">
      <c r="D1522" s="4"/>
      <c r="E1522" s="4"/>
      <c r="H1522" s="4"/>
      <c r="I1522" s="4"/>
    </row>
    <row r="1523" spans="4:9" x14ac:dyDescent="0.25">
      <c r="D1523" s="4"/>
      <c r="E1523" s="4"/>
      <c r="H1523" s="4"/>
      <c r="I1523" s="4"/>
    </row>
    <row r="1524" spans="4:9" x14ac:dyDescent="0.25">
      <c r="D1524" s="4"/>
      <c r="E1524" s="4"/>
      <c r="H1524" s="4"/>
      <c r="I1524" s="4"/>
    </row>
    <row r="1525" spans="4:9" x14ac:dyDescent="0.25">
      <c r="D1525" s="4"/>
      <c r="E1525" s="4"/>
      <c r="H1525" s="4"/>
      <c r="I1525" s="4"/>
    </row>
    <row r="1526" spans="4:9" x14ac:dyDescent="0.25">
      <c r="D1526" s="4"/>
      <c r="E1526" s="4"/>
      <c r="H1526" s="4"/>
      <c r="I1526" s="4"/>
    </row>
    <row r="1527" spans="4:9" x14ac:dyDescent="0.25">
      <c r="D1527" s="4"/>
      <c r="E1527" s="4"/>
      <c r="H1527" s="4"/>
      <c r="I1527" s="4"/>
    </row>
    <row r="1528" spans="4:9" x14ac:dyDescent="0.25">
      <c r="D1528" s="4"/>
      <c r="E1528" s="4"/>
      <c r="H1528" s="4"/>
      <c r="I1528" s="4"/>
    </row>
    <row r="1529" spans="4:9" x14ac:dyDescent="0.25">
      <c r="D1529" s="4"/>
      <c r="E1529" s="4"/>
      <c r="H1529" s="4"/>
      <c r="I1529" s="4"/>
    </row>
    <row r="1530" spans="4:9" x14ac:dyDescent="0.25">
      <c r="D1530" s="4"/>
      <c r="E1530" s="4"/>
      <c r="H1530" s="4"/>
      <c r="I1530" s="4"/>
    </row>
    <row r="1531" spans="4:9" x14ac:dyDescent="0.25">
      <c r="D1531" s="4"/>
      <c r="E1531" s="4"/>
      <c r="H1531" s="4"/>
      <c r="I1531" s="4"/>
    </row>
    <row r="1532" spans="4:9" x14ac:dyDescent="0.25">
      <c r="D1532" s="4"/>
      <c r="E1532" s="4"/>
      <c r="H1532" s="4"/>
      <c r="I1532" s="4"/>
    </row>
    <row r="1533" spans="4:9" x14ac:dyDescent="0.25">
      <c r="D1533" s="4"/>
      <c r="E1533" s="4"/>
      <c r="H1533" s="4"/>
      <c r="I1533" s="4"/>
    </row>
    <row r="1534" spans="4:9" x14ac:dyDescent="0.25">
      <c r="D1534" s="4"/>
      <c r="E1534" s="4"/>
      <c r="H1534" s="4"/>
      <c r="I1534" s="4"/>
    </row>
    <row r="1535" spans="4:9" x14ac:dyDescent="0.25">
      <c r="D1535" s="4"/>
      <c r="E1535" s="4"/>
      <c r="H1535" s="4"/>
      <c r="I1535" s="4"/>
    </row>
    <row r="1536" spans="4:9" x14ac:dyDescent="0.25">
      <c r="D1536" s="4"/>
      <c r="E1536" s="4"/>
      <c r="H1536" s="4"/>
      <c r="I1536" s="4"/>
    </row>
    <row r="1537" spans="4:9" x14ac:dyDescent="0.25">
      <c r="D1537" s="4"/>
      <c r="E1537" s="4"/>
      <c r="H1537" s="4"/>
      <c r="I1537" s="4"/>
    </row>
    <row r="1538" spans="4:9" x14ac:dyDescent="0.25">
      <c r="D1538" s="4"/>
      <c r="E1538" s="4"/>
      <c r="H1538" s="4"/>
      <c r="I1538" s="4"/>
    </row>
    <row r="1539" spans="4:9" x14ac:dyDescent="0.25">
      <c r="D1539" s="4"/>
      <c r="E1539" s="4"/>
      <c r="H1539" s="4"/>
      <c r="I1539" s="4"/>
    </row>
    <row r="1540" spans="4:9" x14ac:dyDescent="0.25">
      <c r="D1540" s="4"/>
      <c r="E1540" s="4"/>
      <c r="H1540" s="4"/>
      <c r="I1540" s="4"/>
    </row>
    <row r="1541" spans="4:9" x14ac:dyDescent="0.25">
      <c r="D1541" s="4"/>
      <c r="E1541" s="4"/>
      <c r="H1541" s="4"/>
      <c r="I1541" s="4"/>
    </row>
    <row r="1542" spans="4:9" x14ac:dyDescent="0.25">
      <c r="D1542" s="4"/>
      <c r="E1542" s="4"/>
      <c r="H1542" s="4"/>
      <c r="I1542" s="4"/>
    </row>
    <row r="1543" spans="4:9" x14ac:dyDescent="0.25">
      <c r="D1543" s="4"/>
      <c r="E1543" s="4"/>
      <c r="H1543" s="4"/>
      <c r="I1543" s="4"/>
    </row>
    <row r="1544" spans="4:9" x14ac:dyDescent="0.25">
      <c r="D1544" s="4"/>
      <c r="E1544" s="4"/>
      <c r="H1544" s="4"/>
      <c r="I1544" s="4"/>
    </row>
    <row r="1545" spans="4:9" x14ac:dyDescent="0.25">
      <c r="D1545" s="4"/>
      <c r="E1545" s="4"/>
      <c r="H1545" s="4"/>
      <c r="I1545" s="4"/>
    </row>
    <row r="1546" spans="4:9" x14ac:dyDescent="0.25">
      <c r="D1546" s="4"/>
      <c r="E1546" s="4"/>
      <c r="H1546" s="4"/>
      <c r="I1546" s="4"/>
    </row>
    <row r="1547" spans="4:9" x14ac:dyDescent="0.25">
      <c r="D1547" s="4"/>
      <c r="E1547" s="4"/>
      <c r="H1547" s="4"/>
      <c r="I1547" s="4"/>
    </row>
    <row r="1548" spans="4:9" x14ac:dyDescent="0.25">
      <c r="D1548" s="4"/>
      <c r="E1548" s="4"/>
      <c r="H1548" s="4"/>
      <c r="I1548" s="4"/>
    </row>
    <row r="1549" spans="4:9" x14ac:dyDescent="0.25">
      <c r="D1549" s="4"/>
      <c r="E1549" s="4"/>
      <c r="H1549" s="4"/>
      <c r="I1549" s="4"/>
    </row>
    <row r="1550" spans="4:9" x14ac:dyDescent="0.25">
      <c r="D1550" s="4"/>
      <c r="E1550" s="4"/>
      <c r="H1550" s="4"/>
      <c r="I1550" s="4"/>
    </row>
    <row r="1551" spans="4:9" x14ac:dyDescent="0.25">
      <c r="D1551" s="4"/>
      <c r="E1551" s="4"/>
      <c r="H1551" s="4"/>
      <c r="I1551" s="4"/>
    </row>
    <row r="1552" spans="4:9" x14ac:dyDescent="0.25">
      <c r="D1552" s="4"/>
      <c r="E1552" s="4"/>
      <c r="H1552" s="4"/>
      <c r="I1552" s="4"/>
    </row>
    <row r="1553" spans="4:9" x14ac:dyDescent="0.25">
      <c r="D1553" s="4"/>
      <c r="E1553" s="4"/>
      <c r="H1553" s="4"/>
      <c r="I1553" s="4"/>
    </row>
    <row r="1554" spans="4:9" x14ac:dyDescent="0.25">
      <c r="D1554" s="4"/>
      <c r="E1554" s="4"/>
      <c r="H1554" s="4"/>
      <c r="I1554" s="4"/>
    </row>
    <row r="1555" spans="4:9" x14ac:dyDescent="0.25">
      <c r="D1555" s="4"/>
      <c r="E1555" s="4"/>
      <c r="H1555" s="4"/>
      <c r="I1555" s="4"/>
    </row>
    <row r="1556" spans="4:9" x14ac:dyDescent="0.25">
      <c r="D1556" s="4"/>
      <c r="E1556" s="4"/>
      <c r="H1556" s="4"/>
      <c r="I1556" s="4"/>
    </row>
    <row r="1557" spans="4:9" x14ac:dyDescent="0.25">
      <c r="D1557" s="4"/>
      <c r="E1557" s="4"/>
      <c r="H1557" s="4"/>
      <c r="I1557" s="4"/>
    </row>
    <row r="1558" spans="4:9" x14ac:dyDescent="0.25">
      <c r="D1558" s="4"/>
      <c r="E1558" s="4"/>
      <c r="H1558" s="4"/>
      <c r="I1558" s="4"/>
    </row>
    <row r="1559" spans="4:9" x14ac:dyDescent="0.25">
      <c r="D1559" s="4"/>
      <c r="E1559" s="4"/>
      <c r="H1559" s="4"/>
      <c r="I1559" s="4"/>
    </row>
    <row r="1560" spans="4:9" x14ac:dyDescent="0.25">
      <c r="D1560" s="4"/>
      <c r="E1560" s="4"/>
      <c r="H1560" s="4"/>
      <c r="I1560" s="4"/>
    </row>
    <row r="1561" spans="4:9" x14ac:dyDescent="0.25">
      <c r="D1561" s="4"/>
      <c r="E1561" s="4"/>
      <c r="H1561" s="4"/>
      <c r="I1561" s="4"/>
    </row>
    <row r="1562" spans="4:9" x14ac:dyDescent="0.25">
      <c r="D1562" s="4"/>
      <c r="E1562" s="4"/>
      <c r="H1562" s="4"/>
      <c r="I1562" s="4"/>
    </row>
    <row r="1563" spans="4:9" x14ac:dyDescent="0.25">
      <c r="D1563" s="4"/>
      <c r="E1563" s="4"/>
      <c r="H1563" s="4"/>
      <c r="I1563" s="4"/>
    </row>
    <row r="1564" spans="4:9" x14ac:dyDescent="0.25">
      <c r="D1564" s="4"/>
      <c r="E1564" s="4"/>
      <c r="H1564" s="4"/>
      <c r="I1564" s="4"/>
    </row>
    <row r="1565" spans="4:9" x14ac:dyDescent="0.25">
      <c r="D1565" s="4"/>
      <c r="E1565" s="4"/>
      <c r="H1565" s="4"/>
      <c r="I1565" s="4"/>
    </row>
    <row r="1566" spans="4:9" x14ac:dyDescent="0.25">
      <c r="D1566" s="4"/>
      <c r="E1566" s="4"/>
      <c r="H1566" s="4"/>
      <c r="I1566" s="4"/>
    </row>
    <row r="1567" spans="4:9" x14ac:dyDescent="0.25">
      <c r="D1567" s="4"/>
      <c r="E1567" s="4"/>
      <c r="H1567" s="4"/>
      <c r="I1567" s="4"/>
    </row>
    <row r="1568" spans="4:9" x14ac:dyDescent="0.25">
      <c r="D1568" s="4"/>
      <c r="E1568" s="4"/>
      <c r="H1568" s="4"/>
      <c r="I1568" s="4"/>
    </row>
    <row r="1569" spans="4:9" x14ac:dyDescent="0.25">
      <c r="D1569" s="4"/>
      <c r="E1569" s="4"/>
      <c r="H1569" s="4"/>
      <c r="I1569" s="4"/>
    </row>
    <row r="1570" spans="4:9" x14ac:dyDescent="0.25">
      <c r="D1570" s="4"/>
      <c r="E1570" s="4"/>
      <c r="H1570" s="4"/>
      <c r="I1570" s="4"/>
    </row>
    <row r="1571" spans="4:9" x14ac:dyDescent="0.25">
      <c r="D1571" s="4"/>
      <c r="E1571" s="4"/>
      <c r="H1571" s="4"/>
      <c r="I1571" s="4"/>
    </row>
    <row r="1572" spans="4:9" x14ac:dyDescent="0.25">
      <c r="D1572" s="4"/>
      <c r="E1572" s="4"/>
      <c r="H1572" s="4"/>
      <c r="I1572" s="4"/>
    </row>
    <row r="1573" spans="4:9" x14ac:dyDescent="0.25">
      <c r="D1573" s="4"/>
      <c r="E1573" s="4"/>
      <c r="H1573" s="4"/>
      <c r="I1573" s="4"/>
    </row>
    <row r="1574" spans="4:9" x14ac:dyDescent="0.25">
      <c r="D1574" s="4"/>
      <c r="E1574" s="4"/>
      <c r="H1574" s="4"/>
      <c r="I1574" s="4"/>
    </row>
    <row r="1575" spans="4:9" x14ac:dyDescent="0.25">
      <c r="D1575" s="4"/>
      <c r="E1575" s="4"/>
      <c r="H1575" s="4"/>
      <c r="I1575" s="4"/>
    </row>
    <row r="1576" spans="4:9" x14ac:dyDescent="0.25">
      <c r="D1576" s="4"/>
      <c r="E1576" s="4"/>
      <c r="H1576" s="4"/>
      <c r="I1576" s="4"/>
    </row>
    <row r="1577" spans="4:9" x14ac:dyDescent="0.25">
      <c r="D1577" s="4"/>
      <c r="E1577" s="4"/>
      <c r="H1577" s="4"/>
      <c r="I1577" s="4"/>
    </row>
    <row r="1578" spans="4:9" x14ac:dyDescent="0.25">
      <c r="D1578" s="4"/>
      <c r="E1578" s="4"/>
      <c r="H1578" s="4"/>
      <c r="I1578" s="4"/>
    </row>
    <row r="1579" spans="4:9" x14ac:dyDescent="0.25">
      <c r="D1579" s="4"/>
      <c r="E1579" s="4"/>
      <c r="H1579" s="4"/>
      <c r="I1579" s="4"/>
    </row>
    <row r="1580" spans="4:9" x14ac:dyDescent="0.25">
      <c r="D1580" s="4"/>
      <c r="E1580" s="4"/>
      <c r="H1580" s="4"/>
      <c r="I1580" s="4"/>
    </row>
    <row r="1581" spans="4:9" x14ac:dyDescent="0.25">
      <c r="D1581" s="4"/>
      <c r="E1581" s="4"/>
      <c r="H1581" s="4"/>
      <c r="I1581" s="4"/>
    </row>
    <row r="1582" spans="4:9" x14ac:dyDescent="0.25">
      <c r="D1582" s="4"/>
      <c r="E1582" s="4"/>
      <c r="H1582" s="4"/>
      <c r="I1582" s="4"/>
    </row>
    <row r="1583" spans="4:9" x14ac:dyDescent="0.25">
      <c r="D1583" s="4"/>
      <c r="E1583" s="4"/>
      <c r="H1583" s="4"/>
      <c r="I1583" s="4"/>
    </row>
    <row r="1584" spans="4:9" x14ac:dyDescent="0.25">
      <c r="D1584" s="4"/>
      <c r="E1584" s="4"/>
      <c r="H1584" s="4"/>
      <c r="I1584" s="4"/>
    </row>
    <row r="1585" spans="4:9" x14ac:dyDescent="0.25">
      <c r="D1585" s="4"/>
      <c r="E1585" s="4"/>
      <c r="H1585" s="4"/>
      <c r="I1585" s="4"/>
    </row>
    <row r="1586" spans="4:9" x14ac:dyDescent="0.25">
      <c r="D1586" s="4"/>
      <c r="E1586" s="4"/>
      <c r="H1586" s="4"/>
      <c r="I1586" s="4"/>
    </row>
    <row r="1587" spans="4:9" x14ac:dyDescent="0.25">
      <c r="D1587" s="4"/>
      <c r="E1587" s="4"/>
      <c r="H1587" s="4"/>
      <c r="I1587" s="4"/>
    </row>
    <row r="1588" spans="4:9" x14ac:dyDescent="0.25">
      <c r="D1588" s="4"/>
      <c r="E1588" s="4"/>
      <c r="H1588" s="4"/>
      <c r="I1588" s="4"/>
    </row>
    <row r="1589" spans="4:9" x14ac:dyDescent="0.25">
      <c r="D1589" s="4"/>
      <c r="E1589" s="4"/>
      <c r="H1589" s="4"/>
      <c r="I1589" s="4"/>
    </row>
    <row r="1590" spans="4:9" x14ac:dyDescent="0.25">
      <c r="D1590" s="4"/>
      <c r="E1590" s="4"/>
      <c r="H1590" s="4"/>
      <c r="I1590" s="4"/>
    </row>
    <row r="1591" spans="4:9" x14ac:dyDescent="0.25">
      <c r="D1591" s="4"/>
      <c r="E1591" s="4"/>
      <c r="H1591" s="4"/>
      <c r="I1591" s="4"/>
    </row>
    <row r="1592" spans="4:9" x14ac:dyDescent="0.25">
      <c r="D1592" s="4"/>
      <c r="E1592" s="4"/>
      <c r="H1592" s="4"/>
      <c r="I1592" s="4"/>
    </row>
    <row r="1593" spans="4:9" x14ac:dyDescent="0.25">
      <c r="D1593" s="4"/>
      <c r="E1593" s="4"/>
      <c r="H1593" s="4"/>
      <c r="I1593" s="4"/>
    </row>
    <row r="1594" spans="4:9" x14ac:dyDescent="0.25">
      <c r="D1594" s="4"/>
      <c r="E1594" s="4"/>
      <c r="H1594" s="4"/>
      <c r="I1594" s="4"/>
    </row>
    <row r="1595" spans="4:9" x14ac:dyDescent="0.25">
      <c r="D1595" s="4"/>
      <c r="E1595" s="4"/>
      <c r="H1595" s="4"/>
      <c r="I1595" s="4"/>
    </row>
    <row r="1596" spans="4:9" x14ac:dyDescent="0.25">
      <c r="D1596" s="4"/>
      <c r="E1596" s="4"/>
      <c r="H1596" s="4"/>
      <c r="I1596" s="4"/>
    </row>
    <row r="1597" spans="4:9" x14ac:dyDescent="0.25">
      <c r="D1597" s="4"/>
      <c r="E1597" s="4"/>
      <c r="H1597" s="4"/>
      <c r="I1597" s="4"/>
    </row>
    <row r="1598" spans="4:9" x14ac:dyDescent="0.25">
      <c r="D1598" s="4"/>
      <c r="E1598" s="4"/>
      <c r="H1598" s="4"/>
      <c r="I1598" s="4"/>
    </row>
    <row r="1599" spans="4:9" x14ac:dyDescent="0.25">
      <c r="D1599" s="4"/>
      <c r="E1599" s="4"/>
      <c r="H1599" s="4"/>
      <c r="I1599" s="4"/>
    </row>
    <row r="1600" spans="4:9" x14ac:dyDescent="0.25">
      <c r="D1600" s="4"/>
      <c r="E1600" s="4"/>
      <c r="H1600" s="4"/>
      <c r="I1600" s="4"/>
    </row>
    <row r="1601" spans="4:9" x14ac:dyDescent="0.25">
      <c r="D1601" s="4"/>
      <c r="E1601" s="4"/>
      <c r="H1601" s="4"/>
      <c r="I1601" s="4"/>
    </row>
    <row r="1602" spans="4:9" x14ac:dyDescent="0.25">
      <c r="D1602" s="4"/>
      <c r="E1602" s="4"/>
      <c r="H1602" s="4"/>
      <c r="I1602" s="4"/>
    </row>
    <row r="1603" spans="4:9" x14ac:dyDescent="0.25">
      <c r="D1603" s="4"/>
      <c r="E1603" s="4"/>
      <c r="H1603" s="4"/>
      <c r="I1603" s="4"/>
    </row>
    <row r="1604" spans="4:9" x14ac:dyDescent="0.25">
      <c r="D1604" s="4"/>
      <c r="E1604" s="4"/>
      <c r="H1604" s="4"/>
      <c r="I1604" s="4"/>
    </row>
    <row r="1605" spans="4:9" x14ac:dyDescent="0.25">
      <c r="D1605" s="4"/>
      <c r="E1605" s="4"/>
      <c r="H1605" s="4"/>
      <c r="I1605" s="4"/>
    </row>
    <row r="1606" spans="4:9" x14ac:dyDescent="0.25">
      <c r="D1606" s="4"/>
      <c r="E1606" s="4"/>
      <c r="H1606" s="4"/>
      <c r="I1606" s="4"/>
    </row>
    <row r="1607" spans="4:9" x14ac:dyDescent="0.25">
      <c r="D1607" s="4"/>
      <c r="E1607" s="4"/>
      <c r="H1607" s="4"/>
      <c r="I1607" s="4"/>
    </row>
    <row r="1608" spans="4:9" x14ac:dyDescent="0.25">
      <c r="D1608" s="4"/>
      <c r="E1608" s="4"/>
      <c r="H1608" s="4"/>
      <c r="I1608" s="4"/>
    </row>
    <row r="1609" spans="4:9" x14ac:dyDescent="0.25">
      <c r="D1609" s="4"/>
      <c r="E1609" s="4"/>
      <c r="H1609" s="4"/>
      <c r="I1609" s="4"/>
    </row>
    <row r="1610" spans="4:9" x14ac:dyDescent="0.25">
      <c r="D1610" s="4"/>
      <c r="E1610" s="4"/>
      <c r="H1610" s="4"/>
      <c r="I1610" s="4"/>
    </row>
    <row r="1611" spans="4:9" x14ac:dyDescent="0.25">
      <c r="D1611" s="4"/>
      <c r="E1611" s="4"/>
      <c r="H1611" s="4"/>
      <c r="I1611" s="4"/>
    </row>
    <row r="1612" spans="4:9" x14ac:dyDescent="0.25">
      <c r="D1612" s="4"/>
      <c r="E1612" s="4"/>
      <c r="H1612" s="4"/>
      <c r="I1612" s="4"/>
    </row>
    <row r="1613" spans="4:9" x14ac:dyDescent="0.25">
      <c r="D1613" s="4"/>
      <c r="E1613" s="4"/>
      <c r="H1613" s="4"/>
      <c r="I1613" s="4"/>
    </row>
    <row r="1614" spans="4:9" x14ac:dyDescent="0.25">
      <c r="D1614" s="4"/>
      <c r="E1614" s="4"/>
      <c r="H1614" s="4"/>
      <c r="I1614" s="4"/>
    </row>
    <row r="1615" spans="4:9" x14ac:dyDescent="0.25">
      <c r="D1615" s="4"/>
      <c r="E1615" s="4"/>
      <c r="H1615" s="4"/>
      <c r="I1615" s="4"/>
    </row>
    <row r="1616" spans="4:9" x14ac:dyDescent="0.25">
      <c r="D1616" s="4"/>
      <c r="E1616" s="4"/>
      <c r="H1616" s="4"/>
      <c r="I1616" s="4"/>
    </row>
    <row r="1617" spans="4:9" x14ac:dyDescent="0.25">
      <c r="D1617" s="4"/>
      <c r="E1617" s="4"/>
      <c r="H1617" s="4"/>
      <c r="I1617" s="4"/>
    </row>
    <row r="1618" spans="4:9" x14ac:dyDescent="0.25">
      <c r="D1618" s="4"/>
      <c r="E1618" s="4"/>
      <c r="H1618" s="4"/>
      <c r="I1618" s="4"/>
    </row>
    <row r="1619" spans="4:9" x14ac:dyDescent="0.25">
      <c r="D1619" s="4"/>
      <c r="E1619" s="4"/>
      <c r="H1619" s="4"/>
      <c r="I1619" s="4"/>
    </row>
    <row r="1620" spans="4:9" x14ac:dyDescent="0.25">
      <c r="D1620" s="4"/>
      <c r="E1620" s="4"/>
      <c r="H1620" s="4"/>
      <c r="I1620" s="4"/>
    </row>
    <row r="1621" spans="4:9" x14ac:dyDescent="0.25">
      <c r="D1621" s="4"/>
      <c r="E1621" s="4"/>
      <c r="H1621" s="4"/>
      <c r="I1621" s="4"/>
    </row>
    <row r="1622" spans="4:9" x14ac:dyDescent="0.25">
      <c r="D1622" s="4"/>
      <c r="E1622" s="4"/>
      <c r="H1622" s="4"/>
      <c r="I1622" s="4"/>
    </row>
    <row r="1623" spans="4:9" x14ac:dyDescent="0.25">
      <c r="D1623" s="4"/>
      <c r="E1623" s="4"/>
      <c r="H1623" s="4"/>
      <c r="I1623" s="4"/>
    </row>
    <row r="1624" spans="4:9" x14ac:dyDescent="0.25">
      <c r="D1624" s="4"/>
      <c r="E1624" s="4"/>
      <c r="H1624" s="4"/>
      <c r="I1624" s="4"/>
    </row>
    <row r="1625" spans="4:9" x14ac:dyDescent="0.25">
      <c r="D1625" s="4"/>
      <c r="E1625" s="4"/>
      <c r="H1625" s="4"/>
      <c r="I1625" s="4"/>
    </row>
    <row r="1626" spans="4:9" x14ac:dyDescent="0.25">
      <c r="D1626" s="4"/>
      <c r="E1626" s="4"/>
      <c r="H1626" s="4"/>
      <c r="I1626" s="4"/>
    </row>
    <row r="1627" spans="4:9" x14ac:dyDescent="0.25">
      <c r="D1627" s="4"/>
      <c r="E1627" s="4"/>
      <c r="H1627" s="4"/>
      <c r="I1627" s="4"/>
    </row>
    <row r="1628" spans="4:9" x14ac:dyDescent="0.25">
      <c r="D1628" s="4"/>
      <c r="E1628" s="4"/>
      <c r="H1628" s="4"/>
      <c r="I1628" s="4"/>
    </row>
    <row r="1629" spans="4:9" x14ac:dyDescent="0.25">
      <c r="D1629" s="4"/>
      <c r="E1629" s="4"/>
      <c r="H1629" s="4"/>
      <c r="I1629" s="4"/>
    </row>
    <row r="1630" spans="4:9" x14ac:dyDescent="0.25">
      <c r="D1630" s="4"/>
      <c r="E1630" s="4"/>
      <c r="H1630" s="4"/>
      <c r="I1630" s="4"/>
    </row>
    <row r="1631" spans="4:9" x14ac:dyDescent="0.25">
      <c r="D1631" s="4"/>
      <c r="E1631" s="4"/>
      <c r="H1631" s="4"/>
      <c r="I1631" s="4"/>
    </row>
    <row r="1632" spans="4:9" x14ac:dyDescent="0.25">
      <c r="D1632" s="4"/>
      <c r="E1632" s="4"/>
      <c r="H1632" s="4"/>
      <c r="I1632" s="4"/>
    </row>
    <row r="1633" spans="4:9" x14ac:dyDescent="0.25">
      <c r="D1633" s="4"/>
      <c r="E1633" s="4"/>
      <c r="H1633" s="4"/>
      <c r="I1633" s="4"/>
    </row>
    <row r="1634" spans="4:9" x14ac:dyDescent="0.25">
      <c r="D1634" s="4"/>
      <c r="E1634" s="4"/>
      <c r="H1634" s="4"/>
      <c r="I1634" s="4"/>
    </row>
    <row r="1635" spans="4:9" x14ac:dyDescent="0.25">
      <c r="D1635" s="4"/>
      <c r="E1635" s="4"/>
      <c r="H1635" s="4"/>
      <c r="I1635" s="4"/>
    </row>
    <row r="1636" spans="4:9" x14ac:dyDescent="0.25">
      <c r="D1636" s="4"/>
      <c r="E1636" s="4"/>
      <c r="H1636" s="4"/>
      <c r="I1636" s="4"/>
    </row>
    <row r="1637" spans="4:9" x14ac:dyDescent="0.25">
      <c r="D1637" s="4"/>
      <c r="E1637" s="4"/>
      <c r="H1637" s="4"/>
      <c r="I1637" s="4"/>
    </row>
    <row r="1638" spans="4:9" x14ac:dyDescent="0.25">
      <c r="D1638" s="4"/>
      <c r="E1638" s="4"/>
      <c r="H1638" s="4"/>
      <c r="I1638" s="4"/>
    </row>
    <row r="1639" spans="4:9" x14ac:dyDescent="0.25">
      <c r="D1639" s="4"/>
      <c r="E1639" s="4"/>
      <c r="H1639" s="4"/>
      <c r="I1639" s="4"/>
    </row>
    <row r="1640" spans="4:9" x14ac:dyDescent="0.25">
      <c r="D1640" s="4"/>
      <c r="E1640" s="4"/>
      <c r="H1640" s="4"/>
      <c r="I1640" s="4"/>
    </row>
    <row r="1641" spans="4:9" x14ac:dyDescent="0.25">
      <c r="D1641" s="4"/>
      <c r="E1641" s="4"/>
      <c r="H1641" s="4"/>
      <c r="I1641" s="4"/>
    </row>
    <row r="1642" spans="4:9" x14ac:dyDescent="0.25">
      <c r="D1642" s="4"/>
      <c r="E1642" s="4"/>
      <c r="H1642" s="4"/>
      <c r="I1642" s="4"/>
    </row>
    <row r="1643" spans="4:9" x14ac:dyDescent="0.25">
      <c r="D1643" s="4"/>
      <c r="E1643" s="4"/>
      <c r="H1643" s="4"/>
      <c r="I1643" s="4"/>
    </row>
    <row r="1644" spans="4:9" x14ac:dyDescent="0.25">
      <c r="D1644" s="4"/>
      <c r="E1644" s="4"/>
      <c r="H1644" s="4"/>
      <c r="I1644" s="4"/>
    </row>
    <row r="1645" spans="4:9" x14ac:dyDescent="0.25">
      <c r="D1645" s="4"/>
      <c r="E1645" s="4"/>
      <c r="H1645" s="4"/>
      <c r="I1645" s="4"/>
    </row>
    <row r="1646" spans="4:9" x14ac:dyDescent="0.25">
      <c r="D1646" s="4"/>
      <c r="E1646" s="4"/>
      <c r="H1646" s="4"/>
      <c r="I1646" s="4"/>
    </row>
    <row r="1647" spans="4:9" x14ac:dyDescent="0.25">
      <c r="D1647" s="4"/>
      <c r="E1647" s="4"/>
      <c r="H1647" s="4"/>
      <c r="I1647" s="4"/>
    </row>
    <row r="1648" spans="4:9" x14ac:dyDescent="0.25">
      <c r="D1648" s="4"/>
      <c r="E1648" s="4"/>
      <c r="H1648" s="4"/>
      <c r="I1648" s="4"/>
    </row>
    <row r="1649" spans="4:9" x14ac:dyDescent="0.25">
      <c r="D1649" s="4"/>
      <c r="E1649" s="4"/>
      <c r="H1649" s="4"/>
      <c r="I1649" s="4"/>
    </row>
    <row r="1650" spans="4:9" x14ac:dyDescent="0.25">
      <c r="D1650" s="4"/>
      <c r="E1650" s="4"/>
      <c r="H1650" s="4"/>
      <c r="I1650" s="4"/>
    </row>
    <row r="1651" spans="4:9" x14ac:dyDescent="0.25">
      <c r="D1651" s="4"/>
      <c r="E1651" s="4"/>
      <c r="H1651" s="4"/>
      <c r="I1651" s="4"/>
    </row>
    <row r="1652" spans="4:9" x14ac:dyDescent="0.25">
      <c r="D1652" s="4"/>
      <c r="E1652" s="4"/>
      <c r="H1652" s="4"/>
      <c r="I1652" s="4"/>
    </row>
    <row r="1653" spans="4:9" x14ac:dyDescent="0.25">
      <c r="D1653" s="4"/>
      <c r="E1653" s="4"/>
      <c r="H1653" s="4"/>
      <c r="I1653" s="4"/>
    </row>
    <row r="1654" spans="4:9" x14ac:dyDescent="0.25">
      <c r="D1654" s="4"/>
      <c r="E1654" s="4"/>
      <c r="H1654" s="4"/>
      <c r="I1654" s="4"/>
    </row>
    <row r="1655" spans="4:9" x14ac:dyDescent="0.25">
      <c r="D1655" s="4"/>
      <c r="E1655" s="4"/>
      <c r="H1655" s="4"/>
      <c r="I1655" s="4"/>
    </row>
    <row r="1656" spans="4:9" x14ac:dyDescent="0.25">
      <c r="D1656" s="4"/>
      <c r="E1656" s="4"/>
      <c r="H1656" s="4"/>
      <c r="I1656" s="4"/>
    </row>
    <row r="1657" spans="4:9" x14ac:dyDescent="0.25">
      <c r="D1657" s="4"/>
      <c r="E1657" s="4"/>
      <c r="H1657" s="4"/>
      <c r="I1657" s="4"/>
    </row>
    <row r="1658" spans="4:9" x14ac:dyDescent="0.25">
      <c r="D1658" s="4"/>
      <c r="E1658" s="4"/>
      <c r="H1658" s="4"/>
      <c r="I1658" s="4"/>
    </row>
    <row r="1659" spans="4:9" x14ac:dyDescent="0.25">
      <c r="D1659" s="4"/>
      <c r="E1659" s="4"/>
      <c r="H1659" s="4"/>
      <c r="I1659" s="4"/>
    </row>
    <row r="1660" spans="4:9" x14ac:dyDescent="0.25">
      <c r="D1660" s="4"/>
      <c r="E1660" s="4"/>
      <c r="H1660" s="4"/>
      <c r="I1660" s="4"/>
    </row>
    <row r="1661" spans="4:9" x14ac:dyDescent="0.25">
      <c r="D1661" s="4"/>
      <c r="E1661" s="4"/>
      <c r="H1661" s="4"/>
      <c r="I1661" s="4"/>
    </row>
    <row r="1662" spans="4:9" x14ac:dyDescent="0.25">
      <c r="D1662" s="4"/>
      <c r="E1662" s="4"/>
      <c r="H1662" s="4"/>
      <c r="I1662" s="4"/>
    </row>
    <row r="1663" spans="4:9" x14ac:dyDescent="0.25">
      <c r="D1663" s="4"/>
      <c r="E1663" s="4"/>
      <c r="H1663" s="4"/>
      <c r="I1663" s="4"/>
    </row>
    <row r="1664" spans="4:9" x14ac:dyDescent="0.25">
      <c r="D1664" s="4"/>
      <c r="E1664" s="4"/>
      <c r="H1664" s="4"/>
      <c r="I1664" s="4"/>
    </row>
    <row r="1665" spans="4:9" x14ac:dyDescent="0.25">
      <c r="D1665" s="4"/>
      <c r="E1665" s="4"/>
      <c r="H1665" s="4"/>
      <c r="I1665" s="4"/>
    </row>
    <row r="1666" spans="4:9" x14ac:dyDescent="0.25">
      <c r="D1666" s="4"/>
      <c r="E1666" s="4"/>
      <c r="H1666" s="4"/>
      <c r="I1666" s="4"/>
    </row>
    <row r="1667" spans="4:9" x14ac:dyDescent="0.25">
      <c r="D1667" s="4"/>
      <c r="E1667" s="4"/>
      <c r="H1667" s="4"/>
      <c r="I1667" s="4"/>
    </row>
    <row r="1668" spans="4:9" x14ac:dyDescent="0.25">
      <c r="D1668" s="4"/>
      <c r="E1668" s="4"/>
      <c r="H1668" s="4"/>
      <c r="I1668" s="4"/>
    </row>
    <row r="1669" spans="4:9" x14ac:dyDescent="0.25">
      <c r="D1669" s="4"/>
      <c r="E1669" s="4"/>
      <c r="H1669" s="4"/>
      <c r="I1669" s="4"/>
    </row>
    <row r="1670" spans="4:9" x14ac:dyDescent="0.25">
      <c r="D1670" s="4"/>
      <c r="E1670" s="4"/>
      <c r="H1670" s="4"/>
      <c r="I1670" s="4"/>
    </row>
    <row r="1671" spans="4:9" x14ac:dyDescent="0.25">
      <c r="D1671" s="4"/>
      <c r="E1671" s="4"/>
      <c r="H1671" s="4"/>
      <c r="I1671" s="4"/>
    </row>
    <row r="1672" spans="4:9" x14ac:dyDescent="0.25">
      <c r="D1672" s="4"/>
      <c r="E1672" s="4"/>
      <c r="H1672" s="4"/>
      <c r="I1672" s="4"/>
    </row>
    <row r="1673" spans="4:9" x14ac:dyDescent="0.25">
      <c r="D1673" s="4"/>
      <c r="E1673" s="4"/>
      <c r="H1673" s="4"/>
      <c r="I1673" s="4"/>
    </row>
    <row r="1674" spans="4:9" x14ac:dyDescent="0.25">
      <c r="D1674" s="4"/>
      <c r="E1674" s="4"/>
      <c r="H1674" s="4"/>
      <c r="I1674" s="4"/>
    </row>
    <row r="1675" spans="4:9" x14ac:dyDescent="0.25">
      <c r="D1675" s="4"/>
      <c r="E1675" s="4"/>
      <c r="H1675" s="4"/>
      <c r="I1675" s="4"/>
    </row>
    <row r="1676" spans="4:9" x14ac:dyDescent="0.25">
      <c r="D1676" s="4"/>
      <c r="E1676" s="4"/>
      <c r="H1676" s="4"/>
      <c r="I1676" s="4"/>
    </row>
    <row r="1677" spans="4:9" x14ac:dyDescent="0.25">
      <c r="D1677" s="4"/>
      <c r="E1677" s="4"/>
      <c r="H1677" s="4"/>
      <c r="I1677" s="4"/>
    </row>
    <row r="1678" spans="4:9" x14ac:dyDescent="0.25">
      <c r="D1678" s="4"/>
      <c r="E1678" s="4"/>
      <c r="H1678" s="4"/>
      <c r="I1678" s="4"/>
    </row>
    <row r="1679" spans="4:9" x14ac:dyDescent="0.25">
      <c r="D1679" s="4"/>
      <c r="E1679" s="4"/>
      <c r="H1679" s="4"/>
      <c r="I1679" s="4"/>
    </row>
    <row r="1680" spans="4:9" x14ac:dyDescent="0.25">
      <c r="D1680" s="4"/>
      <c r="E1680" s="4"/>
      <c r="H1680" s="4"/>
      <c r="I1680" s="4"/>
    </row>
    <row r="1681" spans="4:9" x14ac:dyDescent="0.25">
      <c r="D1681" s="4"/>
      <c r="E1681" s="4"/>
      <c r="H1681" s="4"/>
      <c r="I1681" s="4"/>
    </row>
    <row r="1682" spans="4:9" x14ac:dyDescent="0.25">
      <c r="D1682" s="4"/>
      <c r="E1682" s="4"/>
      <c r="H1682" s="4"/>
      <c r="I1682" s="4"/>
    </row>
    <row r="1683" spans="4:9" x14ac:dyDescent="0.25">
      <c r="D1683" s="4"/>
      <c r="E1683" s="4"/>
      <c r="H1683" s="4"/>
      <c r="I1683" s="4"/>
    </row>
    <row r="1684" spans="4:9" x14ac:dyDescent="0.25">
      <c r="D1684" s="4"/>
      <c r="E1684" s="4"/>
      <c r="H1684" s="4"/>
      <c r="I1684" s="4"/>
    </row>
    <row r="1685" spans="4:9" x14ac:dyDescent="0.25">
      <c r="D1685" s="4"/>
      <c r="E1685" s="4"/>
      <c r="H1685" s="4"/>
      <c r="I1685" s="4"/>
    </row>
    <row r="1686" spans="4:9" x14ac:dyDescent="0.25">
      <c r="D1686" s="4"/>
      <c r="E1686" s="4"/>
      <c r="H1686" s="4"/>
      <c r="I1686" s="4"/>
    </row>
    <row r="1687" spans="4:9" x14ac:dyDescent="0.25">
      <c r="D1687" s="4"/>
      <c r="E1687" s="4"/>
      <c r="H1687" s="4"/>
      <c r="I1687" s="4"/>
    </row>
    <row r="1688" spans="4:9" x14ac:dyDescent="0.25">
      <c r="D1688" s="4"/>
      <c r="E1688" s="4"/>
      <c r="H1688" s="4"/>
      <c r="I1688" s="4"/>
    </row>
    <row r="1689" spans="4:9" x14ac:dyDescent="0.25">
      <c r="D1689" s="4"/>
      <c r="E1689" s="4"/>
      <c r="H1689" s="4"/>
      <c r="I1689" s="4"/>
    </row>
    <row r="1690" spans="4:9" x14ac:dyDescent="0.25">
      <c r="D1690" s="4"/>
      <c r="E1690" s="4"/>
      <c r="H1690" s="4"/>
      <c r="I1690" s="4"/>
    </row>
    <row r="1691" spans="4:9" x14ac:dyDescent="0.25">
      <c r="D1691" s="4"/>
      <c r="E1691" s="4"/>
      <c r="H1691" s="4"/>
      <c r="I1691" s="4"/>
    </row>
    <row r="1692" spans="4:9" x14ac:dyDescent="0.25">
      <c r="D1692" s="4"/>
      <c r="E1692" s="4"/>
      <c r="H1692" s="4"/>
      <c r="I1692" s="4"/>
    </row>
    <row r="1693" spans="4:9" x14ac:dyDescent="0.25">
      <c r="D1693" s="4"/>
      <c r="E1693" s="4"/>
      <c r="H1693" s="4"/>
      <c r="I1693" s="4"/>
    </row>
    <row r="1694" spans="4:9" x14ac:dyDescent="0.25">
      <c r="D1694" s="4"/>
      <c r="E1694" s="4"/>
      <c r="H1694" s="4"/>
      <c r="I1694" s="4"/>
    </row>
    <row r="1695" spans="4:9" x14ac:dyDescent="0.25">
      <c r="D1695" s="4"/>
      <c r="E1695" s="4"/>
      <c r="H1695" s="4"/>
      <c r="I1695" s="4"/>
    </row>
    <row r="1696" spans="4:9" x14ac:dyDescent="0.25">
      <c r="D1696" s="4"/>
      <c r="E1696" s="4"/>
      <c r="H1696" s="4"/>
      <c r="I1696" s="4"/>
    </row>
    <row r="1697" spans="4:9" x14ac:dyDescent="0.25">
      <c r="D1697" s="4"/>
      <c r="E1697" s="4"/>
      <c r="H1697" s="4"/>
      <c r="I1697" s="4"/>
    </row>
    <row r="1698" spans="4:9" x14ac:dyDescent="0.25">
      <c r="D1698" s="4"/>
      <c r="E1698" s="4"/>
      <c r="H1698" s="4"/>
      <c r="I1698" s="4"/>
    </row>
    <row r="1699" spans="4:9" x14ac:dyDescent="0.25">
      <c r="D1699" s="4"/>
      <c r="E1699" s="4"/>
      <c r="H1699" s="4"/>
      <c r="I1699" s="4"/>
    </row>
    <row r="1700" spans="4:9" x14ac:dyDescent="0.25">
      <c r="D1700" s="4"/>
      <c r="E1700" s="4"/>
      <c r="H1700" s="4"/>
      <c r="I1700" s="4"/>
    </row>
    <row r="1701" spans="4:9" x14ac:dyDescent="0.25">
      <c r="D1701" s="4"/>
      <c r="E1701" s="4"/>
      <c r="H1701" s="4"/>
      <c r="I1701" s="4"/>
    </row>
    <row r="1702" spans="4:9" x14ac:dyDescent="0.25">
      <c r="D1702" s="4"/>
      <c r="E1702" s="4"/>
      <c r="H1702" s="4"/>
      <c r="I1702" s="4"/>
    </row>
    <row r="1703" spans="4:9" x14ac:dyDescent="0.25">
      <c r="D1703" s="4"/>
      <c r="E1703" s="4"/>
      <c r="H1703" s="4"/>
      <c r="I1703" s="4"/>
    </row>
    <row r="1704" spans="4:9" x14ac:dyDescent="0.25">
      <c r="D1704" s="4"/>
      <c r="E1704" s="4"/>
      <c r="H1704" s="4"/>
      <c r="I1704" s="4"/>
    </row>
    <row r="1705" spans="4:9" x14ac:dyDescent="0.25">
      <c r="D1705" s="4"/>
      <c r="E1705" s="4"/>
      <c r="H1705" s="4"/>
      <c r="I1705" s="4"/>
    </row>
    <row r="1706" spans="4:9" x14ac:dyDescent="0.25">
      <c r="D1706" s="4"/>
      <c r="E1706" s="4"/>
      <c r="H1706" s="4"/>
      <c r="I1706" s="4"/>
    </row>
    <row r="1707" spans="4:9" x14ac:dyDescent="0.25">
      <c r="D1707" s="4"/>
      <c r="E1707" s="4"/>
      <c r="H1707" s="4"/>
      <c r="I1707" s="4"/>
    </row>
    <row r="1708" spans="4:9" x14ac:dyDescent="0.25">
      <c r="D1708" s="4"/>
      <c r="E1708" s="4"/>
      <c r="H1708" s="4"/>
      <c r="I1708" s="4"/>
    </row>
    <row r="1709" spans="4:9" x14ac:dyDescent="0.25">
      <c r="D1709" s="4"/>
      <c r="E1709" s="4"/>
      <c r="H1709" s="4"/>
      <c r="I1709" s="4"/>
    </row>
    <row r="1710" spans="4:9" x14ac:dyDescent="0.25">
      <c r="D1710" s="4"/>
      <c r="E1710" s="4"/>
      <c r="H1710" s="4"/>
      <c r="I1710" s="4"/>
    </row>
    <row r="1711" spans="4:9" x14ac:dyDescent="0.25">
      <c r="D1711" s="4"/>
      <c r="E1711" s="4"/>
      <c r="H1711" s="4"/>
      <c r="I1711" s="4"/>
    </row>
    <row r="1712" spans="4:9" x14ac:dyDescent="0.25">
      <c r="D1712" s="4"/>
      <c r="E1712" s="4"/>
      <c r="H1712" s="4"/>
      <c r="I1712" s="4"/>
    </row>
    <row r="1713" spans="4:9" x14ac:dyDescent="0.25">
      <c r="D1713" s="4"/>
      <c r="E1713" s="4"/>
      <c r="H1713" s="4"/>
      <c r="I1713" s="4"/>
    </row>
    <row r="1714" spans="4:9" x14ac:dyDescent="0.25">
      <c r="D1714" s="4"/>
      <c r="E1714" s="4"/>
      <c r="H1714" s="4"/>
      <c r="I1714" s="4"/>
    </row>
    <row r="1715" spans="4:9" x14ac:dyDescent="0.25">
      <c r="D1715" s="4"/>
      <c r="E1715" s="4"/>
      <c r="H1715" s="4"/>
      <c r="I1715" s="4"/>
    </row>
    <row r="1716" spans="4:9" x14ac:dyDescent="0.25">
      <c r="D1716" s="4"/>
      <c r="E1716" s="4"/>
      <c r="H1716" s="4"/>
      <c r="I1716" s="4"/>
    </row>
    <row r="1717" spans="4:9" x14ac:dyDescent="0.25">
      <c r="D1717" s="4"/>
      <c r="E1717" s="4"/>
      <c r="H1717" s="4"/>
      <c r="I1717" s="4"/>
    </row>
    <row r="1718" spans="4:9" x14ac:dyDescent="0.25">
      <c r="D1718" s="4"/>
      <c r="E1718" s="4"/>
      <c r="H1718" s="4"/>
      <c r="I1718" s="4"/>
    </row>
    <row r="1719" spans="4:9" x14ac:dyDescent="0.25">
      <c r="D1719" s="4"/>
      <c r="E1719" s="4"/>
      <c r="H1719" s="4"/>
      <c r="I1719" s="4"/>
    </row>
    <row r="1720" spans="4:9" x14ac:dyDescent="0.25">
      <c r="D1720" s="4"/>
      <c r="E1720" s="4"/>
      <c r="H1720" s="4"/>
      <c r="I1720" s="4"/>
    </row>
    <row r="1721" spans="4:9" x14ac:dyDescent="0.25">
      <c r="D1721" s="4"/>
      <c r="E1721" s="4"/>
      <c r="H1721" s="4"/>
      <c r="I1721" s="4"/>
    </row>
    <row r="1722" spans="4:9" x14ac:dyDescent="0.25">
      <c r="D1722" s="4"/>
      <c r="E1722" s="4"/>
      <c r="H1722" s="4"/>
      <c r="I1722" s="4"/>
    </row>
    <row r="1723" spans="4:9" x14ac:dyDescent="0.25">
      <c r="D1723" s="4"/>
      <c r="E1723" s="4"/>
      <c r="H1723" s="4"/>
      <c r="I1723" s="4"/>
    </row>
    <row r="1724" spans="4:9" x14ac:dyDescent="0.25">
      <c r="D1724" s="4"/>
      <c r="E1724" s="4"/>
      <c r="H1724" s="4"/>
      <c r="I1724" s="4"/>
    </row>
    <row r="1725" spans="4:9" x14ac:dyDescent="0.25">
      <c r="D1725" s="4"/>
      <c r="E1725" s="4"/>
      <c r="H1725" s="4"/>
      <c r="I1725" s="4"/>
    </row>
    <row r="1726" spans="4:9" x14ac:dyDescent="0.25">
      <c r="D1726" s="4"/>
      <c r="E1726" s="4"/>
      <c r="H1726" s="4"/>
      <c r="I1726" s="4"/>
    </row>
    <row r="1727" spans="4:9" x14ac:dyDescent="0.25">
      <c r="D1727" s="4"/>
      <c r="E1727" s="4"/>
      <c r="H1727" s="4"/>
      <c r="I1727" s="4"/>
    </row>
    <row r="1728" spans="4:9" x14ac:dyDescent="0.25">
      <c r="D1728" s="4"/>
      <c r="E1728" s="4"/>
      <c r="H1728" s="4"/>
      <c r="I1728" s="4"/>
    </row>
    <row r="1729" spans="4:9" x14ac:dyDescent="0.25">
      <c r="D1729" s="4"/>
      <c r="E1729" s="4"/>
      <c r="H1729" s="4"/>
      <c r="I1729" s="4"/>
    </row>
    <row r="1730" spans="4:9" x14ac:dyDescent="0.25">
      <c r="D1730" s="4"/>
      <c r="E1730" s="4"/>
      <c r="H1730" s="4"/>
      <c r="I1730" s="4"/>
    </row>
    <row r="1731" spans="4:9" x14ac:dyDescent="0.25">
      <c r="D1731" s="4"/>
      <c r="E1731" s="4"/>
      <c r="H1731" s="4"/>
      <c r="I1731" s="4"/>
    </row>
    <row r="1732" spans="4:9" x14ac:dyDescent="0.25">
      <c r="D1732" s="4"/>
      <c r="E1732" s="4"/>
      <c r="H1732" s="4"/>
      <c r="I1732" s="4"/>
    </row>
    <row r="1733" spans="4:9" x14ac:dyDescent="0.25">
      <c r="D1733" s="4"/>
      <c r="E1733" s="4"/>
      <c r="H1733" s="4"/>
      <c r="I1733" s="4"/>
    </row>
    <row r="1734" spans="4:9" x14ac:dyDescent="0.25">
      <c r="D1734" s="4"/>
      <c r="E1734" s="4"/>
      <c r="H1734" s="4"/>
      <c r="I1734" s="4"/>
    </row>
    <row r="1735" spans="4:9" x14ac:dyDescent="0.25">
      <c r="D1735" s="4"/>
      <c r="E1735" s="4"/>
      <c r="H1735" s="4"/>
      <c r="I1735" s="4"/>
    </row>
    <row r="1736" spans="4:9" x14ac:dyDescent="0.25">
      <c r="D1736" s="4"/>
      <c r="E1736" s="4"/>
      <c r="H1736" s="4"/>
      <c r="I1736" s="4"/>
    </row>
    <row r="1737" spans="4:9" x14ac:dyDescent="0.25">
      <c r="D1737" s="4"/>
      <c r="E1737" s="4"/>
      <c r="H1737" s="4"/>
      <c r="I1737" s="4"/>
    </row>
    <row r="1738" spans="4:9" x14ac:dyDescent="0.25">
      <c r="D1738" s="4"/>
      <c r="E1738" s="4"/>
      <c r="H1738" s="4"/>
      <c r="I1738" s="4"/>
    </row>
    <row r="1739" spans="4:9" x14ac:dyDescent="0.25">
      <c r="D1739" s="4"/>
      <c r="E1739" s="4"/>
      <c r="H1739" s="4"/>
      <c r="I1739" s="4"/>
    </row>
    <row r="1740" spans="4:9" x14ac:dyDescent="0.25">
      <c r="D1740" s="4"/>
      <c r="E1740" s="4"/>
      <c r="H1740" s="4"/>
      <c r="I1740" s="4"/>
    </row>
    <row r="1741" spans="4:9" x14ac:dyDescent="0.25">
      <c r="D1741" s="4"/>
      <c r="E1741" s="4"/>
      <c r="H1741" s="4"/>
      <c r="I1741" s="4"/>
    </row>
    <row r="1742" spans="4:9" x14ac:dyDescent="0.25">
      <c r="D1742" s="4"/>
      <c r="E1742" s="4"/>
      <c r="H1742" s="4"/>
      <c r="I1742" s="4"/>
    </row>
    <row r="1743" spans="4:9" x14ac:dyDescent="0.25">
      <c r="D1743" s="4"/>
      <c r="E1743" s="4"/>
      <c r="H1743" s="4"/>
      <c r="I1743" s="4"/>
    </row>
    <row r="1744" spans="4:9" x14ac:dyDescent="0.25">
      <c r="D1744" s="4"/>
      <c r="E1744" s="4"/>
      <c r="H1744" s="4"/>
      <c r="I1744" s="4"/>
    </row>
    <row r="1745" spans="4:9" x14ac:dyDescent="0.25">
      <c r="D1745" s="4"/>
      <c r="E1745" s="4"/>
      <c r="H1745" s="4"/>
      <c r="I1745" s="4"/>
    </row>
    <row r="1746" spans="4:9" x14ac:dyDescent="0.25">
      <c r="D1746" s="4"/>
      <c r="E1746" s="4"/>
      <c r="H1746" s="4"/>
      <c r="I1746" s="4"/>
    </row>
    <row r="1747" spans="4:9" x14ac:dyDescent="0.25">
      <c r="D1747" s="4"/>
      <c r="E1747" s="4"/>
      <c r="H1747" s="4"/>
      <c r="I1747" s="4"/>
    </row>
    <row r="1748" spans="4:9" x14ac:dyDescent="0.25">
      <c r="D1748" s="4"/>
      <c r="E1748" s="4"/>
      <c r="H1748" s="4"/>
      <c r="I1748" s="4"/>
    </row>
    <row r="1749" spans="4:9" x14ac:dyDescent="0.25">
      <c r="D1749" s="4"/>
      <c r="E1749" s="4"/>
      <c r="H1749" s="4"/>
      <c r="I1749" s="4"/>
    </row>
    <row r="1750" spans="4:9" x14ac:dyDescent="0.25">
      <c r="D1750" s="4"/>
      <c r="E1750" s="4"/>
      <c r="H1750" s="4"/>
      <c r="I1750" s="4"/>
    </row>
    <row r="1751" spans="4:9" x14ac:dyDescent="0.25">
      <c r="D1751" s="4"/>
      <c r="E1751" s="4"/>
      <c r="H1751" s="4"/>
      <c r="I1751" s="4"/>
    </row>
    <row r="1752" spans="4:9" x14ac:dyDescent="0.25">
      <c r="D1752" s="4"/>
      <c r="E1752" s="4"/>
      <c r="H1752" s="4"/>
      <c r="I1752" s="4"/>
    </row>
    <row r="1753" spans="4:9" x14ac:dyDescent="0.25">
      <c r="D1753" s="4"/>
      <c r="E1753" s="4"/>
      <c r="H1753" s="4"/>
      <c r="I1753" s="4"/>
    </row>
    <row r="1754" spans="4:9" x14ac:dyDescent="0.25">
      <c r="D1754" s="4"/>
      <c r="E1754" s="4"/>
      <c r="H1754" s="4"/>
      <c r="I1754" s="4"/>
    </row>
    <row r="1755" spans="4:9" x14ac:dyDescent="0.25">
      <c r="D1755" s="4"/>
      <c r="E1755" s="4"/>
      <c r="H1755" s="4"/>
      <c r="I1755" s="4"/>
    </row>
    <row r="1756" spans="4:9" x14ac:dyDescent="0.25">
      <c r="D1756" s="4"/>
      <c r="E1756" s="4"/>
      <c r="H1756" s="4"/>
      <c r="I1756" s="4"/>
    </row>
    <row r="1757" spans="4:9" x14ac:dyDescent="0.25">
      <c r="D1757" s="4"/>
      <c r="E1757" s="4"/>
      <c r="H1757" s="4"/>
      <c r="I1757" s="4"/>
    </row>
    <row r="1758" spans="4:9" x14ac:dyDescent="0.25">
      <c r="D1758" s="4"/>
      <c r="E1758" s="4"/>
      <c r="H1758" s="4"/>
      <c r="I1758" s="4"/>
    </row>
    <row r="1759" spans="4:9" x14ac:dyDescent="0.25">
      <c r="D1759" s="4"/>
      <c r="E1759" s="4"/>
      <c r="H1759" s="4"/>
      <c r="I1759" s="4"/>
    </row>
    <row r="1760" spans="4:9" x14ac:dyDescent="0.25">
      <c r="D1760" s="4"/>
      <c r="E1760" s="4"/>
      <c r="H1760" s="4"/>
      <c r="I1760" s="4"/>
    </row>
    <row r="1761" spans="4:9" x14ac:dyDescent="0.25">
      <c r="D1761" s="4"/>
      <c r="E1761" s="4"/>
      <c r="H1761" s="4"/>
      <c r="I1761" s="4"/>
    </row>
    <row r="1762" spans="4:9" x14ac:dyDescent="0.25">
      <c r="D1762" s="4"/>
      <c r="E1762" s="4"/>
      <c r="H1762" s="4"/>
      <c r="I1762" s="4"/>
    </row>
    <row r="1763" spans="4:9" x14ac:dyDescent="0.25">
      <c r="D1763" s="4"/>
      <c r="E1763" s="4"/>
      <c r="H1763" s="4"/>
      <c r="I1763" s="4"/>
    </row>
    <row r="1764" spans="4:9" x14ac:dyDescent="0.25">
      <c r="D1764" s="4"/>
      <c r="E1764" s="4"/>
      <c r="H1764" s="4"/>
      <c r="I1764" s="4"/>
    </row>
    <row r="1765" spans="4:9" x14ac:dyDescent="0.25">
      <c r="D1765" s="4"/>
      <c r="E1765" s="4"/>
      <c r="H1765" s="4"/>
      <c r="I1765" s="4"/>
    </row>
    <row r="1766" spans="4:9" x14ac:dyDescent="0.25">
      <c r="D1766" s="4"/>
      <c r="E1766" s="4"/>
      <c r="H1766" s="4"/>
      <c r="I1766" s="4"/>
    </row>
    <row r="1767" spans="4:9" x14ac:dyDescent="0.25">
      <c r="D1767" s="4"/>
      <c r="E1767" s="4"/>
      <c r="H1767" s="4"/>
      <c r="I1767" s="4"/>
    </row>
    <row r="1768" spans="4:9" x14ac:dyDescent="0.25">
      <c r="D1768" s="4"/>
      <c r="E1768" s="4"/>
      <c r="H1768" s="4"/>
      <c r="I1768" s="4"/>
    </row>
    <row r="1769" spans="4:9" x14ac:dyDescent="0.25">
      <c r="D1769" s="4"/>
      <c r="E1769" s="4"/>
      <c r="H1769" s="4"/>
      <c r="I1769" s="4"/>
    </row>
    <row r="1770" spans="4:9" x14ac:dyDescent="0.25">
      <c r="D1770" s="4"/>
      <c r="E1770" s="4"/>
      <c r="H1770" s="4"/>
      <c r="I1770" s="4"/>
    </row>
    <row r="1771" spans="4:9" x14ac:dyDescent="0.25">
      <c r="D1771" s="4"/>
      <c r="E1771" s="4"/>
      <c r="H1771" s="4"/>
      <c r="I1771" s="4"/>
    </row>
    <row r="1772" spans="4:9" x14ac:dyDescent="0.25">
      <c r="D1772" s="4"/>
      <c r="E1772" s="4"/>
      <c r="H1772" s="4"/>
      <c r="I1772" s="4"/>
    </row>
    <row r="1773" spans="4:9" x14ac:dyDescent="0.25">
      <c r="D1773" s="4"/>
      <c r="E1773" s="4"/>
      <c r="H1773" s="4"/>
      <c r="I1773" s="4"/>
    </row>
    <row r="1774" spans="4:9" x14ac:dyDescent="0.25">
      <c r="D1774" s="4"/>
      <c r="E1774" s="4"/>
      <c r="H1774" s="4"/>
      <c r="I1774" s="4"/>
    </row>
    <row r="1775" spans="4:9" x14ac:dyDescent="0.25">
      <c r="D1775" s="4"/>
      <c r="E1775" s="4"/>
      <c r="H1775" s="4"/>
      <c r="I1775" s="4"/>
    </row>
    <row r="1776" spans="4:9" x14ac:dyDescent="0.25">
      <c r="D1776" s="4"/>
      <c r="E1776" s="4"/>
      <c r="H1776" s="4"/>
      <c r="I1776" s="4"/>
    </row>
    <row r="1777" spans="4:9" x14ac:dyDescent="0.25">
      <c r="D1777" s="4"/>
      <c r="E1777" s="4"/>
      <c r="H1777" s="4"/>
      <c r="I1777" s="4"/>
    </row>
    <row r="1778" spans="4:9" x14ac:dyDescent="0.25">
      <c r="D1778" s="4"/>
      <c r="E1778" s="4"/>
      <c r="H1778" s="4"/>
      <c r="I1778" s="4"/>
    </row>
    <row r="1779" spans="4:9" x14ac:dyDescent="0.25">
      <c r="D1779" s="4"/>
      <c r="E1779" s="4"/>
      <c r="H1779" s="4"/>
      <c r="I1779" s="4"/>
    </row>
    <row r="1780" spans="4:9" x14ac:dyDescent="0.25">
      <c r="D1780" s="4"/>
      <c r="E1780" s="4"/>
      <c r="H1780" s="4"/>
      <c r="I1780" s="4"/>
    </row>
    <row r="1781" spans="4:9" x14ac:dyDescent="0.25">
      <c r="D1781" s="4"/>
      <c r="E1781" s="4"/>
      <c r="H1781" s="4"/>
      <c r="I1781" s="4"/>
    </row>
    <row r="1782" spans="4:9" x14ac:dyDescent="0.25">
      <c r="D1782" s="4"/>
      <c r="E1782" s="4"/>
      <c r="H1782" s="4"/>
      <c r="I1782" s="4"/>
    </row>
    <row r="1783" spans="4:9" x14ac:dyDescent="0.25">
      <c r="D1783" s="4"/>
      <c r="E1783" s="4"/>
      <c r="H1783" s="4"/>
      <c r="I1783" s="4"/>
    </row>
    <row r="1784" spans="4:9" x14ac:dyDescent="0.25">
      <c r="D1784" s="4"/>
      <c r="E1784" s="4"/>
      <c r="H1784" s="4"/>
      <c r="I1784" s="4"/>
    </row>
    <row r="1785" spans="4:9" x14ac:dyDescent="0.25">
      <c r="D1785" s="4"/>
      <c r="E1785" s="4"/>
      <c r="H1785" s="4"/>
      <c r="I1785" s="4"/>
    </row>
    <row r="1786" spans="4:9" x14ac:dyDescent="0.25">
      <c r="D1786" s="4"/>
      <c r="E1786" s="4"/>
      <c r="H1786" s="4"/>
      <c r="I1786" s="4"/>
    </row>
    <row r="1787" spans="4:9" x14ac:dyDescent="0.25">
      <c r="D1787" s="4"/>
      <c r="E1787" s="4"/>
      <c r="H1787" s="4"/>
      <c r="I1787" s="4"/>
    </row>
    <row r="1788" spans="4:9" x14ac:dyDescent="0.25">
      <c r="D1788" s="4"/>
      <c r="E1788" s="4"/>
      <c r="H1788" s="4"/>
      <c r="I1788" s="4"/>
    </row>
    <row r="1789" spans="4:9" x14ac:dyDescent="0.25">
      <c r="D1789" s="4"/>
      <c r="E1789" s="4"/>
      <c r="H1789" s="4"/>
      <c r="I1789" s="4"/>
    </row>
    <row r="1790" spans="4:9" x14ac:dyDescent="0.25">
      <c r="D1790" s="4"/>
      <c r="E1790" s="4"/>
      <c r="H1790" s="4"/>
      <c r="I1790" s="4"/>
    </row>
    <row r="1791" spans="4:9" x14ac:dyDescent="0.25">
      <c r="D1791" s="4"/>
      <c r="E1791" s="4"/>
      <c r="H1791" s="4"/>
      <c r="I1791" s="4"/>
    </row>
    <row r="1792" spans="4:9" x14ac:dyDescent="0.25">
      <c r="D1792" s="4"/>
      <c r="E1792" s="4"/>
      <c r="H1792" s="4"/>
      <c r="I1792" s="4"/>
    </row>
    <row r="1793" spans="4:9" x14ac:dyDescent="0.25">
      <c r="D1793" s="4"/>
      <c r="E1793" s="4"/>
      <c r="H1793" s="4"/>
      <c r="I1793" s="4"/>
    </row>
    <row r="1794" spans="4:9" x14ac:dyDescent="0.25">
      <c r="D1794" s="4"/>
      <c r="E1794" s="4"/>
      <c r="H1794" s="4"/>
      <c r="I1794" s="4"/>
    </row>
    <row r="1795" spans="4:9" x14ac:dyDescent="0.25">
      <c r="D1795" s="4"/>
      <c r="E1795" s="4"/>
      <c r="H1795" s="4"/>
      <c r="I1795" s="4"/>
    </row>
    <row r="1796" spans="4:9" x14ac:dyDescent="0.25">
      <c r="D1796" s="4"/>
      <c r="E1796" s="4"/>
      <c r="H1796" s="4"/>
      <c r="I1796" s="4"/>
    </row>
    <row r="1797" spans="4:9" x14ac:dyDescent="0.25">
      <c r="D1797" s="4"/>
      <c r="E1797" s="4"/>
      <c r="H1797" s="4"/>
      <c r="I1797" s="4"/>
    </row>
    <row r="1798" spans="4:9" x14ac:dyDescent="0.25">
      <c r="D1798" s="4"/>
      <c r="E1798" s="4"/>
      <c r="H1798" s="4"/>
      <c r="I1798" s="4"/>
    </row>
    <row r="1799" spans="4:9" x14ac:dyDescent="0.25">
      <c r="D1799" s="4"/>
      <c r="E1799" s="4"/>
      <c r="H1799" s="4"/>
      <c r="I1799" s="4"/>
    </row>
    <row r="1800" spans="4:9" x14ac:dyDescent="0.25">
      <c r="D1800" s="4"/>
      <c r="E1800" s="4"/>
      <c r="H1800" s="4"/>
      <c r="I1800" s="4"/>
    </row>
    <row r="1801" spans="4:9" x14ac:dyDescent="0.25">
      <c r="D1801" s="4"/>
      <c r="E1801" s="4"/>
      <c r="H1801" s="4"/>
      <c r="I1801" s="4"/>
    </row>
    <row r="1802" spans="4:9" x14ac:dyDescent="0.25">
      <c r="D1802" s="4"/>
      <c r="E1802" s="4"/>
      <c r="H1802" s="4"/>
      <c r="I1802" s="4"/>
    </row>
    <row r="1803" spans="4:9" x14ac:dyDescent="0.25">
      <c r="D1803" s="4"/>
      <c r="E1803" s="4"/>
      <c r="H1803" s="4"/>
      <c r="I1803" s="4"/>
    </row>
    <row r="1804" spans="4:9" x14ac:dyDescent="0.25">
      <c r="D1804" s="4"/>
      <c r="E1804" s="4"/>
      <c r="H1804" s="4"/>
      <c r="I1804" s="4"/>
    </row>
    <row r="1805" spans="4:9" x14ac:dyDescent="0.25">
      <c r="D1805" s="4"/>
      <c r="E1805" s="4"/>
      <c r="H1805" s="4"/>
      <c r="I1805" s="4"/>
    </row>
    <row r="1806" spans="4:9" x14ac:dyDescent="0.25">
      <c r="D1806" s="4"/>
      <c r="E1806" s="4"/>
      <c r="H1806" s="4"/>
      <c r="I1806" s="4"/>
    </row>
    <row r="1807" spans="4:9" x14ac:dyDescent="0.25">
      <c r="D1807" s="4"/>
      <c r="E1807" s="4"/>
      <c r="H1807" s="4"/>
      <c r="I1807" s="4"/>
    </row>
    <row r="1808" spans="4:9" x14ac:dyDescent="0.25">
      <c r="D1808" s="4"/>
      <c r="E1808" s="4"/>
      <c r="H1808" s="4"/>
      <c r="I1808" s="4"/>
    </row>
    <row r="1809" spans="4:9" x14ac:dyDescent="0.25">
      <c r="D1809" s="4"/>
      <c r="E1809" s="4"/>
      <c r="H1809" s="4"/>
      <c r="I1809" s="4"/>
    </row>
    <row r="1810" spans="4:9" x14ac:dyDescent="0.25">
      <c r="D1810" s="4"/>
      <c r="E1810" s="4"/>
      <c r="H1810" s="4"/>
      <c r="I1810" s="4"/>
    </row>
    <row r="1811" spans="4:9" x14ac:dyDescent="0.25">
      <c r="D1811" s="4"/>
      <c r="E1811" s="4"/>
      <c r="H1811" s="4"/>
      <c r="I1811" s="4"/>
    </row>
    <row r="1812" spans="4:9" x14ac:dyDescent="0.25">
      <c r="D1812" s="4"/>
      <c r="E1812" s="4"/>
      <c r="H1812" s="4"/>
      <c r="I1812" s="4"/>
    </row>
    <row r="1813" spans="4:9" x14ac:dyDescent="0.25">
      <c r="D1813" s="4"/>
      <c r="E1813" s="4"/>
      <c r="H1813" s="4"/>
      <c r="I1813" s="4"/>
    </row>
    <row r="1814" spans="4:9" x14ac:dyDescent="0.25">
      <c r="D1814" s="4"/>
      <c r="E1814" s="4"/>
      <c r="H1814" s="4"/>
      <c r="I1814" s="4"/>
    </row>
    <row r="1815" spans="4:9" x14ac:dyDescent="0.25">
      <c r="D1815" s="4"/>
      <c r="E1815" s="4"/>
      <c r="H1815" s="4"/>
      <c r="I1815" s="4"/>
    </row>
    <row r="1816" spans="4:9" x14ac:dyDescent="0.25">
      <c r="D1816" s="4"/>
      <c r="E1816" s="4"/>
      <c r="H1816" s="4"/>
      <c r="I1816" s="4"/>
    </row>
    <row r="1817" spans="4:9" x14ac:dyDescent="0.25">
      <c r="D1817" s="4"/>
      <c r="E1817" s="4"/>
      <c r="H1817" s="4"/>
      <c r="I1817" s="4"/>
    </row>
    <row r="1818" spans="4:9" x14ac:dyDescent="0.25">
      <c r="D1818" s="4"/>
      <c r="E1818" s="4"/>
      <c r="H1818" s="4"/>
      <c r="I1818" s="4"/>
    </row>
    <row r="1819" spans="4:9" x14ac:dyDescent="0.25">
      <c r="D1819" s="4"/>
      <c r="E1819" s="4"/>
      <c r="H1819" s="4"/>
      <c r="I1819" s="4"/>
    </row>
    <row r="1820" spans="4:9" x14ac:dyDescent="0.25">
      <c r="D1820" s="4"/>
      <c r="E1820" s="4"/>
      <c r="H1820" s="4"/>
      <c r="I1820" s="4"/>
    </row>
    <row r="1821" spans="4:9" x14ac:dyDescent="0.25">
      <c r="D1821" s="4"/>
      <c r="E1821" s="4"/>
      <c r="H1821" s="4"/>
      <c r="I1821" s="4"/>
    </row>
    <row r="1822" spans="4:9" x14ac:dyDescent="0.25">
      <c r="D1822" s="4"/>
      <c r="E1822" s="4"/>
      <c r="H1822" s="4"/>
      <c r="I1822" s="4"/>
    </row>
    <row r="1823" spans="4:9" x14ac:dyDescent="0.25">
      <c r="D1823" s="4"/>
      <c r="E1823" s="4"/>
      <c r="H1823" s="4"/>
      <c r="I1823" s="4"/>
    </row>
    <row r="1824" spans="4:9" x14ac:dyDescent="0.25">
      <c r="D1824" s="4"/>
      <c r="E1824" s="4"/>
      <c r="H1824" s="4"/>
      <c r="I1824" s="4"/>
    </row>
    <row r="1825" spans="4:9" x14ac:dyDescent="0.25">
      <c r="D1825" s="4"/>
      <c r="E1825" s="4"/>
      <c r="H1825" s="4"/>
      <c r="I1825" s="4"/>
    </row>
    <row r="1826" spans="4:9" x14ac:dyDescent="0.25">
      <c r="D1826" s="4"/>
      <c r="E1826" s="4"/>
      <c r="H1826" s="4"/>
      <c r="I1826" s="4"/>
    </row>
    <row r="1827" spans="4:9" x14ac:dyDescent="0.25">
      <c r="D1827" s="4"/>
      <c r="E1827" s="4"/>
      <c r="H1827" s="4"/>
      <c r="I1827" s="4"/>
    </row>
    <row r="1828" spans="4:9" x14ac:dyDescent="0.25">
      <c r="D1828" s="4"/>
      <c r="E1828" s="4"/>
      <c r="H1828" s="4"/>
      <c r="I1828" s="4"/>
    </row>
    <row r="1829" spans="4:9" x14ac:dyDescent="0.25">
      <c r="D1829" s="4"/>
      <c r="E1829" s="4"/>
      <c r="H1829" s="4"/>
      <c r="I1829" s="4"/>
    </row>
    <row r="1830" spans="4:9" x14ac:dyDescent="0.25">
      <c r="D1830" s="4"/>
      <c r="E1830" s="4"/>
      <c r="H1830" s="4"/>
      <c r="I1830" s="4"/>
    </row>
    <row r="1831" spans="4:9" x14ac:dyDescent="0.25">
      <c r="D1831" s="4"/>
      <c r="E1831" s="4"/>
      <c r="H1831" s="4"/>
      <c r="I1831" s="4"/>
    </row>
    <row r="1832" spans="4:9" x14ac:dyDescent="0.25">
      <c r="D1832" s="4"/>
      <c r="E1832" s="4"/>
      <c r="H1832" s="4"/>
      <c r="I1832" s="4"/>
    </row>
    <row r="1833" spans="4:9" x14ac:dyDescent="0.25">
      <c r="D1833" s="4"/>
      <c r="E1833" s="4"/>
      <c r="H1833" s="4"/>
      <c r="I1833" s="4"/>
    </row>
    <row r="1834" spans="4:9" x14ac:dyDescent="0.25">
      <c r="D1834" s="4"/>
      <c r="E1834" s="4"/>
      <c r="H1834" s="4"/>
      <c r="I1834" s="4"/>
    </row>
    <row r="1835" spans="4:9" x14ac:dyDescent="0.25">
      <c r="D1835" s="4"/>
      <c r="E1835" s="4"/>
      <c r="H1835" s="4"/>
      <c r="I1835" s="4"/>
    </row>
    <row r="1836" spans="4:9" x14ac:dyDescent="0.25">
      <c r="D1836" s="4"/>
      <c r="E1836" s="4"/>
      <c r="H1836" s="4"/>
      <c r="I1836" s="4"/>
    </row>
    <row r="1837" spans="4:9" x14ac:dyDescent="0.25">
      <c r="D1837" s="4"/>
      <c r="E1837" s="4"/>
      <c r="H1837" s="4"/>
      <c r="I1837" s="4"/>
    </row>
    <row r="1838" spans="4:9" x14ac:dyDescent="0.25">
      <c r="D1838" s="4"/>
      <c r="E1838" s="4"/>
      <c r="H1838" s="4"/>
      <c r="I1838" s="4"/>
    </row>
    <row r="1839" spans="4:9" x14ac:dyDescent="0.25">
      <c r="D1839" s="4"/>
      <c r="E1839" s="4"/>
      <c r="H1839" s="4"/>
      <c r="I1839" s="4"/>
    </row>
    <row r="1840" spans="4:9" x14ac:dyDescent="0.25">
      <c r="D1840" s="4"/>
      <c r="E1840" s="4"/>
      <c r="H1840" s="4"/>
      <c r="I1840" s="4"/>
    </row>
    <row r="1841" spans="4:9" x14ac:dyDescent="0.25">
      <c r="D1841" s="4"/>
      <c r="E1841" s="4"/>
      <c r="H1841" s="4"/>
      <c r="I1841" s="4"/>
    </row>
    <row r="1842" spans="4:9" x14ac:dyDescent="0.25">
      <c r="D1842" s="4"/>
      <c r="E1842" s="4"/>
      <c r="H1842" s="4"/>
      <c r="I1842" s="4"/>
    </row>
    <row r="1843" spans="4:9" x14ac:dyDescent="0.25">
      <c r="D1843" s="4"/>
      <c r="E1843" s="4"/>
      <c r="H1843" s="4"/>
      <c r="I1843" s="4"/>
    </row>
    <row r="1844" spans="4:9" x14ac:dyDescent="0.25">
      <c r="D1844" s="4"/>
      <c r="E1844" s="4"/>
      <c r="H1844" s="4"/>
      <c r="I1844" s="4"/>
    </row>
    <row r="1845" spans="4:9" x14ac:dyDescent="0.25">
      <c r="D1845" s="4"/>
      <c r="E1845" s="4"/>
      <c r="H1845" s="4"/>
      <c r="I1845" s="4"/>
    </row>
    <row r="1846" spans="4:9" x14ac:dyDescent="0.25">
      <c r="D1846" s="4"/>
      <c r="E1846" s="4"/>
      <c r="H1846" s="4"/>
      <c r="I1846" s="4"/>
    </row>
    <row r="1847" spans="4:9" x14ac:dyDescent="0.25">
      <c r="D1847" s="4"/>
      <c r="E1847" s="4"/>
      <c r="H1847" s="4"/>
      <c r="I1847" s="4"/>
    </row>
    <row r="1848" spans="4:9" x14ac:dyDescent="0.25">
      <c r="D1848" s="4"/>
      <c r="E1848" s="4"/>
      <c r="H1848" s="4"/>
      <c r="I1848" s="4"/>
    </row>
    <row r="1849" spans="4:9" x14ac:dyDescent="0.25">
      <c r="D1849" s="4"/>
      <c r="E1849" s="4"/>
      <c r="H1849" s="4"/>
      <c r="I1849" s="4"/>
    </row>
    <row r="1850" spans="4:9" x14ac:dyDescent="0.25">
      <c r="D1850" s="4"/>
      <c r="E1850" s="4"/>
      <c r="H1850" s="4"/>
      <c r="I1850" s="4"/>
    </row>
    <row r="1851" spans="4:9" x14ac:dyDescent="0.25">
      <c r="D1851" s="4"/>
      <c r="E1851" s="4"/>
      <c r="H1851" s="4"/>
      <c r="I1851" s="4"/>
    </row>
    <row r="1852" spans="4:9" x14ac:dyDescent="0.25">
      <c r="D1852" s="4"/>
      <c r="E1852" s="4"/>
      <c r="H1852" s="4"/>
      <c r="I1852" s="4"/>
    </row>
    <row r="1853" spans="4:9" x14ac:dyDescent="0.25">
      <c r="D1853" s="4"/>
      <c r="E1853" s="4"/>
      <c r="H1853" s="4"/>
      <c r="I1853" s="4"/>
    </row>
    <row r="1854" spans="4:9" x14ac:dyDescent="0.25">
      <c r="D1854" s="4"/>
      <c r="E1854" s="4"/>
      <c r="H1854" s="4"/>
      <c r="I1854" s="4"/>
    </row>
    <row r="1855" spans="4:9" x14ac:dyDescent="0.25">
      <c r="D1855" s="4"/>
      <c r="E1855" s="4"/>
      <c r="H1855" s="4"/>
      <c r="I1855" s="4"/>
    </row>
    <row r="1856" spans="4:9" x14ac:dyDescent="0.25">
      <c r="D1856" s="4"/>
      <c r="E1856" s="4"/>
      <c r="H1856" s="4"/>
      <c r="I1856" s="4"/>
    </row>
    <row r="1857" spans="4:9" x14ac:dyDescent="0.25">
      <c r="D1857" s="4"/>
      <c r="E1857" s="4"/>
      <c r="H1857" s="4"/>
      <c r="I1857" s="4"/>
    </row>
    <row r="1858" spans="4:9" x14ac:dyDescent="0.25">
      <c r="D1858" s="4"/>
      <c r="E1858" s="4"/>
      <c r="H1858" s="4"/>
      <c r="I1858" s="4"/>
    </row>
    <row r="1859" spans="4:9" x14ac:dyDescent="0.25">
      <c r="D1859" s="4"/>
      <c r="E1859" s="4"/>
      <c r="H1859" s="4"/>
      <c r="I1859" s="4"/>
    </row>
    <row r="1860" spans="4:9" x14ac:dyDescent="0.25">
      <c r="D1860" s="4"/>
      <c r="E1860" s="4"/>
      <c r="H1860" s="4"/>
      <c r="I1860" s="4"/>
    </row>
    <row r="1861" spans="4:9" x14ac:dyDescent="0.25">
      <c r="D1861" s="4"/>
      <c r="E1861" s="4"/>
      <c r="H1861" s="4"/>
      <c r="I1861" s="4"/>
    </row>
    <row r="1862" spans="4:9" x14ac:dyDescent="0.25">
      <c r="D1862" s="4"/>
      <c r="E1862" s="4"/>
      <c r="H1862" s="4"/>
      <c r="I1862" s="4"/>
    </row>
    <row r="1863" spans="4:9" x14ac:dyDescent="0.25">
      <c r="D1863" s="4"/>
      <c r="E1863" s="4"/>
      <c r="H1863" s="4"/>
      <c r="I1863" s="4"/>
    </row>
    <row r="1864" spans="4:9" x14ac:dyDescent="0.25">
      <c r="D1864" s="4"/>
      <c r="E1864" s="4"/>
      <c r="H1864" s="4"/>
      <c r="I1864" s="4"/>
    </row>
    <row r="1865" spans="4:9" x14ac:dyDescent="0.25">
      <c r="D1865" s="4"/>
      <c r="E1865" s="4"/>
      <c r="H1865" s="4"/>
      <c r="I1865" s="4"/>
    </row>
    <row r="1866" spans="4:9" x14ac:dyDescent="0.25">
      <c r="D1866" s="4"/>
      <c r="E1866" s="4"/>
      <c r="H1866" s="4"/>
      <c r="I1866" s="4"/>
    </row>
    <row r="1867" spans="4:9" x14ac:dyDescent="0.25">
      <c r="D1867" s="4"/>
      <c r="E1867" s="4"/>
      <c r="H1867" s="4"/>
      <c r="I1867" s="4"/>
    </row>
    <row r="1868" spans="4:9" x14ac:dyDescent="0.25">
      <c r="D1868" s="4"/>
      <c r="E1868" s="4"/>
      <c r="H1868" s="4"/>
      <c r="I1868" s="4"/>
    </row>
    <row r="1869" spans="4:9" x14ac:dyDescent="0.25">
      <c r="D1869" s="4"/>
      <c r="E1869" s="4"/>
      <c r="H1869" s="4"/>
      <c r="I1869" s="4"/>
    </row>
    <row r="1870" spans="4:9" x14ac:dyDescent="0.25">
      <c r="D1870" s="4"/>
      <c r="E1870" s="4"/>
      <c r="H1870" s="4"/>
      <c r="I1870" s="4"/>
    </row>
    <row r="1871" spans="4:9" x14ac:dyDescent="0.25">
      <c r="D1871" s="4"/>
      <c r="E1871" s="4"/>
      <c r="H1871" s="4"/>
      <c r="I1871" s="4"/>
    </row>
    <row r="1872" spans="4:9" x14ac:dyDescent="0.25">
      <c r="D1872" s="4"/>
      <c r="E1872" s="4"/>
      <c r="H1872" s="4"/>
      <c r="I1872" s="4"/>
    </row>
    <row r="1873" spans="4:9" x14ac:dyDescent="0.25">
      <c r="D1873" s="4"/>
      <c r="E1873" s="4"/>
      <c r="H1873" s="4"/>
      <c r="I1873" s="4"/>
    </row>
    <row r="1874" spans="4:9" x14ac:dyDescent="0.25">
      <c r="D1874" s="4"/>
      <c r="E1874" s="4"/>
      <c r="H1874" s="4"/>
      <c r="I1874" s="4"/>
    </row>
    <row r="1875" spans="4:9" x14ac:dyDescent="0.25">
      <c r="D1875" s="4"/>
      <c r="E1875" s="4"/>
      <c r="H1875" s="4"/>
      <c r="I1875" s="4"/>
    </row>
    <row r="1876" spans="4:9" x14ac:dyDescent="0.25">
      <c r="D1876" s="4"/>
      <c r="E1876" s="4"/>
      <c r="H1876" s="4"/>
      <c r="I1876" s="4"/>
    </row>
    <row r="1877" spans="4:9" x14ac:dyDescent="0.25">
      <c r="D1877" s="4"/>
      <c r="E1877" s="4"/>
      <c r="H1877" s="4"/>
      <c r="I1877" s="4"/>
    </row>
    <row r="1878" spans="4:9" x14ac:dyDescent="0.25">
      <c r="D1878" s="4"/>
      <c r="E1878" s="4"/>
      <c r="H1878" s="4"/>
      <c r="I1878" s="4"/>
    </row>
    <row r="1879" spans="4:9" x14ac:dyDescent="0.25">
      <c r="D1879" s="4"/>
      <c r="E1879" s="4"/>
      <c r="H1879" s="4"/>
      <c r="I1879" s="4"/>
    </row>
    <row r="1880" spans="4:9" x14ac:dyDescent="0.25">
      <c r="D1880" s="4"/>
      <c r="E1880" s="4"/>
      <c r="H1880" s="4"/>
      <c r="I1880" s="4"/>
    </row>
    <row r="1881" spans="4:9" x14ac:dyDescent="0.25">
      <c r="D1881" s="4"/>
      <c r="E1881" s="4"/>
      <c r="H1881" s="4"/>
      <c r="I1881" s="4"/>
    </row>
    <row r="1882" spans="4:9" x14ac:dyDescent="0.25">
      <c r="D1882" s="4"/>
      <c r="E1882" s="4"/>
      <c r="H1882" s="4"/>
      <c r="I1882" s="4"/>
    </row>
    <row r="1883" spans="4:9" x14ac:dyDescent="0.25">
      <c r="D1883" s="4"/>
      <c r="E1883" s="4"/>
      <c r="H1883" s="4"/>
      <c r="I1883" s="4"/>
    </row>
    <row r="1884" spans="4:9" x14ac:dyDescent="0.25">
      <c r="D1884" s="4"/>
      <c r="E1884" s="4"/>
      <c r="H1884" s="4"/>
      <c r="I1884" s="4"/>
    </row>
    <row r="1885" spans="4:9" x14ac:dyDescent="0.25">
      <c r="D1885" s="4"/>
      <c r="E1885" s="4"/>
      <c r="H1885" s="4"/>
      <c r="I1885" s="4"/>
    </row>
    <row r="1886" spans="4:9" x14ac:dyDescent="0.25">
      <c r="D1886" s="4"/>
      <c r="E1886" s="4"/>
      <c r="H1886" s="4"/>
      <c r="I1886" s="4"/>
    </row>
    <row r="1887" spans="4:9" x14ac:dyDescent="0.25">
      <c r="D1887" s="4"/>
      <c r="E1887" s="4"/>
      <c r="H1887" s="4"/>
      <c r="I1887" s="4"/>
    </row>
    <row r="1888" spans="4:9" x14ac:dyDescent="0.25">
      <c r="D1888" s="4"/>
      <c r="E1888" s="4"/>
      <c r="H1888" s="4"/>
      <c r="I1888" s="4"/>
    </row>
    <row r="1889" spans="4:9" x14ac:dyDescent="0.25">
      <c r="D1889" s="4"/>
      <c r="E1889" s="4"/>
      <c r="H1889" s="4"/>
      <c r="I1889" s="4"/>
    </row>
    <row r="1890" spans="4:9" x14ac:dyDescent="0.25">
      <c r="D1890" s="4"/>
      <c r="E1890" s="4"/>
      <c r="H1890" s="4"/>
      <c r="I1890" s="4"/>
    </row>
    <row r="1891" spans="4:9" x14ac:dyDescent="0.25">
      <c r="D1891" s="4"/>
      <c r="E1891" s="4"/>
      <c r="H1891" s="4"/>
      <c r="I1891" s="4"/>
    </row>
    <row r="1892" spans="4:9" x14ac:dyDescent="0.25">
      <c r="D1892" s="4"/>
      <c r="E1892" s="4"/>
      <c r="H1892" s="4"/>
      <c r="I1892" s="4"/>
    </row>
    <row r="1893" spans="4:9" x14ac:dyDescent="0.25">
      <c r="D1893" s="4"/>
      <c r="E1893" s="4"/>
      <c r="H1893" s="4"/>
      <c r="I1893" s="4"/>
    </row>
    <row r="1894" spans="4:9" x14ac:dyDescent="0.25">
      <c r="D1894" s="4"/>
      <c r="E1894" s="4"/>
      <c r="H1894" s="4"/>
      <c r="I1894" s="4"/>
    </row>
    <row r="1895" spans="4:9" x14ac:dyDescent="0.25">
      <c r="D1895" s="4"/>
      <c r="E1895" s="4"/>
      <c r="H1895" s="4"/>
      <c r="I1895" s="4"/>
    </row>
    <row r="1896" spans="4:9" x14ac:dyDescent="0.25">
      <c r="D1896" s="4"/>
      <c r="E1896" s="4"/>
      <c r="H1896" s="4"/>
      <c r="I1896" s="4"/>
    </row>
    <row r="1897" spans="4:9" x14ac:dyDescent="0.25">
      <c r="D1897" s="4"/>
      <c r="E1897" s="4"/>
      <c r="H1897" s="4"/>
      <c r="I1897" s="4"/>
    </row>
    <row r="1898" spans="4:9" x14ac:dyDescent="0.25">
      <c r="D1898" s="4"/>
      <c r="E1898" s="4"/>
      <c r="H1898" s="4"/>
      <c r="I1898" s="4"/>
    </row>
    <row r="1899" spans="4:9" x14ac:dyDescent="0.25">
      <c r="D1899" s="4"/>
      <c r="E1899" s="4"/>
      <c r="H1899" s="4"/>
      <c r="I1899" s="4"/>
    </row>
    <row r="1900" spans="4:9" x14ac:dyDescent="0.25">
      <c r="D1900" s="4"/>
      <c r="E1900" s="4"/>
      <c r="H1900" s="4"/>
      <c r="I1900" s="4"/>
    </row>
    <row r="1901" spans="4:9" x14ac:dyDescent="0.25">
      <c r="D1901" s="4"/>
      <c r="E1901" s="4"/>
      <c r="H1901" s="4"/>
      <c r="I1901" s="4"/>
    </row>
    <row r="1902" spans="4:9" x14ac:dyDescent="0.25">
      <c r="D1902" s="4"/>
      <c r="E1902" s="4"/>
      <c r="H1902" s="4"/>
      <c r="I1902" s="4"/>
    </row>
    <row r="1903" spans="4:9" x14ac:dyDescent="0.25">
      <c r="D1903" s="4"/>
      <c r="E1903" s="4"/>
      <c r="H1903" s="4"/>
      <c r="I1903" s="4"/>
    </row>
    <row r="1904" spans="4:9" x14ac:dyDescent="0.25">
      <c r="D1904" s="4"/>
      <c r="E1904" s="4"/>
      <c r="H1904" s="4"/>
      <c r="I1904" s="4"/>
    </row>
    <row r="1905" spans="4:9" x14ac:dyDescent="0.25">
      <c r="D1905" s="4"/>
      <c r="E1905" s="4"/>
      <c r="H1905" s="4"/>
      <c r="I1905" s="4"/>
    </row>
    <row r="1906" spans="4:9" x14ac:dyDescent="0.25">
      <c r="D1906" s="4"/>
      <c r="E1906" s="4"/>
      <c r="H1906" s="4"/>
      <c r="I1906" s="4"/>
    </row>
    <row r="1907" spans="4:9" x14ac:dyDescent="0.25">
      <c r="D1907" s="4"/>
      <c r="E1907" s="4"/>
      <c r="H1907" s="4"/>
      <c r="I1907" s="4"/>
    </row>
    <row r="1908" spans="4:9" x14ac:dyDescent="0.25">
      <c r="D1908" s="4"/>
      <c r="E1908" s="4"/>
      <c r="H1908" s="4"/>
      <c r="I1908" s="4"/>
    </row>
    <row r="1909" spans="4:9" x14ac:dyDescent="0.25">
      <c r="D1909" s="4"/>
      <c r="E1909" s="4"/>
      <c r="H1909" s="4"/>
      <c r="I1909" s="4"/>
    </row>
    <row r="1910" spans="4:9" x14ac:dyDescent="0.25">
      <c r="D1910" s="4"/>
      <c r="E1910" s="4"/>
      <c r="H1910" s="4"/>
      <c r="I1910" s="4"/>
    </row>
    <row r="1911" spans="4:9" x14ac:dyDescent="0.25">
      <c r="D1911" s="4"/>
      <c r="E1911" s="4"/>
      <c r="H1911" s="4"/>
      <c r="I1911" s="4"/>
    </row>
    <row r="1912" spans="4:9" x14ac:dyDescent="0.25">
      <c r="D1912" s="4"/>
      <c r="E1912" s="4"/>
      <c r="H1912" s="4"/>
      <c r="I1912" s="4"/>
    </row>
    <row r="1913" spans="4:9" x14ac:dyDescent="0.25">
      <c r="D1913" s="4"/>
      <c r="E1913" s="4"/>
      <c r="H1913" s="4"/>
      <c r="I1913" s="4"/>
    </row>
    <row r="1914" spans="4:9" x14ac:dyDescent="0.25">
      <c r="D1914" s="4"/>
      <c r="E1914" s="4"/>
      <c r="H1914" s="4"/>
      <c r="I1914" s="4"/>
    </row>
    <row r="1915" spans="4:9" x14ac:dyDescent="0.25">
      <c r="D1915" s="4"/>
      <c r="E1915" s="4"/>
      <c r="H1915" s="4"/>
      <c r="I1915" s="4"/>
    </row>
    <row r="1916" spans="4:9" x14ac:dyDescent="0.25">
      <c r="D1916" s="4"/>
      <c r="E1916" s="4"/>
      <c r="H1916" s="4"/>
      <c r="I1916" s="4"/>
    </row>
    <row r="1917" spans="4:9" x14ac:dyDescent="0.25">
      <c r="D1917" s="4"/>
      <c r="E1917" s="4"/>
      <c r="H1917" s="4"/>
      <c r="I1917" s="4"/>
    </row>
    <row r="1918" spans="4:9" x14ac:dyDescent="0.25">
      <c r="D1918" s="4"/>
      <c r="E1918" s="4"/>
      <c r="H1918" s="4"/>
      <c r="I1918" s="4"/>
    </row>
    <row r="1919" spans="4:9" x14ac:dyDescent="0.25">
      <c r="D1919" s="4"/>
      <c r="E1919" s="4"/>
      <c r="H1919" s="4"/>
      <c r="I1919" s="4"/>
    </row>
    <row r="1920" spans="4:9" x14ac:dyDescent="0.25">
      <c r="D1920" s="4"/>
      <c r="E1920" s="4"/>
      <c r="H1920" s="4"/>
      <c r="I1920" s="4"/>
    </row>
    <row r="1921" spans="4:9" x14ac:dyDescent="0.25">
      <c r="D1921" s="4"/>
      <c r="E1921" s="4"/>
      <c r="H1921" s="4"/>
      <c r="I1921" s="4"/>
    </row>
    <row r="1922" spans="4:9" x14ac:dyDescent="0.25">
      <c r="D1922" s="4"/>
      <c r="E1922" s="4"/>
      <c r="H1922" s="4"/>
      <c r="I1922" s="4"/>
    </row>
    <row r="1923" spans="4:9" x14ac:dyDescent="0.25">
      <c r="D1923" s="4"/>
      <c r="E1923" s="4"/>
      <c r="H1923" s="4"/>
      <c r="I1923" s="4"/>
    </row>
    <row r="1924" spans="4:9" x14ac:dyDescent="0.25">
      <c r="D1924" s="4"/>
      <c r="E1924" s="4"/>
      <c r="H1924" s="4"/>
      <c r="I1924" s="4"/>
    </row>
    <row r="1925" spans="4:9" x14ac:dyDescent="0.25">
      <c r="D1925" s="4"/>
      <c r="E1925" s="4"/>
      <c r="H1925" s="4"/>
      <c r="I1925" s="4"/>
    </row>
    <row r="1926" spans="4:9" x14ac:dyDescent="0.25">
      <c r="D1926" s="4"/>
      <c r="E1926" s="4"/>
      <c r="H1926" s="4"/>
      <c r="I1926" s="4"/>
    </row>
    <row r="1927" spans="4:9" x14ac:dyDescent="0.25">
      <c r="D1927" s="4"/>
      <c r="E1927" s="4"/>
      <c r="H1927" s="4"/>
      <c r="I1927" s="4"/>
    </row>
    <row r="1928" spans="4:9" x14ac:dyDescent="0.25">
      <c r="D1928" s="4"/>
      <c r="E1928" s="4"/>
      <c r="H1928" s="4"/>
      <c r="I1928" s="4"/>
    </row>
    <row r="1929" spans="4:9" x14ac:dyDescent="0.25">
      <c r="D1929" s="4"/>
      <c r="E1929" s="4"/>
      <c r="H1929" s="4"/>
      <c r="I1929" s="4"/>
    </row>
    <row r="1930" spans="4:9" x14ac:dyDescent="0.25">
      <c r="D1930" s="4"/>
      <c r="E1930" s="4"/>
      <c r="H1930" s="4"/>
      <c r="I1930" s="4"/>
    </row>
    <row r="1931" spans="4:9" x14ac:dyDescent="0.25">
      <c r="D1931" s="4"/>
      <c r="E1931" s="4"/>
      <c r="H1931" s="4"/>
      <c r="I1931" s="4"/>
    </row>
    <row r="1932" spans="4:9" x14ac:dyDescent="0.25">
      <c r="D1932" s="4"/>
      <c r="E1932" s="4"/>
      <c r="H1932" s="4"/>
      <c r="I1932" s="4"/>
    </row>
    <row r="1933" spans="4:9" x14ac:dyDescent="0.25">
      <c r="D1933" s="4"/>
      <c r="E1933" s="4"/>
      <c r="H1933" s="4"/>
      <c r="I1933" s="4"/>
    </row>
    <row r="1934" spans="4:9" x14ac:dyDescent="0.25">
      <c r="D1934" s="4"/>
      <c r="E1934" s="4"/>
      <c r="H1934" s="4"/>
      <c r="I1934" s="4"/>
    </row>
    <row r="1935" spans="4:9" x14ac:dyDescent="0.25">
      <c r="D1935" s="4"/>
      <c r="E1935" s="4"/>
      <c r="H1935" s="4"/>
      <c r="I1935" s="4"/>
    </row>
    <row r="1936" spans="4:9" x14ac:dyDescent="0.25">
      <c r="D1936" s="4"/>
      <c r="E1936" s="4"/>
      <c r="H1936" s="4"/>
      <c r="I1936" s="4"/>
    </row>
    <row r="1937" spans="4:9" x14ac:dyDescent="0.25">
      <c r="D1937" s="4"/>
      <c r="E1937" s="4"/>
      <c r="H1937" s="4"/>
      <c r="I1937" s="4"/>
    </row>
    <row r="1938" spans="4:9" x14ac:dyDescent="0.25">
      <c r="D1938" s="4"/>
      <c r="E1938" s="4"/>
      <c r="H1938" s="4"/>
      <c r="I1938" s="4"/>
    </row>
    <row r="1939" spans="4:9" x14ac:dyDescent="0.25">
      <c r="D1939" s="4"/>
      <c r="E1939" s="4"/>
      <c r="H1939" s="4"/>
      <c r="I1939" s="4"/>
    </row>
    <row r="1940" spans="4:9" x14ac:dyDescent="0.25">
      <c r="D1940" s="4"/>
      <c r="E1940" s="4"/>
      <c r="H1940" s="4"/>
      <c r="I1940" s="4"/>
    </row>
    <row r="1941" spans="4:9" x14ac:dyDescent="0.25">
      <c r="D1941" s="4"/>
      <c r="E1941" s="4"/>
      <c r="H1941" s="4"/>
      <c r="I1941" s="4"/>
    </row>
    <row r="1942" spans="4:9" x14ac:dyDescent="0.25">
      <c r="D1942" s="4"/>
      <c r="E1942" s="4"/>
      <c r="H1942" s="4"/>
      <c r="I1942" s="4"/>
    </row>
    <row r="1943" spans="4:9" x14ac:dyDescent="0.25">
      <c r="D1943" s="4"/>
      <c r="E1943" s="4"/>
      <c r="H1943" s="4"/>
      <c r="I1943" s="4"/>
    </row>
    <row r="1944" spans="4:9" x14ac:dyDescent="0.25">
      <c r="D1944" s="4"/>
      <c r="E1944" s="4"/>
      <c r="H1944" s="4"/>
      <c r="I1944" s="4"/>
    </row>
    <row r="1945" spans="4:9" x14ac:dyDescent="0.25">
      <c r="D1945" s="4"/>
      <c r="E1945" s="4"/>
      <c r="H1945" s="4"/>
      <c r="I1945" s="4"/>
    </row>
    <row r="1946" spans="4:9" x14ac:dyDescent="0.25">
      <c r="D1946" s="4"/>
      <c r="E1946" s="4"/>
      <c r="H1946" s="4"/>
      <c r="I1946" s="4"/>
    </row>
    <row r="1947" spans="4:9" x14ac:dyDescent="0.25">
      <c r="D1947" s="4"/>
      <c r="E1947" s="4"/>
      <c r="H1947" s="4"/>
      <c r="I1947" s="4"/>
    </row>
    <row r="1948" spans="4:9" x14ac:dyDescent="0.25">
      <c r="D1948" s="4"/>
      <c r="E1948" s="4"/>
      <c r="H1948" s="4"/>
      <c r="I1948" s="4"/>
    </row>
    <row r="1949" spans="4:9" x14ac:dyDescent="0.25">
      <c r="D1949" s="4"/>
      <c r="E1949" s="4"/>
      <c r="H1949" s="4"/>
      <c r="I1949" s="4"/>
    </row>
    <row r="1950" spans="4:9" x14ac:dyDescent="0.25">
      <c r="D1950" s="4"/>
      <c r="E1950" s="4"/>
      <c r="H1950" s="4"/>
      <c r="I1950" s="4"/>
    </row>
    <row r="1951" spans="4:9" x14ac:dyDescent="0.25">
      <c r="D1951" s="4"/>
      <c r="E1951" s="4"/>
      <c r="H1951" s="4"/>
      <c r="I1951" s="4"/>
    </row>
    <row r="1952" spans="4:9" x14ac:dyDescent="0.25">
      <c r="D1952" s="4"/>
      <c r="E1952" s="4"/>
      <c r="H1952" s="4"/>
      <c r="I1952" s="4"/>
    </row>
    <row r="1953" spans="4:9" x14ac:dyDescent="0.25">
      <c r="D1953" s="4"/>
      <c r="E1953" s="4"/>
      <c r="H1953" s="4"/>
      <c r="I1953" s="4"/>
    </row>
    <row r="1954" spans="4:9" x14ac:dyDescent="0.25">
      <c r="D1954" s="4"/>
      <c r="E1954" s="4"/>
      <c r="H1954" s="4"/>
      <c r="I1954" s="4"/>
    </row>
    <row r="1955" spans="4:9" x14ac:dyDescent="0.25">
      <c r="D1955" s="4"/>
      <c r="E1955" s="4"/>
      <c r="H1955" s="4"/>
      <c r="I1955" s="4"/>
    </row>
    <row r="1956" spans="4:9" x14ac:dyDescent="0.25">
      <c r="D1956" s="4"/>
      <c r="E1956" s="4"/>
      <c r="H1956" s="4"/>
      <c r="I1956" s="4"/>
    </row>
    <row r="1957" spans="4:9" x14ac:dyDescent="0.25">
      <c r="D1957" s="4"/>
      <c r="E1957" s="4"/>
      <c r="H1957" s="4"/>
      <c r="I1957" s="4"/>
    </row>
    <row r="1958" spans="4:9" x14ac:dyDescent="0.25">
      <c r="D1958" s="4"/>
      <c r="E1958" s="4"/>
      <c r="H1958" s="4"/>
      <c r="I1958" s="4"/>
    </row>
    <row r="1959" spans="4:9" x14ac:dyDescent="0.25">
      <c r="D1959" s="4"/>
      <c r="E1959" s="4"/>
      <c r="H1959" s="4"/>
      <c r="I1959" s="4"/>
    </row>
    <row r="1960" spans="4:9" x14ac:dyDescent="0.25">
      <c r="D1960" s="4"/>
      <c r="E1960" s="4"/>
      <c r="H1960" s="4"/>
      <c r="I1960" s="4"/>
    </row>
    <row r="1961" spans="4:9" x14ac:dyDescent="0.25">
      <c r="D1961" s="4"/>
      <c r="E1961" s="4"/>
      <c r="H1961" s="4"/>
      <c r="I1961" s="4"/>
    </row>
    <row r="1962" spans="4:9" x14ac:dyDescent="0.25">
      <c r="D1962" s="4"/>
      <c r="E1962" s="4"/>
      <c r="H1962" s="4"/>
      <c r="I1962" s="4"/>
    </row>
    <row r="1963" spans="4:9" x14ac:dyDescent="0.25">
      <c r="D1963" s="4"/>
      <c r="E1963" s="4"/>
      <c r="H1963" s="4"/>
      <c r="I1963" s="4"/>
    </row>
    <row r="1964" spans="4:9" x14ac:dyDescent="0.25">
      <c r="D1964" s="4"/>
      <c r="E1964" s="4"/>
      <c r="H1964" s="4"/>
      <c r="I1964" s="4"/>
    </row>
    <row r="1965" spans="4:9" x14ac:dyDescent="0.25">
      <c r="D1965" s="4"/>
      <c r="E1965" s="4"/>
      <c r="H1965" s="4"/>
      <c r="I1965" s="4"/>
    </row>
    <row r="1966" spans="4:9" x14ac:dyDescent="0.25">
      <c r="D1966" s="4"/>
      <c r="E1966" s="4"/>
      <c r="H1966" s="4"/>
      <c r="I1966" s="4"/>
    </row>
    <row r="1967" spans="4:9" x14ac:dyDescent="0.25">
      <c r="D1967" s="4"/>
      <c r="E1967" s="4"/>
      <c r="H1967" s="4"/>
      <c r="I1967" s="4"/>
    </row>
    <row r="1968" spans="4:9" x14ac:dyDescent="0.25">
      <c r="D1968" s="4"/>
      <c r="E1968" s="4"/>
      <c r="H1968" s="4"/>
      <c r="I1968" s="4"/>
    </row>
    <row r="1969" spans="4:9" x14ac:dyDescent="0.25">
      <c r="D1969" s="4"/>
      <c r="E1969" s="4"/>
      <c r="H1969" s="4"/>
      <c r="I1969" s="4"/>
    </row>
    <row r="1970" spans="4:9" x14ac:dyDescent="0.25">
      <c r="D1970" s="4"/>
      <c r="E1970" s="4"/>
      <c r="H1970" s="4"/>
      <c r="I1970" s="4"/>
    </row>
    <row r="1971" spans="4:9" x14ac:dyDescent="0.25">
      <c r="D1971" s="4"/>
      <c r="E1971" s="4"/>
      <c r="H1971" s="4"/>
      <c r="I1971" s="4"/>
    </row>
    <row r="1972" spans="4:9" x14ac:dyDescent="0.25">
      <c r="D1972" s="4"/>
      <c r="E1972" s="4"/>
      <c r="H1972" s="4"/>
      <c r="I1972" s="4"/>
    </row>
    <row r="1973" spans="4:9" x14ac:dyDescent="0.25">
      <c r="D1973" s="4"/>
      <c r="E1973" s="4"/>
      <c r="H1973" s="4"/>
      <c r="I1973" s="4"/>
    </row>
    <row r="1974" spans="4:9" x14ac:dyDescent="0.25">
      <c r="D1974" s="4"/>
      <c r="E1974" s="4"/>
      <c r="H1974" s="4"/>
      <c r="I1974" s="4"/>
    </row>
    <row r="1975" spans="4:9" x14ac:dyDescent="0.25">
      <c r="D1975" s="4"/>
      <c r="E1975" s="4"/>
      <c r="H1975" s="4"/>
      <c r="I1975" s="4"/>
    </row>
    <row r="1976" spans="4:9" x14ac:dyDescent="0.25">
      <c r="D1976" s="4"/>
      <c r="E1976" s="4"/>
      <c r="H1976" s="4"/>
      <c r="I1976" s="4"/>
    </row>
    <row r="1977" spans="4:9" x14ac:dyDescent="0.25">
      <c r="D1977" s="4"/>
      <c r="E1977" s="4"/>
      <c r="H1977" s="4"/>
      <c r="I1977" s="4"/>
    </row>
    <row r="1978" spans="4:9" x14ac:dyDescent="0.25">
      <c r="D1978" s="4"/>
      <c r="E1978" s="4"/>
      <c r="H1978" s="4"/>
      <c r="I1978" s="4"/>
    </row>
    <row r="1979" spans="4:9" x14ac:dyDescent="0.25">
      <c r="D1979" s="4"/>
      <c r="E1979" s="4"/>
      <c r="H1979" s="4"/>
      <c r="I1979" s="4"/>
    </row>
    <row r="1980" spans="4:9" x14ac:dyDescent="0.25">
      <c r="D1980" s="4"/>
      <c r="E1980" s="4"/>
      <c r="H1980" s="4"/>
      <c r="I1980" s="4"/>
    </row>
    <row r="1981" spans="4:9" x14ac:dyDescent="0.25">
      <c r="D1981" s="4"/>
      <c r="E1981" s="4"/>
      <c r="H1981" s="4"/>
      <c r="I1981" s="4"/>
    </row>
    <row r="1982" spans="4:9" x14ac:dyDescent="0.25">
      <c r="D1982" s="4"/>
      <c r="E1982" s="4"/>
      <c r="H1982" s="4"/>
      <c r="I1982" s="4"/>
    </row>
    <row r="1983" spans="4:9" x14ac:dyDescent="0.25">
      <c r="D1983" s="4"/>
      <c r="E1983" s="4"/>
      <c r="H1983" s="4"/>
      <c r="I1983" s="4"/>
    </row>
    <row r="1984" spans="4:9" x14ac:dyDescent="0.25">
      <c r="D1984" s="4"/>
      <c r="E1984" s="4"/>
      <c r="H1984" s="4"/>
      <c r="I1984" s="4"/>
    </row>
    <row r="1985" spans="4:9" x14ac:dyDescent="0.25">
      <c r="D1985" s="4"/>
      <c r="E1985" s="4"/>
      <c r="H1985" s="4"/>
      <c r="I1985" s="4"/>
    </row>
    <row r="1986" spans="4:9" x14ac:dyDescent="0.25">
      <c r="D1986" s="4"/>
      <c r="E1986" s="4"/>
      <c r="H1986" s="4"/>
      <c r="I1986" s="4"/>
    </row>
    <row r="1987" spans="4:9" x14ac:dyDescent="0.25">
      <c r="D1987" s="4"/>
      <c r="E1987" s="4"/>
      <c r="H1987" s="4"/>
      <c r="I1987" s="4"/>
    </row>
    <row r="1988" spans="4:9" x14ac:dyDescent="0.25">
      <c r="D1988" s="4"/>
      <c r="E1988" s="4"/>
      <c r="H1988" s="4"/>
      <c r="I1988" s="4"/>
    </row>
    <row r="1989" spans="4:9" x14ac:dyDescent="0.25">
      <c r="D1989" s="4"/>
      <c r="E1989" s="4"/>
      <c r="H1989" s="4"/>
      <c r="I1989" s="4"/>
    </row>
    <row r="1990" spans="4:9" x14ac:dyDescent="0.25">
      <c r="D1990" s="4"/>
      <c r="E1990" s="4"/>
      <c r="H1990" s="4"/>
      <c r="I1990" s="4"/>
    </row>
    <row r="1991" spans="4:9" x14ac:dyDescent="0.25">
      <c r="D1991" s="4"/>
      <c r="E1991" s="4"/>
      <c r="H1991" s="4"/>
      <c r="I1991" s="4"/>
    </row>
    <row r="1992" spans="4:9" x14ac:dyDescent="0.25">
      <c r="D1992" s="4"/>
      <c r="E1992" s="4"/>
      <c r="H1992" s="4"/>
      <c r="I1992" s="4"/>
    </row>
    <row r="1993" spans="4:9" x14ac:dyDescent="0.25">
      <c r="D1993" s="4"/>
      <c r="E1993" s="4"/>
      <c r="H1993" s="4"/>
      <c r="I1993" s="4"/>
    </row>
    <row r="1994" spans="4:9" x14ac:dyDescent="0.25">
      <c r="D1994" s="4"/>
      <c r="E1994" s="4"/>
      <c r="H1994" s="4"/>
      <c r="I1994" s="4"/>
    </row>
    <row r="1995" spans="4:9" x14ac:dyDescent="0.25">
      <c r="D1995" s="4"/>
      <c r="E1995" s="4"/>
      <c r="H1995" s="4"/>
      <c r="I1995" s="4"/>
    </row>
    <row r="1996" spans="4:9" x14ac:dyDescent="0.25">
      <c r="D1996" s="4"/>
      <c r="E1996" s="4"/>
      <c r="H1996" s="4"/>
      <c r="I1996" s="4"/>
    </row>
    <row r="1997" spans="4:9" x14ac:dyDescent="0.25">
      <c r="D1997" s="4"/>
      <c r="E1997" s="4"/>
      <c r="H1997" s="4"/>
      <c r="I1997" s="4"/>
    </row>
    <row r="1998" spans="4:9" x14ac:dyDescent="0.25">
      <c r="D1998" s="4"/>
      <c r="E1998" s="4"/>
      <c r="H1998" s="4"/>
      <c r="I1998" s="4"/>
    </row>
    <row r="1999" spans="4:9" x14ac:dyDescent="0.25">
      <c r="D1999" s="4"/>
      <c r="E1999" s="4"/>
      <c r="H1999" s="4"/>
      <c r="I1999" s="4"/>
    </row>
    <row r="2000" spans="4:9" x14ac:dyDescent="0.25">
      <c r="D2000" s="4"/>
      <c r="E2000" s="4"/>
      <c r="H2000" s="4"/>
      <c r="I2000" s="4"/>
    </row>
    <row r="2001" spans="4:9" x14ac:dyDescent="0.25">
      <c r="D2001" s="4"/>
      <c r="E2001" s="4"/>
      <c r="H2001" s="4"/>
      <c r="I2001" s="4"/>
    </row>
    <row r="2002" spans="4:9" x14ac:dyDescent="0.25">
      <c r="D2002" s="4"/>
      <c r="E2002" s="4"/>
      <c r="H2002" s="4"/>
      <c r="I2002" s="4"/>
    </row>
    <row r="2003" spans="4:9" x14ac:dyDescent="0.25">
      <c r="D2003" s="4"/>
      <c r="E2003" s="4"/>
      <c r="H2003" s="4"/>
      <c r="I2003" s="4"/>
    </row>
    <row r="2004" spans="4:9" x14ac:dyDescent="0.25">
      <c r="D2004" s="4"/>
      <c r="E2004" s="4"/>
      <c r="H2004" s="4"/>
      <c r="I2004" s="4"/>
    </row>
    <row r="2005" spans="4:9" x14ac:dyDescent="0.25">
      <c r="D2005" s="4"/>
      <c r="E2005" s="4"/>
      <c r="H2005" s="4"/>
      <c r="I2005" s="4"/>
    </row>
    <row r="2006" spans="4:9" x14ac:dyDescent="0.25">
      <c r="D2006" s="4"/>
      <c r="E2006" s="4"/>
      <c r="H2006" s="4"/>
      <c r="I2006" s="4"/>
    </row>
    <row r="2007" spans="4:9" x14ac:dyDescent="0.25">
      <c r="D2007" s="4"/>
      <c r="E2007" s="4"/>
      <c r="H2007" s="4"/>
      <c r="I2007" s="4"/>
    </row>
    <row r="2008" spans="4:9" x14ac:dyDescent="0.25">
      <c r="D2008" s="4"/>
      <c r="E2008" s="4"/>
      <c r="H2008" s="4"/>
      <c r="I2008" s="4"/>
    </row>
    <row r="2009" spans="4:9" x14ac:dyDescent="0.25">
      <c r="D2009" s="4"/>
      <c r="E2009" s="4"/>
      <c r="H2009" s="4"/>
      <c r="I2009" s="4"/>
    </row>
    <row r="2010" spans="4:9" x14ac:dyDescent="0.25">
      <c r="D2010" s="4"/>
      <c r="E2010" s="4"/>
      <c r="H2010" s="4"/>
      <c r="I2010" s="4"/>
    </row>
    <row r="2011" spans="4:9" x14ac:dyDescent="0.25">
      <c r="D2011" s="4"/>
      <c r="E2011" s="4"/>
      <c r="H2011" s="4"/>
      <c r="I2011" s="4"/>
    </row>
    <row r="2012" spans="4:9" x14ac:dyDescent="0.25">
      <c r="D2012" s="4"/>
      <c r="E2012" s="4"/>
      <c r="H2012" s="4"/>
      <c r="I2012" s="4"/>
    </row>
    <row r="2013" spans="4:9" x14ac:dyDescent="0.25">
      <c r="D2013" s="4"/>
      <c r="E2013" s="4"/>
      <c r="H2013" s="4"/>
      <c r="I2013" s="4"/>
    </row>
    <row r="2014" spans="4:9" x14ac:dyDescent="0.25">
      <c r="D2014" s="4"/>
      <c r="E2014" s="4"/>
      <c r="H2014" s="4"/>
      <c r="I2014" s="4"/>
    </row>
    <row r="2015" spans="4:9" x14ac:dyDescent="0.25">
      <c r="D2015" s="4"/>
      <c r="E2015" s="4"/>
      <c r="H2015" s="4"/>
      <c r="I2015" s="4"/>
    </row>
    <row r="2016" spans="4:9" x14ac:dyDescent="0.25">
      <c r="D2016" s="4"/>
      <c r="E2016" s="4"/>
      <c r="H2016" s="4"/>
      <c r="I2016" s="4"/>
    </row>
    <row r="2017" spans="4:9" x14ac:dyDescent="0.25">
      <c r="D2017" s="4"/>
      <c r="E2017" s="4"/>
      <c r="H2017" s="4"/>
      <c r="I2017" s="4"/>
    </row>
    <row r="2018" spans="4:9" x14ac:dyDescent="0.25">
      <c r="D2018" s="4"/>
      <c r="E2018" s="4"/>
      <c r="H2018" s="4"/>
      <c r="I2018" s="4"/>
    </row>
    <row r="2019" spans="4:9" x14ac:dyDescent="0.25">
      <c r="D2019" s="4"/>
      <c r="E2019" s="4"/>
      <c r="H2019" s="4"/>
      <c r="I2019" s="4"/>
    </row>
    <row r="2020" spans="4:9" x14ac:dyDescent="0.25">
      <c r="D2020" s="4"/>
      <c r="E2020" s="4"/>
      <c r="H2020" s="4"/>
      <c r="I2020" s="4"/>
    </row>
    <row r="2021" spans="4:9" x14ac:dyDescent="0.25">
      <c r="D2021" s="4"/>
      <c r="E2021" s="4"/>
      <c r="H2021" s="4"/>
      <c r="I2021" s="4"/>
    </row>
    <row r="2022" spans="4:9" x14ac:dyDescent="0.25">
      <c r="D2022" s="4"/>
      <c r="E2022" s="4"/>
      <c r="H2022" s="4"/>
      <c r="I2022" s="4"/>
    </row>
    <row r="2023" spans="4:9" x14ac:dyDescent="0.25">
      <c r="D2023" s="4"/>
      <c r="E2023" s="4"/>
      <c r="H2023" s="4"/>
      <c r="I2023" s="4"/>
    </row>
    <row r="2024" spans="4:9" x14ac:dyDescent="0.25">
      <c r="D2024" s="4"/>
      <c r="E2024" s="4"/>
      <c r="H2024" s="4"/>
      <c r="I2024" s="4"/>
    </row>
    <row r="2025" spans="4:9" x14ac:dyDescent="0.25">
      <c r="D2025" s="4"/>
      <c r="E2025" s="4"/>
      <c r="H2025" s="4"/>
      <c r="I2025" s="4"/>
    </row>
    <row r="2026" spans="4:9" x14ac:dyDescent="0.25">
      <c r="D2026" s="4"/>
      <c r="E2026" s="4"/>
      <c r="H2026" s="4"/>
      <c r="I2026" s="4"/>
    </row>
    <row r="2027" spans="4:9" x14ac:dyDescent="0.25">
      <c r="D2027" s="4"/>
      <c r="E2027" s="4"/>
      <c r="H2027" s="4"/>
      <c r="I2027" s="4"/>
    </row>
    <row r="2028" spans="4:9" x14ac:dyDescent="0.25">
      <c r="D2028" s="4"/>
      <c r="E2028" s="4"/>
      <c r="H2028" s="4"/>
      <c r="I2028" s="4"/>
    </row>
    <row r="2029" spans="4:9" x14ac:dyDescent="0.25">
      <c r="D2029" s="4"/>
      <c r="E2029" s="4"/>
      <c r="H2029" s="4"/>
      <c r="I2029" s="4"/>
    </row>
    <row r="2030" spans="4:9" x14ac:dyDescent="0.25">
      <c r="D2030" s="4"/>
      <c r="E2030" s="4"/>
      <c r="H2030" s="4"/>
      <c r="I2030" s="4"/>
    </row>
    <row r="2031" spans="4:9" x14ac:dyDescent="0.25">
      <c r="D2031" s="4"/>
      <c r="E2031" s="4"/>
      <c r="H2031" s="4"/>
      <c r="I2031" s="4"/>
    </row>
    <row r="2032" spans="4:9" x14ac:dyDescent="0.25">
      <c r="D2032" s="4"/>
      <c r="E2032" s="4"/>
      <c r="H2032" s="4"/>
      <c r="I2032" s="4"/>
    </row>
    <row r="2033" spans="4:9" x14ac:dyDescent="0.25">
      <c r="D2033" s="4"/>
      <c r="E2033" s="4"/>
      <c r="H2033" s="4"/>
      <c r="I2033" s="4"/>
    </row>
    <row r="2034" spans="4:9" x14ac:dyDescent="0.25">
      <c r="D2034" s="4"/>
      <c r="E2034" s="4"/>
      <c r="H2034" s="4"/>
      <c r="I2034" s="4"/>
    </row>
    <row r="2035" spans="4:9" x14ac:dyDescent="0.25">
      <c r="D2035" s="4"/>
      <c r="E2035" s="4"/>
      <c r="H2035" s="4"/>
      <c r="I2035" s="4"/>
    </row>
    <row r="2036" spans="4:9" x14ac:dyDescent="0.25">
      <c r="D2036" s="4"/>
      <c r="E2036" s="4"/>
      <c r="H2036" s="4"/>
      <c r="I2036" s="4"/>
    </row>
    <row r="2037" spans="4:9" x14ac:dyDescent="0.25">
      <c r="D2037" s="4"/>
      <c r="E2037" s="4"/>
      <c r="H2037" s="4"/>
      <c r="I2037" s="4"/>
    </row>
    <row r="2038" spans="4:9" x14ac:dyDescent="0.25">
      <c r="D2038" s="4"/>
      <c r="E2038" s="4"/>
      <c r="H2038" s="4"/>
      <c r="I2038" s="4"/>
    </row>
    <row r="2039" spans="4:9" x14ac:dyDescent="0.25">
      <c r="D2039" s="4"/>
      <c r="E2039" s="4"/>
      <c r="H2039" s="4"/>
      <c r="I2039" s="4"/>
    </row>
    <row r="2040" spans="4:9" x14ac:dyDescent="0.25">
      <c r="D2040" s="4"/>
      <c r="E2040" s="4"/>
      <c r="H2040" s="4"/>
      <c r="I2040" s="4"/>
    </row>
    <row r="2041" spans="4:9" x14ac:dyDescent="0.25">
      <c r="D2041" s="4"/>
      <c r="E2041" s="4"/>
      <c r="H2041" s="4"/>
      <c r="I2041" s="4"/>
    </row>
    <row r="2042" spans="4:9" x14ac:dyDescent="0.25">
      <c r="D2042" s="4"/>
      <c r="E2042" s="4"/>
      <c r="H2042" s="4"/>
      <c r="I2042" s="4"/>
    </row>
    <row r="2043" spans="4:9" x14ac:dyDescent="0.25">
      <c r="D2043" s="4"/>
      <c r="E2043" s="4"/>
      <c r="H2043" s="4"/>
      <c r="I2043" s="4"/>
    </row>
    <row r="2044" spans="4:9" x14ac:dyDescent="0.25">
      <c r="D2044" s="4"/>
      <c r="E2044" s="4"/>
      <c r="H2044" s="4"/>
      <c r="I2044" s="4"/>
    </row>
    <row r="2045" spans="4:9" x14ac:dyDescent="0.25">
      <c r="D2045" s="4"/>
      <c r="E2045" s="4"/>
      <c r="H2045" s="4"/>
      <c r="I2045" s="4"/>
    </row>
    <row r="2046" spans="4:9" x14ac:dyDescent="0.25">
      <c r="D2046" s="4"/>
      <c r="E2046" s="4"/>
      <c r="H2046" s="4"/>
      <c r="I2046" s="4"/>
    </row>
    <row r="2047" spans="4:9" x14ac:dyDescent="0.25">
      <c r="D2047" s="4"/>
      <c r="E2047" s="4"/>
      <c r="H2047" s="4"/>
      <c r="I2047" s="4"/>
    </row>
    <row r="2048" spans="4:9" x14ac:dyDescent="0.25">
      <c r="D2048" s="4"/>
      <c r="E2048" s="4"/>
      <c r="H2048" s="4"/>
      <c r="I2048" s="4"/>
    </row>
    <row r="2049" spans="4:9" x14ac:dyDescent="0.25">
      <c r="D2049" s="4"/>
      <c r="E2049" s="4"/>
      <c r="H2049" s="4"/>
      <c r="I2049" s="4"/>
    </row>
    <row r="2050" spans="4:9" x14ac:dyDescent="0.25">
      <c r="D2050" s="4"/>
      <c r="E2050" s="4"/>
      <c r="H2050" s="4"/>
      <c r="I2050" s="4"/>
    </row>
    <row r="2051" spans="4:9" x14ac:dyDescent="0.25">
      <c r="D2051" s="4"/>
      <c r="E2051" s="4"/>
      <c r="H2051" s="4"/>
      <c r="I2051" s="4"/>
    </row>
    <row r="2052" spans="4:9" x14ac:dyDescent="0.25">
      <c r="D2052" s="4"/>
      <c r="E2052" s="4"/>
      <c r="H2052" s="4"/>
      <c r="I2052" s="4"/>
    </row>
    <row r="2053" spans="4:9" x14ac:dyDescent="0.25">
      <c r="D2053" s="4"/>
      <c r="E2053" s="4"/>
      <c r="H2053" s="4"/>
      <c r="I2053" s="4"/>
    </row>
    <row r="2054" spans="4:9" x14ac:dyDescent="0.25">
      <c r="D2054" s="4"/>
      <c r="E2054" s="4"/>
      <c r="H2054" s="4"/>
      <c r="I2054" s="4"/>
    </row>
    <row r="2055" spans="4:9" x14ac:dyDescent="0.25">
      <c r="D2055" s="4"/>
      <c r="E2055" s="4"/>
      <c r="H2055" s="4"/>
      <c r="I2055" s="4"/>
    </row>
    <row r="2056" spans="4:9" x14ac:dyDescent="0.25">
      <c r="D2056" s="4"/>
      <c r="E2056" s="4"/>
      <c r="H2056" s="4"/>
      <c r="I2056" s="4"/>
    </row>
    <row r="2057" spans="4:9" x14ac:dyDescent="0.25">
      <c r="D2057" s="4"/>
      <c r="E2057" s="4"/>
      <c r="H2057" s="4"/>
      <c r="I2057" s="4"/>
    </row>
    <row r="2058" spans="4:9" x14ac:dyDescent="0.25">
      <c r="D2058" s="4"/>
      <c r="E2058" s="4"/>
      <c r="H2058" s="4"/>
      <c r="I2058" s="4"/>
    </row>
    <row r="2059" spans="4:9" x14ac:dyDescent="0.25">
      <c r="D2059" s="4"/>
      <c r="E2059" s="4"/>
      <c r="H2059" s="4"/>
      <c r="I2059" s="4"/>
    </row>
    <row r="2060" spans="4:9" x14ac:dyDescent="0.25">
      <c r="D2060" s="4"/>
      <c r="E2060" s="4"/>
      <c r="H2060" s="4"/>
      <c r="I2060" s="4"/>
    </row>
    <row r="2061" spans="4:9" x14ac:dyDescent="0.25">
      <c r="D2061" s="4"/>
      <c r="E2061" s="4"/>
      <c r="H2061" s="4"/>
      <c r="I2061" s="4"/>
    </row>
    <row r="2062" spans="4:9" x14ac:dyDescent="0.25">
      <c r="D2062" s="4"/>
      <c r="E2062" s="4"/>
      <c r="H2062" s="4"/>
      <c r="I2062" s="4"/>
    </row>
    <row r="2063" spans="4:9" x14ac:dyDescent="0.25">
      <c r="D2063" s="4"/>
      <c r="E2063" s="4"/>
      <c r="H2063" s="4"/>
      <c r="I2063" s="4"/>
    </row>
    <row r="2064" spans="4:9" x14ac:dyDescent="0.25">
      <c r="D2064" s="4"/>
      <c r="E2064" s="4"/>
      <c r="H2064" s="4"/>
      <c r="I2064" s="4"/>
    </row>
    <row r="2065" spans="4:9" x14ac:dyDescent="0.25">
      <c r="D2065" s="4"/>
      <c r="E2065" s="4"/>
      <c r="H2065" s="4"/>
      <c r="I2065" s="4"/>
    </row>
    <row r="2066" spans="4:9" x14ac:dyDescent="0.25">
      <c r="D2066" s="4"/>
      <c r="E2066" s="4"/>
      <c r="H2066" s="4"/>
      <c r="I2066" s="4"/>
    </row>
    <row r="2067" spans="4:9" x14ac:dyDescent="0.25">
      <c r="D2067" s="4"/>
      <c r="E2067" s="4"/>
      <c r="H2067" s="4"/>
      <c r="I2067" s="4"/>
    </row>
    <row r="2068" spans="4:9" x14ac:dyDescent="0.25">
      <c r="D2068" s="4"/>
      <c r="E2068" s="4"/>
      <c r="H2068" s="4"/>
      <c r="I2068" s="4"/>
    </row>
    <row r="2069" spans="4:9" x14ac:dyDescent="0.25">
      <c r="D2069" s="4"/>
      <c r="E2069" s="4"/>
      <c r="H2069" s="4"/>
      <c r="I2069" s="4"/>
    </row>
    <row r="2070" spans="4:9" x14ac:dyDescent="0.25">
      <c r="D2070" s="4"/>
      <c r="E2070" s="4"/>
      <c r="H2070" s="4"/>
      <c r="I2070" s="4"/>
    </row>
    <row r="2071" spans="4:9" x14ac:dyDescent="0.25">
      <c r="D2071" s="4"/>
      <c r="E2071" s="4"/>
      <c r="H2071" s="4"/>
      <c r="I2071" s="4"/>
    </row>
    <row r="2072" spans="4:9" x14ac:dyDescent="0.25">
      <c r="D2072" s="4"/>
      <c r="E2072" s="4"/>
      <c r="H2072" s="4"/>
      <c r="I2072" s="4"/>
    </row>
    <row r="2073" spans="4:9" x14ac:dyDescent="0.25">
      <c r="D2073" s="4"/>
      <c r="E2073" s="4"/>
      <c r="H2073" s="4"/>
      <c r="I2073" s="4"/>
    </row>
    <row r="2074" spans="4:9" x14ac:dyDescent="0.25">
      <c r="D2074" s="4"/>
      <c r="E2074" s="4"/>
      <c r="H2074" s="4"/>
      <c r="I2074" s="4"/>
    </row>
    <row r="2075" spans="4:9" x14ac:dyDescent="0.25">
      <c r="D2075" s="4"/>
      <c r="E2075" s="4"/>
      <c r="H2075" s="4"/>
      <c r="I2075" s="4"/>
    </row>
    <row r="2076" spans="4:9" x14ac:dyDescent="0.25">
      <c r="D2076" s="4"/>
      <c r="E2076" s="4"/>
      <c r="H2076" s="4"/>
      <c r="I2076" s="4"/>
    </row>
    <row r="2077" spans="4:9" x14ac:dyDescent="0.25">
      <c r="D2077" s="4"/>
      <c r="E2077" s="4"/>
      <c r="H2077" s="4"/>
      <c r="I2077" s="4"/>
    </row>
    <row r="2078" spans="4:9" x14ac:dyDescent="0.25">
      <c r="D2078" s="4"/>
      <c r="E2078" s="4"/>
      <c r="H2078" s="4"/>
      <c r="I2078" s="4"/>
    </row>
    <row r="2079" spans="4:9" x14ac:dyDescent="0.25">
      <c r="D2079" s="4"/>
      <c r="E2079" s="4"/>
      <c r="H2079" s="4"/>
      <c r="I2079" s="4"/>
    </row>
    <row r="2080" spans="4:9" x14ac:dyDescent="0.25">
      <c r="D2080" s="4"/>
      <c r="E2080" s="4"/>
      <c r="H2080" s="4"/>
      <c r="I2080" s="4"/>
    </row>
    <row r="2081" spans="4:9" x14ac:dyDescent="0.25">
      <c r="D2081" s="4"/>
      <c r="E2081" s="4"/>
      <c r="H2081" s="4"/>
      <c r="I2081" s="4"/>
    </row>
    <row r="2082" spans="4:9" x14ac:dyDescent="0.25">
      <c r="D2082" s="4"/>
      <c r="E2082" s="4"/>
      <c r="H2082" s="4"/>
      <c r="I2082" s="4"/>
    </row>
    <row r="2083" spans="4:9" x14ac:dyDescent="0.25">
      <c r="D2083" s="4"/>
      <c r="E2083" s="4"/>
      <c r="H2083" s="4"/>
      <c r="I2083" s="4"/>
    </row>
    <row r="2084" spans="4:9" x14ac:dyDescent="0.25">
      <c r="D2084" s="4"/>
      <c r="E2084" s="4"/>
      <c r="H2084" s="4"/>
      <c r="I2084" s="4"/>
    </row>
    <row r="2085" spans="4:9" x14ac:dyDescent="0.25">
      <c r="D2085" s="4"/>
      <c r="E2085" s="4"/>
      <c r="H2085" s="4"/>
      <c r="I2085" s="4"/>
    </row>
    <row r="2086" spans="4:9" x14ac:dyDescent="0.25">
      <c r="D2086" s="4"/>
      <c r="E2086" s="4"/>
      <c r="H2086" s="4"/>
      <c r="I2086" s="4"/>
    </row>
    <row r="2087" spans="4:9" x14ac:dyDescent="0.25">
      <c r="D2087" s="4"/>
      <c r="E2087" s="4"/>
      <c r="H2087" s="4"/>
      <c r="I2087" s="4"/>
    </row>
    <row r="2088" spans="4:9" x14ac:dyDescent="0.25">
      <c r="D2088" s="4"/>
      <c r="E2088" s="4"/>
      <c r="H2088" s="4"/>
      <c r="I2088" s="4"/>
    </row>
    <row r="2089" spans="4:9" x14ac:dyDescent="0.25">
      <c r="D2089" s="4"/>
      <c r="E2089" s="4"/>
      <c r="H2089" s="4"/>
      <c r="I2089" s="4"/>
    </row>
    <row r="2090" spans="4:9" x14ac:dyDescent="0.25">
      <c r="D2090" s="4"/>
      <c r="E2090" s="4"/>
      <c r="H2090" s="4"/>
      <c r="I2090" s="4"/>
    </row>
    <row r="2091" spans="4:9" x14ac:dyDescent="0.25">
      <c r="D2091" s="4"/>
      <c r="E2091" s="4"/>
      <c r="H2091" s="4"/>
      <c r="I2091" s="4"/>
    </row>
    <row r="2092" spans="4:9" x14ac:dyDescent="0.25">
      <c r="D2092" s="4"/>
      <c r="E2092" s="4"/>
      <c r="H2092" s="4"/>
      <c r="I2092" s="4"/>
    </row>
    <row r="2093" spans="4:9" x14ac:dyDescent="0.25">
      <c r="D2093" s="4"/>
      <c r="E2093" s="4"/>
      <c r="H2093" s="4"/>
      <c r="I2093" s="4"/>
    </row>
    <row r="2094" spans="4:9" x14ac:dyDescent="0.25">
      <c r="D2094" s="4"/>
      <c r="E2094" s="4"/>
      <c r="H2094" s="4"/>
      <c r="I2094" s="4"/>
    </row>
    <row r="2095" spans="4:9" x14ac:dyDescent="0.25">
      <c r="D2095" s="4"/>
      <c r="E2095" s="4"/>
      <c r="H2095" s="4"/>
      <c r="I2095" s="4"/>
    </row>
    <row r="2096" spans="4:9" x14ac:dyDescent="0.25">
      <c r="D2096" s="4"/>
      <c r="E2096" s="4"/>
      <c r="H2096" s="4"/>
      <c r="I2096" s="4"/>
    </row>
    <row r="2097" spans="4:9" x14ac:dyDescent="0.25">
      <c r="D2097" s="4"/>
      <c r="E2097" s="4"/>
      <c r="H2097" s="4"/>
      <c r="I2097" s="4"/>
    </row>
    <row r="2098" spans="4:9" x14ac:dyDescent="0.25">
      <c r="D2098" s="4"/>
      <c r="E2098" s="4"/>
      <c r="H2098" s="4"/>
      <c r="I2098" s="4"/>
    </row>
    <row r="2099" spans="4:9" x14ac:dyDescent="0.25">
      <c r="D2099" s="4"/>
      <c r="E2099" s="4"/>
      <c r="H2099" s="4"/>
      <c r="I2099" s="4"/>
    </row>
    <row r="2100" spans="4:9" x14ac:dyDescent="0.25">
      <c r="D2100" s="4"/>
      <c r="E2100" s="4"/>
      <c r="H2100" s="4"/>
      <c r="I2100" s="4"/>
    </row>
    <row r="2101" spans="4:9" x14ac:dyDescent="0.25">
      <c r="D2101" s="4"/>
      <c r="E2101" s="4"/>
      <c r="H2101" s="4"/>
      <c r="I2101" s="4"/>
    </row>
    <row r="2102" spans="4:9" x14ac:dyDescent="0.25">
      <c r="D2102" s="4"/>
      <c r="E2102" s="4"/>
      <c r="H2102" s="4"/>
      <c r="I2102" s="4"/>
    </row>
    <row r="2103" spans="4:9" x14ac:dyDescent="0.25">
      <c r="D2103" s="4"/>
      <c r="E2103" s="4"/>
      <c r="H2103" s="4"/>
      <c r="I2103" s="4"/>
    </row>
    <row r="2104" spans="4:9" x14ac:dyDescent="0.25">
      <c r="D2104" s="4"/>
      <c r="E2104" s="4"/>
      <c r="H2104" s="4"/>
      <c r="I2104" s="4"/>
    </row>
    <row r="2105" spans="4:9" x14ac:dyDescent="0.25">
      <c r="D2105" s="4"/>
      <c r="E2105" s="4"/>
      <c r="H2105" s="4"/>
      <c r="I2105" s="4"/>
    </row>
    <row r="2106" spans="4:9" x14ac:dyDescent="0.25">
      <c r="D2106" s="4"/>
      <c r="E2106" s="4"/>
      <c r="H2106" s="4"/>
      <c r="I2106" s="4"/>
    </row>
    <row r="2107" spans="4:9" x14ac:dyDescent="0.25">
      <c r="D2107" s="4"/>
      <c r="E2107" s="4"/>
      <c r="H2107" s="4"/>
      <c r="I2107" s="4"/>
    </row>
    <row r="2108" spans="4:9" x14ac:dyDescent="0.25">
      <c r="D2108" s="4"/>
      <c r="E2108" s="4"/>
      <c r="H2108" s="4"/>
      <c r="I2108" s="4"/>
    </row>
    <row r="2109" spans="4:9" x14ac:dyDescent="0.25">
      <c r="D2109" s="4"/>
      <c r="E2109" s="4"/>
      <c r="H2109" s="4"/>
      <c r="I2109" s="4"/>
    </row>
    <row r="2110" spans="4:9" x14ac:dyDescent="0.25">
      <c r="D2110" s="4"/>
      <c r="E2110" s="4"/>
      <c r="H2110" s="4"/>
      <c r="I2110" s="4"/>
    </row>
    <row r="2111" spans="4:9" x14ac:dyDescent="0.25">
      <c r="D2111" s="4"/>
      <c r="E2111" s="4"/>
      <c r="H2111" s="4"/>
      <c r="I2111" s="4"/>
    </row>
    <row r="2112" spans="4:9" x14ac:dyDescent="0.25">
      <c r="D2112" s="4"/>
      <c r="E2112" s="4"/>
      <c r="H2112" s="4"/>
      <c r="I2112" s="4"/>
    </row>
    <row r="2113" spans="4:9" x14ac:dyDescent="0.25">
      <c r="D2113" s="4"/>
      <c r="E2113" s="4"/>
      <c r="H2113" s="4"/>
      <c r="I2113" s="4"/>
    </row>
    <row r="2114" spans="4:9" x14ac:dyDescent="0.25">
      <c r="D2114" s="4"/>
      <c r="E2114" s="4"/>
      <c r="H2114" s="4"/>
      <c r="I2114" s="4"/>
    </row>
    <row r="2115" spans="4:9" x14ac:dyDescent="0.25">
      <c r="D2115" s="4"/>
      <c r="E2115" s="4"/>
      <c r="H2115" s="4"/>
      <c r="I2115" s="4"/>
    </row>
    <row r="2116" spans="4:9" x14ac:dyDescent="0.25">
      <c r="D2116" s="4"/>
      <c r="E2116" s="4"/>
      <c r="H2116" s="4"/>
      <c r="I2116" s="4"/>
    </row>
    <row r="2117" spans="4:9" x14ac:dyDescent="0.25">
      <c r="D2117" s="4"/>
      <c r="E2117" s="4"/>
      <c r="H2117" s="4"/>
      <c r="I2117" s="4"/>
    </row>
    <row r="2118" spans="4:9" x14ac:dyDescent="0.25">
      <c r="D2118" s="4"/>
      <c r="E2118" s="4"/>
      <c r="H2118" s="4"/>
      <c r="I2118" s="4"/>
    </row>
    <row r="2119" spans="4:9" x14ac:dyDescent="0.25">
      <c r="D2119" s="4"/>
      <c r="E2119" s="4"/>
      <c r="H2119" s="4"/>
      <c r="I2119" s="4"/>
    </row>
    <row r="2120" spans="4:9" x14ac:dyDescent="0.25">
      <c r="D2120" s="4"/>
      <c r="E2120" s="4"/>
      <c r="H2120" s="4"/>
      <c r="I2120" s="4"/>
    </row>
    <row r="2121" spans="4:9" x14ac:dyDescent="0.25">
      <c r="D2121" s="4"/>
      <c r="E2121" s="4"/>
      <c r="H2121" s="4"/>
      <c r="I2121" s="4"/>
    </row>
    <row r="2122" spans="4:9" x14ac:dyDescent="0.25">
      <c r="D2122" s="4"/>
      <c r="E2122" s="4"/>
      <c r="H2122" s="4"/>
      <c r="I2122" s="4"/>
    </row>
    <row r="2123" spans="4:9" x14ac:dyDescent="0.25">
      <c r="D2123" s="4"/>
      <c r="E2123" s="4"/>
      <c r="H2123" s="4"/>
      <c r="I2123" s="4"/>
    </row>
    <row r="2124" spans="4:9" x14ac:dyDescent="0.25">
      <c r="D2124" s="4"/>
      <c r="E2124" s="4"/>
      <c r="H2124" s="4"/>
      <c r="I2124" s="4"/>
    </row>
    <row r="2125" spans="4:9" x14ac:dyDescent="0.25">
      <c r="D2125" s="4"/>
      <c r="E2125" s="4"/>
      <c r="H2125" s="4"/>
      <c r="I2125" s="4"/>
    </row>
    <row r="2126" spans="4:9" x14ac:dyDescent="0.25">
      <c r="D2126" s="4"/>
      <c r="E2126" s="4"/>
      <c r="H2126" s="4"/>
      <c r="I2126" s="4"/>
    </row>
    <row r="2127" spans="4:9" x14ac:dyDescent="0.25">
      <c r="D2127" s="4"/>
      <c r="E2127" s="4"/>
      <c r="H2127" s="4"/>
      <c r="I2127" s="4"/>
    </row>
    <row r="2128" spans="4:9" x14ac:dyDescent="0.25">
      <c r="D2128" s="4"/>
      <c r="E2128" s="4"/>
      <c r="H2128" s="4"/>
      <c r="I2128" s="4"/>
    </row>
    <row r="2129" spans="4:9" x14ac:dyDescent="0.25">
      <c r="D2129" s="4"/>
      <c r="E2129" s="4"/>
      <c r="H2129" s="4"/>
      <c r="I2129" s="4"/>
    </row>
    <row r="2130" spans="4:9" x14ac:dyDescent="0.25">
      <c r="D2130" s="4"/>
      <c r="E2130" s="4"/>
      <c r="H2130" s="4"/>
      <c r="I2130" s="4"/>
    </row>
    <row r="2131" spans="4:9" x14ac:dyDescent="0.25">
      <c r="D2131" s="4"/>
      <c r="E2131" s="4"/>
      <c r="H2131" s="4"/>
      <c r="I2131" s="4"/>
    </row>
    <row r="2132" spans="4:9" x14ac:dyDescent="0.25">
      <c r="D2132" s="4"/>
      <c r="E2132" s="4"/>
      <c r="H2132" s="4"/>
      <c r="I2132" s="4"/>
    </row>
    <row r="2133" spans="4:9" x14ac:dyDescent="0.25">
      <c r="D2133" s="4"/>
      <c r="E2133" s="4"/>
      <c r="H2133" s="4"/>
      <c r="I2133" s="4"/>
    </row>
    <row r="2134" spans="4:9" x14ac:dyDescent="0.25">
      <c r="D2134" s="4"/>
      <c r="E2134" s="4"/>
      <c r="H2134" s="4"/>
      <c r="I2134" s="4"/>
    </row>
    <row r="2135" spans="4:9" x14ac:dyDescent="0.25">
      <c r="D2135" s="4"/>
      <c r="E2135" s="4"/>
      <c r="H2135" s="4"/>
      <c r="I2135" s="4"/>
    </row>
    <row r="2136" spans="4:9" x14ac:dyDescent="0.25">
      <c r="D2136" s="4"/>
      <c r="E2136" s="4"/>
      <c r="H2136" s="4"/>
      <c r="I2136" s="4"/>
    </row>
    <row r="2137" spans="4:9" x14ac:dyDescent="0.25">
      <c r="D2137" s="4"/>
      <c r="E2137" s="4"/>
      <c r="H2137" s="4"/>
      <c r="I2137" s="4"/>
    </row>
    <row r="2138" spans="4:9" x14ac:dyDescent="0.25">
      <c r="D2138" s="4"/>
      <c r="E2138" s="4"/>
      <c r="H2138" s="4"/>
      <c r="I2138" s="4"/>
    </row>
    <row r="2139" spans="4:9" x14ac:dyDescent="0.25">
      <c r="D2139" s="4"/>
      <c r="E2139" s="4"/>
      <c r="H2139" s="4"/>
      <c r="I2139" s="4"/>
    </row>
    <row r="2140" spans="4:9" x14ac:dyDescent="0.25">
      <c r="D2140" s="4"/>
      <c r="E2140" s="4"/>
      <c r="H2140" s="4"/>
      <c r="I2140" s="4"/>
    </row>
    <row r="2141" spans="4:9" x14ac:dyDescent="0.25">
      <c r="D2141" s="4"/>
      <c r="E2141" s="4"/>
      <c r="H2141" s="4"/>
      <c r="I2141" s="4"/>
    </row>
    <row r="2142" spans="4:9" x14ac:dyDescent="0.25">
      <c r="D2142" s="4"/>
      <c r="E2142" s="4"/>
      <c r="H2142" s="4"/>
      <c r="I2142" s="4"/>
    </row>
    <row r="2143" spans="4:9" x14ac:dyDescent="0.25">
      <c r="D2143" s="4"/>
      <c r="E2143" s="4"/>
      <c r="H2143" s="4"/>
      <c r="I2143" s="4"/>
    </row>
    <row r="2144" spans="4:9" x14ac:dyDescent="0.25">
      <c r="D2144" s="4"/>
      <c r="E2144" s="4"/>
      <c r="H2144" s="4"/>
      <c r="I2144" s="4"/>
    </row>
    <row r="2145" spans="4:9" x14ac:dyDescent="0.25">
      <c r="D2145" s="4"/>
      <c r="E2145" s="4"/>
      <c r="H2145" s="4"/>
      <c r="I2145" s="4"/>
    </row>
    <row r="2146" spans="4:9" x14ac:dyDescent="0.25">
      <c r="D2146" s="4"/>
      <c r="E2146" s="4"/>
      <c r="H2146" s="4"/>
      <c r="I2146" s="4"/>
    </row>
    <row r="2147" spans="4:9" x14ac:dyDescent="0.25">
      <c r="D2147" s="4"/>
      <c r="E2147" s="4"/>
      <c r="H2147" s="4"/>
      <c r="I2147" s="4"/>
    </row>
    <row r="2148" spans="4:9" x14ac:dyDescent="0.25">
      <c r="D2148" s="4"/>
      <c r="E2148" s="4"/>
      <c r="H2148" s="4"/>
      <c r="I2148" s="4"/>
    </row>
    <row r="2149" spans="4:9" x14ac:dyDescent="0.25">
      <c r="D2149" s="4"/>
      <c r="E2149" s="4"/>
      <c r="H2149" s="4"/>
      <c r="I2149" s="4"/>
    </row>
    <row r="2150" spans="4:9" x14ac:dyDescent="0.25">
      <c r="D2150" s="4"/>
      <c r="E2150" s="4"/>
      <c r="H2150" s="4"/>
      <c r="I2150" s="4"/>
    </row>
    <row r="2151" spans="4:9" x14ac:dyDescent="0.25">
      <c r="D2151" s="4"/>
      <c r="E2151" s="4"/>
      <c r="H2151" s="4"/>
      <c r="I2151" s="4"/>
    </row>
    <row r="2152" spans="4:9" x14ac:dyDescent="0.25">
      <c r="D2152" s="4"/>
      <c r="E2152" s="4"/>
      <c r="H2152" s="4"/>
      <c r="I2152" s="4"/>
    </row>
    <row r="2153" spans="4:9" x14ac:dyDescent="0.25">
      <c r="D2153" s="4"/>
      <c r="E2153" s="4"/>
      <c r="H2153" s="4"/>
      <c r="I2153" s="4"/>
    </row>
    <row r="2154" spans="4:9" x14ac:dyDescent="0.25">
      <c r="D2154" s="4"/>
      <c r="E2154" s="4"/>
      <c r="H2154" s="4"/>
      <c r="I2154" s="4"/>
    </row>
    <row r="2155" spans="4:9" x14ac:dyDescent="0.25">
      <c r="D2155" s="4"/>
      <c r="E2155" s="4"/>
      <c r="H2155" s="4"/>
      <c r="I2155" s="4"/>
    </row>
    <row r="2156" spans="4:9" x14ac:dyDescent="0.25">
      <c r="D2156" s="4"/>
      <c r="E2156" s="4"/>
      <c r="H2156" s="4"/>
      <c r="I2156" s="4"/>
    </row>
    <row r="2157" spans="4:9" x14ac:dyDescent="0.25">
      <c r="D2157" s="4"/>
      <c r="E2157" s="4"/>
      <c r="H2157" s="4"/>
      <c r="I2157" s="4"/>
    </row>
    <row r="2158" spans="4:9" x14ac:dyDescent="0.25">
      <c r="D2158" s="4"/>
      <c r="E2158" s="4"/>
      <c r="H2158" s="4"/>
      <c r="I2158" s="4"/>
    </row>
    <row r="2159" spans="4:9" x14ac:dyDescent="0.25">
      <c r="D2159" s="4"/>
      <c r="E2159" s="4"/>
      <c r="H2159" s="4"/>
      <c r="I2159" s="4"/>
    </row>
    <row r="2160" spans="4:9" x14ac:dyDescent="0.25">
      <c r="D2160" s="4"/>
      <c r="E2160" s="4"/>
      <c r="H2160" s="4"/>
      <c r="I2160" s="4"/>
    </row>
    <row r="2161" spans="4:9" x14ac:dyDescent="0.25">
      <c r="D2161" s="4"/>
      <c r="E2161" s="4"/>
      <c r="H2161" s="4"/>
      <c r="I2161" s="4"/>
    </row>
    <row r="2162" spans="4:9" x14ac:dyDescent="0.25">
      <c r="D2162" s="4"/>
      <c r="E2162" s="4"/>
      <c r="H2162" s="4"/>
      <c r="I2162" s="4"/>
    </row>
    <row r="2163" spans="4:9" x14ac:dyDescent="0.25">
      <c r="D2163" s="4"/>
      <c r="E2163" s="4"/>
      <c r="H2163" s="4"/>
      <c r="I2163" s="4"/>
    </row>
    <row r="2164" spans="4:9" x14ac:dyDescent="0.25">
      <c r="D2164" s="4"/>
      <c r="E2164" s="4"/>
      <c r="H2164" s="4"/>
      <c r="I2164" s="4"/>
    </row>
    <row r="2165" spans="4:9" x14ac:dyDescent="0.25">
      <c r="D2165" s="4"/>
      <c r="E2165" s="4"/>
      <c r="H2165" s="4"/>
      <c r="I2165" s="4"/>
    </row>
    <row r="2166" spans="4:9" x14ac:dyDescent="0.25">
      <c r="D2166" s="4"/>
      <c r="E2166" s="4"/>
      <c r="H2166" s="4"/>
      <c r="I2166" s="4"/>
    </row>
    <row r="2167" spans="4:9" x14ac:dyDescent="0.25">
      <c r="D2167" s="4"/>
      <c r="E2167" s="4"/>
      <c r="H2167" s="4"/>
      <c r="I2167" s="4"/>
    </row>
    <row r="2168" spans="4:9" x14ac:dyDescent="0.25">
      <c r="D2168" s="4"/>
      <c r="E2168" s="4"/>
      <c r="H2168" s="4"/>
      <c r="I2168" s="4"/>
    </row>
    <row r="2169" spans="4:9" x14ac:dyDescent="0.25">
      <c r="D2169" s="4"/>
      <c r="E2169" s="4"/>
      <c r="H2169" s="4"/>
      <c r="I2169" s="4"/>
    </row>
    <row r="2170" spans="4:9" x14ac:dyDescent="0.25">
      <c r="D2170" s="4"/>
      <c r="E2170" s="4"/>
      <c r="H2170" s="4"/>
      <c r="I2170" s="4"/>
    </row>
    <row r="2171" spans="4:9" x14ac:dyDescent="0.25">
      <c r="D2171" s="4"/>
      <c r="E2171" s="4"/>
      <c r="H2171" s="4"/>
      <c r="I2171" s="4"/>
    </row>
    <row r="2172" spans="4:9" x14ac:dyDescent="0.25">
      <c r="D2172" s="4"/>
      <c r="E2172" s="4"/>
      <c r="H2172" s="4"/>
      <c r="I2172" s="4"/>
    </row>
    <row r="2173" spans="4:9" x14ac:dyDescent="0.25">
      <c r="D2173" s="4"/>
      <c r="E2173" s="4"/>
      <c r="H2173" s="4"/>
      <c r="I2173" s="4"/>
    </row>
    <row r="2174" spans="4:9" x14ac:dyDescent="0.25">
      <c r="D2174" s="4"/>
      <c r="E2174" s="4"/>
      <c r="H2174" s="4"/>
      <c r="I2174" s="4"/>
    </row>
    <row r="2175" spans="4:9" x14ac:dyDescent="0.25">
      <c r="D2175" s="4"/>
      <c r="E2175" s="4"/>
      <c r="H2175" s="4"/>
      <c r="I2175" s="4"/>
    </row>
    <row r="2176" spans="4:9" x14ac:dyDescent="0.25">
      <c r="D2176" s="4"/>
      <c r="E2176" s="4"/>
      <c r="H2176" s="4"/>
      <c r="I2176" s="4"/>
    </row>
    <row r="2177" spans="4:9" x14ac:dyDescent="0.25">
      <c r="D2177" s="4"/>
      <c r="E2177" s="4"/>
      <c r="H2177" s="4"/>
      <c r="I2177" s="4"/>
    </row>
    <row r="2178" spans="4:9" x14ac:dyDescent="0.25">
      <c r="D2178" s="4"/>
      <c r="E2178" s="4"/>
      <c r="H2178" s="4"/>
      <c r="I2178" s="4"/>
    </row>
    <row r="2179" spans="4:9" x14ac:dyDescent="0.25">
      <c r="D2179" s="4"/>
      <c r="E2179" s="4"/>
      <c r="H2179" s="4"/>
      <c r="I2179" s="4"/>
    </row>
    <row r="2180" spans="4:9" x14ac:dyDescent="0.25">
      <c r="D2180" s="4"/>
      <c r="E2180" s="4"/>
      <c r="H2180" s="4"/>
      <c r="I2180" s="4"/>
    </row>
    <row r="2181" spans="4:9" x14ac:dyDescent="0.25">
      <c r="D2181" s="4"/>
      <c r="E2181" s="4"/>
      <c r="H2181" s="4"/>
      <c r="I2181" s="4"/>
    </row>
    <row r="2182" spans="4:9" x14ac:dyDescent="0.25">
      <c r="D2182" s="4"/>
      <c r="E2182" s="4"/>
      <c r="H2182" s="4"/>
      <c r="I2182" s="4"/>
    </row>
    <row r="2183" spans="4:9" x14ac:dyDescent="0.25">
      <c r="D2183" s="4"/>
      <c r="E2183" s="4"/>
      <c r="H2183" s="4"/>
      <c r="I2183" s="4"/>
    </row>
    <row r="2184" spans="4:9" x14ac:dyDescent="0.25">
      <c r="D2184" s="4"/>
      <c r="E2184" s="4"/>
      <c r="H2184" s="4"/>
      <c r="I2184" s="4"/>
    </row>
    <row r="2185" spans="4:9" x14ac:dyDescent="0.25">
      <c r="D2185" s="4"/>
      <c r="E2185" s="4"/>
      <c r="H2185" s="4"/>
      <c r="I2185" s="4"/>
    </row>
    <row r="2186" spans="4:9" x14ac:dyDescent="0.25">
      <c r="D2186" s="4"/>
      <c r="E2186" s="4"/>
      <c r="H2186" s="4"/>
      <c r="I2186" s="4"/>
    </row>
    <row r="2187" spans="4:9" x14ac:dyDescent="0.25">
      <c r="D2187" s="4"/>
      <c r="E2187" s="4"/>
      <c r="H2187" s="4"/>
      <c r="I2187" s="4"/>
    </row>
    <row r="2188" spans="4:9" x14ac:dyDescent="0.25">
      <c r="D2188" s="4"/>
      <c r="E2188" s="4"/>
      <c r="H2188" s="4"/>
      <c r="I2188" s="4"/>
    </row>
    <row r="2189" spans="4:9" x14ac:dyDescent="0.25">
      <c r="D2189" s="4"/>
      <c r="E2189" s="4"/>
      <c r="H2189" s="4"/>
      <c r="I2189" s="4"/>
    </row>
    <row r="2190" spans="4:9" x14ac:dyDescent="0.25">
      <c r="D2190" s="4"/>
      <c r="E2190" s="4"/>
      <c r="H2190" s="4"/>
      <c r="I2190" s="4"/>
    </row>
    <row r="2191" spans="4:9" x14ac:dyDescent="0.25">
      <c r="D2191" s="4"/>
      <c r="E2191" s="4"/>
      <c r="H2191" s="4"/>
      <c r="I2191" s="4"/>
    </row>
    <row r="2192" spans="4:9" x14ac:dyDescent="0.25">
      <c r="D2192" s="4"/>
      <c r="E2192" s="4"/>
      <c r="H2192" s="4"/>
      <c r="I2192" s="4"/>
    </row>
    <row r="2193" spans="4:9" x14ac:dyDescent="0.25">
      <c r="D2193" s="4"/>
      <c r="E2193" s="4"/>
      <c r="H2193" s="4"/>
      <c r="I2193" s="4"/>
    </row>
    <row r="2194" spans="4:9" x14ac:dyDescent="0.25">
      <c r="D2194" s="4"/>
      <c r="E2194" s="4"/>
      <c r="H2194" s="4"/>
      <c r="I2194" s="4"/>
    </row>
    <row r="2195" spans="4:9" x14ac:dyDescent="0.25">
      <c r="D2195" s="4"/>
      <c r="E2195" s="4"/>
      <c r="H2195" s="4"/>
      <c r="I2195" s="4"/>
    </row>
    <row r="2196" spans="4:9" x14ac:dyDescent="0.25">
      <c r="D2196" s="4"/>
      <c r="E2196" s="4"/>
      <c r="H2196" s="4"/>
      <c r="I2196" s="4"/>
    </row>
    <row r="2197" spans="4:9" x14ac:dyDescent="0.25">
      <c r="D2197" s="4"/>
      <c r="E2197" s="4"/>
      <c r="H2197" s="4"/>
      <c r="I2197" s="4"/>
    </row>
    <row r="2198" spans="4:9" x14ac:dyDescent="0.25">
      <c r="D2198" s="4"/>
      <c r="E2198" s="4"/>
      <c r="H2198" s="4"/>
      <c r="I2198" s="4"/>
    </row>
    <row r="2199" spans="4:9" x14ac:dyDescent="0.25">
      <c r="D2199" s="4"/>
      <c r="E2199" s="4"/>
      <c r="H2199" s="4"/>
      <c r="I2199" s="4"/>
    </row>
    <row r="2200" spans="4:9" x14ac:dyDescent="0.25">
      <c r="D2200" s="4"/>
      <c r="E2200" s="4"/>
      <c r="H2200" s="4"/>
      <c r="I2200" s="4"/>
    </row>
    <row r="2201" spans="4:9" x14ac:dyDescent="0.25">
      <c r="D2201" s="4"/>
      <c r="E2201" s="4"/>
      <c r="H2201" s="4"/>
      <c r="I2201" s="4"/>
    </row>
    <row r="2202" spans="4:9" x14ac:dyDescent="0.25">
      <c r="D2202" s="4"/>
      <c r="E2202" s="4"/>
      <c r="H2202" s="4"/>
      <c r="I2202" s="4"/>
    </row>
    <row r="2203" spans="4:9" x14ac:dyDescent="0.25">
      <c r="D2203" s="4"/>
      <c r="E2203" s="4"/>
      <c r="H2203" s="4"/>
      <c r="I2203" s="4"/>
    </row>
    <row r="2204" spans="4:9" x14ac:dyDescent="0.25">
      <c r="D2204" s="4"/>
      <c r="E2204" s="4"/>
      <c r="H2204" s="4"/>
      <c r="I2204" s="4"/>
    </row>
    <row r="2205" spans="4:9" x14ac:dyDescent="0.25">
      <c r="D2205" s="4"/>
      <c r="E2205" s="4"/>
      <c r="H2205" s="4"/>
      <c r="I2205" s="4"/>
    </row>
    <row r="2206" spans="4:9" x14ac:dyDescent="0.25">
      <c r="D2206" s="4"/>
      <c r="E2206" s="4"/>
      <c r="H2206" s="4"/>
      <c r="I2206" s="4"/>
    </row>
    <row r="2207" spans="4:9" x14ac:dyDescent="0.25">
      <c r="D2207" s="4"/>
      <c r="E2207" s="4"/>
      <c r="H2207" s="4"/>
      <c r="I2207" s="4"/>
    </row>
    <row r="2208" spans="4:9" x14ac:dyDescent="0.25">
      <c r="D2208" s="4"/>
      <c r="E2208" s="4"/>
      <c r="H2208" s="4"/>
      <c r="I2208" s="4"/>
    </row>
    <row r="2209" spans="4:9" x14ac:dyDescent="0.25">
      <c r="D2209" s="4"/>
      <c r="E2209" s="4"/>
      <c r="H2209" s="4"/>
      <c r="I2209" s="4"/>
    </row>
    <row r="2210" spans="4:9" x14ac:dyDescent="0.25">
      <c r="D2210" s="4"/>
      <c r="E2210" s="4"/>
      <c r="H2210" s="4"/>
      <c r="I2210" s="4"/>
    </row>
    <row r="2211" spans="4:9" x14ac:dyDescent="0.25">
      <c r="D2211" s="4"/>
      <c r="E2211" s="4"/>
      <c r="H2211" s="4"/>
      <c r="I2211" s="4"/>
    </row>
    <row r="2212" spans="4:9" x14ac:dyDescent="0.25">
      <c r="D2212" s="4"/>
      <c r="E2212" s="4"/>
      <c r="H2212" s="4"/>
      <c r="I2212" s="4"/>
    </row>
    <row r="2213" spans="4:9" x14ac:dyDescent="0.25">
      <c r="D2213" s="4"/>
      <c r="E2213" s="4"/>
      <c r="H2213" s="4"/>
      <c r="I2213" s="4"/>
    </row>
    <row r="2214" spans="4:9" x14ac:dyDescent="0.25">
      <c r="D2214" s="4"/>
      <c r="E2214" s="4"/>
      <c r="H2214" s="4"/>
      <c r="I2214" s="4"/>
    </row>
    <row r="2215" spans="4:9" x14ac:dyDescent="0.25">
      <c r="D2215" s="4"/>
      <c r="E2215" s="4"/>
      <c r="H2215" s="4"/>
      <c r="I2215" s="4"/>
    </row>
    <row r="2216" spans="4:9" x14ac:dyDescent="0.25">
      <c r="D2216" s="4"/>
      <c r="E2216" s="4"/>
      <c r="H2216" s="4"/>
      <c r="I2216" s="4"/>
    </row>
    <row r="2217" spans="4:9" x14ac:dyDescent="0.25">
      <c r="D2217" s="4"/>
      <c r="E2217" s="4"/>
      <c r="H2217" s="4"/>
      <c r="I2217" s="4"/>
    </row>
    <row r="2218" spans="4:9" x14ac:dyDescent="0.25">
      <c r="D2218" s="4"/>
      <c r="E2218" s="4"/>
      <c r="H2218" s="4"/>
      <c r="I2218" s="4"/>
    </row>
    <row r="2219" spans="4:9" x14ac:dyDescent="0.25">
      <c r="D2219" s="4"/>
      <c r="E2219" s="4"/>
      <c r="H2219" s="4"/>
      <c r="I2219" s="4"/>
    </row>
    <row r="2220" spans="4:9" x14ac:dyDescent="0.25">
      <c r="D2220" s="4"/>
      <c r="E2220" s="4"/>
      <c r="H2220" s="4"/>
      <c r="I2220" s="4"/>
    </row>
    <row r="2221" spans="4:9" x14ac:dyDescent="0.25">
      <c r="D2221" s="4"/>
      <c r="E2221" s="4"/>
      <c r="H2221" s="4"/>
      <c r="I2221" s="4"/>
    </row>
    <row r="2222" spans="4:9" x14ac:dyDescent="0.25">
      <c r="D2222" s="4"/>
      <c r="E2222" s="4"/>
      <c r="H2222" s="4"/>
      <c r="I2222" s="4"/>
    </row>
    <row r="2223" spans="4:9" x14ac:dyDescent="0.25">
      <c r="D2223" s="4"/>
      <c r="E2223" s="4"/>
      <c r="H2223" s="4"/>
      <c r="I2223" s="4"/>
    </row>
    <row r="2224" spans="4:9" x14ac:dyDescent="0.25">
      <c r="D2224" s="4"/>
      <c r="E2224" s="4"/>
      <c r="H2224" s="4"/>
      <c r="I2224" s="4"/>
    </row>
    <row r="2225" spans="4:9" x14ac:dyDescent="0.25">
      <c r="D2225" s="4"/>
      <c r="E2225" s="4"/>
      <c r="H2225" s="4"/>
      <c r="I2225" s="4"/>
    </row>
    <row r="2226" spans="4:9" x14ac:dyDescent="0.25">
      <c r="D2226" s="4"/>
      <c r="E2226" s="4"/>
      <c r="H2226" s="4"/>
      <c r="I2226" s="4"/>
    </row>
    <row r="2227" spans="4:9" x14ac:dyDescent="0.25">
      <c r="D2227" s="4"/>
      <c r="E2227" s="4"/>
      <c r="H2227" s="4"/>
      <c r="I2227" s="4"/>
    </row>
    <row r="2228" spans="4:9" x14ac:dyDescent="0.25">
      <c r="D2228" s="4"/>
      <c r="E2228" s="4"/>
      <c r="H2228" s="4"/>
      <c r="I2228" s="4"/>
    </row>
    <row r="2229" spans="4:9" x14ac:dyDescent="0.25">
      <c r="D2229" s="4"/>
      <c r="E2229" s="4"/>
      <c r="H2229" s="4"/>
      <c r="I2229" s="4"/>
    </row>
    <row r="2230" spans="4:9" x14ac:dyDescent="0.25">
      <c r="D2230" s="4"/>
      <c r="E2230" s="4"/>
      <c r="H2230" s="4"/>
      <c r="I2230" s="4"/>
    </row>
    <row r="2231" spans="4:9" x14ac:dyDescent="0.25">
      <c r="D2231" s="4"/>
      <c r="E2231" s="4"/>
      <c r="H2231" s="4"/>
      <c r="I2231" s="4"/>
    </row>
    <row r="2232" spans="4:9" x14ac:dyDescent="0.25">
      <c r="D2232" s="4"/>
      <c r="E2232" s="4"/>
      <c r="H2232" s="4"/>
      <c r="I2232" s="4"/>
    </row>
    <row r="2233" spans="4:9" x14ac:dyDescent="0.25">
      <c r="D2233" s="4"/>
      <c r="E2233" s="4"/>
      <c r="H2233" s="4"/>
      <c r="I2233" s="4"/>
    </row>
    <row r="2234" spans="4:9" x14ac:dyDescent="0.25">
      <c r="D2234" s="4"/>
      <c r="E2234" s="4"/>
      <c r="H2234" s="4"/>
      <c r="I2234" s="4"/>
    </row>
    <row r="2235" spans="4:9" x14ac:dyDescent="0.25">
      <c r="D2235" s="4"/>
      <c r="E2235" s="4"/>
      <c r="H2235" s="4"/>
      <c r="I2235" s="4"/>
    </row>
    <row r="2236" spans="4:9" x14ac:dyDescent="0.25">
      <c r="D2236" s="4"/>
      <c r="E2236" s="4"/>
      <c r="H2236" s="4"/>
      <c r="I2236" s="4"/>
    </row>
    <row r="2237" spans="4:9" x14ac:dyDescent="0.25">
      <c r="D2237" s="4"/>
      <c r="E2237" s="4"/>
      <c r="H2237" s="4"/>
      <c r="I2237" s="4"/>
    </row>
    <row r="2238" spans="4:9" x14ac:dyDescent="0.25">
      <c r="D2238" s="4"/>
      <c r="E2238" s="4"/>
      <c r="H2238" s="4"/>
      <c r="I2238" s="4"/>
    </row>
    <row r="2239" spans="4:9" x14ac:dyDescent="0.25">
      <c r="D2239" s="4"/>
      <c r="E2239" s="4"/>
      <c r="H2239" s="4"/>
      <c r="I2239" s="4"/>
    </row>
    <row r="2240" spans="4:9" x14ac:dyDescent="0.25">
      <c r="D2240" s="4"/>
      <c r="E2240" s="4"/>
      <c r="H2240" s="4"/>
      <c r="I2240" s="4"/>
    </row>
    <row r="2241" spans="4:9" x14ac:dyDescent="0.25">
      <c r="D2241" s="4"/>
      <c r="E2241" s="4"/>
      <c r="H2241" s="4"/>
      <c r="I2241" s="4"/>
    </row>
    <row r="2242" spans="4:9" x14ac:dyDescent="0.25">
      <c r="D2242" s="4"/>
      <c r="E2242" s="4"/>
      <c r="H2242" s="4"/>
      <c r="I2242" s="4"/>
    </row>
    <row r="2243" spans="4:9" x14ac:dyDescent="0.25">
      <c r="D2243" s="4"/>
      <c r="E2243" s="4"/>
      <c r="H2243" s="4"/>
      <c r="I2243" s="4"/>
    </row>
    <row r="2244" spans="4:9" x14ac:dyDescent="0.25">
      <c r="D2244" s="4"/>
      <c r="E2244" s="4"/>
      <c r="H2244" s="4"/>
      <c r="I2244" s="4"/>
    </row>
    <row r="2245" spans="4:9" x14ac:dyDescent="0.25">
      <c r="D2245" s="4"/>
      <c r="E2245" s="4"/>
      <c r="H2245" s="4"/>
      <c r="I2245" s="4"/>
    </row>
    <row r="2246" spans="4:9" x14ac:dyDescent="0.25">
      <c r="D2246" s="4"/>
      <c r="E2246" s="4"/>
      <c r="H2246" s="4"/>
      <c r="I2246" s="4"/>
    </row>
    <row r="2247" spans="4:9" x14ac:dyDescent="0.25">
      <c r="D2247" s="4"/>
      <c r="E2247" s="4"/>
      <c r="H2247" s="4"/>
      <c r="I2247" s="4"/>
    </row>
    <row r="2248" spans="4:9" x14ac:dyDescent="0.25">
      <c r="D2248" s="4"/>
      <c r="E2248" s="4"/>
      <c r="H2248" s="4"/>
      <c r="I2248" s="4"/>
    </row>
    <row r="2249" spans="4:9" x14ac:dyDescent="0.25">
      <c r="D2249" s="4"/>
      <c r="E2249" s="4"/>
      <c r="H2249" s="4"/>
      <c r="I2249" s="4"/>
    </row>
    <row r="2250" spans="4:9" x14ac:dyDescent="0.25">
      <c r="D2250" s="4"/>
      <c r="E2250" s="4"/>
      <c r="H2250" s="4"/>
      <c r="I2250" s="4"/>
    </row>
    <row r="2251" spans="4:9" x14ac:dyDescent="0.25">
      <c r="D2251" s="4"/>
      <c r="E2251" s="4"/>
      <c r="H2251" s="4"/>
      <c r="I2251" s="4"/>
    </row>
    <row r="2252" spans="4:9" x14ac:dyDescent="0.25">
      <c r="D2252" s="4"/>
      <c r="E2252" s="4"/>
      <c r="H2252" s="4"/>
      <c r="I2252" s="4"/>
    </row>
    <row r="2253" spans="4:9" x14ac:dyDescent="0.25">
      <c r="D2253" s="4"/>
      <c r="E2253" s="4"/>
      <c r="H2253" s="4"/>
      <c r="I2253" s="4"/>
    </row>
    <row r="2254" spans="4:9" x14ac:dyDescent="0.25">
      <c r="D2254" s="4"/>
      <c r="E2254" s="4"/>
      <c r="H2254" s="4"/>
      <c r="I2254" s="4"/>
    </row>
    <row r="2255" spans="4:9" x14ac:dyDescent="0.25">
      <c r="D2255" s="4"/>
      <c r="E2255" s="4"/>
      <c r="H2255" s="4"/>
      <c r="I2255" s="4"/>
    </row>
    <row r="2256" spans="4:9" x14ac:dyDescent="0.25">
      <c r="D2256" s="4"/>
      <c r="E2256" s="4"/>
      <c r="H2256" s="4"/>
      <c r="I2256" s="4"/>
    </row>
    <row r="2257" spans="4:9" x14ac:dyDescent="0.25">
      <c r="D2257" s="4"/>
      <c r="E2257" s="4"/>
      <c r="H2257" s="4"/>
      <c r="I2257" s="4"/>
    </row>
    <row r="2258" spans="4:9" x14ac:dyDescent="0.25">
      <c r="D2258" s="4"/>
      <c r="E2258" s="4"/>
      <c r="H2258" s="4"/>
      <c r="I2258" s="4"/>
    </row>
    <row r="2259" spans="4:9" x14ac:dyDescent="0.25">
      <c r="D2259" s="4"/>
      <c r="E2259" s="4"/>
      <c r="H2259" s="4"/>
      <c r="I2259" s="4"/>
    </row>
    <row r="2260" spans="4:9" x14ac:dyDescent="0.25">
      <c r="D2260" s="4"/>
      <c r="E2260" s="4"/>
      <c r="H2260" s="4"/>
      <c r="I2260" s="4"/>
    </row>
    <row r="2261" spans="4:9" x14ac:dyDescent="0.25">
      <c r="D2261" s="4"/>
      <c r="E2261" s="4"/>
      <c r="H2261" s="4"/>
      <c r="I2261" s="4"/>
    </row>
    <row r="2262" spans="4:9" x14ac:dyDescent="0.25">
      <c r="D2262" s="4"/>
      <c r="E2262" s="4"/>
      <c r="H2262" s="4"/>
      <c r="I2262" s="4"/>
    </row>
    <row r="2263" spans="4:9" x14ac:dyDescent="0.25">
      <c r="D2263" s="4"/>
      <c r="E2263" s="4"/>
      <c r="H2263" s="4"/>
      <c r="I2263" s="4"/>
    </row>
    <row r="2264" spans="4:9" x14ac:dyDescent="0.25">
      <c r="D2264" s="4"/>
      <c r="E2264" s="4"/>
      <c r="H2264" s="4"/>
      <c r="I2264" s="4"/>
    </row>
    <row r="2265" spans="4:9" x14ac:dyDescent="0.25">
      <c r="D2265" s="4"/>
      <c r="E2265" s="4"/>
      <c r="H2265" s="4"/>
      <c r="I2265" s="4"/>
    </row>
    <row r="2266" spans="4:9" x14ac:dyDescent="0.25">
      <c r="D2266" s="4"/>
      <c r="E2266" s="4"/>
      <c r="H2266" s="4"/>
      <c r="I2266" s="4"/>
    </row>
    <row r="2267" spans="4:9" x14ac:dyDescent="0.25">
      <c r="D2267" s="4"/>
      <c r="E2267" s="4"/>
      <c r="H2267" s="4"/>
      <c r="I2267" s="4"/>
    </row>
    <row r="2268" spans="4:9" x14ac:dyDescent="0.25">
      <c r="D2268" s="4"/>
      <c r="E2268" s="4"/>
      <c r="H2268" s="4"/>
      <c r="I2268" s="4"/>
    </row>
    <row r="2269" spans="4:9" x14ac:dyDescent="0.25">
      <c r="D2269" s="4"/>
      <c r="E2269" s="4"/>
      <c r="H2269" s="4"/>
      <c r="I2269" s="4"/>
    </row>
    <row r="2270" spans="4:9" x14ac:dyDescent="0.25">
      <c r="D2270" s="4"/>
      <c r="E2270" s="4"/>
      <c r="H2270" s="4"/>
      <c r="I2270" s="4"/>
    </row>
    <row r="2271" spans="4:9" x14ac:dyDescent="0.25">
      <c r="D2271" s="4"/>
      <c r="E2271" s="4"/>
      <c r="H2271" s="4"/>
      <c r="I2271" s="4"/>
    </row>
    <row r="2272" spans="4:9" x14ac:dyDescent="0.25">
      <c r="D2272" s="4"/>
      <c r="E2272" s="4"/>
      <c r="H2272" s="4"/>
      <c r="I2272" s="4"/>
    </row>
    <row r="2273" spans="4:9" x14ac:dyDescent="0.25">
      <c r="D2273" s="4"/>
      <c r="E2273" s="4"/>
      <c r="H2273" s="4"/>
      <c r="I2273" s="4"/>
    </row>
    <row r="2274" spans="4:9" x14ac:dyDescent="0.25">
      <c r="D2274" s="4"/>
      <c r="E2274" s="4"/>
      <c r="H2274" s="4"/>
      <c r="I2274" s="4"/>
    </row>
    <row r="2275" spans="4:9" x14ac:dyDescent="0.25">
      <c r="D2275" s="4"/>
      <c r="E2275" s="4"/>
      <c r="H2275" s="4"/>
      <c r="I2275" s="4"/>
    </row>
    <row r="2276" spans="4:9" x14ac:dyDescent="0.25">
      <c r="D2276" s="4"/>
      <c r="E2276" s="4"/>
      <c r="H2276" s="4"/>
      <c r="I2276" s="4"/>
    </row>
    <row r="2277" spans="4:9" x14ac:dyDescent="0.25">
      <c r="D2277" s="4"/>
      <c r="E2277" s="4"/>
      <c r="H2277" s="4"/>
      <c r="I2277" s="4"/>
    </row>
    <row r="2278" spans="4:9" x14ac:dyDescent="0.25">
      <c r="D2278" s="4"/>
      <c r="E2278" s="4"/>
      <c r="H2278" s="4"/>
      <c r="I2278" s="4"/>
    </row>
    <row r="2279" spans="4:9" x14ac:dyDescent="0.25">
      <c r="D2279" s="4"/>
      <c r="E2279" s="4"/>
      <c r="H2279" s="4"/>
      <c r="I2279" s="4"/>
    </row>
    <row r="2280" spans="4:9" x14ac:dyDescent="0.25">
      <c r="D2280" s="4"/>
      <c r="E2280" s="4"/>
      <c r="H2280" s="4"/>
      <c r="I2280" s="4"/>
    </row>
    <row r="2281" spans="4:9" x14ac:dyDescent="0.25">
      <c r="D2281" s="4"/>
      <c r="E2281" s="4"/>
      <c r="H2281" s="4"/>
      <c r="I2281" s="4"/>
    </row>
    <row r="2282" spans="4:9" x14ac:dyDescent="0.25">
      <c r="D2282" s="4"/>
      <c r="E2282" s="4"/>
      <c r="H2282" s="4"/>
      <c r="I2282" s="4"/>
    </row>
    <row r="2283" spans="4:9" x14ac:dyDescent="0.25">
      <c r="D2283" s="4"/>
      <c r="E2283" s="4"/>
      <c r="H2283" s="4"/>
      <c r="I2283" s="4"/>
    </row>
    <row r="2284" spans="4:9" x14ac:dyDescent="0.25">
      <c r="D2284" s="4"/>
      <c r="E2284" s="4"/>
      <c r="H2284" s="4"/>
      <c r="I2284" s="4"/>
    </row>
    <row r="2285" spans="4:9" x14ac:dyDescent="0.25">
      <c r="D2285" s="4"/>
      <c r="E2285" s="4"/>
      <c r="H2285" s="4"/>
      <c r="I2285" s="4"/>
    </row>
    <row r="2286" spans="4:9" x14ac:dyDescent="0.25">
      <c r="D2286" s="4"/>
      <c r="E2286" s="4"/>
      <c r="H2286" s="4"/>
      <c r="I2286" s="4"/>
    </row>
    <row r="2287" spans="4:9" x14ac:dyDescent="0.25">
      <c r="D2287" s="4"/>
      <c r="E2287" s="4"/>
      <c r="H2287" s="4"/>
      <c r="I2287" s="4"/>
    </row>
    <row r="2288" spans="4:9" x14ac:dyDescent="0.25">
      <c r="D2288" s="4"/>
      <c r="E2288" s="4"/>
      <c r="H2288" s="4"/>
      <c r="I2288" s="4"/>
    </row>
    <row r="2289" spans="4:9" x14ac:dyDescent="0.25">
      <c r="D2289" s="4"/>
      <c r="E2289" s="4"/>
      <c r="H2289" s="4"/>
      <c r="I2289" s="4"/>
    </row>
    <row r="2290" spans="4:9" x14ac:dyDescent="0.25">
      <c r="D2290" s="4"/>
      <c r="E2290" s="4"/>
      <c r="H2290" s="4"/>
      <c r="I2290" s="4"/>
    </row>
    <row r="2291" spans="4:9" x14ac:dyDescent="0.25">
      <c r="D2291" s="4"/>
      <c r="E2291" s="4"/>
      <c r="H2291" s="4"/>
      <c r="I2291" s="4"/>
    </row>
    <row r="2292" spans="4:9" x14ac:dyDescent="0.25">
      <c r="D2292" s="4"/>
      <c r="E2292" s="4"/>
      <c r="H2292" s="4"/>
      <c r="I2292" s="4"/>
    </row>
    <row r="2293" spans="4:9" x14ac:dyDescent="0.25">
      <c r="D2293" s="4"/>
      <c r="E2293" s="4"/>
      <c r="H2293" s="4"/>
      <c r="I2293" s="4"/>
    </row>
    <row r="2294" spans="4:9" x14ac:dyDescent="0.25">
      <c r="D2294" s="4"/>
      <c r="E2294" s="4"/>
      <c r="H2294" s="4"/>
      <c r="I2294" s="4"/>
    </row>
    <row r="2295" spans="4:9" x14ac:dyDescent="0.25">
      <c r="D2295" s="4"/>
      <c r="E2295" s="4"/>
      <c r="H2295" s="4"/>
      <c r="I2295" s="4"/>
    </row>
    <row r="2296" spans="4:9" x14ac:dyDescent="0.25">
      <c r="D2296" s="4"/>
      <c r="E2296" s="4"/>
      <c r="H2296" s="4"/>
      <c r="I2296" s="4"/>
    </row>
    <row r="2297" spans="4:9" x14ac:dyDescent="0.25">
      <c r="D2297" s="4"/>
      <c r="E2297" s="4"/>
      <c r="H2297" s="4"/>
      <c r="I2297" s="4"/>
    </row>
    <row r="2298" spans="4:9" x14ac:dyDescent="0.25">
      <c r="D2298" s="4"/>
      <c r="E2298" s="4"/>
      <c r="H2298" s="4"/>
      <c r="I2298" s="4"/>
    </row>
    <row r="2299" spans="4:9" x14ac:dyDescent="0.25">
      <c r="D2299" s="4"/>
      <c r="E2299" s="4"/>
      <c r="H2299" s="4"/>
      <c r="I2299" s="4"/>
    </row>
    <row r="2300" spans="4:9" x14ac:dyDescent="0.25">
      <c r="D2300" s="4"/>
      <c r="E2300" s="4"/>
      <c r="H2300" s="4"/>
      <c r="I2300" s="4"/>
    </row>
    <row r="2301" spans="4:9" x14ac:dyDescent="0.25">
      <c r="D2301" s="4"/>
      <c r="E2301" s="4"/>
      <c r="H2301" s="4"/>
      <c r="I2301" s="4"/>
    </row>
    <row r="2302" spans="4:9" x14ac:dyDescent="0.25">
      <c r="D2302" s="4"/>
      <c r="E2302" s="4"/>
      <c r="H2302" s="4"/>
      <c r="I2302" s="4"/>
    </row>
    <row r="2303" spans="4:9" x14ac:dyDescent="0.25">
      <c r="D2303" s="4"/>
      <c r="E2303" s="4"/>
      <c r="H2303" s="4"/>
      <c r="I2303" s="4"/>
    </row>
    <row r="2304" spans="4:9" x14ac:dyDescent="0.25">
      <c r="D2304" s="4"/>
      <c r="E2304" s="4"/>
      <c r="H2304" s="4"/>
      <c r="I2304" s="4"/>
    </row>
    <row r="2305" spans="4:9" x14ac:dyDescent="0.25">
      <c r="D2305" s="4"/>
      <c r="E2305" s="4"/>
      <c r="H2305" s="4"/>
      <c r="I2305" s="4"/>
    </row>
    <row r="2306" spans="4:9" x14ac:dyDescent="0.25">
      <c r="D2306" s="4"/>
      <c r="E2306" s="4"/>
      <c r="H2306" s="4"/>
      <c r="I2306" s="4"/>
    </row>
    <row r="2307" spans="4:9" x14ac:dyDescent="0.25">
      <c r="D2307" s="4"/>
      <c r="E2307" s="4"/>
      <c r="H2307" s="4"/>
      <c r="I2307" s="4"/>
    </row>
    <row r="2308" spans="4:9" x14ac:dyDescent="0.25">
      <c r="D2308" s="4"/>
      <c r="E2308" s="4"/>
      <c r="H2308" s="4"/>
      <c r="I2308" s="4"/>
    </row>
    <row r="2309" spans="4:9" x14ac:dyDescent="0.25">
      <c r="D2309" s="4"/>
      <c r="E2309" s="4"/>
      <c r="H2309" s="4"/>
      <c r="I2309" s="4"/>
    </row>
    <row r="2310" spans="4:9" x14ac:dyDescent="0.25">
      <c r="D2310" s="4"/>
      <c r="E2310" s="4"/>
      <c r="H2310" s="4"/>
      <c r="I2310" s="4"/>
    </row>
    <row r="2311" spans="4:9" x14ac:dyDescent="0.25">
      <c r="D2311" s="4"/>
      <c r="E2311" s="4"/>
      <c r="H2311" s="4"/>
      <c r="I2311" s="4"/>
    </row>
    <row r="2312" spans="4:9" x14ac:dyDescent="0.25">
      <c r="D2312" s="4"/>
      <c r="E2312" s="4"/>
      <c r="H2312" s="4"/>
      <c r="I2312" s="4"/>
    </row>
    <row r="2313" spans="4:9" x14ac:dyDescent="0.25">
      <c r="D2313" s="4"/>
      <c r="E2313" s="4"/>
      <c r="H2313" s="4"/>
      <c r="I2313" s="4"/>
    </row>
    <row r="2314" spans="4:9" x14ac:dyDescent="0.25">
      <c r="D2314" s="4"/>
      <c r="E2314" s="4"/>
      <c r="H2314" s="4"/>
      <c r="I2314" s="4"/>
    </row>
    <row r="2315" spans="4:9" x14ac:dyDescent="0.25">
      <c r="D2315" s="4"/>
      <c r="E2315" s="4"/>
      <c r="H2315" s="4"/>
      <c r="I2315" s="4"/>
    </row>
    <row r="2316" spans="4:9" x14ac:dyDescent="0.25">
      <c r="D2316" s="4"/>
      <c r="E2316" s="4"/>
      <c r="H2316" s="4"/>
      <c r="I2316" s="4"/>
    </row>
    <row r="2317" spans="4:9" x14ac:dyDescent="0.25">
      <c r="D2317" s="4"/>
      <c r="E2317" s="4"/>
      <c r="H2317" s="4"/>
      <c r="I2317" s="4"/>
    </row>
    <row r="2318" spans="4:9" x14ac:dyDescent="0.25">
      <c r="D2318" s="4"/>
      <c r="E2318" s="4"/>
      <c r="H2318" s="4"/>
      <c r="I2318" s="4"/>
    </row>
    <row r="2319" spans="4:9" x14ac:dyDescent="0.25">
      <c r="D2319" s="4"/>
      <c r="E2319" s="4"/>
      <c r="H2319" s="4"/>
      <c r="I2319" s="4"/>
    </row>
    <row r="2320" spans="4:9" x14ac:dyDescent="0.25">
      <c r="D2320" s="4"/>
      <c r="E2320" s="4"/>
      <c r="H2320" s="4"/>
      <c r="I2320" s="4"/>
    </row>
    <row r="2321" spans="4:9" x14ac:dyDescent="0.25">
      <c r="D2321" s="4"/>
      <c r="E2321" s="4"/>
      <c r="H2321" s="4"/>
      <c r="I2321" s="4"/>
    </row>
    <row r="2322" spans="4:9" x14ac:dyDescent="0.25">
      <c r="D2322" s="4"/>
      <c r="E2322" s="4"/>
      <c r="H2322" s="4"/>
      <c r="I2322" s="4"/>
    </row>
    <row r="2323" spans="4:9" x14ac:dyDescent="0.25">
      <c r="D2323" s="4"/>
      <c r="E2323" s="4"/>
      <c r="H2323" s="4"/>
      <c r="I2323" s="4"/>
    </row>
    <row r="2324" spans="4:9" x14ac:dyDescent="0.25">
      <c r="D2324" s="4"/>
      <c r="E2324" s="4"/>
      <c r="H2324" s="4"/>
      <c r="I2324" s="4"/>
    </row>
    <row r="2325" spans="4:9" x14ac:dyDescent="0.25">
      <c r="D2325" s="4"/>
      <c r="E2325" s="4"/>
      <c r="H2325" s="4"/>
      <c r="I2325" s="4"/>
    </row>
    <row r="2326" spans="4:9" x14ac:dyDescent="0.25">
      <c r="D2326" s="4"/>
      <c r="E2326" s="4"/>
      <c r="H2326" s="4"/>
      <c r="I2326" s="4"/>
    </row>
    <row r="2327" spans="4:9" x14ac:dyDescent="0.25">
      <c r="D2327" s="4"/>
      <c r="E2327" s="4"/>
      <c r="H2327" s="4"/>
      <c r="I2327" s="4"/>
    </row>
    <row r="2328" spans="4:9" x14ac:dyDescent="0.25">
      <c r="D2328" s="4"/>
      <c r="E2328" s="4"/>
      <c r="H2328" s="4"/>
      <c r="I2328" s="4"/>
    </row>
    <row r="2329" spans="4:9" x14ac:dyDescent="0.25">
      <c r="D2329" s="4"/>
      <c r="E2329" s="4"/>
      <c r="H2329" s="4"/>
      <c r="I2329" s="4"/>
    </row>
    <row r="2330" spans="4:9" x14ac:dyDescent="0.25">
      <c r="D2330" s="4"/>
      <c r="E2330" s="4"/>
      <c r="H2330" s="4"/>
      <c r="I2330" s="4"/>
    </row>
    <row r="2331" spans="4:9" x14ac:dyDescent="0.25">
      <c r="D2331" s="4"/>
      <c r="E2331" s="4"/>
      <c r="H2331" s="4"/>
      <c r="I2331" s="4"/>
    </row>
    <row r="2332" spans="4:9" x14ac:dyDescent="0.25">
      <c r="D2332" s="4"/>
      <c r="E2332" s="4"/>
      <c r="H2332" s="4"/>
      <c r="I2332" s="4"/>
    </row>
    <row r="2333" spans="4:9" x14ac:dyDescent="0.25">
      <c r="D2333" s="4"/>
      <c r="E2333" s="4"/>
      <c r="H2333" s="4"/>
      <c r="I2333" s="4"/>
    </row>
    <row r="2334" spans="4:9" x14ac:dyDescent="0.25">
      <c r="D2334" s="4"/>
      <c r="E2334" s="4"/>
      <c r="H2334" s="4"/>
      <c r="I2334" s="4"/>
    </row>
    <row r="2335" spans="4:9" x14ac:dyDescent="0.25">
      <c r="D2335" s="4"/>
      <c r="E2335" s="4"/>
      <c r="H2335" s="4"/>
      <c r="I2335" s="4"/>
    </row>
    <row r="2336" spans="4:9" x14ac:dyDescent="0.25">
      <c r="D2336" s="4"/>
      <c r="E2336" s="4"/>
      <c r="H2336" s="4"/>
      <c r="I2336" s="4"/>
    </row>
    <row r="2337" spans="4:9" x14ac:dyDescent="0.25">
      <c r="D2337" s="4"/>
      <c r="E2337" s="4"/>
      <c r="H2337" s="4"/>
      <c r="I2337" s="4"/>
    </row>
    <row r="2338" spans="4:9" x14ac:dyDescent="0.25">
      <c r="D2338" s="4"/>
      <c r="E2338" s="4"/>
      <c r="H2338" s="4"/>
      <c r="I2338" s="4"/>
    </row>
    <row r="2339" spans="4:9" x14ac:dyDescent="0.25">
      <c r="D2339" s="4"/>
      <c r="E2339" s="4"/>
      <c r="H2339" s="4"/>
      <c r="I2339" s="4"/>
    </row>
    <row r="2340" spans="4:9" x14ac:dyDescent="0.25">
      <c r="D2340" s="4"/>
      <c r="E2340" s="4"/>
      <c r="H2340" s="4"/>
      <c r="I2340" s="4"/>
    </row>
    <row r="2341" spans="4:9" x14ac:dyDescent="0.25">
      <c r="D2341" s="4"/>
      <c r="E2341" s="4"/>
      <c r="H2341" s="4"/>
      <c r="I2341" s="4"/>
    </row>
    <row r="2342" spans="4:9" x14ac:dyDescent="0.25">
      <c r="D2342" s="4"/>
      <c r="E2342" s="4"/>
      <c r="H2342" s="4"/>
      <c r="I2342" s="4"/>
    </row>
    <row r="2343" spans="4:9" x14ac:dyDescent="0.25">
      <c r="D2343" s="4"/>
      <c r="E2343" s="4"/>
      <c r="H2343" s="4"/>
      <c r="I2343" s="4"/>
    </row>
    <row r="2344" spans="4:9" x14ac:dyDescent="0.25">
      <c r="D2344" s="4"/>
      <c r="E2344" s="4"/>
      <c r="H2344" s="4"/>
      <c r="I2344" s="4"/>
    </row>
    <row r="2345" spans="4:9" x14ac:dyDescent="0.25">
      <c r="D2345" s="4"/>
      <c r="E2345" s="4"/>
      <c r="H2345" s="4"/>
      <c r="I2345" s="4"/>
    </row>
    <row r="2346" spans="4:9" x14ac:dyDescent="0.25">
      <c r="D2346" s="4"/>
      <c r="E2346" s="4"/>
      <c r="H2346" s="4"/>
      <c r="I2346" s="4"/>
    </row>
    <row r="2347" spans="4:9" x14ac:dyDescent="0.25">
      <c r="D2347" s="4"/>
      <c r="E2347" s="4"/>
      <c r="H2347" s="4"/>
      <c r="I2347" s="4"/>
    </row>
    <row r="2348" spans="4:9" x14ac:dyDescent="0.25">
      <c r="D2348" s="4"/>
      <c r="E2348" s="4"/>
      <c r="H2348" s="4"/>
      <c r="I2348" s="4"/>
    </row>
    <row r="2349" spans="4:9" x14ac:dyDescent="0.25">
      <c r="D2349" s="4"/>
      <c r="E2349" s="4"/>
      <c r="H2349" s="4"/>
      <c r="I2349" s="4"/>
    </row>
    <row r="2350" spans="4:9" x14ac:dyDescent="0.25">
      <c r="D2350" s="4"/>
      <c r="E2350" s="4"/>
      <c r="H2350" s="4"/>
      <c r="I2350" s="4"/>
    </row>
    <row r="2351" spans="4:9" x14ac:dyDescent="0.25">
      <c r="D2351" s="4"/>
      <c r="E2351" s="4"/>
      <c r="H2351" s="4"/>
      <c r="I2351" s="4"/>
    </row>
    <row r="2352" spans="4:9" x14ac:dyDescent="0.25">
      <c r="D2352" s="4"/>
      <c r="E2352" s="4"/>
      <c r="H2352" s="4"/>
      <c r="I2352" s="4"/>
    </row>
    <row r="2353" spans="4:9" x14ac:dyDescent="0.25">
      <c r="D2353" s="4"/>
      <c r="E2353" s="4"/>
      <c r="H2353" s="4"/>
      <c r="I2353" s="4"/>
    </row>
    <row r="2354" spans="4:9" x14ac:dyDescent="0.25">
      <c r="D2354" s="4"/>
      <c r="E2354" s="4"/>
      <c r="H2354" s="4"/>
      <c r="I2354" s="4"/>
    </row>
    <row r="2355" spans="4:9" x14ac:dyDescent="0.25">
      <c r="D2355" s="4"/>
      <c r="E2355" s="4"/>
      <c r="H2355" s="4"/>
      <c r="I2355" s="4"/>
    </row>
    <row r="2356" spans="4:9" x14ac:dyDescent="0.25">
      <c r="D2356" s="4"/>
      <c r="E2356" s="4"/>
      <c r="H2356" s="4"/>
      <c r="I2356" s="4"/>
    </row>
    <row r="2357" spans="4:9" x14ac:dyDescent="0.25">
      <c r="D2357" s="4"/>
      <c r="E2357" s="4"/>
      <c r="H2357" s="4"/>
      <c r="I2357" s="4"/>
    </row>
    <row r="2358" spans="4:9" x14ac:dyDescent="0.25">
      <c r="D2358" s="4"/>
      <c r="E2358" s="4"/>
      <c r="H2358" s="4"/>
      <c r="I2358" s="4"/>
    </row>
    <row r="2359" spans="4:9" x14ac:dyDescent="0.25">
      <c r="D2359" s="4"/>
      <c r="E2359" s="4"/>
      <c r="H2359" s="4"/>
      <c r="I2359" s="4"/>
    </row>
    <row r="2360" spans="4:9" x14ac:dyDescent="0.25">
      <c r="D2360" s="4"/>
      <c r="E2360" s="4"/>
      <c r="H2360" s="4"/>
      <c r="I2360" s="4"/>
    </row>
    <row r="2361" spans="4:9" x14ac:dyDescent="0.25">
      <c r="D2361" s="4"/>
      <c r="E2361" s="4"/>
      <c r="H2361" s="4"/>
      <c r="I2361" s="4"/>
    </row>
    <row r="2362" spans="4:9" x14ac:dyDescent="0.25">
      <c r="D2362" s="4"/>
      <c r="E2362" s="4"/>
      <c r="H2362" s="4"/>
      <c r="I2362" s="4"/>
    </row>
    <row r="2363" spans="4:9" x14ac:dyDescent="0.25">
      <c r="D2363" s="4"/>
      <c r="E2363" s="4"/>
      <c r="H2363" s="4"/>
      <c r="I2363" s="4"/>
    </row>
    <row r="2364" spans="4:9" x14ac:dyDescent="0.25">
      <c r="D2364" s="4"/>
      <c r="E2364" s="4"/>
      <c r="H2364" s="4"/>
      <c r="I2364" s="4"/>
    </row>
    <row r="2365" spans="4:9" x14ac:dyDescent="0.25">
      <c r="D2365" s="4"/>
      <c r="E2365" s="4"/>
      <c r="H2365" s="4"/>
      <c r="I2365" s="4"/>
    </row>
    <row r="2366" spans="4:9" x14ac:dyDescent="0.25">
      <c r="D2366" s="4"/>
      <c r="E2366" s="4"/>
      <c r="H2366" s="4"/>
      <c r="I2366" s="4"/>
    </row>
    <row r="2367" spans="4:9" x14ac:dyDescent="0.25">
      <c r="D2367" s="4"/>
      <c r="E2367" s="4"/>
      <c r="H2367" s="4"/>
      <c r="I2367" s="4"/>
    </row>
    <row r="2368" spans="4:9" x14ac:dyDescent="0.25">
      <c r="D2368" s="4"/>
      <c r="E2368" s="4"/>
      <c r="H2368" s="4"/>
      <c r="I2368" s="4"/>
    </row>
    <row r="2369" spans="4:9" x14ac:dyDescent="0.25">
      <c r="D2369" s="4"/>
      <c r="E2369" s="4"/>
      <c r="H2369" s="4"/>
      <c r="I2369" s="4"/>
    </row>
    <row r="2370" spans="4:9" x14ac:dyDescent="0.25">
      <c r="D2370" s="4"/>
      <c r="E2370" s="4"/>
      <c r="H2370" s="4"/>
      <c r="I2370" s="4"/>
    </row>
    <row r="2371" spans="4:9" x14ac:dyDescent="0.25">
      <c r="D2371" s="4"/>
      <c r="E2371" s="4"/>
      <c r="H2371" s="4"/>
      <c r="I2371" s="4"/>
    </row>
    <row r="2372" spans="4:9" x14ac:dyDescent="0.25">
      <c r="D2372" s="4"/>
      <c r="E2372" s="4"/>
      <c r="H2372" s="4"/>
      <c r="I2372" s="4"/>
    </row>
    <row r="2373" spans="4:9" x14ac:dyDescent="0.25">
      <c r="D2373" s="4"/>
      <c r="E2373" s="4"/>
      <c r="H2373" s="4"/>
      <c r="I2373" s="4"/>
    </row>
    <row r="2374" spans="4:9" x14ac:dyDescent="0.25">
      <c r="D2374" s="4"/>
      <c r="E2374" s="4"/>
      <c r="H2374" s="4"/>
      <c r="I2374" s="4"/>
    </row>
    <row r="2375" spans="4:9" x14ac:dyDescent="0.25">
      <c r="D2375" s="4"/>
      <c r="E2375" s="4"/>
      <c r="H2375" s="4"/>
      <c r="I2375" s="4"/>
    </row>
    <row r="2376" spans="4:9" x14ac:dyDescent="0.25">
      <c r="D2376" s="4"/>
      <c r="E2376" s="4"/>
      <c r="H2376" s="4"/>
      <c r="I2376" s="4"/>
    </row>
    <row r="2377" spans="4:9" x14ac:dyDescent="0.25">
      <c r="D2377" s="4"/>
      <c r="E2377" s="4"/>
      <c r="H2377" s="4"/>
      <c r="I2377" s="4"/>
    </row>
    <row r="2378" spans="4:9" x14ac:dyDescent="0.25">
      <c r="D2378" s="4"/>
      <c r="E2378" s="4"/>
      <c r="H2378" s="4"/>
      <c r="I2378" s="4"/>
    </row>
    <row r="2379" spans="4:9" x14ac:dyDescent="0.25">
      <c r="D2379" s="4"/>
      <c r="E2379" s="4"/>
      <c r="H2379" s="4"/>
      <c r="I2379" s="4"/>
    </row>
    <row r="2380" spans="4:9" x14ac:dyDescent="0.25">
      <c r="D2380" s="4"/>
      <c r="E2380" s="4"/>
      <c r="H2380" s="4"/>
      <c r="I2380" s="4"/>
    </row>
    <row r="2381" spans="4:9" x14ac:dyDescent="0.25">
      <c r="D2381" s="4"/>
      <c r="E2381" s="4"/>
      <c r="H2381" s="4"/>
      <c r="I2381" s="4"/>
    </row>
    <row r="2382" spans="4:9" x14ac:dyDescent="0.25">
      <c r="D2382" s="4"/>
      <c r="E2382" s="4"/>
      <c r="H2382" s="4"/>
      <c r="I2382" s="4"/>
    </row>
    <row r="2383" spans="4:9" x14ac:dyDescent="0.25">
      <c r="D2383" s="4"/>
      <c r="E2383" s="4"/>
      <c r="H2383" s="4"/>
      <c r="I2383" s="4"/>
    </row>
    <row r="2384" spans="4:9" x14ac:dyDescent="0.25">
      <c r="D2384" s="4"/>
      <c r="E2384" s="4"/>
      <c r="H2384" s="4"/>
      <c r="I2384" s="4"/>
    </row>
    <row r="2385" spans="4:9" x14ac:dyDescent="0.25">
      <c r="D2385" s="4"/>
      <c r="E2385" s="4"/>
      <c r="H2385" s="4"/>
      <c r="I2385" s="4"/>
    </row>
    <row r="2386" spans="4:9" x14ac:dyDescent="0.25">
      <c r="D2386" s="4"/>
      <c r="E2386" s="4"/>
      <c r="H2386" s="4"/>
      <c r="I2386" s="4"/>
    </row>
    <row r="2387" spans="4:9" x14ac:dyDescent="0.25">
      <c r="D2387" s="4"/>
      <c r="E2387" s="4"/>
      <c r="H2387" s="4"/>
      <c r="I2387" s="4"/>
    </row>
    <row r="2388" spans="4:9" x14ac:dyDescent="0.25">
      <c r="D2388" s="4"/>
      <c r="E2388" s="4"/>
      <c r="H2388" s="4"/>
      <c r="I2388" s="4"/>
    </row>
    <row r="2389" spans="4:9" x14ac:dyDescent="0.25">
      <c r="D2389" s="4"/>
      <c r="E2389" s="4"/>
      <c r="H2389" s="4"/>
      <c r="I2389" s="4"/>
    </row>
    <row r="2390" spans="4:9" x14ac:dyDescent="0.25">
      <c r="D2390" s="4"/>
      <c r="E2390" s="4"/>
      <c r="H2390" s="4"/>
      <c r="I2390" s="4"/>
    </row>
    <row r="2391" spans="4:9" x14ac:dyDescent="0.25">
      <c r="D2391" s="4"/>
      <c r="E2391" s="4"/>
      <c r="H2391" s="4"/>
      <c r="I2391" s="4"/>
    </row>
    <row r="2392" spans="4:9" x14ac:dyDescent="0.25">
      <c r="D2392" s="4"/>
      <c r="E2392" s="4"/>
      <c r="H2392" s="4"/>
      <c r="I2392" s="4"/>
    </row>
    <row r="2393" spans="4:9" x14ac:dyDescent="0.25">
      <c r="D2393" s="4"/>
      <c r="E2393" s="4"/>
      <c r="H2393" s="4"/>
      <c r="I2393" s="4"/>
    </row>
    <row r="2394" spans="4:9" x14ac:dyDescent="0.25">
      <c r="D2394" s="4"/>
      <c r="E2394" s="4"/>
      <c r="H2394" s="4"/>
      <c r="I2394" s="4"/>
    </row>
    <row r="2395" spans="4:9" x14ac:dyDescent="0.25">
      <c r="D2395" s="4"/>
      <c r="E2395" s="4"/>
      <c r="H2395" s="4"/>
      <c r="I2395" s="4"/>
    </row>
    <row r="2396" spans="4:9" x14ac:dyDescent="0.25">
      <c r="D2396" s="4"/>
      <c r="E2396" s="4"/>
      <c r="H2396" s="4"/>
      <c r="I2396" s="4"/>
    </row>
    <row r="2397" spans="4:9" x14ac:dyDescent="0.25">
      <c r="D2397" s="4"/>
      <c r="E2397" s="4"/>
      <c r="H2397" s="4"/>
      <c r="I2397" s="4"/>
    </row>
    <row r="2398" spans="4:9" x14ac:dyDescent="0.25">
      <c r="D2398" s="4"/>
      <c r="E2398" s="4"/>
      <c r="H2398" s="4"/>
      <c r="I2398" s="4"/>
    </row>
    <row r="2399" spans="4:9" x14ac:dyDescent="0.25">
      <c r="D2399" s="4"/>
      <c r="E2399" s="4"/>
      <c r="H2399" s="4"/>
      <c r="I2399" s="4"/>
    </row>
    <row r="2400" spans="4:9" x14ac:dyDescent="0.25">
      <c r="D2400" s="4"/>
      <c r="E2400" s="4"/>
      <c r="H2400" s="4"/>
      <c r="I2400" s="4"/>
    </row>
    <row r="2401" spans="4:9" x14ac:dyDescent="0.25">
      <c r="D2401" s="4"/>
      <c r="E2401" s="4"/>
      <c r="H2401" s="4"/>
      <c r="I2401" s="4"/>
    </row>
    <row r="2402" spans="4:9" x14ac:dyDescent="0.25">
      <c r="D2402" s="4"/>
      <c r="E2402" s="4"/>
      <c r="H2402" s="4"/>
      <c r="I2402" s="4"/>
    </row>
    <row r="2403" spans="4:9" x14ac:dyDescent="0.25">
      <c r="D2403" s="4"/>
      <c r="E2403" s="4"/>
      <c r="H2403" s="4"/>
      <c r="I2403" s="4"/>
    </row>
    <row r="2404" spans="4:9" x14ac:dyDescent="0.25">
      <c r="D2404" s="4"/>
      <c r="E2404" s="4"/>
      <c r="H2404" s="4"/>
      <c r="I2404" s="4"/>
    </row>
    <row r="2405" spans="4:9" x14ac:dyDescent="0.25">
      <c r="D2405" s="4"/>
      <c r="E2405" s="4"/>
      <c r="H2405" s="4"/>
      <c r="I2405" s="4"/>
    </row>
    <row r="2406" spans="4:9" x14ac:dyDescent="0.25">
      <c r="D2406" s="4"/>
      <c r="E2406" s="4"/>
      <c r="H2406" s="4"/>
      <c r="I2406" s="4"/>
    </row>
    <row r="2407" spans="4:9" x14ac:dyDescent="0.25">
      <c r="D2407" s="4"/>
      <c r="E2407" s="4"/>
      <c r="H2407" s="4"/>
      <c r="I2407" s="4"/>
    </row>
    <row r="2408" spans="4:9" x14ac:dyDescent="0.25">
      <c r="D2408" s="4"/>
      <c r="E2408" s="4"/>
      <c r="H2408" s="4"/>
      <c r="I2408" s="4"/>
    </row>
    <row r="2409" spans="4:9" x14ac:dyDescent="0.25">
      <c r="D2409" s="4"/>
      <c r="E2409" s="4"/>
      <c r="H2409" s="4"/>
      <c r="I2409" s="4"/>
    </row>
    <row r="2410" spans="4:9" x14ac:dyDescent="0.25">
      <c r="D2410" s="4"/>
      <c r="E2410" s="4"/>
      <c r="H2410" s="4"/>
      <c r="I2410" s="4"/>
    </row>
    <row r="2411" spans="4:9" x14ac:dyDescent="0.25">
      <c r="D2411" s="4"/>
      <c r="E2411" s="4"/>
      <c r="H2411" s="4"/>
      <c r="I2411" s="4"/>
    </row>
    <row r="2412" spans="4:9" x14ac:dyDescent="0.25">
      <c r="D2412" s="4"/>
      <c r="E2412" s="4"/>
      <c r="H2412" s="4"/>
      <c r="I2412" s="4"/>
    </row>
    <row r="2413" spans="4:9" x14ac:dyDescent="0.25">
      <c r="D2413" s="4"/>
      <c r="E2413" s="4"/>
      <c r="H2413" s="4"/>
      <c r="I2413" s="4"/>
    </row>
    <row r="2414" spans="4:9" x14ac:dyDescent="0.25">
      <c r="D2414" s="4"/>
      <c r="E2414" s="4"/>
      <c r="H2414" s="4"/>
      <c r="I2414" s="4"/>
    </row>
    <row r="2415" spans="4:9" x14ac:dyDescent="0.25">
      <c r="D2415" s="4"/>
      <c r="E2415" s="4"/>
      <c r="H2415" s="4"/>
      <c r="I2415" s="4"/>
    </row>
    <row r="2416" spans="4:9" x14ac:dyDescent="0.25">
      <c r="D2416" s="4"/>
      <c r="E2416" s="4"/>
      <c r="H2416" s="4"/>
      <c r="I2416" s="4"/>
    </row>
    <row r="2417" spans="4:9" x14ac:dyDescent="0.25">
      <c r="D2417" s="4"/>
      <c r="E2417" s="4"/>
      <c r="H2417" s="4"/>
      <c r="I2417" s="4"/>
    </row>
    <row r="2418" spans="4:9" x14ac:dyDescent="0.25">
      <c r="D2418" s="4"/>
      <c r="E2418" s="4"/>
      <c r="H2418" s="4"/>
      <c r="I2418" s="4"/>
    </row>
    <row r="2419" spans="4:9" x14ac:dyDescent="0.25">
      <c r="D2419" s="4"/>
      <c r="E2419" s="4"/>
      <c r="H2419" s="4"/>
      <c r="I2419" s="4"/>
    </row>
    <row r="2420" spans="4:9" x14ac:dyDescent="0.25">
      <c r="D2420" s="4"/>
      <c r="E2420" s="4"/>
      <c r="H2420" s="4"/>
      <c r="I2420" s="4"/>
    </row>
    <row r="2421" spans="4:9" x14ac:dyDescent="0.25">
      <c r="D2421" s="4"/>
      <c r="E2421" s="4"/>
      <c r="H2421" s="4"/>
      <c r="I2421" s="4"/>
    </row>
    <row r="2422" spans="4:9" x14ac:dyDescent="0.25">
      <c r="D2422" s="4"/>
      <c r="E2422" s="4"/>
      <c r="H2422" s="4"/>
      <c r="I2422" s="4"/>
    </row>
    <row r="2423" spans="4:9" x14ac:dyDescent="0.25">
      <c r="D2423" s="4"/>
      <c r="E2423" s="4"/>
      <c r="H2423" s="4"/>
      <c r="I2423" s="4"/>
    </row>
    <row r="2424" spans="4:9" x14ac:dyDescent="0.25">
      <c r="D2424" s="4"/>
      <c r="E2424" s="4"/>
      <c r="H2424" s="4"/>
      <c r="I2424" s="4"/>
    </row>
    <row r="2425" spans="4:9" x14ac:dyDescent="0.25">
      <c r="D2425" s="4"/>
      <c r="E2425" s="4"/>
      <c r="H2425" s="4"/>
      <c r="I2425" s="4"/>
    </row>
    <row r="2426" spans="4:9" x14ac:dyDescent="0.25">
      <c r="D2426" s="4"/>
      <c r="E2426" s="4"/>
      <c r="H2426" s="4"/>
      <c r="I2426" s="4"/>
    </row>
    <row r="2427" spans="4:9" x14ac:dyDescent="0.25">
      <c r="D2427" s="4"/>
      <c r="E2427" s="4"/>
      <c r="H2427" s="4"/>
      <c r="I2427" s="4"/>
    </row>
    <row r="2428" spans="4:9" x14ac:dyDescent="0.25">
      <c r="D2428" s="4"/>
      <c r="E2428" s="4"/>
      <c r="H2428" s="4"/>
      <c r="I2428" s="4"/>
    </row>
    <row r="2429" spans="4:9" x14ac:dyDescent="0.25">
      <c r="D2429" s="4"/>
      <c r="E2429" s="4"/>
      <c r="H2429" s="4"/>
      <c r="I2429" s="4"/>
    </row>
    <row r="2430" spans="4:9" x14ac:dyDescent="0.25">
      <c r="D2430" s="4"/>
      <c r="E2430" s="4"/>
      <c r="H2430" s="4"/>
      <c r="I2430" s="4"/>
    </row>
    <row r="2431" spans="4:9" x14ac:dyDescent="0.25">
      <c r="D2431" s="4"/>
      <c r="E2431" s="4"/>
      <c r="H2431" s="4"/>
      <c r="I2431" s="4"/>
    </row>
    <row r="2432" spans="4:9" x14ac:dyDescent="0.25">
      <c r="D2432" s="4"/>
      <c r="E2432" s="4"/>
      <c r="H2432" s="4"/>
      <c r="I2432" s="4"/>
    </row>
    <row r="2433" spans="4:9" x14ac:dyDescent="0.25">
      <c r="D2433" s="4"/>
      <c r="E2433" s="4"/>
      <c r="H2433" s="4"/>
      <c r="I2433" s="4"/>
    </row>
    <row r="2434" spans="4:9" x14ac:dyDescent="0.25">
      <c r="D2434" s="4"/>
      <c r="E2434" s="4"/>
      <c r="H2434" s="4"/>
      <c r="I2434" s="4"/>
    </row>
    <row r="2435" spans="4:9" x14ac:dyDescent="0.25">
      <c r="D2435" s="4"/>
      <c r="E2435" s="4"/>
      <c r="H2435" s="4"/>
      <c r="I2435" s="4"/>
    </row>
    <row r="2436" spans="4:9" x14ac:dyDescent="0.25">
      <c r="D2436" s="4"/>
      <c r="E2436" s="4"/>
      <c r="H2436" s="4"/>
      <c r="I2436" s="4"/>
    </row>
    <row r="2437" spans="4:9" x14ac:dyDescent="0.25">
      <c r="D2437" s="4"/>
      <c r="E2437" s="4"/>
      <c r="H2437" s="4"/>
      <c r="I2437" s="4"/>
    </row>
    <row r="2438" spans="4:9" x14ac:dyDescent="0.25">
      <c r="D2438" s="4"/>
      <c r="E2438" s="4"/>
      <c r="H2438" s="4"/>
      <c r="I2438" s="4"/>
    </row>
    <row r="2439" spans="4:9" x14ac:dyDescent="0.25">
      <c r="D2439" s="4"/>
      <c r="E2439" s="4"/>
      <c r="H2439" s="4"/>
      <c r="I2439" s="4"/>
    </row>
    <row r="2440" spans="4:9" x14ac:dyDescent="0.25">
      <c r="D2440" s="4"/>
      <c r="E2440" s="4"/>
      <c r="H2440" s="4"/>
      <c r="I2440" s="4"/>
    </row>
    <row r="2441" spans="4:9" x14ac:dyDescent="0.25">
      <c r="D2441" s="4"/>
      <c r="E2441" s="4"/>
      <c r="H2441" s="4"/>
      <c r="I2441" s="4"/>
    </row>
    <row r="2442" spans="4:9" x14ac:dyDescent="0.25">
      <c r="D2442" s="4"/>
      <c r="E2442" s="4"/>
      <c r="H2442" s="4"/>
      <c r="I2442" s="4"/>
    </row>
    <row r="2443" spans="4:9" x14ac:dyDescent="0.25">
      <c r="D2443" s="4"/>
      <c r="E2443" s="4"/>
      <c r="H2443" s="4"/>
      <c r="I2443" s="4"/>
    </row>
    <row r="2444" spans="4:9" x14ac:dyDescent="0.25">
      <c r="D2444" s="4"/>
      <c r="E2444" s="4"/>
      <c r="H2444" s="4"/>
      <c r="I2444" s="4"/>
    </row>
    <row r="2445" spans="4:9" x14ac:dyDescent="0.25">
      <c r="D2445" s="4"/>
      <c r="E2445" s="4"/>
      <c r="H2445" s="4"/>
      <c r="I2445" s="4"/>
    </row>
    <row r="2446" spans="4:9" x14ac:dyDescent="0.25">
      <c r="D2446" s="4"/>
      <c r="E2446" s="4"/>
      <c r="H2446" s="4"/>
      <c r="I2446" s="4"/>
    </row>
    <row r="2447" spans="4:9" x14ac:dyDescent="0.25">
      <c r="D2447" s="4"/>
      <c r="E2447" s="4"/>
      <c r="H2447" s="4"/>
      <c r="I2447" s="4"/>
    </row>
    <row r="2448" spans="4:9" x14ac:dyDescent="0.25">
      <c r="D2448" s="4"/>
      <c r="E2448" s="4"/>
      <c r="H2448" s="4"/>
      <c r="I2448" s="4"/>
    </row>
    <row r="2449" spans="4:9" x14ac:dyDescent="0.25">
      <c r="D2449" s="4"/>
      <c r="E2449" s="4"/>
      <c r="H2449" s="4"/>
      <c r="I2449" s="4"/>
    </row>
    <row r="2450" spans="4:9" x14ac:dyDescent="0.25">
      <c r="D2450" s="4"/>
      <c r="E2450" s="4"/>
      <c r="H2450" s="4"/>
      <c r="I2450" s="4"/>
    </row>
    <row r="2451" spans="4:9" x14ac:dyDescent="0.25">
      <c r="D2451" s="4"/>
      <c r="E2451" s="4"/>
      <c r="H2451" s="4"/>
      <c r="I2451" s="4"/>
    </row>
    <row r="2452" spans="4:9" x14ac:dyDescent="0.25">
      <c r="D2452" s="4"/>
      <c r="E2452" s="4"/>
      <c r="H2452" s="4"/>
      <c r="I2452" s="4"/>
    </row>
    <row r="2453" spans="4:9" x14ac:dyDescent="0.25">
      <c r="D2453" s="4"/>
      <c r="E2453" s="4"/>
      <c r="H2453" s="4"/>
      <c r="I2453" s="4"/>
    </row>
    <row r="2454" spans="4:9" x14ac:dyDescent="0.25">
      <c r="D2454" s="4"/>
      <c r="E2454" s="4"/>
      <c r="H2454" s="4"/>
      <c r="I2454" s="4"/>
    </row>
    <row r="2455" spans="4:9" x14ac:dyDescent="0.25">
      <c r="D2455" s="4"/>
      <c r="E2455" s="4"/>
      <c r="H2455" s="4"/>
      <c r="I2455" s="4"/>
    </row>
    <row r="2456" spans="4:9" x14ac:dyDescent="0.25">
      <c r="D2456" s="4"/>
      <c r="E2456" s="4"/>
      <c r="H2456" s="4"/>
      <c r="I2456" s="4"/>
    </row>
    <row r="2457" spans="4:9" x14ac:dyDescent="0.25">
      <c r="D2457" s="4"/>
      <c r="E2457" s="4"/>
      <c r="H2457" s="4"/>
      <c r="I2457" s="4"/>
    </row>
    <row r="2458" spans="4:9" x14ac:dyDescent="0.25">
      <c r="D2458" s="4"/>
      <c r="E2458" s="4"/>
      <c r="H2458" s="4"/>
      <c r="I2458" s="4"/>
    </row>
    <row r="2459" spans="4:9" x14ac:dyDescent="0.25">
      <c r="D2459" s="4"/>
      <c r="E2459" s="4"/>
      <c r="H2459" s="4"/>
      <c r="I2459" s="4"/>
    </row>
    <row r="2460" spans="4:9" x14ac:dyDescent="0.25">
      <c r="D2460" s="4"/>
      <c r="E2460" s="4"/>
      <c r="H2460" s="4"/>
      <c r="I2460" s="4"/>
    </row>
    <row r="2461" spans="4:9" x14ac:dyDescent="0.25">
      <c r="D2461" s="4"/>
      <c r="E2461" s="4"/>
      <c r="H2461" s="4"/>
      <c r="I2461" s="4"/>
    </row>
    <row r="2462" spans="4:9" x14ac:dyDescent="0.25">
      <c r="D2462" s="4"/>
      <c r="E2462" s="4"/>
      <c r="H2462" s="4"/>
      <c r="I2462" s="4"/>
    </row>
    <row r="2463" spans="4:9" x14ac:dyDescent="0.25">
      <c r="D2463" s="4"/>
      <c r="E2463" s="4"/>
      <c r="H2463" s="4"/>
      <c r="I2463" s="4"/>
    </row>
    <row r="2464" spans="4:9" x14ac:dyDescent="0.25">
      <c r="D2464" s="4"/>
      <c r="E2464" s="4"/>
      <c r="H2464" s="4"/>
      <c r="I2464" s="4"/>
    </row>
    <row r="2465" spans="4:9" x14ac:dyDescent="0.25">
      <c r="D2465" s="4"/>
      <c r="E2465" s="4"/>
      <c r="H2465" s="4"/>
      <c r="I2465" s="4"/>
    </row>
    <row r="2466" spans="4:9" x14ac:dyDescent="0.25">
      <c r="D2466" s="4"/>
      <c r="E2466" s="4"/>
      <c r="H2466" s="4"/>
      <c r="I2466" s="4"/>
    </row>
    <row r="2467" spans="4:9" x14ac:dyDescent="0.25">
      <c r="D2467" s="4"/>
      <c r="E2467" s="4"/>
      <c r="H2467" s="4"/>
      <c r="I2467" s="4"/>
    </row>
    <row r="2468" spans="4:9" x14ac:dyDescent="0.25">
      <c r="D2468" s="4"/>
      <c r="E2468" s="4"/>
      <c r="H2468" s="4"/>
      <c r="I2468" s="4"/>
    </row>
    <row r="2469" spans="4:9" x14ac:dyDescent="0.25">
      <c r="D2469" s="4"/>
      <c r="E2469" s="4"/>
      <c r="H2469" s="4"/>
      <c r="I2469" s="4"/>
    </row>
    <row r="2470" spans="4:9" x14ac:dyDescent="0.25">
      <c r="D2470" s="4"/>
      <c r="E2470" s="4"/>
      <c r="H2470" s="4"/>
      <c r="I2470" s="4"/>
    </row>
    <row r="2471" spans="4:9" x14ac:dyDescent="0.25">
      <c r="D2471" s="4"/>
      <c r="E2471" s="4"/>
      <c r="H2471" s="4"/>
      <c r="I2471" s="4"/>
    </row>
    <row r="2472" spans="4:9" x14ac:dyDescent="0.25">
      <c r="D2472" s="4"/>
      <c r="E2472" s="4"/>
      <c r="H2472" s="4"/>
      <c r="I2472" s="4"/>
    </row>
    <row r="2473" spans="4:9" x14ac:dyDescent="0.25">
      <c r="D2473" s="4"/>
      <c r="E2473" s="4"/>
      <c r="H2473" s="4"/>
      <c r="I2473" s="4"/>
    </row>
    <row r="2474" spans="4:9" x14ac:dyDescent="0.25">
      <c r="D2474" s="4"/>
      <c r="E2474" s="4"/>
      <c r="H2474" s="4"/>
      <c r="I2474" s="4"/>
    </row>
    <row r="2475" spans="4:9" x14ac:dyDescent="0.25">
      <c r="D2475" s="4"/>
      <c r="E2475" s="4"/>
      <c r="H2475" s="4"/>
      <c r="I2475" s="4"/>
    </row>
    <row r="2476" spans="4:9" x14ac:dyDescent="0.25">
      <c r="D2476" s="4"/>
      <c r="E2476" s="4"/>
      <c r="H2476" s="4"/>
      <c r="I2476" s="4"/>
    </row>
    <row r="2477" spans="4:9" x14ac:dyDescent="0.25">
      <c r="D2477" s="4"/>
      <c r="E2477" s="4"/>
      <c r="H2477" s="4"/>
      <c r="I2477" s="4"/>
    </row>
    <row r="2478" spans="4:9" x14ac:dyDescent="0.25">
      <c r="D2478" s="4"/>
      <c r="E2478" s="4"/>
      <c r="H2478" s="4"/>
      <c r="I2478" s="4"/>
    </row>
    <row r="2479" spans="4:9" x14ac:dyDescent="0.25">
      <c r="D2479" s="4"/>
      <c r="E2479" s="4"/>
      <c r="H2479" s="4"/>
      <c r="I2479" s="4"/>
    </row>
    <row r="2480" spans="4:9" x14ac:dyDescent="0.25">
      <c r="D2480" s="4"/>
      <c r="E2480" s="4"/>
      <c r="H2480" s="4"/>
      <c r="I2480" s="4"/>
    </row>
    <row r="2481" spans="4:9" x14ac:dyDescent="0.25">
      <c r="D2481" s="4"/>
      <c r="E2481" s="4"/>
      <c r="H2481" s="4"/>
      <c r="I2481" s="4"/>
    </row>
    <row r="2482" spans="4:9" x14ac:dyDescent="0.25">
      <c r="D2482" s="4"/>
      <c r="E2482" s="4"/>
      <c r="H2482" s="4"/>
      <c r="I2482" s="4"/>
    </row>
    <row r="2483" spans="4:9" x14ac:dyDescent="0.25">
      <c r="D2483" s="4"/>
      <c r="E2483" s="4"/>
      <c r="H2483" s="4"/>
      <c r="I2483" s="4"/>
    </row>
    <row r="2484" spans="4:9" x14ac:dyDescent="0.25">
      <c r="D2484" s="4"/>
      <c r="E2484" s="4"/>
      <c r="H2484" s="4"/>
      <c r="I2484" s="4"/>
    </row>
    <row r="2485" spans="4:9" x14ac:dyDescent="0.25">
      <c r="D2485" s="4"/>
      <c r="E2485" s="4"/>
      <c r="H2485" s="4"/>
      <c r="I2485" s="4"/>
    </row>
    <row r="2486" spans="4:9" x14ac:dyDescent="0.25">
      <c r="D2486" s="4"/>
      <c r="E2486" s="4"/>
      <c r="H2486" s="4"/>
      <c r="I2486" s="4"/>
    </row>
    <row r="2487" spans="4:9" x14ac:dyDescent="0.25">
      <c r="D2487" s="4"/>
      <c r="E2487" s="4"/>
      <c r="H2487" s="4"/>
      <c r="I2487" s="4"/>
    </row>
    <row r="2488" spans="4:9" x14ac:dyDescent="0.25">
      <c r="D2488" s="4"/>
      <c r="E2488" s="4"/>
      <c r="H2488" s="4"/>
      <c r="I2488" s="4"/>
    </row>
    <row r="2489" spans="4:9" x14ac:dyDescent="0.25">
      <c r="D2489" s="4"/>
      <c r="E2489" s="4"/>
      <c r="H2489" s="4"/>
      <c r="I2489" s="4"/>
    </row>
    <row r="2490" spans="4:9" x14ac:dyDescent="0.25">
      <c r="D2490" s="4"/>
      <c r="E2490" s="4"/>
      <c r="H2490" s="4"/>
      <c r="I2490" s="4"/>
    </row>
    <row r="2491" spans="4:9" x14ac:dyDescent="0.25">
      <c r="D2491" s="4"/>
      <c r="E2491" s="4"/>
      <c r="H2491" s="4"/>
      <c r="I2491" s="4"/>
    </row>
    <row r="2492" spans="4:9" x14ac:dyDescent="0.25">
      <c r="D2492" s="4"/>
      <c r="E2492" s="4"/>
      <c r="H2492" s="4"/>
      <c r="I2492" s="4"/>
    </row>
    <row r="2493" spans="4:9" x14ac:dyDescent="0.25">
      <c r="D2493" s="4"/>
      <c r="E2493" s="4"/>
      <c r="H2493" s="4"/>
      <c r="I2493" s="4"/>
    </row>
    <row r="2494" spans="4:9" x14ac:dyDescent="0.25">
      <c r="D2494" s="4"/>
      <c r="E2494" s="4"/>
      <c r="H2494" s="4"/>
      <c r="I2494" s="4"/>
    </row>
    <row r="2495" spans="4:9" x14ac:dyDescent="0.25">
      <c r="D2495" s="4"/>
      <c r="E2495" s="4"/>
      <c r="H2495" s="4"/>
      <c r="I2495" s="4"/>
    </row>
    <row r="2496" spans="4:9" x14ac:dyDescent="0.25">
      <c r="D2496" s="4"/>
      <c r="E2496" s="4"/>
      <c r="H2496" s="4"/>
      <c r="I2496" s="4"/>
    </row>
    <row r="2497" spans="4:9" x14ac:dyDescent="0.25">
      <c r="D2497" s="4"/>
      <c r="E2497" s="4"/>
      <c r="H2497" s="4"/>
      <c r="I2497" s="4"/>
    </row>
    <row r="2498" spans="4:9" x14ac:dyDescent="0.25">
      <c r="D2498" s="4"/>
      <c r="E2498" s="4"/>
      <c r="H2498" s="4"/>
      <c r="I2498" s="4"/>
    </row>
    <row r="2499" spans="4:9" x14ac:dyDescent="0.25">
      <c r="D2499" s="4"/>
      <c r="E2499" s="4"/>
      <c r="H2499" s="4"/>
      <c r="I2499" s="4"/>
    </row>
    <row r="2500" spans="4:9" x14ac:dyDescent="0.25">
      <c r="D2500" s="4"/>
      <c r="E2500" s="4"/>
      <c r="H2500" s="4"/>
      <c r="I2500" s="4"/>
    </row>
    <row r="2501" spans="4:9" x14ac:dyDescent="0.25">
      <c r="D2501" s="4"/>
      <c r="E2501" s="4"/>
      <c r="H2501" s="4"/>
      <c r="I2501" s="4"/>
    </row>
    <row r="2502" spans="4:9" x14ac:dyDescent="0.25">
      <c r="D2502" s="4"/>
      <c r="E2502" s="4"/>
      <c r="H2502" s="4"/>
      <c r="I2502" s="4"/>
    </row>
    <row r="2503" spans="4:9" x14ac:dyDescent="0.25">
      <c r="D2503" s="4"/>
      <c r="E2503" s="4"/>
      <c r="H2503" s="4"/>
      <c r="I2503" s="4"/>
    </row>
    <row r="2504" spans="4:9" x14ac:dyDescent="0.25">
      <c r="D2504" s="4"/>
      <c r="E2504" s="4"/>
      <c r="H2504" s="4"/>
      <c r="I2504" s="4"/>
    </row>
    <row r="2505" spans="4:9" x14ac:dyDescent="0.25">
      <c r="D2505" s="4"/>
      <c r="E2505" s="4"/>
      <c r="H2505" s="4"/>
      <c r="I2505" s="4"/>
    </row>
    <row r="2506" spans="4:9" x14ac:dyDescent="0.25">
      <c r="D2506" s="4"/>
      <c r="E2506" s="4"/>
      <c r="H2506" s="4"/>
      <c r="I2506" s="4"/>
    </row>
    <row r="2507" spans="4:9" x14ac:dyDescent="0.25">
      <c r="D2507" s="4"/>
      <c r="E2507" s="4"/>
      <c r="H2507" s="4"/>
      <c r="I2507" s="4"/>
    </row>
    <row r="2508" spans="4:9" x14ac:dyDescent="0.25">
      <c r="D2508" s="4"/>
      <c r="E2508" s="4"/>
      <c r="H2508" s="4"/>
      <c r="I2508" s="4"/>
    </row>
    <row r="2509" spans="4:9" x14ac:dyDescent="0.25">
      <c r="D2509" s="4"/>
      <c r="E2509" s="4"/>
      <c r="H2509" s="4"/>
      <c r="I2509" s="4"/>
    </row>
    <row r="2510" spans="4:9" x14ac:dyDescent="0.25">
      <c r="D2510" s="4"/>
      <c r="E2510" s="4"/>
      <c r="H2510" s="4"/>
      <c r="I2510" s="4"/>
    </row>
    <row r="2511" spans="4:9" x14ac:dyDescent="0.25">
      <c r="D2511" s="4"/>
      <c r="E2511" s="4"/>
      <c r="H2511" s="4"/>
      <c r="I2511" s="4"/>
    </row>
    <row r="2512" spans="4:9" x14ac:dyDescent="0.25">
      <c r="D2512" s="4"/>
      <c r="E2512" s="4"/>
      <c r="H2512" s="4"/>
      <c r="I2512" s="4"/>
    </row>
    <row r="2513" spans="4:9" x14ac:dyDescent="0.25">
      <c r="D2513" s="4"/>
      <c r="E2513" s="4"/>
      <c r="H2513" s="4"/>
      <c r="I2513" s="4"/>
    </row>
    <row r="2514" spans="4:9" x14ac:dyDescent="0.25">
      <c r="D2514" s="4"/>
      <c r="E2514" s="4"/>
      <c r="H2514" s="4"/>
      <c r="I2514" s="4"/>
    </row>
    <row r="2515" spans="4:9" x14ac:dyDescent="0.25">
      <c r="D2515" s="4"/>
      <c r="E2515" s="4"/>
      <c r="H2515" s="4"/>
      <c r="I2515" s="4"/>
    </row>
    <row r="2516" spans="4:9" x14ac:dyDescent="0.25">
      <c r="D2516" s="4"/>
      <c r="E2516" s="4"/>
      <c r="H2516" s="4"/>
      <c r="I2516" s="4"/>
    </row>
    <row r="2517" spans="4:9" x14ac:dyDescent="0.25">
      <c r="D2517" s="4"/>
      <c r="E2517" s="4"/>
      <c r="H2517" s="4"/>
      <c r="I2517" s="4"/>
    </row>
    <row r="2518" spans="4:9" x14ac:dyDescent="0.25">
      <c r="D2518" s="4"/>
      <c r="E2518" s="4"/>
      <c r="H2518" s="4"/>
      <c r="I2518" s="4"/>
    </row>
    <row r="2519" spans="4:9" x14ac:dyDescent="0.25">
      <c r="D2519" s="4"/>
      <c r="E2519" s="4"/>
      <c r="H2519" s="4"/>
      <c r="I2519" s="4"/>
    </row>
    <row r="2520" spans="4:9" x14ac:dyDescent="0.25">
      <c r="D2520" s="4"/>
      <c r="E2520" s="4"/>
      <c r="H2520" s="4"/>
      <c r="I2520" s="4"/>
    </row>
    <row r="2521" spans="4:9" x14ac:dyDescent="0.25">
      <c r="D2521" s="4"/>
      <c r="E2521" s="4"/>
      <c r="H2521" s="4"/>
      <c r="I2521" s="4"/>
    </row>
    <row r="2522" spans="4:9" x14ac:dyDescent="0.25">
      <c r="D2522" s="4"/>
      <c r="E2522" s="4"/>
      <c r="H2522" s="4"/>
      <c r="I2522" s="4"/>
    </row>
    <row r="2523" spans="4:9" x14ac:dyDescent="0.25">
      <c r="D2523" s="4"/>
      <c r="E2523" s="4"/>
      <c r="H2523" s="4"/>
      <c r="I2523" s="4"/>
    </row>
    <row r="2524" spans="4:9" x14ac:dyDescent="0.25">
      <c r="D2524" s="4"/>
      <c r="E2524" s="4"/>
      <c r="H2524" s="4"/>
      <c r="I2524" s="4"/>
    </row>
    <row r="2525" spans="4:9" x14ac:dyDescent="0.25">
      <c r="D2525" s="4"/>
      <c r="E2525" s="4"/>
      <c r="H2525" s="4"/>
      <c r="I2525" s="4"/>
    </row>
    <row r="2526" spans="4:9" x14ac:dyDescent="0.25">
      <c r="D2526" s="4"/>
      <c r="E2526" s="4"/>
      <c r="H2526" s="4"/>
      <c r="I2526" s="4"/>
    </row>
    <row r="2527" spans="4:9" x14ac:dyDescent="0.25">
      <c r="D2527" s="4"/>
      <c r="E2527" s="4"/>
      <c r="H2527" s="4"/>
      <c r="I2527" s="4"/>
    </row>
    <row r="2528" spans="4:9" x14ac:dyDescent="0.25">
      <c r="D2528" s="4"/>
      <c r="E2528" s="4"/>
      <c r="H2528" s="4"/>
      <c r="I2528" s="4"/>
    </row>
    <row r="2529" spans="4:9" x14ac:dyDescent="0.25">
      <c r="D2529" s="4"/>
      <c r="E2529" s="4"/>
      <c r="H2529" s="4"/>
      <c r="I2529" s="4"/>
    </row>
    <row r="2530" spans="4:9" x14ac:dyDescent="0.25">
      <c r="D2530" s="4"/>
      <c r="E2530" s="4"/>
      <c r="H2530" s="4"/>
      <c r="I2530" s="4"/>
    </row>
    <row r="2531" spans="4:9" x14ac:dyDescent="0.25">
      <c r="D2531" s="4"/>
      <c r="E2531" s="4"/>
      <c r="H2531" s="4"/>
      <c r="I2531" s="4"/>
    </row>
    <row r="2532" spans="4:9" x14ac:dyDescent="0.25">
      <c r="D2532" s="4"/>
      <c r="E2532" s="4"/>
      <c r="H2532" s="4"/>
      <c r="I2532" s="4"/>
    </row>
    <row r="2533" spans="4:9" x14ac:dyDescent="0.25">
      <c r="D2533" s="4"/>
      <c r="E2533" s="4"/>
      <c r="H2533" s="4"/>
      <c r="I2533" s="4"/>
    </row>
    <row r="2534" spans="4:9" x14ac:dyDescent="0.25">
      <c r="D2534" s="4"/>
      <c r="E2534" s="4"/>
      <c r="H2534" s="4"/>
      <c r="I2534" s="4"/>
    </row>
    <row r="2535" spans="4:9" x14ac:dyDescent="0.25">
      <c r="D2535" s="4"/>
      <c r="E2535" s="4"/>
      <c r="H2535" s="4"/>
      <c r="I2535" s="4"/>
    </row>
    <row r="2536" spans="4:9" x14ac:dyDescent="0.25">
      <c r="D2536" s="4"/>
      <c r="E2536" s="4"/>
      <c r="H2536" s="4"/>
      <c r="I2536" s="4"/>
    </row>
    <row r="2537" spans="4:9" x14ac:dyDescent="0.25">
      <c r="D2537" s="4"/>
      <c r="E2537" s="4"/>
      <c r="H2537" s="4"/>
      <c r="I2537" s="4"/>
    </row>
    <row r="2538" spans="4:9" x14ac:dyDescent="0.25">
      <c r="D2538" s="4"/>
      <c r="E2538" s="4"/>
      <c r="H2538" s="4"/>
      <c r="I2538" s="4"/>
    </row>
    <row r="2539" spans="4:9" x14ac:dyDescent="0.25">
      <c r="D2539" s="4"/>
      <c r="E2539" s="4"/>
      <c r="H2539" s="4"/>
      <c r="I2539" s="4"/>
    </row>
    <row r="2540" spans="4:9" x14ac:dyDescent="0.25">
      <c r="D2540" s="4"/>
      <c r="E2540" s="4"/>
      <c r="H2540" s="4"/>
      <c r="I2540" s="4"/>
    </row>
    <row r="2541" spans="4:9" x14ac:dyDescent="0.25">
      <c r="D2541" s="4"/>
      <c r="E2541" s="4"/>
      <c r="H2541" s="4"/>
      <c r="I2541" s="4"/>
    </row>
    <row r="2542" spans="4:9" x14ac:dyDescent="0.25">
      <c r="D2542" s="4"/>
      <c r="E2542" s="4"/>
      <c r="H2542" s="4"/>
      <c r="I2542" s="4"/>
    </row>
    <row r="2543" spans="4:9" x14ac:dyDescent="0.25">
      <c r="D2543" s="4"/>
      <c r="E2543" s="4"/>
      <c r="H2543" s="4"/>
      <c r="I2543" s="4"/>
    </row>
    <row r="2544" spans="4:9" x14ac:dyDescent="0.25">
      <c r="D2544" s="4"/>
      <c r="E2544" s="4"/>
      <c r="H2544" s="4"/>
      <c r="I2544" s="4"/>
    </row>
    <row r="2545" spans="4:9" x14ac:dyDescent="0.25">
      <c r="D2545" s="4"/>
      <c r="E2545" s="4"/>
      <c r="H2545" s="4"/>
      <c r="I2545" s="4"/>
    </row>
    <row r="2546" spans="4:9" x14ac:dyDescent="0.25">
      <c r="D2546" s="4"/>
      <c r="E2546" s="4"/>
      <c r="H2546" s="4"/>
      <c r="I2546" s="4"/>
    </row>
    <row r="2547" spans="4:9" x14ac:dyDescent="0.25">
      <c r="D2547" s="4"/>
      <c r="E2547" s="4"/>
      <c r="H2547" s="4"/>
      <c r="I2547" s="4"/>
    </row>
    <row r="2548" spans="4:9" x14ac:dyDescent="0.25">
      <c r="D2548" s="4"/>
      <c r="E2548" s="4"/>
      <c r="H2548" s="4"/>
      <c r="I2548" s="4"/>
    </row>
  </sheetData>
  <mergeCells count="29">
    <mergeCell ref="AP5:AQ5"/>
    <mergeCell ref="AP83:AQ83"/>
    <mergeCell ref="AL83:AM83"/>
    <mergeCell ref="AN83:AO83"/>
    <mergeCell ref="A1:AO1"/>
    <mergeCell ref="B5:C5"/>
    <mergeCell ref="D5:E5"/>
    <mergeCell ref="A3:AO3"/>
    <mergeCell ref="A2:AO2"/>
    <mergeCell ref="X5:Y5"/>
    <mergeCell ref="AN5:AO5"/>
    <mergeCell ref="Z5:AA5"/>
    <mergeCell ref="AB5:AC5"/>
    <mergeCell ref="AD5:AE5"/>
    <mergeCell ref="AF5:AG5"/>
    <mergeCell ref="A5:A7"/>
    <mergeCell ref="F5:G5"/>
    <mergeCell ref="H5:I5"/>
    <mergeCell ref="J5:K5"/>
    <mergeCell ref="V5:W5"/>
    <mergeCell ref="A82:AO82"/>
    <mergeCell ref="L5:M5"/>
    <mergeCell ref="N5:O5"/>
    <mergeCell ref="P5:Q5"/>
    <mergeCell ref="R5:S5"/>
    <mergeCell ref="T5:U5"/>
    <mergeCell ref="AH5:AI5"/>
    <mergeCell ref="AJ5:AK5"/>
    <mergeCell ref="AL5:AM5"/>
  </mergeCells>
  <hyperlinks>
    <hyperlink ref="AQ1" location="CONTENTS!B22" display="Å CONTENTS" xr:uid="{00000000-0004-0000-0500-000000000000}"/>
  </hyperlinks>
  <printOptions horizontalCentered="1" verticalCentered="1"/>
  <pageMargins left="0.23622047244094491" right="0.27559055118110237" top="0.27559055118110237" bottom="0.23622047244094491" header="0" footer="0.23622047244094491"/>
  <pageSetup scale="56" orientation="portrait" r:id="rId1"/>
  <headerFooter alignWithMargins="0"/>
  <rowBreaks count="1" manualBreakCount="1">
    <brk id="90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 tint="0.39997558519241921"/>
    <pageSetUpPr fitToPage="1"/>
  </sheetPr>
  <dimension ref="A1:AW354"/>
  <sheetViews>
    <sheetView showGridLines="0" zoomScaleNormal="100" workbookViewId="0">
      <pane xSplit="1" ySplit="7" topLeftCell="AE8" activePane="bottomRight" state="frozen"/>
      <selection pane="topRight" activeCell="A3" sqref="A3:M3"/>
      <selection pane="bottomLeft" activeCell="A3" sqref="A3:M3"/>
      <selection pane="bottomRight" activeCell="AQ1" sqref="AQ1"/>
    </sheetView>
  </sheetViews>
  <sheetFormatPr baseColWidth="10" defaultColWidth="11.44140625" defaultRowHeight="13.2" outlineLevelCol="1" x14ac:dyDescent="0.25"/>
  <cols>
    <col min="1" max="1" width="25.109375" style="68" customWidth="1"/>
    <col min="2" max="2" width="12.88671875" customWidth="1" outlineLevel="1"/>
    <col min="3" max="3" width="8.33203125" customWidth="1" outlineLevel="1"/>
    <col min="4" max="4" width="12.88671875" customWidth="1" outlineLevel="1"/>
    <col min="5" max="5" width="10.33203125" customWidth="1" outlineLevel="1"/>
    <col min="6" max="6" width="12.88671875" customWidth="1" outlineLevel="1"/>
    <col min="7" max="7" width="8.33203125" customWidth="1" outlineLevel="1"/>
    <col min="8" max="8" width="12.88671875" customWidth="1" outlineLevel="1"/>
    <col min="9" max="9" width="10.33203125" customWidth="1" outlineLevel="1"/>
    <col min="10" max="10" width="12.88671875" style="4" customWidth="1" outlineLevel="1"/>
    <col min="11" max="11" width="8.33203125" style="4" customWidth="1" outlineLevel="1"/>
    <col min="12" max="12" width="12.88671875" customWidth="1" outlineLevel="1"/>
    <col min="13" max="13" width="8.33203125" customWidth="1" outlineLevel="1"/>
    <col min="14" max="14" width="13.88671875" customWidth="1" outlineLevel="1"/>
    <col min="15" max="15" width="8.33203125" customWidth="1" outlineLevel="1"/>
    <col min="16" max="16" width="14.109375" customWidth="1" outlineLevel="1"/>
    <col min="17" max="17" width="8.33203125" customWidth="1" outlineLevel="1"/>
    <col min="18" max="18" width="14.109375" customWidth="1" outlineLevel="1"/>
    <col min="19" max="19" width="8.33203125" customWidth="1" outlineLevel="1"/>
    <col min="20" max="20" width="13.88671875" customWidth="1" outlineLevel="1"/>
    <col min="21" max="21" width="8.33203125" customWidth="1" outlineLevel="1"/>
    <col min="22" max="22" width="13.88671875" bestFit="1" customWidth="1"/>
    <col min="23" max="23" width="8.5546875" bestFit="1" customWidth="1"/>
    <col min="24" max="24" width="13.88671875" style="68" bestFit="1" customWidth="1"/>
    <col min="25" max="25" width="8.5546875" style="68" bestFit="1" customWidth="1"/>
    <col min="26" max="26" width="13.88671875" style="579" bestFit="1" customWidth="1"/>
    <col min="27" max="27" width="8.5546875" style="579" bestFit="1" customWidth="1"/>
    <col min="28" max="28" width="13.88671875" style="130" bestFit="1" customWidth="1"/>
    <col min="29" max="29" width="8.5546875" style="130" bestFit="1" customWidth="1"/>
    <col min="30" max="30" width="13.88671875" style="130" bestFit="1" customWidth="1"/>
    <col min="31" max="31" width="8.5546875" style="130" bestFit="1" customWidth="1"/>
    <col min="32" max="32" width="13.88671875" style="187" bestFit="1" customWidth="1"/>
    <col min="33" max="33" width="8.5546875" style="187" bestFit="1" customWidth="1"/>
    <col min="34" max="34" width="13.88671875" style="187" bestFit="1" customWidth="1"/>
    <col min="35" max="35" width="8.5546875" style="187" bestFit="1" customWidth="1"/>
    <col min="36" max="36" width="13.88671875" style="187" bestFit="1" customWidth="1"/>
    <col min="37" max="37" width="8.5546875" style="187" customWidth="1"/>
    <col min="38" max="38" width="13.88671875" style="585" bestFit="1" customWidth="1"/>
    <col min="39" max="39" width="10.109375" style="585" bestFit="1" customWidth="1"/>
    <col min="40" max="40" width="13.88671875" style="68" bestFit="1" customWidth="1"/>
    <col min="41" max="41" width="10.109375" style="68" bestFit="1" customWidth="1"/>
    <col min="42" max="42" width="13.88671875" style="438" bestFit="1" customWidth="1"/>
    <col min="43" max="43" width="12.44140625" style="438" customWidth="1"/>
    <col min="44" max="44" width="12.44140625" style="439" customWidth="1"/>
    <col min="45" max="45" width="13.44140625" bestFit="1" customWidth="1"/>
  </cols>
  <sheetData>
    <row r="1" spans="1:45" ht="30.75" customHeight="1" x14ac:dyDescent="0.25">
      <c r="A1" s="552"/>
      <c r="B1" s="553"/>
      <c r="C1" s="553"/>
      <c r="D1" s="553"/>
      <c r="E1" s="553"/>
      <c r="F1" s="553"/>
      <c r="G1" s="553"/>
      <c r="H1" s="553"/>
      <c r="I1" s="553"/>
      <c r="J1" s="554"/>
      <c r="K1" s="554"/>
      <c r="L1" s="553"/>
      <c r="M1" s="553"/>
      <c r="N1" s="553"/>
      <c r="O1" s="553"/>
      <c r="P1" s="553"/>
      <c r="Q1" s="553"/>
      <c r="R1" s="553"/>
      <c r="S1" s="553"/>
      <c r="T1" s="553"/>
      <c r="U1" s="553"/>
      <c r="V1" s="553"/>
      <c r="W1" s="553"/>
      <c r="X1" s="552"/>
      <c r="Y1" s="552"/>
      <c r="Z1" s="555"/>
      <c r="AA1" s="555"/>
      <c r="AB1" s="555"/>
      <c r="AC1" s="555"/>
      <c r="AD1" s="555"/>
      <c r="AE1" s="555"/>
      <c r="AF1" s="556"/>
      <c r="AG1" s="556"/>
      <c r="AH1" s="556"/>
      <c r="AI1" s="556"/>
      <c r="AJ1" s="556"/>
      <c r="AK1" s="556"/>
      <c r="AL1" s="555"/>
      <c r="AM1" s="555"/>
      <c r="AN1" s="552"/>
      <c r="AO1" s="552"/>
      <c r="AP1" s="552"/>
      <c r="AQ1" s="316" t="s">
        <v>43</v>
      </c>
      <c r="AR1" s="555"/>
    </row>
    <row r="2" spans="1:45" ht="20.25" customHeight="1" x14ac:dyDescent="0.3">
      <c r="A2" s="810" t="s">
        <v>18</v>
      </c>
      <c r="B2" s="810"/>
      <c r="C2" s="810"/>
      <c r="D2" s="810"/>
      <c r="E2" s="810"/>
      <c r="F2" s="810"/>
      <c r="G2" s="810"/>
      <c r="H2" s="810"/>
      <c r="I2" s="810"/>
      <c r="J2" s="810"/>
      <c r="K2" s="810"/>
      <c r="L2" s="810"/>
      <c r="M2" s="810"/>
      <c r="N2" s="810"/>
      <c r="O2" s="810"/>
      <c r="P2" s="810"/>
      <c r="Q2" s="810"/>
      <c r="R2" s="810"/>
      <c r="S2" s="810"/>
      <c r="T2" s="810"/>
      <c r="U2" s="810"/>
      <c r="V2" s="810"/>
      <c r="W2" s="810"/>
      <c r="X2" s="810"/>
      <c r="Y2" s="810"/>
      <c r="Z2" s="810"/>
      <c r="AA2" s="810"/>
      <c r="AB2" s="810"/>
      <c r="AC2" s="810"/>
      <c r="AD2" s="810"/>
      <c r="AE2" s="810"/>
      <c r="AF2" s="810"/>
      <c r="AG2" s="810"/>
      <c r="AH2" s="810"/>
      <c r="AI2" s="810"/>
      <c r="AJ2" s="810"/>
      <c r="AK2" s="810"/>
      <c r="AL2" s="810"/>
      <c r="AM2" s="810"/>
      <c r="AN2" s="810"/>
      <c r="AO2" s="810"/>
      <c r="AP2" s="757"/>
      <c r="AQ2" s="757"/>
      <c r="AR2" s="757"/>
    </row>
    <row r="3" spans="1:45" x14ac:dyDescent="0.25">
      <c r="A3" s="771" t="s">
        <v>44</v>
      </c>
      <c r="B3" s="771"/>
      <c r="C3" s="771"/>
      <c r="D3" s="771"/>
      <c r="E3" s="771"/>
      <c r="F3" s="771"/>
      <c r="G3" s="771"/>
      <c r="H3" s="771"/>
      <c r="I3" s="771"/>
      <c r="J3" s="771"/>
      <c r="K3" s="771"/>
      <c r="L3" s="771"/>
      <c r="M3" s="771"/>
      <c r="N3" s="771"/>
      <c r="O3" s="771"/>
      <c r="P3" s="771"/>
      <c r="Q3" s="771"/>
      <c r="R3" s="771"/>
      <c r="S3" s="771"/>
      <c r="T3" s="771"/>
      <c r="U3" s="771"/>
      <c r="V3" s="771"/>
      <c r="W3" s="771"/>
      <c r="X3" s="771"/>
      <c r="Y3" s="771"/>
      <c r="Z3" s="771"/>
      <c r="AA3" s="771"/>
      <c r="AB3" s="771"/>
      <c r="AC3" s="771"/>
      <c r="AD3" s="771"/>
      <c r="AE3" s="771"/>
      <c r="AF3" s="771"/>
      <c r="AG3" s="771"/>
      <c r="AH3" s="771"/>
      <c r="AI3" s="771"/>
      <c r="AJ3" s="771"/>
      <c r="AK3" s="771"/>
      <c r="AL3" s="771"/>
      <c r="AM3" s="771"/>
      <c r="AN3" s="771"/>
      <c r="AO3" s="771"/>
      <c r="AP3" s="744"/>
      <c r="AQ3" s="744"/>
      <c r="AR3" s="744"/>
    </row>
    <row r="4" spans="1:45" ht="13.8" thickBot="1" x14ac:dyDescent="0.3">
      <c r="A4" s="811"/>
      <c r="B4" s="811"/>
      <c r="C4" s="811"/>
      <c r="D4" s="811"/>
      <c r="E4" s="811"/>
      <c r="F4" s="811"/>
      <c r="G4" s="811"/>
      <c r="H4" s="811"/>
      <c r="I4" s="811"/>
      <c r="J4" s="811"/>
      <c r="K4" s="811"/>
      <c r="L4" s="811"/>
      <c r="M4" s="811"/>
      <c r="N4" s="811"/>
      <c r="O4" s="811"/>
      <c r="P4" s="811"/>
      <c r="Q4" s="811"/>
      <c r="R4" s="811"/>
      <c r="S4" s="811"/>
      <c r="T4" s="811"/>
      <c r="U4" s="811"/>
      <c r="V4" s="811"/>
      <c r="W4" s="811"/>
      <c r="X4" s="811"/>
      <c r="Y4" s="811"/>
      <c r="Z4" s="811"/>
      <c r="AA4" s="811"/>
      <c r="AB4" s="811"/>
      <c r="AC4" s="811"/>
      <c r="AD4" s="811"/>
      <c r="AE4" s="811"/>
      <c r="AF4" s="811"/>
      <c r="AG4" s="811"/>
      <c r="AH4" s="811"/>
      <c r="AI4" s="811"/>
      <c r="AJ4" s="811"/>
      <c r="AK4" s="811"/>
      <c r="AL4" s="811"/>
      <c r="AM4" s="811"/>
      <c r="AN4" s="811"/>
      <c r="AO4" s="811"/>
      <c r="AP4" s="680"/>
      <c r="AQ4" s="680"/>
      <c r="AR4" s="195"/>
    </row>
    <row r="5" spans="1:45" x14ac:dyDescent="0.25">
      <c r="A5" s="807" t="s">
        <v>173</v>
      </c>
      <c r="B5" s="772" t="s">
        <v>46</v>
      </c>
      <c r="C5" s="773"/>
      <c r="D5" s="772" t="s">
        <v>47</v>
      </c>
      <c r="E5" s="773"/>
      <c r="F5" s="772" t="s">
        <v>48</v>
      </c>
      <c r="G5" s="773"/>
      <c r="H5" s="772" t="s">
        <v>49</v>
      </c>
      <c r="I5" s="773"/>
      <c r="J5" s="772" t="s">
        <v>50</v>
      </c>
      <c r="K5" s="773"/>
      <c r="L5" s="772" t="s">
        <v>51</v>
      </c>
      <c r="M5" s="773"/>
      <c r="N5" s="772" t="s">
        <v>52</v>
      </c>
      <c r="O5" s="773"/>
      <c r="P5" s="772" t="s">
        <v>53</v>
      </c>
      <c r="Q5" s="773"/>
      <c r="R5" s="772" t="s">
        <v>54</v>
      </c>
      <c r="S5" s="773"/>
      <c r="T5" s="772" t="s">
        <v>55</v>
      </c>
      <c r="U5" s="773"/>
      <c r="V5" s="772" t="s">
        <v>56</v>
      </c>
      <c r="W5" s="773"/>
      <c r="X5" s="772" t="s">
        <v>57</v>
      </c>
      <c r="Y5" s="773"/>
      <c r="Z5" s="772" t="s">
        <v>58</v>
      </c>
      <c r="AA5" s="773"/>
      <c r="AB5" s="772" t="s">
        <v>59</v>
      </c>
      <c r="AC5" s="773"/>
      <c r="AD5" s="772" t="s">
        <v>60</v>
      </c>
      <c r="AE5" s="773"/>
      <c r="AF5" s="772" t="s">
        <v>61</v>
      </c>
      <c r="AG5" s="773"/>
      <c r="AH5" s="772" t="s">
        <v>62</v>
      </c>
      <c r="AI5" s="773"/>
      <c r="AJ5" s="781" t="s">
        <v>63</v>
      </c>
      <c r="AK5" s="782"/>
      <c r="AL5" s="772" t="s">
        <v>64</v>
      </c>
      <c r="AM5" s="773"/>
      <c r="AN5" s="781" t="s">
        <v>65</v>
      </c>
      <c r="AO5" s="782"/>
      <c r="AP5" s="777" t="s">
        <v>66</v>
      </c>
      <c r="AQ5" s="778"/>
      <c r="AR5" s="532"/>
    </row>
    <row r="6" spans="1:45" x14ac:dyDescent="0.25">
      <c r="A6" s="808"/>
      <c r="B6" s="83" t="s">
        <v>67</v>
      </c>
      <c r="C6" s="84" t="s">
        <v>174</v>
      </c>
      <c r="D6" s="83" t="s">
        <v>67</v>
      </c>
      <c r="E6" s="84" t="s">
        <v>174</v>
      </c>
      <c r="F6" s="83" t="s">
        <v>67</v>
      </c>
      <c r="G6" s="421" t="s">
        <v>68</v>
      </c>
      <c r="H6" s="83" t="s">
        <v>67</v>
      </c>
      <c r="I6" s="421" t="s">
        <v>68</v>
      </c>
      <c r="J6" s="83" t="s">
        <v>67</v>
      </c>
      <c r="K6" s="421" t="s">
        <v>68</v>
      </c>
      <c r="L6" s="83" t="s">
        <v>67</v>
      </c>
      <c r="M6" s="421" t="s">
        <v>68</v>
      </c>
      <c r="N6" s="83" t="s">
        <v>67</v>
      </c>
      <c r="O6" s="421" t="s">
        <v>68</v>
      </c>
      <c r="P6" s="83" t="s">
        <v>67</v>
      </c>
      <c r="Q6" s="421" t="s">
        <v>68</v>
      </c>
      <c r="R6" s="83" t="s">
        <v>67</v>
      </c>
      <c r="S6" s="421" t="s">
        <v>68</v>
      </c>
      <c r="T6" s="83" t="s">
        <v>67</v>
      </c>
      <c r="U6" s="421" t="s">
        <v>68</v>
      </c>
      <c r="V6" s="83" t="s">
        <v>67</v>
      </c>
      <c r="W6" s="421" t="s">
        <v>68</v>
      </c>
      <c r="X6" s="83" t="s">
        <v>67</v>
      </c>
      <c r="Y6" s="421" t="s">
        <v>68</v>
      </c>
      <c r="Z6" s="83" t="s">
        <v>67</v>
      </c>
      <c r="AA6" s="421" t="s">
        <v>68</v>
      </c>
      <c r="AB6" s="83" t="s">
        <v>67</v>
      </c>
      <c r="AC6" s="421" t="s">
        <v>68</v>
      </c>
      <c r="AD6" s="83" t="s">
        <v>67</v>
      </c>
      <c r="AE6" s="421" t="s">
        <v>68</v>
      </c>
      <c r="AF6" s="83" t="s">
        <v>67</v>
      </c>
      <c r="AG6" s="421" t="s">
        <v>68</v>
      </c>
      <c r="AH6" s="83" t="s">
        <v>67</v>
      </c>
      <c r="AI6" s="421" t="s">
        <v>68</v>
      </c>
      <c r="AJ6" s="43" t="s">
        <v>67</v>
      </c>
      <c r="AK6" s="422" t="s">
        <v>68</v>
      </c>
      <c r="AL6" s="83" t="s">
        <v>67</v>
      </c>
      <c r="AM6" s="421" t="s">
        <v>68</v>
      </c>
      <c r="AN6" s="43" t="s">
        <v>67</v>
      </c>
      <c r="AO6" s="422" t="s">
        <v>68</v>
      </c>
      <c r="AP6" s="457" t="s">
        <v>67</v>
      </c>
      <c r="AQ6" s="458" t="s">
        <v>68</v>
      </c>
      <c r="AR6" s="437"/>
    </row>
    <row r="7" spans="1:45" s="1" customFormat="1" ht="13.8" thickBot="1" x14ac:dyDescent="0.3">
      <c r="A7" s="809"/>
      <c r="B7" s="89">
        <f>'EXTERNAL DEBT USD'!B7*B93</f>
        <v>498362.31000000006</v>
      </c>
      <c r="C7" s="90">
        <v>1</v>
      </c>
      <c r="D7" s="89">
        <f>'EXTERNAL DEBT USD'!D7*D93</f>
        <v>588656.54879999999</v>
      </c>
      <c r="E7" s="90">
        <v>1</v>
      </c>
      <c r="F7" s="89">
        <f>'EXTERNAL DEBT USD'!F7*F93</f>
        <v>739601.22285000002</v>
      </c>
      <c r="G7" s="90">
        <v>1</v>
      </c>
      <c r="H7" s="89">
        <f>'EXTERNAL DEBT USD'!H7*H93</f>
        <v>914137.35659999994</v>
      </c>
      <c r="I7" s="90">
        <v>1</v>
      </c>
      <c r="J7" s="89">
        <f>'EXTERNAL DEBT USD'!J7*J93</f>
        <v>1103715.1464</v>
      </c>
      <c r="K7" s="90">
        <v>1</v>
      </c>
      <c r="L7" s="89">
        <f>'EXTERNAL DEBT USD'!L7*L93</f>
        <v>1178273.6768999998</v>
      </c>
      <c r="M7" s="90">
        <v>1</v>
      </c>
      <c r="N7" s="89">
        <f>'EXTERNAL DEBT USD'!N7*N93</f>
        <v>1202664.2472000001</v>
      </c>
      <c r="O7" s="90">
        <v>1</v>
      </c>
      <c r="P7" s="89">
        <f>'EXTERNAL DEBT USD'!P7*P93</f>
        <v>1132672.5807999999</v>
      </c>
      <c r="Q7" s="90">
        <v>1</v>
      </c>
      <c r="R7" s="89">
        <f>'EXTERNAL DEBT USD'!R7*R93</f>
        <v>1132181.7415999998</v>
      </c>
      <c r="S7" s="90">
        <v>1</v>
      </c>
      <c r="T7" s="89">
        <v>970713.44834990602</v>
      </c>
      <c r="U7" s="90">
        <v>1</v>
      </c>
      <c r="V7" s="41">
        <v>1141241.4864473345</v>
      </c>
      <c r="W7" s="40">
        <v>1</v>
      </c>
      <c r="X7" s="41">
        <f>+'EXTERNAL DEBT USD'!X7*'EXTERNAL DEBT COLONES'!X93</f>
        <v>1025023.8645244431</v>
      </c>
      <c r="Y7" s="40">
        <v>1</v>
      </c>
      <c r="Z7" s="89">
        <f>+'EXTERNAL DEBT USD'!Z7*'EXTERNAL DEBT COLONES'!Z93</f>
        <v>1385356.4859266996</v>
      </c>
      <c r="AA7" s="90">
        <v>1</v>
      </c>
      <c r="AB7" s="89">
        <f>+'EXTERNAL DEBT USD'!AB7*'EXTERNAL DEBT COLONES'!AB93</f>
        <v>1766536.4559086326</v>
      </c>
      <c r="AC7" s="90">
        <v>1</v>
      </c>
      <c r="AD7" s="89">
        <f>+'EXTERNAL DEBT USD'!AD7*'EXTERNAL DEBT COLONES'!AD93</f>
        <v>2377255.4849583702</v>
      </c>
      <c r="AE7" s="90">
        <v>1</v>
      </c>
      <c r="AF7" s="41">
        <f>+'EXTERNAL DEBT USD'!AF7*'EXTERNAL DEBT COLONES'!AF93</f>
        <v>2961135.219546393</v>
      </c>
      <c r="AG7" s="40">
        <v>1</v>
      </c>
      <c r="AH7" s="89">
        <f>+'EXTERNAL DEBT USD'!AH7*'EXTERNAL DEBT COLONES'!AH93</f>
        <v>3224972.3660737653</v>
      </c>
      <c r="AI7" s="90">
        <v>1</v>
      </c>
      <c r="AJ7" s="41">
        <f>+'EXTERNAL DEBT USD'!AJ7*'EXTERNAL DEBT COLONES'!AJ93</f>
        <v>3373923.097082695</v>
      </c>
      <c r="AK7" s="40">
        <v>1</v>
      </c>
      <c r="AL7" s="89">
        <f>+'EXTERNAL DEBT USD'!AL7*'EXTERNAL DEBT COLONES'!AL93</f>
        <v>3746127.7944659423</v>
      </c>
      <c r="AM7" s="90">
        <v>1</v>
      </c>
      <c r="AN7" s="41">
        <f>+'EXTERNAL DEBT USD'!AN7*'EXTERNAL DEBT COLONES'!AN93</f>
        <v>4635918.8608771451</v>
      </c>
      <c r="AO7" s="40">
        <v>1</v>
      </c>
      <c r="AP7" s="477">
        <f>+'EXTERNAL DEBT USD'!AP7*'EXTERNAL DEBT COLONES'!AP93</f>
        <v>5761495.7650861247</v>
      </c>
      <c r="AQ7" s="463">
        <v>1</v>
      </c>
      <c r="AR7" s="565"/>
      <c r="AS7" s="109"/>
    </row>
    <row r="8" spans="1:45" s="1" customFormat="1" x14ac:dyDescent="0.25">
      <c r="A8" s="222"/>
      <c r="B8" s="274"/>
      <c r="C8" s="275"/>
      <c r="D8" s="274"/>
      <c r="E8" s="275"/>
      <c r="F8" s="274"/>
      <c r="G8" s="275"/>
      <c r="H8" s="274"/>
      <c r="I8" s="275"/>
      <c r="J8" s="274"/>
      <c r="K8" s="275"/>
      <c r="L8" s="274"/>
      <c r="M8" s="275"/>
      <c r="N8" s="274"/>
      <c r="O8" s="275"/>
      <c r="P8" s="274"/>
      <c r="Q8" s="275"/>
      <c r="R8" s="274"/>
      <c r="S8" s="275"/>
      <c r="T8" s="274"/>
      <c r="U8" s="275"/>
      <c r="V8" s="276"/>
      <c r="W8" s="277"/>
      <c r="X8" s="276"/>
      <c r="Y8" s="277"/>
      <c r="Z8" s="274"/>
      <c r="AA8" s="275"/>
      <c r="AB8" s="274"/>
      <c r="AC8" s="275"/>
      <c r="AD8" s="274"/>
      <c r="AE8" s="275"/>
      <c r="AF8" s="276"/>
      <c r="AG8" s="277"/>
      <c r="AH8" s="87"/>
      <c r="AI8" s="88"/>
      <c r="AJ8" s="46"/>
      <c r="AK8" s="47"/>
      <c r="AL8" s="87"/>
      <c r="AM8" s="88"/>
      <c r="AN8" s="46"/>
      <c r="AO8" s="47"/>
      <c r="AP8" s="506"/>
      <c r="AQ8" s="507"/>
      <c r="AR8" s="565"/>
      <c r="AS8" s="109"/>
    </row>
    <row r="9" spans="1:45" s="1" customFormat="1" x14ac:dyDescent="0.25">
      <c r="A9" s="396" t="s">
        <v>69</v>
      </c>
      <c r="B9" s="134"/>
      <c r="C9" s="174"/>
      <c r="D9" s="134"/>
      <c r="E9" s="174"/>
      <c r="F9" s="134"/>
      <c r="G9" s="174"/>
      <c r="H9" s="134"/>
      <c r="I9" s="174"/>
      <c r="J9" s="134"/>
      <c r="K9" s="174"/>
      <c r="L9" s="134"/>
      <c r="M9" s="174"/>
      <c r="N9" s="134"/>
      <c r="O9" s="174"/>
      <c r="P9" s="134"/>
      <c r="Q9" s="174"/>
      <c r="R9" s="134"/>
      <c r="S9" s="174"/>
      <c r="T9" s="134"/>
      <c r="U9" s="174"/>
      <c r="V9" s="74"/>
      <c r="W9" s="211"/>
      <c r="X9" s="74"/>
      <c r="Y9" s="211"/>
      <c r="Z9" s="134"/>
      <c r="AA9" s="174"/>
      <c r="AB9" s="134"/>
      <c r="AC9" s="174"/>
      <c r="AD9" s="134"/>
      <c r="AE9" s="174"/>
      <c r="AF9" s="74"/>
      <c r="AG9" s="211"/>
      <c r="AH9" s="89"/>
      <c r="AI9" s="90"/>
      <c r="AJ9" s="41"/>
      <c r="AK9" s="40"/>
      <c r="AL9" s="89"/>
      <c r="AM9" s="90"/>
      <c r="AN9" s="41"/>
      <c r="AO9" s="40"/>
      <c r="AP9" s="477"/>
      <c r="AQ9" s="463"/>
      <c r="AR9" s="565"/>
      <c r="AS9" s="109"/>
    </row>
    <row r="10" spans="1:45" s="1" customFormat="1" x14ac:dyDescent="0.25">
      <c r="A10" s="133" t="s">
        <v>72</v>
      </c>
      <c r="B10" s="134">
        <f>+'EXTERNAL DEBT USD'!B10*B93</f>
        <v>355445.61000000004</v>
      </c>
      <c r="C10" s="174">
        <f>+B10/B7</f>
        <v>0.71322731046816124</v>
      </c>
      <c r="D10" s="134">
        <f>+'EXTERNAL DEBT USD'!D10*D93</f>
        <v>453035.76402510004</v>
      </c>
      <c r="E10" s="174">
        <f t="shared" ref="E10" si="0">+D10/D7</f>
        <v>0.76960965600167297</v>
      </c>
      <c r="F10" s="134">
        <f>+'EXTERNAL DEBT USD'!F10*F93</f>
        <v>586157.31332362059</v>
      </c>
      <c r="G10" s="174">
        <f t="shared" ref="G10" si="1">+F10/F7</f>
        <v>0.79253156324553609</v>
      </c>
      <c r="H10" s="134">
        <f>+'EXTERNAL DEBT USD'!H10*H93</f>
        <v>740629.11948591273</v>
      </c>
      <c r="I10" s="174">
        <f t="shared" ref="I10" si="2">+H10/H7</f>
        <v>0.81019456664649858</v>
      </c>
      <c r="J10" s="134">
        <f>+'EXTERNAL DEBT USD'!J10*J93</f>
        <v>922256.85393254599</v>
      </c>
      <c r="K10" s="174">
        <f t="shared" ref="K10" si="3">+J10/J7</f>
        <v>0.83559318447398445</v>
      </c>
      <c r="L10" s="134">
        <f>+'EXTERNAL DEBT USD'!L10*L93</f>
        <v>1019382.0806447833</v>
      </c>
      <c r="M10" s="174">
        <f t="shared" ref="M10" si="4">+L10/L7</f>
        <v>0.86514881952276557</v>
      </c>
      <c r="N10" s="134">
        <f>+'EXTERNAL DEBT USD'!N10*N93</f>
        <v>1055366.6371692931</v>
      </c>
      <c r="O10" s="174">
        <f t="shared" ref="O10" si="5">+N10/N7</f>
        <v>0.87752391378255401</v>
      </c>
      <c r="P10" s="134">
        <f>+'EXTERNAL DEBT USD'!P10*P93</f>
        <v>1003390.256054999</v>
      </c>
      <c r="Q10" s="174">
        <f t="shared" ref="Q10" si="6">+P10/P7</f>
        <v>0.88586081544086681</v>
      </c>
      <c r="R10" s="134">
        <f>+'EXTERNAL DEBT USD'!R10*R93</f>
        <v>998099.23469565401</v>
      </c>
      <c r="S10" s="174">
        <f t="shared" ref="S10" si="7">+R10/R7</f>
        <v>0.88157156931813763</v>
      </c>
      <c r="T10" s="134">
        <f>+'EXTERNAL DEBT USD'!T10*T93</f>
        <v>854081.57690183783</v>
      </c>
      <c r="U10" s="174">
        <f t="shared" ref="U10" si="8">+T10/T7</f>
        <v>0.87984932974161623</v>
      </c>
      <c r="V10" s="134">
        <f>+'EXTERNAL DEBT USD'!V10*V93</f>
        <v>1048090.5870007926</v>
      </c>
      <c r="W10" s="174">
        <f t="shared" ref="W10" si="9">+V10/V7</f>
        <v>0.91837757341216264</v>
      </c>
      <c r="X10" s="134">
        <f>+'EXTERNAL DEBT USD'!X10*X93</f>
        <v>950252.23823175824</v>
      </c>
      <c r="Y10" s="174">
        <f t="shared" ref="Y10" si="10">+X10/X7</f>
        <v>0.92705377027746094</v>
      </c>
      <c r="Z10" s="134">
        <f>+'EXTERNAL DEBT USD'!Z10*Z93</f>
        <v>1328365.9521681687</v>
      </c>
      <c r="AA10" s="174">
        <f t="shared" ref="AA10" si="11">+Z10/Z7</f>
        <v>0.95886218865867689</v>
      </c>
      <c r="AB10" s="134">
        <f>+'EXTERNAL DEBT USD'!AB10*AB93</f>
        <v>1724607.7892557473</v>
      </c>
      <c r="AC10" s="174">
        <f t="shared" ref="AC10" si="12">+AB10/AB7</f>
        <v>0.97626504309455708</v>
      </c>
      <c r="AD10" s="134">
        <f>+'EXTERNAL DEBT USD'!AD10*AD93</f>
        <v>2337935.9236444179</v>
      </c>
      <c r="AE10" s="174">
        <f t="shared" ref="AE10" si="13">+AD10/AD7</f>
        <v>0.98346010281068263</v>
      </c>
      <c r="AF10" s="134">
        <f>+'EXTERNAL DEBT USD'!AF10*AF93</f>
        <v>2912584.8830755171</v>
      </c>
      <c r="AG10" s="174">
        <f t="shared" ref="AG10" si="14">+AF10/AF7</f>
        <v>0.98360414743967239</v>
      </c>
      <c r="AH10" s="134">
        <f>+'EXTERNAL DEBT USD'!AH10*AH93</f>
        <v>3133298.6268203226</v>
      </c>
      <c r="AI10" s="174">
        <f t="shared" ref="AI10" si="15">+AH10/AH7</f>
        <v>0.97157379076551575</v>
      </c>
      <c r="AJ10" s="74">
        <f>+'EXTERNAL DEBT USD'!AJ10*AJ93</f>
        <v>3271492.8256254885</v>
      </c>
      <c r="AK10" s="211">
        <f t="shared" ref="AK10" si="16">+AJ10/AJ7</f>
        <v>0.9696406027909249</v>
      </c>
      <c r="AL10" s="134">
        <f>+'EXTERNAL DEBT USD'!AL10*AL93</f>
        <v>3635167.636430766</v>
      </c>
      <c r="AM10" s="174">
        <f t="shared" ref="AM10" si="17">+AL10/AL7</f>
        <v>0.97038003930375927</v>
      </c>
      <c r="AN10" s="74">
        <f>+'EXTERNAL DEBT USD'!AN10*AN93</f>
        <v>4528346.5877847131</v>
      </c>
      <c r="AO10" s="211">
        <f t="shared" ref="AO10" si="18">+AN10/AN7</f>
        <v>0.97679591116224185</v>
      </c>
      <c r="AP10" s="461">
        <f>+'EXTERNAL DEBT USD'!AP10*AP93</f>
        <v>5220355.7260917481</v>
      </c>
      <c r="AQ10" s="462">
        <f t="shared" ref="AQ10" si="19">+AP10/AP7</f>
        <v>0.90607646676170261</v>
      </c>
      <c r="AR10" s="565"/>
      <c r="AS10" s="109"/>
    </row>
    <row r="11" spans="1:45" s="1" customFormat="1" x14ac:dyDescent="0.25">
      <c r="A11" s="415" t="s">
        <v>71</v>
      </c>
      <c r="B11" s="226">
        <f>+B10/B74</f>
        <v>7.681904663023352E-2</v>
      </c>
      <c r="C11" s="174"/>
      <c r="D11" s="226">
        <f>+D10/D74</f>
        <v>8.6225443837474727E-2</v>
      </c>
      <c r="E11" s="174"/>
      <c r="F11" s="226">
        <f>+F10/F74</f>
        <v>9.8259659393317392E-2</v>
      </c>
      <c r="G11" s="174"/>
      <c r="H11" s="226">
        <f>+H10/H74</f>
        <v>0.10756265500284712</v>
      </c>
      <c r="I11" s="174"/>
      <c r="J11" s="226">
        <f>+J10/J74</f>
        <v>0.11315843688120657</v>
      </c>
      <c r="K11" s="174"/>
      <c r="L11" s="226">
        <f>+L10/L74</f>
        <v>0.10644040041859247</v>
      </c>
      <c r="M11" s="174"/>
      <c r="N11" s="226">
        <f>+N10/N74</f>
        <v>9.0875532406306095E-2</v>
      </c>
      <c r="O11" s="174"/>
      <c r="P11" s="226">
        <f>+P10/P74</f>
        <v>7.2243245271999545E-2</v>
      </c>
      <c r="Q11" s="174"/>
      <c r="R11" s="226">
        <f>+R10/R74</f>
        <v>6.1576950625214802E-2</v>
      </c>
      <c r="S11" s="174"/>
      <c r="T11" s="226">
        <f>+T10/T74</f>
        <v>4.8455373758795342E-2</v>
      </c>
      <c r="U11" s="174"/>
      <c r="V11" s="226">
        <f>+V10/V74</f>
        <v>5.2928493401915883E-2</v>
      </c>
      <c r="W11" s="174"/>
      <c r="X11" s="226">
        <f>+X10/X74</f>
        <v>4.3945298360112045E-2</v>
      </c>
      <c r="Y11" s="174"/>
      <c r="Z11" s="226">
        <f>+Z10/Z74</f>
        <v>5.5924443327469979E-2</v>
      </c>
      <c r="AA11" s="174"/>
      <c r="AB11" s="226">
        <f>+AB10/AB74</f>
        <v>6.7730073500205115E-2</v>
      </c>
      <c r="AC11" s="174"/>
      <c r="AD11" s="226">
        <f>+AD10/AD74</f>
        <v>8.3493752701040411E-2</v>
      </c>
      <c r="AE11" s="174"/>
      <c r="AF11" s="226">
        <f>+AF10/AF74</f>
        <v>9.6532968162588009E-2</v>
      </c>
      <c r="AG11" s="174"/>
      <c r="AH11" s="226">
        <f>+AH10/AH74</f>
        <v>9.7743650359454495E-2</v>
      </c>
      <c r="AI11" s="174"/>
      <c r="AJ11" s="223">
        <f>+AJ10/AJ74</f>
        <v>9.5257582231287802E-2</v>
      </c>
      <c r="AK11" s="211"/>
      <c r="AL11" s="226">
        <f>+AL10/AL74</f>
        <v>0.10093561098481565</v>
      </c>
      <c r="AM11" s="174"/>
      <c r="AN11" s="223">
        <f>+AN10/AN74</f>
        <v>0.11969572471360625</v>
      </c>
      <c r="AO11" s="211"/>
      <c r="AP11" s="464">
        <f>+AP10/AP74</f>
        <v>0.14304207489894821</v>
      </c>
      <c r="AQ11" s="462"/>
      <c r="AR11" s="565"/>
      <c r="AS11" s="109"/>
    </row>
    <row r="12" spans="1:45" s="1" customFormat="1" x14ac:dyDescent="0.25">
      <c r="A12" s="133" t="s">
        <v>175</v>
      </c>
      <c r="B12" s="134">
        <f>+'EXTERNAL DEBT USD'!B12*B93</f>
        <v>142916.70000000001</v>
      </c>
      <c r="C12" s="174">
        <f>+B12/B7</f>
        <v>0.28677268953183876</v>
      </c>
      <c r="D12" s="134">
        <f>+'EXTERNAL DEBT USD'!D12*D93</f>
        <v>135620.78477489995</v>
      </c>
      <c r="E12" s="174">
        <f t="shared" ref="E12" si="20">+D12/D7</f>
        <v>0.23039034399832697</v>
      </c>
      <c r="F12" s="134">
        <f>+'EXTERNAL DEBT USD'!F12*F93</f>
        <v>153443.90952637943</v>
      </c>
      <c r="G12" s="174">
        <f t="shared" ref="G12" si="21">+F12/F7</f>
        <v>0.20746843675446394</v>
      </c>
      <c r="H12" s="134">
        <f>+'EXTERNAL DEBT USD'!H12*H93</f>
        <v>173508.23711408718</v>
      </c>
      <c r="I12" s="174">
        <f t="shared" ref="I12" si="22">+H12/H7</f>
        <v>0.18980543335350133</v>
      </c>
      <c r="J12" s="134">
        <f>+'EXTERNAL DEBT USD'!J12*J93</f>
        <v>181458.2924674541</v>
      </c>
      <c r="K12" s="174">
        <f t="shared" ref="K12" si="23">+J12/J7</f>
        <v>0.1644068155260156</v>
      </c>
      <c r="L12" s="134">
        <f>+'EXTERNAL DEBT USD'!L12*L93</f>
        <v>158891.59625521657</v>
      </c>
      <c r="M12" s="174">
        <f t="shared" ref="M12" si="24">+L12/L7</f>
        <v>0.13485118047723449</v>
      </c>
      <c r="N12" s="134">
        <f>+'EXTERNAL DEBT USD'!N12*N93</f>
        <v>147297.61003070709</v>
      </c>
      <c r="O12" s="174">
        <f t="shared" ref="O12" si="25">+N12/N7</f>
        <v>0.12247608621744607</v>
      </c>
      <c r="P12" s="134">
        <f>+'EXTERNAL DEBT USD'!P12*P93</f>
        <v>129282.32474500101</v>
      </c>
      <c r="Q12" s="174">
        <f t="shared" ref="Q12" si="26">+P12/P7</f>
        <v>0.1141391845591333</v>
      </c>
      <c r="R12" s="134">
        <f>+'EXTERNAL DEBT USD'!R12*R93</f>
        <v>134082.50690434588</v>
      </c>
      <c r="S12" s="174">
        <f t="shared" ref="S12" si="27">+R12/R7</f>
        <v>0.11842843068186244</v>
      </c>
      <c r="T12" s="134">
        <f>+'EXTERNAL DEBT USD'!T12*T93</f>
        <v>116631.87144806814</v>
      </c>
      <c r="U12" s="174">
        <f t="shared" ref="U12" si="28">+T12/T7</f>
        <v>0.1201506702583837</v>
      </c>
      <c r="V12" s="134">
        <f>+'EXTERNAL DEBT USD'!V12*V93</f>
        <v>93150.899446541836</v>
      </c>
      <c r="W12" s="174">
        <f t="shared" ref="W12" si="29">+V12/V7</f>
        <v>8.1622426587837263E-2</v>
      </c>
      <c r="X12" s="134">
        <f>+'EXTERNAL DEBT USD'!X12*X93</f>
        <v>74771.62629268477</v>
      </c>
      <c r="Y12" s="174">
        <f t="shared" ref="Y12" si="30">+X12/X7</f>
        <v>7.2946229722539058E-2</v>
      </c>
      <c r="Z12" s="134">
        <f>+'EXTERNAL DEBT USD'!Z12*Z93</f>
        <v>56990.53375853035</v>
      </c>
      <c r="AA12" s="174">
        <f t="shared" ref="AA12" si="31">+Z12/Z7</f>
        <v>4.1137811341322703E-2</v>
      </c>
      <c r="AB12" s="134">
        <f>+'EXTERNAL DEBT USD'!AB12*AB93</f>
        <v>41928.666652885157</v>
      </c>
      <c r="AC12" s="174">
        <f t="shared" ref="AC12" si="32">+AB12/AB7</f>
        <v>2.3734956905442861E-2</v>
      </c>
      <c r="AD12" s="134">
        <f>+'EXTERNAL DEBT USD'!AD12*AD93</f>
        <v>39319.561313951905</v>
      </c>
      <c r="AE12" s="174">
        <f t="shared" ref="AE12" si="33">+AD12/AD7</f>
        <v>1.6539897189317226E-2</v>
      </c>
      <c r="AF12" s="134">
        <f>+'EXTERNAL DEBT USD'!AF12*AF93</f>
        <v>48550.33647089135</v>
      </c>
      <c r="AG12" s="174">
        <f t="shared" ref="AG12" si="34">+AF12/AF7</f>
        <v>1.6395852560332796E-2</v>
      </c>
      <c r="AH12" s="134">
        <f>+'EXTERNAL DEBT USD'!AH12*AH93</f>
        <v>91673.739253442691</v>
      </c>
      <c r="AI12" s="174">
        <f t="shared" ref="AI12" si="35">+AH12/AH7</f>
        <v>2.842620923448428E-2</v>
      </c>
      <c r="AJ12" s="74">
        <f>+'EXTERNAL DEBT USD'!AJ12*AJ93</f>
        <v>102430.27145723125</v>
      </c>
      <c r="AK12" s="211">
        <f t="shared" ref="AK12" si="36">+AJ12/AJ7</f>
        <v>3.035939720908247E-2</v>
      </c>
      <c r="AL12" s="134">
        <f>+'EXTERNAL DEBT USD'!AL12*AL93</f>
        <v>110960.15803351605</v>
      </c>
      <c r="AM12" s="174">
        <f t="shared" ref="AM12" si="37">+AL12/AL7</f>
        <v>2.9619960695797573E-2</v>
      </c>
      <c r="AN12" s="74">
        <f>+'EXTERNAL DEBT USD'!AN12*AN93</f>
        <v>107572.27309242234</v>
      </c>
      <c r="AO12" s="211">
        <f t="shared" ref="AO12" si="38">+AN12/AN7</f>
        <v>2.3204088837756102E-2</v>
      </c>
      <c r="AP12" s="461">
        <f>+'EXTERNAL DEBT USD'!AP12*AP93</f>
        <v>541140.03896304383</v>
      </c>
      <c r="AQ12" s="462">
        <f t="shared" ref="AQ12" si="39">+AP12/AP7</f>
        <v>9.3923533232859138E-2</v>
      </c>
      <c r="AR12" s="565"/>
      <c r="AS12" s="109"/>
    </row>
    <row r="13" spans="1:45" s="1" customFormat="1" x14ac:dyDescent="0.25">
      <c r="A13" s="415" t="s">
        <v>71</v>
      </c>
      <c r="B13" s="226">
        <f>+B12/B74</f>
        <v>3.0887214056572802E-2</v>
      </c>
      <c r="C13" s="174"/>
      <c r="D13" s="226">
        <f>+D12/D74</f>
        <v>2.5812448573385674E-2</v>
      </c>
      <c r="E13" s="174"/>
      <c r="F13" s="226">
        <f>+F12/F74</f>
        <v>2.5722354636419538E-2</v>
      </c>
      <c r="G13" s="174"/>
      <c r="H13" s="226">
        <f>+H12/H74</f>
        <v>2.5198856158679214E-2</v>
      </c>
      <c r="I13" s="174"/>
      <c r="J13" s="226">
        <f>+J12/J74</f>
        <v>2.2264444712114605E-2</v>
      </c>
      <c r="K13" s="174"/>
      <c r="L13" s="226">
        <f>+L12/L74</f>
        <v>1.659091860615897E-2</v>
      </c>
      <c r="M13" s="174"/>
      <c r="N13" s="226">
        <f>+N12/N74</f>
        <v>1.2683505676870975E-2</v>
      </c>
      <c r="O13" s="174"/>
      <c r="P13" s="226">
        <f>+P12/P74</f>
        <v>9.3082174552983309E-3</v>
      </c>
      <c r="Q13" s="174"/>
      <c r="R13" s="226">
        <f>+R12/R74</f>
        <v>8.2721152570280395E-3</v>
      </c>
      <c r="S13" s="174"/>
      <c r="T13" s="226">
        <f>+T12/T74</f>
        <v>6.6169802464354638E-3</v>
      </c>
      <c r="U13" s="174"/>
      <c r="V13" s="226">
        <f>+V12/V74</f>
        <v>4.7041132015577299E-3</v>
      </c>
      <c r="W13" s="174"/>
      <c r="X13" s="226">
        <f>+X12/X74</f>
        <v>3.4578833851706624E-3</v>
      </c>
      <c r="Y13" s="174"/>
      <c r="Z13" s="226">
        <f>+Z12/Z74</f>
        <v>2.3993116280789061E-3</v>
      </c>
      <c r="AA13" s="174"/>
      <c r="AB13" s="226">
        <f>+AB12/AB74</f>
        <v>1.6466536286439E-3</v>
      </c>
      <c r="AC13" s="174"/>
      <c r="AD13" s="226">
        <f>+AD12/AD74</f>
        <v>1.4042034665958643E-3</v>
      </c>
      <c r="AE13" s="174"/>
      <c r="AF13" s="226">
        <f>+AF12/AF74</f>
        <v>1.6091232609429067E-3</v>
      </c>
      <c r="AG13" s="174"/>
      <c r="AH13" s="226">
        <f>+AH12/AH74</f>
        <v>2.8597739902709051E-3</v>
      </c>
      <c r="AI13" s="174"/>
      <c r="AJ13" s="223">
        <f>+AJ12/AJ74</f>
        <v>2.9825099813400361E-3</v>
      </c>
      <c r="AK13" s="211"/>
      <c r="AL13" s="226">
        <f>+AL12/AL74</f>
        <v>3.0809669501463037E-3</v>
      </c>
      <c r="AM13" s="174"/>
      <c r="AN13" s="223">
        <f>+AN12/AN74</f>
        <v>2.8434089434807206E-3</v>
      </c>
      <c r="AO13" s="211"/>
      <c r="AP13" s="464">
        <f>+AP12/AP74</f>
        <v>1.4827685706797955E-2</v>
      </c>
      <c r="AQ13" s="462"/>
      <c r="AR13" s="565"/>
      <c r="AS13" s="109"/>
    </row>
    <row r="14" spans="1:45" s="1" customFormat="1" x14ac:dyDescent="0.25">
      <c r="A14" s="416"/>
      <c r="B14" s="134"/>
      <c r="C14" s="174"/>
      <c r="D14" s="134"/>
      <c r="E14" s="174"/>
      <c r="F14" s="134"/>
      <c r="G14" s="174"/>
      <c r="H14" s="134"/>
      <c r="I14" s="174"/>
      <c r="J14" s="134"/>
      <c r="K14" s="174"/>
      <c r="L14" s="134"/>
      <c r="M14" s="174"/>
      <c r="N14" s="134"/>
      <c r="O14" s="174"/>
      <c r="P14" s="134"/>
      <c r="Q14" s="174"/>
      <c r="R14" s="134"/>
      <c r="S14" s="174"/>
      <c r="T14" s="134"/>
      <c r="U14" s="174"/>
      <c r="V14" s="74"/>
      <c r="W14" s="211"/>
      <c r="X14" s="74"/>
      <c r="Y14" s="211"/>
      <c r="Z14" s="134"/>
      <c r="AA14" s="174"/>
      <c r="AB14" s="134"/>
      <c r="AC14" s="174"/>
      <c r="AD14" s="134"/>
      <c r="AE14" s="174"/>
      <c r="AF14" s="74"/>
      <c r="AG14" s="211"/>
      <c r="AH14" s="89"/>
      <c r="AI14" s="90"/>
      <c r="AJ14" s="41"/>
      <c r="AK14" s="40"/>
      <c r="AL14" s="89"/>
      <c r="AM14" s="90"/>
      <c r="AN14" s="41"/>
      <c r="AO14" s="40"/>
      <c r="AP14" s="477"/>
      <c r="AQ14" s="463"/>
      <c r="AR14" s="565"/>
      <c r="AS14" s="109"/>
    </row>
    <row r="15" spans="1:45" s="1" customFormat="1" x14ac:dyDescent="0.25">
      <c r="A15" s="17" t="s">
        <v>176</v>
      </c>
      <c r="B15" s="89">
        <f>+B16+B18+B20+B22+B24</f>
        <v>498362.31</v>
      </c>
      <c r="C15" s="515">
        <f>+C16+C18+C20+C22+C24</f>
        <v>0.99999999999999989</v>
      </c>
      <c r="D15" s="89">
        <f t="shared" ref="D15:AI15" si="40">+D16+D18+D20+D22+D24</f>
        <v>588656.54879999999</v>
      </c>
      <c r="E15" s="515">
        <f t="shared" si="40"/>
        <v>1</v>
      </c>
      <c r="F15" s="89">
        <f t="shared" si="40"/>
        <v>739600.46475000004</v>
      </c>
      <c r="G15" s="515">
        <f t="shared" si="40"/>
        <v>0.99999897498817392</v>
      </c>
      <c r="H15" s="89">
        <f t="shared" si="40"/>
        <v>914137.35660000006</v>
      </c>
      <c r="I15" s="515">
        <f t="shared" si="40"/>
        <v>1</v>
      </c>
      <c r="J15" s="89">
        <f t="shared" si="40"/>
        <v>1103715.1464</v>
      </c>
      <c r="K15" s="515">
        <f t="shared" si="40"/>
        <v>1</v>
      </c>
      <c r="L15" s="89">
        <f t="shared" si="40"/>
        <v>1178273.1791900001</v>
      </c>
      <c r="M15" s="515">
        <f t="shared" si="40"/>
        <v>0.99999957759389047</v>
      </c>
      <c r="N15" s="89">
        <f t="shared" si="40"/>
        <v>1202661.6561</v>
      </c>
      <c r="O15" s="515">
        <f t="shared" si="40"/>
        <v>0.9999978455333598</v>
      </c>
      <c r="P15" s="89">
        <f t="shared" si="40"/>
        <v>1132674.5694800001</v>
      </c>
      <c r="Q15" s="515">
        <f t="shared" si="40"/>
        <v>1.0000017557412741</v>
      </c>
      <c r="R15" s="89">
        <f t="shared" si="40"/>
        <v>1132183.5625595131</v>
      </c>
      <c r="S15" s="515">
        <f t="shared" si="40"/>
        <v>1.0000016083632568</v>
      </c>
      <c r="T15" s="89">
        <f t="shared" si="40"/>
        <v>970713.44834990753</v>
      </c>
      <c r="U15" s="515">
        <f t="shared" si="40"/>
        <v>1.0000000000000016</v>
      </c>
      <c r="V15" s="89">
        <f t="shared" si="40"/>
        <v>1141241.4864473306</v>
      </c>
      <c r="W15" s="515">
        <f t="shared" si="40"/>
        <v>0.99999999999999656</v>
      </c>
      <c r="X15" s="89">
        <f t="shared" si="40"/>
        <v>1025023.8645244399</v>
      </c>
      <c r="Y15" s="515">
        <f t="shared" si="40"/>
        <v>0.99999999999999689</v>
      </c>
      <c r="Z15" s="89">
        <f t="shared" si="40"/>
        <v>1385356.4859266994</v>
      </c>
      <c r="AA15" s="515">
        <f t="shared" si="40"/>
        <v>0.99999999999999978</v>
      </c>
      <c r="AB15" s="89">
        <f t="shared" si="40"/>
        <v>1766536.4559086387</v>
      </c>
      <c r="AC15" s="515">
        <f t="shared" si="40"/>
        <v>1.0000000000000036</v>
      </c>
      <c r="AD15" s="89">
        <f t="shared" si="40"/>
        <v>2377255.4849583805</v>
      </c>
      <c r="AE15" s="515">
        <f t="shared" si="40"/>
        <v>1.0000000000000044</v>
      </c>
      <c r="AF15" s="89">
        <f t="shared" si="40"/>
        <v>2961135.2195464149</v>
      </c>
      <c r="AG15" s="515">
        <f t="shared" si="40"/>
        <v>1.0000000000000073</v>
      </c>
      <c r="AH15" s="89">
        <f t="shared" si="40"/>
        <v>3224972.3660459612</v>
      </c>
      <c r="AI15" s="515">
        <f t="shared" si="40"/>
        <v>0.99999999999137867</v>
      </c>
      <c r="AJ15" s="41">
        <f t="shared" ref="AJ15:AM15" si="41">+AJ16+AJ18+AJ20+AJ22+AJ24</f>
        <v>3373923.0970827471</v>
      </c>
      <c r="AK15" s="627">
        <f t="shared" si="41"/>
        <v>1.0000000000000153</v>
      </c>
      <c r="AL15" s="89">
        <f t="shared" si="41"/>
        <v>3746127.7944642995</v>
      </c>
      <c r="AM15" s="515">
        <f t="shared" si="41"/>
        <v>0.99999999999956124</v>
      </c>
      <c r="AN15" s="41">
        <f t="shared" ref="AN15:AO15" si="42">+AN16+AN18+AN20+AN22+AN24</f>
        <v>4635918.8608771656</v>
      </c>
      <c r="AO15" s="627">
        <f t="shared" si="42"/>
        <v>1.0000000000000044</v>
      </c>
      <c r="AP15" s="477">
        <f t="shared" ref="AP15:AQ15" si="43">+AP16+AP18+AP20+AP22+AP24</f>
        <v>5761495.7650560252</v>
      </c>
      <c r="AQ15" s="508">
        <f t="shared" si="43"/>
        <v>0.99999999999477573</v>
      </c>
      <c r="AR15" s="565"/>
      <c r="AS15" s="109"/>
    </row>
    <row r="16" spans="1:45" s="1" customFormat="1" x14ac:dyDescent="0.25">
      <c r="A16" s="132" t="s">
        <v>177</v>
      </c>
      <c r="B16" s="134">
        <f>+'EXTERNAL DEBT USD'!B16*B93</f>
        <v>68816.459999999992</v>
      </c>
      <c r="C16" s="174">
        <f>+B16/B7</f>
        <v>0.13808520150731299</v>
      </c>
      <c r="D16" s="134">
        <f>+'EXTERNAL DEBT USD'!D16*D93</f>
        <v>60386.603999999999</v>
      </c>
      <c r="E16" s="174">
        <f t="shared" ref="E16" si="44">+D16/D7</f>
        <v>0.10258376318602165</v>
      </c>
      <c r="F16" s="134">
        <f>+'EXTERNAL DEBT USD'!F16*F93</f>
        <v>60181.010399999999</v>
      </c>
      <c r="G16" s="174">
        <f t="shared" ref="G16" si="45">+F16/F7</f>
        <v>8.1369538801053909E-2</v>
      </c>
      <c r="H16" s="134">
        <f>+'EXTERNAL DEBT USD'!H16*H93</f>
        <v>59625.123000000007</v>
      </c>
      <c r="I16" s="174">
        <f t="shared" ref="I16" si="46">+H16/H7</f>
        <v>6.5225562186591868E-2</v>
      </c>
      <c r="J16" s="134">
        <f>+'EXTERNAL DEBT USD'!J16*J93</f>
        <v>57937.621999999996</v>
      </c>
      <c r="K16" s="174">
        <f t="shared" ref="K16" si="47">+J16/J7</f>
        <v>5.2493274364292075E-2</v>
      </c>
      <c r="L16" s="134">
        <f>+'EXTERNAL DEBT USD'!L16*L93</f>
        <v>56207.883429999994</v>
      </c>
      <c r="M16" s="174">
        <f t="shared" ref="M16" si="48">+L16/L7</f>
        <v>4.7703589184713971E-2</v>
      </c>
      <c r="N16" s="134">
        <f>+'EXTERNAL DEBT USD'!N16*N93</f>
        <v>62046.480600000003</v>
      </c>
      <c r="O16" s="174">
        <f t="shared" ref="O16" si="49">+N16/N7</f>
        <v>5.1590858167152136E-2</v>
      </c>
      <c r="P16" s="134">
        <f>+'EXTERNAL DEBT USD'!P16*P93</f>
        <v>55218.683220000006</v>
      </c>
      <c r="Q16" s="174">
        <f t="shared" ref="Q16" si="50">+P16/P7</f>
        <v>4.8750790083573296E-2</v>
      </c>
      <c r="R16" s="134">
        <f>+'EXTERNAL DEBT USD'!R16*R93</f>
        <v>65534.996765247102</v>
      </c>
      <c r="S16" s="174">
        <f t="shared" ref="S16" si="51">+R16/R7</f>
        <v>5.788381348795911E-2</v>
      </c>
      <c r="T16" s="134">
        <f>+'EXTERNAL DEBT USD'!T16*T93</f>
        <v>60554.302752508956</v>
      </c>
      <c r="U16" s="174">
        <f t="shared" ref="U16" si="52">+T16/T7</f>
        <v>6.2381233983565237E-2</v>
      </c>
      <c r="V16" s="134">
        <f>+'EXTERNAL DEBT USD'!V16*V93</f>
        <v>51577.46846964334</v>
      </c>
      <c r="W16" s="174">
        <f t="shared" ref="W16" si="53">+V16/V7</f>
        <v>4.5194175888403014E-2</v>
      </c>
      <c r="X16" s="134">
        <f>+'EXTERNAL DEBT USD'!X16*X93</f>
        <v>45115.52104770294</v>
      </c>
      <c r="Y16" s="174">
        <f t="shared" ref="Y16" si="54">+X16/X7</f>
        <v>4.4014117728502021E-2</v>
      </c>
      <c r="Z16" s="134">
        <f>+'EXTERNAL DEBT USD'!Z16*Z93</f>
        <v>39248.671773678187</v>
      </c>
      <c r="AA16" s="174">
        <f t="shared" ref="AA16" si="55">+Z16/Z7</f>
        <v>2.8331099014867477E-2</v>
      </c>
      <c r="AB16" s="134">
        <f>+'EXTERNAL DEBT USD'!AB16*AB93</f>
        <v>31551.278917684707</v>
      </c>
      <c r="AC16" s="174">
        <f t="shared" ref="AC16" si="56">+AB16/AB7</f>
        <v>1.786053087789578E-2</v>
      </c>
      <c r="AD16" s="134">
        <f>+'EXTERNAL DEBT USD'!AD16*AD93</f>
        <v>31716.889874913864</v>
      </c>
      <c r="AE16" s="174">
        <f t="shared" ref="AE16" si="57">+AD16/AD7</f>
        <v>1.3341809525983397E-2</v>
      </c>
      <c r="AF16" s="134">
        <f>+'EXTERNAL DEBT USD'!AF16*AF93</f>
        <v>44493.11748602146</v>
      </c>
      <c r="AG16" s="174">
        <f t="shared" ref="AG16" si="58">+AF16/AF7</f>
        <v>1.5025695953471932E-2</v>
      </c>
      <c r="AH16" s="134">
        <f>+'EXTERNAL DEBT USD'!AH16*AH93</f>
        <v>91156.815255292371</v>
      </c>
      <c r="AI16" s="174">
        <f t="shared" ref="AI16" si="59">+AH16/AH7</f>
        <v>2.8265921349977647E-2</v>
      </c>
      <c r="AJ16" s="74">
        <f>+'EXTERNAL DEBT USD'!AJ16*AJ93</f>
        <v>102204.07601175731</v>
      </c>
      <c r="AK16" s="211">
        <f t="shared" ref="AK16" si="60">+AJ16/AJ7</f>
        <v>3.0292354944346345E-2</v>
      </c>
      <c r="AL16" s="134">
        <f>+'EXTERNAL DEBT USD'!AL16*AL93</f>
        <v>110727.6090726753</v>
      </c>
      <c r="AM16" s="174">
        <f t="shared" ref="AM16" si="61">+AL16/AL7</f>
        <v>2.95578835394378E-2</v>
      </c>
      <c r="AN16" s="74">
        <f>+'EXTERNAL DEBT USD'!AN16*AN93</f>
        <v>128934.92736012474</v>
      </c>
      <c r="AO16" s="211">
        <f t="shared" ref="AO16" si="62">+AN16/AN7</f>
        <v>2.7812162211943769E-2</v>
      </c>
      <c r="AP16" s="461">
        <f>+'EXTERNAL DEBT USD'!AP16*AP93</f>
        <v>260578.99251665582</v>
      </c>
      <c r="AQ16" s="462">
        <f t="shared" ref="AQ16" si="63">+AP16/AP7</f>
        <v>4.5227663638274081E-2</v>
      </c>
      <c r="AR16" s="565"/>
      <c r="AS16" s="109"/>
    </row>
    <row r="17" spans="1:45" s="1" customFormat="1" x14ac:dyDescent="0.25">
      <c r="A17" s="416" t="s">
        <v>75</v>
      </c>
      <c r="B17" s="226">
        <f>+B16/B74</f>
        <v>1.4872640710536834E-2</v>
      </c>
      <c r="C17" s="249"/>
      <c r="D17" s="226">
        <f>+D16/D74</f>
        <v>1.1493268622936675E-2</v>
      </c>
      <c r="E17" s="249"/>
      <c r="F17" s="226">
        <f>+F16/F74</f>
        <v>1.0088359301225489E-2</v>
      </c>
      <c r="G17" s="249"/>
      <c r="H17" s="226">
        <f>+H16/H74</f>
        <v>8.6594442022520472E-3</v>
      </c>
      <c r="I17" s="249"/>
      <c r="J17" s="226">
        <f>+J16/J74</f>
        <v>7.1087904786812468E-3</v>
      </c>
      <c r="K17" s="249"/>
      <c r="L17" s="226">
        <f>+L16/L74</f>
        <v>5.8690354996102263E-3</v>
      </c>
      <c r="M17" s="249"/>
      <c r="N17" s="226">
        <f>+N16/N74</f>
        <v>5.3426996456758949E-3</v>
      </c>
      <c r="O17" s="249"/>
      <c r="P17" s="226">
        <f>+P16/P74</f>
        <v>3.97569824042685E-3</v>
      </c>
      <c r="Q17" s="249"/>
      <c r="R17" s="226">
        <f>+R16/R74</f>
        <v>4.043130301835912E-3</v>
      </c>
      <c r="S17" s="249"/>
      <c r="T17" s="226">
        <f>+T16/T74</f>
        <v>3.4354814012260391E-3</v>
      </c>
      <c r="U17" s="249"/>
      <c r="V17" s="226">
        <f>+V16/V74</f>
        <v>2.6046581597445233E-3</v>
      </c>
      <c r="W17" s="249"/>
      <c r="X17" s="226">
        <f>+X16/X74</f>
        <v>2.0864092220424508E-3</v>
      </c>
      <c r="Y17" s="249"/>
      <c r="Z17" s="226">
        <f>+Z16/Z74</f>
        <v>1.6523760765645237E-3</v>
      </c>
      <c r="AA17" s="249"/>
      <c r="AB17" s="226">
        <f>+AB16/AB74</f>
        <v>1.2391051770921577E-3</v>
      </c>
      <c r="AC17" s="249"/>
      <c r="AD17" s="226">
        <f>+AD16/AD74</f>
        <v>1.1326923603338906E-3</v>
      </c>
      <c r="AE17" s="249"/>
      <c r="AF17" s="226">
        <f>+AF16/AF74</f>
        <v>1.4746532259678133E-3</v>
      </c>
      <c r="AG17" s="249"/>
      <c r="AH17" s="226">
        <f>+AH16/AH74</f>
        <v>2.8436484802077644E-3</v>
      </c>
      <c r="AI17" s="249"/>
      <c r="AJ17" s="223">
        <f>+AJ16/AJ74</f>
        <v>2.9759237430702157E-3</v>
      </c>
      <c r="AK17" s="250"/>
      <c r="AL17" s="226">
        <f>+AL16/AL74</f>
        <v>3.0745098967738236E-3</v>
      </c>
      <c r="AM17" s="249"/>
      <c r="AN17" s="223">
        <f>+AN16/AN74</f>
        <v>3.408078262581968E-3</v>
      </c>
      <c r="AO17" s="250"/>
      <c r="AP17" s="464">
        <f>+AP16/AP74</f>
        <v>7.14008043137037E-3</v>
      </c>
      <c r="AQ17" s="465"/>
      <c r="AR17" s="565"/>
      <c r="AS17" s="109"/>
    </row>
    <row r="18" spans="1:45" s="1" customFormat="1" x14ac:dyDescent="0.25">
      <c r="A18" s="438" t="s">
        <v>178</v>
      </c>
      <c r="B18" s="134">
        <f>+'EXTERNAL DEBT USD'!B18*B93</f>
        <v>0</v>
      </c>
      <c r="C18" s="258">
        <f>+B18/B7</f>
        <v>0</v>
      </c>
      <c r="D18" s="134">
        <f>+'EXTERNAL DEBT USD'!D18*D93</f>
        <v>0</v>
      </c>
      <c r="E18" s="258">
        <f t="shared" ref="E18" si="64">+D18/D7</f>
        <v>0</v>
      </c>
      <c r="F18" s="134">
        <f>+'EXTERNAL DEBT USD'!F18*F93</f>
        <v>0</v>
      </c>
      <c r="G18" s="258">
        <f t="shared" ref="G18" si="65">+F18/F7</f>
        <v>0</v>
      </c>
      <c r="H18" s="134">
        <f>+'EXTERNAL DEBT USD'!H18*H93</f>
        <v>0</v>
      </c>
      <c r="I18" s="258">
        <f t="shared" ref="I18" si="66">+H18/H7</f>
        <v>0</v>
      </c>
      <c r="J18" s="134">
        <f>+'EXTERNAL DEBT USD'!J18*J93</f>
        <v>0</v>
      </c>
      <c r="K18" s="258">
        <f t="shared" ref="K18" si="67">+J18/J7</f>
        <v>0</v>
      </c>
      <c r="L18" s="134">
        <f>+'EXTERNAL DEBT USD'!L18*L93</f>
        <v>0</v>
      </c>
      <c r="M18" s="258">
        <f t="shared" ref="M18" si="68">+L18/L7</f>
        <v>0</v>
      </c>
      <c r="N18" s="134">
        <f>+'EXTERNAL DEBT USD'!N18*N93</f>
        <v>0</v>
      </c>
      <c r="O18" s="258">
        <f t="shared" ref="O18" si="69">+N18/N7</f>
        <v>0</v>
      </c>
      <c r="P18" s="134">
        <f>+'EXTERNAL DEBT USD'!P18*P93</f>
        <v>0</v>
      </c>
      <c r="Q18" s="258">
        <f t="shared" ref="Q18" si="70">+P18/P7</f>
        <v>0</v>
      </c>
      <c r="R18" s="134">
        <f>+'EXTERNAL DEBT USD'!R18*R93</f>
        <v>0</v>
      </c>
      <c r="S18" s="258">
        <f t="shared" ref="S18" si="71">+R18/R7</f>
        <v>0</v>
      </c>
      <c r="T18" s="134">
        <f>+'EXTERNAL DEBT USD'!T18*T93</f>
        <v>0</v>
      </c>
      <c r="U18" s="258">
        <f t="shared" ref="U18" si="72">+T18/T7</f>
        <v>0</v>
      </c>
      <c r="V18" s="134">
        <f>+'EXTERNAL DEBT USD'!V18*V93</f>
        <v>0</v>
      </c>
      <c r="W18" s="258">
        <f t="shared" ref="W18" si="73">+V18/V7</f>
        <v>0</v>
      </c>
      <c r="X18" s="134">
        <f>+'EXTERNAL DEBT USD'!X18*X93</f>
        <v>0</v>
      </c>
      <c r="Y18" s="258">
        <f t="shared" ref="Y18" si="74">+X18/X7</f>
        <v>0</v>
      </c>
      <c r="Z18" s="134">
        <f>+'EXTERNAL DEBT USD'!Z18*Z93</f>
        <v>0</v>
      </c>
      <c r="AA18" s="258">
        <f t="shared" ref="AA18" si="75">+Z18/Z7</f>
        <v>0</v>
      </c>
      <c r="AB18" s="134">
        <f>+'EXTERNAL DEBT USD'!AB18*AB93</f>
        <v>0</v>
      </c>
      <c r="AC18" s="258">
        <f t="shared" ref="AC18" si="76">+AB18/AB7</f>
        <v>0</v>
      </c>
      <c r="AD18" s="134">
        <f>+'EXTERNAL DEBT USD'!AD18*AD93</f>
        <v>0</v>
      </c>
      <c r="AE18" s="258">
        <f t="shared" ref="AE18" si="77">+AD18/AD7</f>
        <v>0</v>
      </c>
      <c r="AF18" s="134">
        <f>+'EXTERNAL DEBT USD'!AF18*AF93</f>
        <v>0</v>
      </c>
      <c r="AG18" s="258">
        <f t="shared" ref="AG18" si="78">+AF18/AF7</f>
        <v>0</v>
      </c>
      <c r="AH18" s="134">
        <f>+'EXTERNAL DEBT USD'!AH18*AH93</f>
        <v>0</v>
      </c>
      <c r="AI18" s="258">
        <f t="shared" ref="AI18" si="79">+AH18/AH7</f>
        <v>0</v>
      </c>
      <c r="AJ18" s="74">
        <f>+'EXTERNAL DEBT USD'!AJ18*AJ93</f>
        <v>0</v>
      </c>
      <c r="AK18" s="259">
        <f t="shared" ref="AK18" si="80">+AJ18/AJ7</f>
        <v>0</v>
      </c>
      <c r="AL18" s="134">
        <f>+'EXTERNAL DEBT USD'!AL18*AL93</f>
        <v>0</v>
      </c>
      <c r="AM18" s="258">
        <f t="shared" ref="AM18" si="81">+AL18/AL7</f>
        <v>0</v>
      </c>
      <c r="AN18" s="74">
        <f>+'EXTERNAL DEBT USD'!AN18*AN93</f>
        <v>0</v>
      </c>
      <c r="AO18" s="259">
        <f t="shared" ref="AO18" si="82">+AN18/AN7</f>
        <v>0</v>
      </c>
      <c r="AP18" s="461">
        <f>+'EXTERNAL DEBT USD'!AP18*AP93</f>
        <v>0</v>
      </c>
      <c r="AQ18" s="542">
        <f t="shared" ref="AQ18" si="83">+AP18/AP7</f>
        <v>0</v>
      </c>
      <c r="AR18" s="565"/>
      <c r="AS18" s="109"/>
    </row>
    <row r="19" spans="1:45" s="1" customFormat="1" x14ac:dyDescent="0.25">
      <c r="A19" s="416" t="s">
        <v>75</v>
      </c>
      <c r="B19" s="226">
        <f>+B18/B74</f>
        <v>0</v>
      </c>
      <c r="C19" s="249"/>
      <c r="D19" s="226">
        <f>+D18/D74</f>
        <v>0</v>
      </c>
      <c r="E19" s="249"/>
      <c r="F19" s="226">
        <f>+F18/F74</f>
        <v>0</v>
      </c>
      <c r="G19" s="249"/>
      <c r="H19" s="226">
        <f>+H18/H74</f>
        <v>0</v>
      </c>
      <c r="I19" s="249"/>
      <c r="J19" s="226">
        <f>+J18/J74</f>
        <v>0</v>
      </c>
      <c r="K19" s="249"/>
      <c r="L19" s="226">
        <f>+L18/L74</f>
        <v>0</v>
      </c>
      <c r="M19" s="249"/>
      <c r="N19" s="226">
        <f>+N18/N74</f>
        <v>0</v>
      </c>
      <c r="O19" s="249"/>
      <c r="P19" s="226">
        <f>+P18/P74</f>
        <v>0</v>
      </c>
      <c r="Q19" s="249"/>
      <c r="R19" s="226">
        <f>+R18/R74</f>
        <v>0</v>
      </c>
      <c r="S19" s="249"/>
      <c r="T19" s="226">
        <f>+T18/T74</f>
        <v>0</v>
      </c>
      <c r="U19" s="249"/>
      <c r="V19" s="226">
        <f>+V18/V74</f>
        <v>0</v>
      </c>
      <c r="W19" s="249"/>
      <c r="X19" s="226">
        <f>+X18/X74</f>
        <v>0</v>
      </c>
      <c r="Y19" s="249"/>
      <c r="Z19" s="226">
        <f>+Z18/Z74</f>
        <v>0</v>
      </c>
      <c r="AA19" s="249"/>
      <c r="AB19" s="226">
        <f>+AB18/AB74</f>
        <v>0</v>
      </c>
      <c r="AC19" s="249"/>
      <c r="AD19" s="226">
        <f>+AD18/AD74</f>
        <v>0</v>
      </c>
      <c r="AE19" s="249"/>
      <c r="AF19" s="226">
        <f>+AF18/AF74</f>
        <v>0</v>
      </c>
      <c r="AG19" s="249"/>
      <c r="AH19" s="226">
        <f>+AH18/AH74</f>
        <v>0</v>
      </c>
      <c r="AI19" s="249"/>
      <c r="AJ19" s="223">
        <f>+AJ18/AJ74</f>
        <v>0</v>
      </c>
      <c r="AK19" s="250"/>
      <c r="AL19" s="226">
        <f>+AL18/AL74</f>
        <v>0</v>
      </c>
      <c r="AM19" s="249"/>
      <c r="AN19" s="223">
        <f>+AN18/AN74</f>
        <v>0</v>
      </c>
      <c r="AO19" s="250"/>
      <c r="AP19" s="464">
        <f>+AP18/AP74</f>
        <v>0</v>
      </c>
      <c r="AQ19" s="465"/>
      <c r="AR19" s="565"/>
      <c r="AS19" s="109"/>
    </row>
    <row r="20" spans="1:45" s="1" customFormat="1" x14ac:dyDescent="0.25">
      <c r="A20" s="132" t="s">
        <v>179</v>
      </c>
      <c r="B20" s="134">
        <f>+'EXTERNAL DEBT USD'!B20*B93</f>
        <v>238725</v>
      </c>
      <c r="C20" s="174">
        <f>+B20/B7</f>
        <v>0.47901896915117831</v>
      </c>
      <c r="D20" s="134">
        <f>+'EXTERNAL DEBT USD'!D20*D93</f>
        <v>341940</v>
      </c>
      <c r="E20" s="174">
        <f t="shared" ref="E20" si="84">+D20/D7</f>
        <v>0.5808820112458758</v>
      </c>
      <c r="F20" s="134">
        <f>+'EXTERNAL DEBT USD'!F20*F93</f>
        <v>473812.5</v>
      </c>
      <c r="G20" s="174">
        <f t="shared" ref="G20" si="85">+F20/F7</f>
        <v>0.64063239129621452</v>
      </c>
      <c r="H20" s="134">
        <f>+'EXTERNAL DEBT USD'!H20*H93</f>
        <v>628515</v>
      </c>
      <c r="I20" s="174">
        <f t="shared" ref="I20" si="86">+H20/H7</f>
        <v>0.68754984736393387</v>
      </c>
      <c r="J20" s="134">
        <f>+'EXTERNAL DEBT USD'!J20*J93</f>
        <v>804370</v>
      </c>
      <c r="K20" s="174">
        <f t="shared" ref="K20" si="87">+J20/J7</f>
        <v>0.72878405503777188</v>
      </c>
      <c r="L20" s="134">
        <f>+'EXTERNAL DEBT USD'!L20*L93</f>
        <v>870992.5</v>
      </c>
      <c r="M20" s="174">
        <f t="shared" ref="M20" si="88">+L20/L7</f>
        <v>0.73921069194344835</v>
      </c>
      <c r="N20" s="134">
        <f>+'EXTERNAL DEBT USD'!N20*N93</f>
        <v>906885</v>
      </c>
      <c r="O20" s="174">
        <f t="shared" ref="O20" si="89">+N20/N7</f>
        <v>0.75406332408348986</v>
      </c>
      <c r="P20" s="134">
        <f>+'EXTERNAL DEBT USD'!P20*P93</f>
        <v>870047.5</v>
      </c>
      <c r="Q20" s="174">
        <f t="shared" ref="Q20" si="90">+P20/P7</f>
        <v>0.76813680736006751</v>
      </c>
      <c r="R20" s="134">
        <f>+'EXTERNAL DEBT USD'!R20*R93</f>
        <v>856173.5</v>
      </c>
      <c r="S20" s="174">
        <f t="shared" ref="S20" si="91">+R20/R7</f>
        <v>0.7562156043870264</v>
      </c>
      <c r="T20" s="134">
        <f>+'EXTERNAL DEBT USD'!T20*T93</f>
        <v>702625</v>
      </c>
      <c r="U20" s="174">
        <f t="shared" ref="U20" si="92">+T20/T7</f>
        <v>0.72382328811285812</v>
      </c>
      <c r="V20" s="134">
        <f>+'EXTERNAL DEBT USD'!V20*V93</f>
        <v>640625</v>
      </c>
      <c r="W20" s="174">
        <f t="shared" ref="W20" si="93">+V20/V7</f>
        <v>0.56134044162226771</v>
      </c>
      <c r="X20" s="134">
        <f>+'EXTERNAL DEBT USD'!X20*X93</f>
        <v>510820</v>
      </c>
      <c r="Y20" s="174">
        <f t="shared" ref="Y20" si="94">+X20/X7</f>
        <v>0.49834937280898678</v>
      </c>
      <c r="Z20" s="134">
        <f>+'EXTERNAL DEBT USD'!Z20*Z93</f>
        <v>891152.5</v>
      </c>
      <c r="AA20" s="174">
        <f t="shared" ref="AA20" si="95">+Z20/Z7</f>
        <v>0.64326583738761345</v>
      </c>
      <c r="AB20" s="134">
        <f>+'EXTERNAL DEBT USD'!AB20*AB93</f>
        <v>1256175</v>
      </c>
      <c r="AC20" s="174">
        <f t="shared" ref="AC20" si="96">+AB20/AB7</f>
        <v>0.71109486351011986</v>
      </c>
      <c r="AD20" s="134">
        <f>+'EXTERNAL DEBT USD'!AD20*AD93</f>
        <v>1762215</v>
      </c>
      <c r="AE20" s="174">
        <f t="shared" ref="AE20" si="97">+AD20/AD7</f>
        <v>0.74128128472100652</v>
      </c>
      <c r="AF20" s="134">
        <f>+'EXTERNAL DEBT USD'!AF20*AF93</f>
        <v>2285692.5</v>
      </c>
      <c r="AG20" s="174">
        <f t="shared" ref="AG20" si="98">+AF20/AF7</f>
        <v>0.77189737399095815</v>
      </c>
      <c r="AH20" s="134">
        <f>+'EXTERNAL DEBT USD'!AH20*AH93</f>
        <v>2364870</v>
      </c>
      <c r="AI20" s="174">
        <f t="shared" ref="AI20" si="99">+AH20/AH7</f>
        <v>0.73329930664773579</v>
      </c>
      <c r="AJ20" s="74">
        <f>+'EXTERNAL DEBT USD'!AJ20*AJ93</f>
        <v>2424582.5</v>
      </c>
      <c r="AK20" s="211">
        <f t="shared" ref="AK20" si="100">+AJ20/AJ7</f>
        <v>0.71862411508325297</v>
      </c>
      <c r="AL20" s="134">
        <f>+'EXTERNAL DEBT USD'!AL20*AL93</f>
        <v>2591947.5</v>
      </c>
      <c r="AM20" s="174">
        <f t="shared" ref="AM20" si="101">+AL20/AL7</f>
        <v>0.69190044819854168</v>
      </c>
      <c r="AN20" s="74">
        <f>+'EXTERNAL DEBT USD'!AN20*AN93</f>
        <v>3297797.5</v>
      </c>
      <c r="AO20" s="211">
        <f t="shared" ref="AO20" si="102">+AN20/AN7</f>
        <v>0.71135789882570033</v>
      </c>
      <c r="AP20" s="461">
        <f>+'EXTERNAL DEBT USD'!AP20*AP93</f>
        <v>3386570</v>
      </c>
      <c r="AQ20" s="462">
        <f t="shared" ref="AQ20" si="103">+AP20/AP7</f>
        <v>0.58779354148312501</v>
      </c>
      <c r="AR20" s="565"/>
      <c r="AS20" s="109"/>
    </row>
    <row r="21" spans="1:45" s="1" customFormat="1" x14ac:dyDescent="0.25">
      <c r="A21" s="416" t="s">
        <v>75</v>
      </c>
      <c r="B21" s="226">
        <f>+B20/B74</f>
        <v>5.1593341965322052E-2</v>
      </c>
      <c r="C21" s="174"/>
      <c r="D21" s="226">
        <f>+D20/D74</f>
        <v>6.5080796279369635E-2</v>
      </c>
      <c r="E21" s="174"/>
      <c r="F21" s="226">
        <f>+F20/F74</f>
        <v>7.9426894125591188E-2</v>
      </c>
      <c r="G21" s="174"/>
      <c r="H21" s="226">
        <f>+H20/H74</f>
        <v>9.1280156734912646E-2</v>
      </c>
      <c r="I21" s="174"/>
      <c r="J21" s="226">
        <f>+J20/J74</f>
        <v>9.8694036792480622E-2</v>
      </c>
      <c r="K21" s="174"/>
      <c r="L21" s="226">
        <f>+L20/L74</f>
        <v>9.0946066467001652E-2</v>
      </c>
      <c r="M21" s="174"/>
      <c r="N21" s="226">
        <f>+N20/N74</f>
        <v>7.8090072495889215E-2</v>
      </c>
      <c r="O21" s="174"/>
      <c r="P21" s="226">
        <f>+P20/P74</f>
        <v>6.2642680214890126E-2</v>
      </c>
      <c r="Q21" s="174"/>
      <c r="R21" s="226">
        <f>+R20/R74</f>
        <v>5.2820953572009492E-2</v>
      </c>
      <c r="S21" s="174"/>
      <c r="T21" s="226">
        <f>+T20/T74</f>
        <v>3.9862652360181494E-2</v>
      </c>
      <c r="U21" s="174"/>
      <c r="V21" s="226">
        <f>+V20/V74</f>
        <v>3.23515128426363E-2</v>
      </c>
      <c r="W21" s="174"/>
      <c r="X21" s="226">
        <f>+X20/X74</f>
        <v>2.3623345891912048E-2</v>
      </c>
      <c r="Y21" s="174"/>
      <c r="Z21" s="226">
        <f>+Z20/Z74</f>
        <v>3.751767907107114E-2</v>
      </c>
      <c r="AA21" s="174"/>
      <c r="AB21" s="226">
        <f>+AB20/AB74</f>
        <v>4.9333434308467726E-2</v>
      </c>
      <c r="AC21" s="174"/>
      <c r="AD21" s="226">
        <f>+AD20/AD74</f>
        <v>6.2933266018133122E-2</v>
      </c>
      <c r="AE21" s="174"/>
      <c r="AF21" s="226">
        <f>+AF20/AF74</f>
        <v>7.5755622647803653E-2</v>
      </c>
      <c r="AG21" s="174"/>
      <c r="AH21" s="226">
        <f>+AH20/AH74</f>
        <v>7.3772421322041579E-2</v>
      </c>
      <c r="AI21" s="174"/>
      <c r="AJ21" s="223">
        <f>+AJ20/AJ74</f>
        <v>7.0597699331996333E-2</v>
      </c>
      <c r="AK21" s="211"/>
      <c r="AL21" s="226">
        <f>+AL20/AL74</f>
        <v>7.196911689331062E-2</v>
      </c>
      <c r="AM21" s="174"/>
      <c r="AN21" s="223">
        <f>+AN20/AN74</f>
        <v>8.7169180642227215E-2</v>
      </c>
      <c r="AO21" s="211"/>
      <c r="AP21" s="464">
        <f>+AP20/AP74</f>
        <v>9.279482568004932E-2</v>
      </c>
      <c r="AQ21" s="462"/>
      <c r="AR21" s="565"/>
      <c r="AS21" s="109"/>
    </row>
    <row r="22" spans="1:45" s="1" customFormat="1" x14ac:dyDescent="0.25">
      <c r="A22" s="132" t="s">
        <v>180</v>
      </c>
      <c r="B22" s="134">
        <f>+'EXTERNAL DEBT USD'!B22*B93</f>
        <v>169558.41000000003</v>
      </c>
      <c r="C22" s="174">
        <f>+B22/B7</f>
        <v>0.34023120648911032</v>
      </c>
      <c r="D22" s="134">
        <f>+'EXTERNAL DEBT USD'!D22*D93</f>
        <v>165157.01999999999</v>
      </c>
      <c r="E22" s="174">
        <f t="shared" ref="E22" si="104">+D22/D7</f>
        <v>0.28056601143175797</v>
      </c>
      <c r="F22" s="134">
        <f>+'EXTERNAL DEBT USD'!F22*F93</f>
        <v>179023.04070000001</v>
      </c>
      <c r="G22" s="174">
        <f t="shared" ref="G22" si="105">+F22/F7</f>
        <v>0.24205346769188352</v>
      </c>
      <c r="H22" s="134">
        <f>+'EXTERNAL DEBT USD'!H22*H93</f>
        <v>195677.66999999998</v>
      </c>
      <c r="I22" s="174">
        <f t="shared" ref="I22" si="106">+H22/H7</f>
        <v>0.21405718581263808</v>
      </c>
      <c r="J22" s="134">
        <f>+'EXTERNAL DEBT USD'!J22*J93</f>
        <v>207853.80439999999</v>
      </c>
      <c r="K22" s="174">
        <f t="shared" ref="K22" si="107">+J22/J7</f>
        <v>0.18832196430207473</v>
      </c>
      <c r="L22" s="134">
        <f>+'EXTERNAL DEBT USD'!L22*L93</f>
        <v>220565.66131</v>
      </c>
      <c r="M22" s="174">
        <f t="shared" ref="M22" si="108">+L22/L7</f>
        <v>0.18719391397277171</v>
      </c>
      <c r="N22" s="134">
        <f>+'EXTERNAL DEBT USD'!N22*N93</f>
        <v>204681.35340000002</v>
      </c>
      <c r="O22" s="174">
        <f t="shared" ref="O22" si="109">+N22/N7</f>
        <v>0.17018993777900343</v>
      </c>
      <c r="P22" s="134">
        <f>+'EXTERNAL DEBT USD'!P22*P93</f>
        <v>181642.05384000001</v>
      </c>
      <c r="Q22" s="174">
        <f t="shared" ref="Q22" si="110">+P22/P7</f>
        <v>0.16036589648149452</v>
      </c>
      <c r="R22" s="134">
        <f>+'EXTERNAL DEBT USD'!R22*R93</f>
        <v>210475.065794266</v>
      </c>
      <c r="S22" s="174">
        <f t="shared" ref="S22" si="111">+R22/R7</f>
        <v>0.18590219048827136</v>
      </c>
      <c r="T22" s="134">
        <f>+'EXTERNAL DEBT USD'!T22*T93</f>
        <v>207534.14559739854</v>
      </c>
      <c r="U22" s="174">
        <f t="shared" ref="U22" si="112">+T22/T7</f>
        <v>0.21379547790357822</v>
      </c>
      <c r="V22" s="134">
        <f>+'EXTERNAL DEBT USD'!V22*V93</f>
        <v>449039.01797768724</v>
      </c>
      <c r="W22" s="174">
        <f t="shared" ref="W22" si="113">+V22/V7</f>
        <v>0.39346538248932583</v>
      </c>
      <c r="X22" s="134">
        <f>+'EXTERNAL DEBT USD'!X22*X93</f>
        <v>469088.34347673698</v>
      </c>
      <c r="Y22" s="174">
        <f t="shared" ref="Y22" si="114">+X22/X7</f>
        <v>0.45763650946250817</v>
      </c>
      <c r="Z22" s="134">
        <f>+'EXTERNAL DEBT USD'!Z22*Z93</f>
        <v>454955.3141530212</v>
      </c>
      <c r="AA22" s="174">
        <f t="shared" ref="AA22" si="115">+Z22/Z7</f>
        <v>0.32840306359751886</v>
      </c>
      <c r="AB22" s="134">
        <f>+'EXTERNAL DEBT USD'!AB22*AB93</f>
        <v>478810.17699095403</v>
      </c>
      <c r="AC22" s="174">
        <f t="shared" ref="AC22" si="116">+AB22/AB7</f>
        <v>0.27104460561198784</v>
      </c>
      <c r="AD22" s="134">
        <f>+'EXTERNAL DEBT USD'!AD22*AD93</f>
        <v>583323.59508346673</v>
      </c>
      <c r="AE22" s="174">
        <f t="shared" ref="AE22" si="117">+AD22/AD7</f>
        <v>0.24537690575301446</v>
      </c>
      <c r="AF22" s="134">
        <f>+'EXTERNAL DEBT USD'!AF22*AF93</f>
        <v>630949.60206039343</v>
      </c>
      <c r="AG22" s="174">
        <f t="shared" ref="AG22" si="118">+AF22/AF7</f>
        <v>0.21307693005557735</v>
      </c>
      <c r="AH22" s="134">
        <f>+'EXTERNAL DEBT USD'!AH22*AH93</f>
        <v>768945.55079066916</v>
      </c>
      <c r="AI22" s="174">
        <f t="shared" ref="AI22" si="119">+AH22/AH7</f>
        <v>0.2384347719936652</v>
      </c>
      <c r="AJ22" s="74">
        <f>+'EXTERNAL DEBT USD'!AJ22*AJ93</f>
        <v>847136.52107098955</v>
      </c>
      <c r="AK22" s="211">
        <f t="shared" ref="AK22" si="120">+AJ22/AJ7</f>
        <v>0.25108352997241601</v>
      </c>
      <c r="AL22" s="134">
        <f>+'EXTERNAL DEBT USD'!AL22*AL93</f>
        <v>1043452.6853916238</v>
      </c>
      <c r="AM22" s="174">
        <f t="shared" ref="AM22" si="121">+AL22/AL7</f>
        <v>0.27854166826158183</v>
      </c>
      <c r="AN22" s="74">
        <f>+'EXTERNAL DEBT USD'!AN22*AN93</f>
        <v>1209186.4335170412</v>
      </c>
      <c r="AO22" s="211">
        <f t="shared" ref="AO22" si="122">+AN22/AN7</f>
        <v>0.2608299389623604</v>
      </c>
      <c r="AP22" s="461">
        <f>+'EXTERNAL DEBT USD'!AP22*AP93</f>
        <v>2114346.7725393688</v>
      </c>
      <c r="AQ22" s="462">
        <f t="shared" ref="AQ22" si="123">+AP22/AP7</f>
        <v>0.36697879487337659</v>
      </c>
      <c r="AR22" s="565"/>
      <c r="AS22" s="109"/>
    </row>
    <row r="23" spans="1:45" s="1" customFormat="1" x14ac:dyDescent="0.25">
      <c r="A23" s="416" t="s">
        <v>75</v>
      </c>
      <c r="B23" s="226">
        <f>+B22/B74</f>
        <v>3.6645031019902748E-2</v>
      </c>
      <c r="C23" s="174"/>
      <c r="D23" s="226">
        <f>+D22/D74</f>
        <v>3.1434024602935526E-2</v>
      </c>
      <c r="E23" s="174"/>
      <c r="F23" s="226">
        <f>+F22/F74</f>
        <v>3.0010276427321573E-2</v>
      </c>
      <c r="G23" s="174"/>
      <c r="H23" s="226">
        <f>+H22/H74</f>
        <v>2.8418555463469469E-2</v>
      </c>
      <c r="I23" s="174"/>
      <c r="J23" s="226">
        <f>+J22/J74</f>
        <v>2.5503103073101521E-2</v>
      </c>
      <c r="K23" s="174"/>
      <c r="L23" s="226">
        <f>+L22/L74</f>
        <v>2.3030714149475953E-2</v>
      </c>
      <c r="M23" s="174"/>
      <c r="N23" s="226">
        <f>+N22/N74</f>
        <v>1.7624706247829351E-2</v>
      </c>
      <c r="O23" s="174"/>
      <c r="P23" s="226">
        <f>+P22/P74</f>
        <v>1.3078073429640309E-2</v>
      </c>
      <c r="Q23" s="174"/>
      <c r="R23" s="226">
        <f>+R22/R74</f>
        <v>1.2985094351068524E-2</v>
      </c>
      <c r="S23" s="174"/>
      <c r="T23" s="226">
        <f>+T22/T74</f>
        <v>1.1774220243823361E-2</v>
      </c>
      <c r="U23" s="174"/>
      <c r="V23" s="226">
        <f>+V22/V74</f>
        <v>2.2676435601092591E-2</v>
      </c>
      <c r="W23" s="174"/>
      <c r="X23" s="226">
        <f>+X22/X74</f>
        <v>2.1693426631328068E-2</v>
      </c>
      <c r="Y23" s="174"/>
      <c r="Z23" s="226">
        <f>+Z22/Z74</f>
        <v>1.9153699807913236E-2</v>
      </c>
      <c r="AA23" s="174"/>
      <c r="AB23" s="226">
        <f>+AB22/AB74</f>
        <v>1.880418764328938E-2</v>
      </c>
      <c r="AC23" s="174"/>
      <c r="AD23" s="226">
        <f>+AD22/AD74</f>
        <v>2.0831997789169641E-2</v>
      </c>
      <c r="AE23" s="174"/>
      <c r="AF23" s="226">
        <f>+AF22/AF74</f>
        <v>2.0911815549759665E-2</v>
      </c>
      <c r="AG23" s="174"/>
      <c r="AH23" s="226">
        <f>+AH22/AH74</f>
        <v>2.3987354546608719E-2</v>
      </c>
      <c r="AI23" s="174"/>
      <c r="AJ23" s="223">
        <f>+AJ22/AJ74</f>
        <v>2.4666469137562073E-2</v>
      </c>
      <c r="AK23" s="211"/>
      <c r="AL23" s="226">
        <f>+AL22/AL74</f>
        <v>2.8972951144877988E-2</v>
      </c>
      <c r="AM23" s="174"/>
      <c r="AN23" s="223">
        <f>+AN22/AN74</f>
        <v>3.1961874752278581E-2</v>
      </c>
      <c r="AO23" s="211"/>
      <c r="AP23" s="464">
        <f>+AP22/AP74</f>
        <v>5.7934854494360262E-2</v>
      </c>
      <c r="AQ23" s="462"/>
      <c r="AR23" s="565"/>
      <c r="AS23" s="109"/>
    </row>
    <row r="24" spans="1:45" s="1" customFormat="1" x14ac:dyDescent="0.25">
      <c r="A24" s="132" t="s">
        <v>181</v>
      </c>
      <c r="B24" s="134">
        <f>+'EXTERNAL DEBT USD'!B24*B93</f>
        <v>21262.44</v>
      </c>
      <c r="C24" s="174">
        <f>+B24/B7</f>
        <v>4.2664622852398283E-2</v>
      </c>
      <c r="D24" s="134">
        <f>+'EXTERNAL DEBT USD'!D24*D93</f>
        <v>21172.924800000001</v>
      </c>
      <c r="E24" s="174">
        <f t="shared" ref="E24" si="124">+D24/D7</f>
        <v>3.5968214136344628E-2</v>
      </c>
      <c r="F24" s="134">
        <f>+'EXTERNAL DEBT USD'!F24*F93</f>
        <v>26583.913649999999</v>
      </c>
      <c r="G24" s="174">
        <f t="shared" ref="G24" si="125">+F24/F7</f>
        <v>3.5943577199021928E-2</v>
      </c>
      <c r="H24" s="134">
        <f>+'EXTERNAL DEBT USD'!H24*H93</f>
        <v>30319.563599999998</v>
      </c>
      <c r="I24" s="174">
        <f t="shared" ref="I24" si="126">+H24/H7</f>
        <v>3.3167404636836172E-2</v>
      </c>
      <c r="J24" s="134">
        <f>+'EXTERNAL DEBT USD'!J24*J93</f>
        <v>33553.72</v>
      </c>
      <c r="K24" s="174">
        <f t="shared" ref="K24" si="127">+J24/J7</f>
        <v>3.0400706295861342E-2</v>
      </c>
      <c r="L24" s="134">
        <f>+'EXTERNAL DEBT USD'!L24*L93</f>
        <v>30507.134450000001</v>
      </c>
      <c r="M24" s="174">
        <f t="shared" ref="M24" si="128">+L24/L7</f>
        <v>2.5891382492956382E-2</v>
      </c>
      <c r="N24" s="134">
        <f>+'EXTERNAL DEBT USD'!N24*N93</f>
        <v>29048.822100000001</v>
      </c>
      <c r="O24" s="174">
        <f t="shared" ref="O24" si="129">+N24/N7</f>
        <v>2.41537255037143E-2</v>
      </c>
      <c r="P24" s="134">
        <f>+'EXTERNAL DEBT USD'!P24*P93</f>
        <v>25766.332420000002</v>
      </c>
      <c r="Q24" s="174">
        <f t="shared" ref="Q24" si="130">+P24/P7</f>
        <v>2.2748261816138777E-2</v>
      </c>
      <c r="R24" s="134">
        <f>+'EXTERNAL DEBT USD'!R24*R93</f>
        <v>0</v>
      </c>
      <c r="S24" s="174">
        <f t="shared" ref="S24" si="131">+R24/R7</f>
        <v>0</v>
      </c>
      <c r="T24" s="134">
        <f>+'EXTERNAL DEBT USD'!T24*T93</f>
        <v>0</v>
      </c>
      <c r="U24" s="174">
        <f t="shared" ref="U24" si="132">+T24/T7</f>
        <v>0</v>
      </c>
      <c r="V24" s="134">
        <f>+'EXTERNAL DEBT USD'!V24*V93</f>
        <v>0</v>
      </c>
      <c r="W24" s="174">
        <f t="shared" ref="W24" si="133">+V24/V7</f>
        <v>0</v>
      </c>
      <c r="X24" s="134">
        <f>+'EXTERNAL DEBT USD'!X24*X93</f>
        <v>0</v>
      </c>
      <c r="Y24" s="174">
        <f t="shared" ref="Y24" si="134">+X24/X7</f>
        <v>0</v>
      </c>
      <c r="Z24" s="134">
        <f>+'EXTERNAL DEBT USD'!Z24*Z93</f>
        <v>0</v>
      </c>
      <c r="AA24" s="174">
        <f t="shared" ref="AA24" si="135">+Z24/Z7</f>
        <v>0</v>
      </c>
      <c r="AB24" s="134">
        <f>+'EXTERNAL DEBT USD'!AB24*AB93</f>
        <v>0</v>
      </c>
      <c r="AC24" s="174">
        <f t="shared" ref="AC24" si="136">+AB24/AB7</f>
        <v>0</v>
      </c>
      <c r="AD24" s="134">
        <f>+'EXTERNAL DEBT USD'!AD24*AD93</f>
        <v>0</v>
      </c>
      <c r="AE24" s="174">
        <f t="shared" ref="AE24" si="137">+AD24/AD7</f>
        <v>0</v>
      </c>
      <c r="AF24" s="134">
        <f>+'EXTERNAL DEBT USD'!AF24*AF93</f>
        <v>0</v>
      </c>
      <c r="AG24" s="174">
        <f t="shared" ref="AG24" si="138">+AF24/AF7</f>
        <v>0</v>
      </c>
      <c r="AH24" s="134">
        <f>+'EXTERNAL DEBT USD'!AH24*AH93</f>
        <v>0</v>
      </c>
      <c r="AI24" s="174">
        <f t="shared" ref="AI24" si="139">+AH24/AH7</f>
        <v>0</v>
      </c>
      <c r="AJ24" s="74">
        <f>+'EXTERNAL DEBT USD'!AJ24*AJ93</f>
        <v>0</v>
      </c>
      <c r="AK24" s="211">
        <f t="shared" ref="AK24" si="140">+AJ24/AJ7</f>
        <v>0</v>
      </c>
      <c r="AL24" s="134">
        <f>+'EXTERNAL DEBT USD'!AL24*AL93</f>
        <v>0</v>
      </c>
      <c r="AM24" s="174">
        <f t="shared" ref="AM24" si="141">+AL24/AL7</f>
        <v>0</v>
      </c>
      <c r="AN24" s="74">
        <f>+'EXTERNAL DEBT USD'!AN24*AN93</f>
        <v>0</v>
      </c>
      <c r="AO24" s="211">
        <f t="shared" ref="AO24" si="142">+AN24/AN7</f>
        <v>0</v>
      </c>
      <c r="AP24" s="461">
        <f>+'EXTERNAL DEBT USD'!AP24*AP93</f>
        <v>0</v>
      </c>
      <c r="AQ24" s="462">
        <f t="shared" ref="AQ24" si="143">+AP24/AP7</f>
        <v>0</v>
      </c>
      <c r="AR24" s="565"/>
      <c r="AS24" s="109"/>
    </row>
    <row r="25" spans="1:45" s="1" customFormat="1" x14ac:dyDescent="0.25">
      <c r="A25" s="416" t="s">
        <v>75</v>
      </c>
      <c r="B25" s="226">
        <f>+B24/B74</f>
        <v>4.5952469910446837E-3</v>
      </c>
      <c r="C25" s="174"/>
      <c r="D25" s="226">
        <f>+D24/D74</f>
        <v>4.0298029056185678E-3</v>
      </c>
      <c r="E25" s="174"/>
      <c r="F25" s="226">
        <f>+F24/F74</f>
        <v>4.4563570925680697E-3</v>
      </c>
      <c r="G25" s="174"/>
      <c r="H25" s="226">
        <f>+H24/H74</f>
        <v>4.403354760892186E-3</v>
      </c>
      <c r="I25" s="174"/>
      <c r="J25" s="226">
        <f>+J24/J74</f>
        <v>4.1169512490577638E-3</v>
      </c>
      <c r="K25" s="174"/>
      <c r="L25" s="226">
        <f>+L24/L74</f>
        <v>3.1854509394827809E-3</v>
      </c>
      <c r="M25" s="174"/>
      <c r="N25" s="226">
        <f>+N24/N74</f>
        <v>2.5013365792897545E-3</v>
      </c>
      <c r="O25" s="174"/>
      <c r="P25" s="226">
        <f>+P24/P74</f>
        <v>1.8551540256096549E-3</v>
      </c>
      <c r="Q25" s="174"/>
      <c r="R25" s="226">
        <f>+R24/R74</f>
        <v>0</v>
      </c>
      <c r="S25" s="174"/>
      <c r="T25" s="226">
        <f>+T24/T74</f>
        <v>0</v>
      </c>
      <c r="U25" s="174"/>
      <c r="V25" s="226">
        <f>+V24/V74</f>
        <v>0</v>
      </c>
      <c r="W25" s="174"/>
      <c r="X25" s="226">
        <f>+X24/X74</f>
        <v>0</v>
      </c>
      <c r="Y25" s="174"/>
      <c r="Z25" s="226">
        <f>+Z24/Z74</f>
        <v>0</v>
      </c>
      <c r="AA25" s="174"/>
      <c r="AB25" s="226">
        <f>+AB24/AB74</f>
        <v>0</v>
      </c>
      <c r="AC25" s="174"/>
      <c r="AD25" s="226">
        <f>+AD24/AD74</f>
        <v>0</v>
      </c>
      <c r="AE25" s="174"/>
      <c r="AF25" s="226">
        <f>+AF24/AF74</f>
        <v>0</v>
      </c>
      <c r="AG25" s="174"/>
      <c r="AH25" s="226">
        <f>+AH24/AH74</f>
        <v>0</v>
      </c>
      <c r="AI25" s="174"/>
      <c r="AJ25" s="223">
        <f>+AJ24/AJ74</f>
        <v>0</v>
      </c>
      <c r="AK25" s="211"/>
      <c r="AL25" s="226">
        <f>+AL24/AL74</f>
        <v>0</v>
      </c>
      <c r="AM25" s="174"/>
      <c r="AN25" s="223">
        <f>+AN24/AN74</f>
        <v>0</v>
      </c>
      <c r="AO25" s="211"/>
      <c r="AP25" s="464">
        <f>+AP24/AP74</f>
        <v>0</v>
      </c>
      <c r="AQ25" s="462"/>
      <c r="AR25" s="565"/>
      <c r="AS25" s="109"/>
    </row>
    <row r="26" spans="1:45" s="1" customFormat="1" x14ac:dyDescent="0.25">
      <c r="A26" s="6"/>
      <c r="B26" s="134"/>
      <c r="C26" s="174"/>
      <c r="D26" s="134"/>
      <c r="E26" s="174"/>
      <c r="F26" s="134"/>
      <c r="G26" s="174"/>
      <c r="H26" s="134"/>
      <c r="I26" s="174"/>
      <c r="J26" s="134"/>
      <c r="K26" s="174"/>
      <c r="L26" s="134"/>
      <c r="M26" s="174"/>
      <c r="N26" s="134"/>
      <c r="O26" s="174"/>
      <c r="P26" s="134"/>
      <c r="Q26" s="174"/>
      <c r="R26" s="134"/>
      <c r="S26" s="174"/>
      <c r="T26" s="134"/>
      <c r="U26" s="174"/>
      <c r="V26" s="74"/>
      <c r="W26" s="211"/>
      <c r="X26" s="74"/>
      <c r="Y26" s="211"/>
      <c r="Z26" s="134"/>
      <c r="AA26" s="174"/>
      <c r="AB26" s="134"/>
      <c r="AC26" s="174"/>
      <c r="AD26" s="134"/>
      <c r="AE26" s="174"/>
      <c r="AF26" s="74"/>
      <c r="AG26" s="211"/>
      <c r="AH26" s="89"/>
      <c r="AI26" s="90"/>
      <c r="AJ26" s="41"/>
      <c r="AK26" s="40"/>
      <c r="AL26" s="89"/>
      <c r="AM26" s="90"/>
      <c r="AN26" s="41"/>
      <c r="AO26" s="40"/>
      <c r="AP26" s="477"/>
      <c r="AQ26" s="463"/>
      <c r="AR26" s="565"/>
      <c r="AS26" s="109"/>
    </row>
    <row r="27" spans="1:45" s="1" customFormat="1" x14ac:dyDescent="0.25">
      <c r="A27" s="398" t="s">
        <v>77</v>
      </c>
      <c r="B27" s="134"/>
      <c r="C27" s="174"/>
      <c r="D27" s="134"/>
      <c r="E27" s="174"/>
      <c r="F27" s="134"/>
      <c r="G27" s="174"/>
      <c r="H27" s="134"/>
      <c r="I27" s="174"/>
      <c r="J27" s="134"/>
      <c r="K27" s="174"/>
      <c r="L27" s="134"/>
      <c r="M27" s="174"/>
      <c r="N27" s="134"/>
      <c r="O27" s="174"/>
      <c r="P27" s="134"/>
      <c r="Q27" s="174"/>
      <c r="R27" s="134"/>
      <c r="S27" s="174"/>
      <c r="T27" s="134"/>
      <c r="U27" s="174"/>
      <c r="V27" s="74"/>
      <c r="W27" s="211"/>
      <c r="X27" s="74"/>
      <c r="Y27" s="211"/>
      <c r="Z27" s="134"/>
      <c r="AA27" s="174"/>
      <c r="AB27" s="134"/>
      <c r="AC27" s="174"/>
      <c r="AD27" s="134"/>
      <c r="AE27" s="174"/>
      <c r="AF27" s="74"/>
      <c r="AG27" s="211"/>
      <c r="AH27" s="89"/>
      <c r="AI27" s="90"/>
      <c r="AJ27" s="41"/>
      <c r="AK27" s="40"/>
      <c r="AL27" s="89"/>
      <c r="AM27" s="90"/>
      <c r="AN27" s="41"/>
      <c r="AO27" s="40"/>
      <c r="AP27" s="477"/>
      <c r="AQ27" s="463"/>
      <c r="AR27" s="565"/>
      <c r="AS27" s="109"/>
    </row>
    <row r="28" spans="1:45" ht="15" customHeight="1" x14ac:dyDescent="0.25">
      <c r="A28" s="133" t="s">
        <v>78</v>
      </c>
      <c r="B28" s="134">
        <f>+'EXTERNAL DEBT USD'!B28*'EXTERNAL DEBT COLONES'!B93</f>
        <v>121428.03561181501</v>
      </c>
      <c r="C28" s="174">
        <f>+B28/B7</f>
        <v>0.24365413109152453</v>
      </c>
      <c r="D28" s="134">
        <f>+'EXTERNAL DEBT USD'!D28*'EXTERNAL DEBT COLONES'!D93</f>
        <v>119315.47940407381</v>
      </c>
      <c r="E28" s="174">
        <f>+D28/D7</f>
        <v>0.20269116116571403</v>
      </c>
      <c r="F28" s="134">
        <f>+'EXTERNAL DEBT USD'!F28*'EXTERNAL DEBT COLONES'!F93</f>
        <v>133983.81596908349</v>
      </c>
      <c r="G28" s="174">
        <f>+F28/F7</f>
        <v>0.18115683402034749</v>
      </c>
      <c r="H28" s="134">
        <f>+'EXTERNAL DEBT USD'!H28*'EXTERNAL DEBT COLONES'!H93</f>
        <v>148437.24900103922</v>
      </c>
      <c r="I28" s="174">
        <f>+H28/H7</f>
        <v>0.16237958981692843</v>
      </c>
      <c r="J28" s="134">
        <f>+'EXTERNAL DEBT USD'!J28*'EXTERNAL DEBT COLONES'!J93</f>
        <v>158990.8215409432</v>
      </c>
      <c r="K28" s="174">
        <f>+J28/J7</f>
        <v>0.14405059318024704</v>
      </c>
      <c r="L28" s="134">
        <f>+'EXTERNAL DEBT USD'!L28*'EXTERNAL DEBT COLONES'!L93</f>
        <v>151546.48732695627</v>
      </c>
      <c r="M28" s="174">
        <f>+L28/L7</f>
        <v>0.12861739195062916</v>
      </c>
      <c r="N28" s="134">
        <f>+'EXTERNAL DEBT USD'!N28*'EXTERNAL DEBT COLONES'!N93</f>
        <v>142267.85150186342</v>
      </c>
      <c r="O28" s="174">
        <f>+N28/N7</f>
        <v>0.1182939060781813</v>
      </c>
      <c r="P28" s="134">
        <f>+'EXTERNAL DEBT USD'!P28*'EXTERNAL DEBT COLONES'!P93</f>
        <v>171204.37006100101</v>
      </c>
      <c r="Q28" s="174">
        <f>+P28/P7</f>
        <v>0.15115080294437813</v>
      </c>
      <c r="R28" s="134">
        <f>+'EXTERNAL DEBT USD'!R28*'EXTERNAL DEBT COLONES'!R93</f>
        <v>183213.33542938789</v>
      </c>
      <c r="S28" s="174">
        <f>+R28/R7</f>
        <v>0.16182325566429884</v>
      </c>
      <c r="T28" s="134">
        <f>+'EXTERNAL DEBT USD'!T28*'EXTERNAL DEBT COLONES'!T93</f>
        <v>186407.23556909742</v>
      </c>
      <c r="U28" s="174">
        <v>0.87984932974161623</v>
      </c>
      <c r="V28" s="134">
        <f>+'EXTERNAL DEBT USD'!V28*'EXTERNAL DEBT COLONES'!V93</f>
        <v>435486.79003730905</v>
      </c>
      <c r="W28" s="211">
        <v>0.91837757341216264</v>
      </c>
      <c r="X28" s="134">
        <f>+'EXTERNAL DEBT USD'!X28*'EXTERNAL DEBT COLONES'!X93</f>
        <v>460077.31768645375</v>
      </c>
      <c r="Y28" s="211">
        <f>+X28/X7</f>
        <v>0.44884546946612341</v>
      </c>
      <c r="Z28" s="134">
        <f>+'EXTERNAL DEBT USD'!Z28*'EXTERNAL DEBT COLONES'!Z93</f>
        <v>449341.63236899866</v>
      </c>
      <c r="AA28" s="174">
        <f>+Z28/Z7</f>
        <v>0.32435090674038519</v>
      </c>
      <c r="AB28" s="134">
        <f>+'EXTERNAL DEBT USD'!AB28*'EXTERNAL DEBT COLONES'!AB93</f>
        <v>475210.07576973399</v>
      </c>
      <c r="AC28" s="174">
        <f>+AB28/AB7</f>
        <v>0.26900666226291137</v>
      </c>
      <c r="AD28" s="134">
        <f>+'EXTERNAL DEBT USD'!AD28*'EXTERNAL DEBT COLONES'!AD93</f>
        <v>580320.79301230027</v>
      </c>
      <c r="AE28" s="174">
        <f>+AD28/AD7</f>
        <v>0.24411376761318637</v>
      </c>
      <c r="AF28" s="134">
        <f>+'EXTERNAL DEBT USD'!AF28*'EXTERNAL DEBT COLONES'!AF93</f>
        <v>628741.84614050679</v>
      </c>
      <c r="AG28" s="211">
        <f>+AF28/AF7</f>
        <v>0.2123313525131155</v>
      </c>
      <c r="AH28" s="134">
        <f>+'EXTERNAL DEBT USD'!AH28*'EXTERNAL DEBT COLONES'!AH93</f>
        <v>767169.53563010704</v>
      </c>
      <c r="AI28" s="90">
        <f>+AH28/AH7</f>
        <v>0.23788406489947561</v>
      </c>
      <c r="AJ28" s="74">
        <f>+'EXTERNAL DEBT USD'!AJ28*'EXTERNAL DEBT COLONES'!AJ93</f>
        <v>845806.25145095075</v>
      </c>
      <c r="AK28" s="40">
        <f>+AJ28/AJ7</f>
        <v>0.25068925020320937</v>
      </c>
      <c r="AL28" s="134">
        <f>+'EXTERNAL DEBT USD'!AL28*'EXTERNAL DEBT COLONES'!AL93</f>
        <v>1042602.6029080409</v>
      </c>
      <c r="AM28" s="90">
        <f>+AL28/AL7</f>
        <v>0.27831474528131439</v>
      </c>
      <c r="AN28" s="74">
        <f>+'EXTERNAL DEBT USD'!AN28*'EXTERNAL DEBT COLONES'!AN93</f>
        <v>1208920.0269934672</v>
      </c>
      <c r="AO28" s="40">
        <f>+AN28/AN7</f>
        <v>0.26077247321898384</v>
      </c>
      <c r="AP28" s="461">
        <f>+'EXTERNAL DEBT USD'!AP28*'EXTERNAL DEBT COLONES'!AP93</f>
        <v>2210889.9201271026</v>
      </c>
      <c r="AQ28" s="463">
        <f>+AP28/AP7</f>
        <v>0.3837354066152045</v>
      </c>
      <c r="AR28" s="565"/>
      <c r="AS28" s="109"/>
    </row>
    <row r="29" spans="1:45" s="68" customFormat="1" x14ac:dyDescent="0.25">
      <c r="A29" s="218" t="s">
        <v>71</v>
      </c>
      <c r="B29" s="226">
        <f>+B28/B74</f>
        <v>2.6243075360761023E-2</v>
      </c>
      <c r="C29" s="249"/>
      <c r="D29" s="226">
        <f>+D28/D74</f>
        <v>2.2709090507316634E-2</v>
      </c>
      <c r="E29" s="249"/>
      <c r="F29" s="226">
        <f>+F28/F74</f>
        <v>2.2460189137093446E-2</v>
      </c>
      <c r="G29" s="249"/>
      <c r="H29" s="226">
        <f>+H28/H74</f>
        <v>2.1557759725884213E-2</v>
      </c>
      <c r="I29" s="249"/>
      <c r="J29" s="226">
        <f>+J28/J74</f>
        <v>1.9507746423696272E-2</v>
      </c>
      <c r="K29" s="249"/>
      <c r="L29" s="226">
        <f>+L28/L74</f>
        <v>1.5823967381209354E-2</v>
      </c>
      <c r="M29" s="249"/>
      <c r="N29" s="226">
        <f>+N28/N74</f>
        <v>1.2250403124558147E-2</v>
      </c>
      <c r="O29" s="249"/>
      <c r="P29" s="226">
        <f>+P28/P74</f>
        <v>1.2326569072519599E-2</v>
      </c>
      <c r="Q29" s="249"/>
      <c r="R29" s="226">
        <f>+R28/R74</f>
        <v>1.1303203246174636E-2</v>
      </c>
      <c r="S29" s="249"/>
      <c r="T29" s="226">
        <v>5.0874395015242838E-2</v>
      </c>
      <c r="U29" s="249"/>
      <c r="V29" s="223">
        <v>5.5692886304669072E-2</v>
      </c>
      <c r="W29" s="250"/>
      <c r="X29" s="223">
        <f>+X28/X74</f>
        <v>2.1276703364649392E-2</v>
      </c>
      <c r="Y29" s="250"/>
      <c r="Z29" s="226">
        <f>+Z28/Z74</f>
        <v>1.8917362804336323E-2</v>
      </c>
      <c r="AA29" s="249"/>
      <c r="AB29" s="226">
        <f>+AB28/AB74</f>
        <v>1.866280180365645E-2</v>
      </c>
      <c r="AC29" s="249"/>
      <c r="AD29" s="226">
        <f>+AD28/AD74</f>
        <v>2.0724759942740846E-2</v>
      </c>
      <c r="AE29" s="249"/>
      <c r="AF29" s="223">
        <f>+AF28/AF74</f>
        <v>2.0838643010424044E-2</v>
      </c>
      <c r="AG29" s="250"/>
      <c r="AH29" s="226">
        <f>+AH28/AH74</f>
        <v>2.3931951527119563E-2</v>
      </c>
      <c r="AI29" s="248"/>
      <c r="AJ29" s="223">
        <f>+AJ28/AJ74</f>
        <v>2.462773505667764E-2</v>
      </c>
      <c r="AK29" s="224"/>
      <c r="AL29" s="226">
        <f>+AL28/AL74</f>
        <v>2.8949347393015756E-2</v>
      </c>
      <c r="AM29" s="248"/>
      <c r="AN29" s="223">
        <f>+AN28/AN74</f>
        <v>3.1954832949870254E-2</v>
      </c>
      <c r="AO29" s="224"/>
      <c r="AP29" s="464">
        <f>+AP28/AP74</f>
        <v>6.0580216778620452E-2</v>
      </c>
      <c r="AQ29" s="467"/>
      <c r="AR29" s="565"/>
      <c r="AS29" s="109"/>
    </row>
    <row r="30" spans="1:45" x14ac:dyDescent="0.25">
      <c r="A30" s="133" t="s">
        <v>79</v>
      </c>
      <c r="B30" s="134">
        <f>+'EXTERNAL DEBT USD'!B30*'EXTERNAL DEBT COLONES'!B93</f>
        <v>376934.274388185</v>
      </c>
      <c r="C30" s="258">
        <f>+B30/B7</f>
        <v>0.75634586890847533</v>
      </c>
      <c r="D30" s="134">
        <f>+'EXTERNAL DEBT USD'!D30*'EXTERNAL DEBT COLONES'!D93</f>
        <v>469341.06939592626</v>
      </c>
      <c r="E30" s="258">
        <f>+D30/D7</f>
        <v>0.79730883883428605</v>
      </c>
      <c r="F30" s="134">
        <f>+'EXTERNAL DEBT USD'!F30*'EXTERNAL DEBT COLONES'!F93</f>
        <v>605617.40688091645</v>
      </c>
      <c r="G30" s="258">
        <f>+F30/F7</f>
        <v>0.81884316597965234</v>
      </c>
      <c r="H30" s="134">
        <f>+'EXTERNAL DEBT USD'!H30*'EXTERNAL DEBT COLONES'!H93</f>
        <v>765700.10759896063</v>
      </c>
      <c r="I30" s="258">
        <f>+H30/H7</f>
        <v>0.83762041018307143</v>
      </c>
      <c r="J30" s="134">
        <f>+'EXTERNAL DEBT USD'!J30*'EXTERNAL DEBT COLONES'!J93</f>
        <v>944724.32485905685</v>
      </c>
      <c r="K30" s="258">
        <f>+J30/J7</f>
        <v>0.85594940681975307</v>
      </c>
      <c r="L30" s="134">
        <f>+'EXTERNAL DEBT USD'!L30*'EXTERNAL DEBT COLONES'!L93</f>
        <v>1026727.1895730436</v>
      </c>
      <c r="M30" s="258">
        <f>+L30/L7</f>
        <v>0.87138260804937084</v>
      </c>
      <c r="N30" s="134">
        <f>+'EXTERNAL DEBT USD'!N30*'EXTERNAL DEBT COLONES'!N93</f>
        <v>1060396.3956981369</v>
      </c>
      <c r="O30" s="258">
        <f>+N30/N7</f>
        <v>0.88170609392181887</v>
      </c>
      <c r="P30" s="134">
        <f>+'EXTERNAL DEBT USD'!P30*'EXTERNAL DEBT COLONES'!P93</f>
        <v>961468.21073899884</v>
      </c>
      <c r="Q30" s="258">
        <f>+P30/P7</f>
        <v>0.84884919705562178</v>
      </c>
      <c r="R30" s="134">
        <f>+'EXTERNAL DEBT USD'!R30*'EXTERNAL DEBT COLONES'!R93</f>
        <v>948968.40617061208</v>
      </c>
      <c r="S30" s="258">
        <f>+R30/R7</f>
        <v>0.83817674433570133</v>
      </c>
      <c r="T30" s="134">
        <f>+'EXTERNAL DEBT USD'!T30*'EXTERNAL DEBT COLONES'!T93</f>
        <v>784306.21278080856</v>
      </c>
      <c r="U30" s="258">
        <v>0.12015067025838375</v>
      </c>
      <c r="V30" s="134">
        <f>+'EXTERNAL DEBT USD'!V30*'EXTERNAL DEBT COLONES'!V93</f>
        <v>705754.69641002535</v>
      </c>
      <c r="W30" s="259">
        <v>8.1622426587837332E-2</v>
      </c>
      <c r="X30" s="134">
        <f>+'EXTERNAL DEBT USD'!X30*'EXTERNAL DEBT COLONES'!X93</f>
        <v>564946.54683798796</v>
      </c>
      <c r="Y30" s="259">
        <f>+X30/X7</f>
        <v>0.55115453053387531</v>
      </c>
      <c r="Z30" s="134">
        <f>+'EXTERNAL DEBT USD'!Z30*'EXTERNAL DEBT COLONES'!Z93</f>
        <v>936014.85355770506</v>
      </c>
      <c r="AA30" s="258">
        <f>+Z30/Z7</f>
        <v>0.67564909325961786</v>
      </c>
      <c r="AB30" s="134">
        <f>+'EXTERNAL DEBT USD'!AB30*'EXTERNAL DEBT COLONES'!AB93</f>
        <v>1291326.3801389064</v>
      </c>
      <c r="AC30" s="258">
        <f>+AB30/AB7</f>
        <v>0.73099333773709307</v>
      </c>
      <c r="AD30" s="134">
        <f>+'EXTERNAL DEBT USD'!AD30*'EXTERNAL DEBT COLONES'!AD93</f>
        <v>1796934.6919460814</v>
      </c>
      <c r="AE30" s="258">
        <f>+AD30/AD7</f>
        <v>0.7558862323868184</v>
      </c>
      <c r="AF30" s="134">
        <f>+'EXTERNAL DEBT USD'!AF30*'EXTERNAL DEBT COLONES'!AF93</f>
        <v>2332393.3734059008</v>
      </c>
      <c r="AG30" s="259">
        <f>+AF30/AF7</f>
        <v>0.78766864748688947</v>
      </c>
      <c r="AH30" s="134">
        <f>+'EXTERNAL DEBT USD'!AH30*'EXTERNAL DEBT COLONES'!AH93</f>
        <v>2457802.8304436747</v>
      </c>
      <c r="AI30" s="453">
        <f>+AH30/AH7</f>
        <v>0.76211593510052944</v>
      </c>
      <c r="AJ30" s="74">
        <f>+'EXTERNAL DEBT USD'!AJ30*'EXTERNAL DEBT COLONES'!AJ93</f>
        <v>2528116.8456317917</v>
      </c>
      <c r="AK30" s="618">
        <f>+AJ30/AJ7</f>
        <v>0.74931074979680468</v>
      </c>
      <c r="AL30" s="134">
        <f>+'EXTERNAL DEBT USD'!AL30*'EXTERNAL DEBT COLONES'!AL93</f>
        <v>2703525.1915562586</v>
      </c>
      <c r="AM30" s="453">
        <f>+AL30/AL7</f>
        <v>0.72168525471824707</v>
      </c>
      <c r="AN30" s="74">
        <f>+'EXTERNAL DEBT USD'!AN30*'EXTERNAL DEBT COLONES'!AN93</f>
        <v>3426998.8338836972</v>
      </c>
      <c r="AO30" s="618">
        <f>+AN30/AN7</f>
        <v>0.73922752678102033</v>
      </c>
      <c r="AP30" s="461">
        <f>+'EXTERNAL DEBT USD'!AP30*'EXTERNAL DEBT COLONES'!AP93</f>
        <v>3550605.8449276909</v>
      </c>
      <c r="AQ30" s="466">
        <f>+AP30/AP7</f>
        <v>0.61626459337935746</v>
      </c>
      <c r="AR30" s="565"/>
      <c r="AS30" s="109"/>
    </row>
    <row r="31" spans="1:45" s="68" customFormat="1" x14ac:dyDescent="0.25">
      <c r="A31" s="218" t="s">
        <v>71</v>
      </c>
      <c r="B31" s="226">
        <f>+B30/B74</f>
        <v>8.1463185326045282E-2</v>
      </c>
      <c r="C31" s="249"/>
      <c r="D31" s="226">
        <f>+D30/D74</f>
        <v>8.9328801903543781E-2</v>
      </c>
      <c r="E31" s="249"/>
      <c r="F31" s="226">
        <f>+F30/F74</f>
        <v>0.10152182489264347</v>
      </c>
      <c r="G31" s="249"/>
      <c r="H31" s="226">
        <f>+H30/H74</f>
        <v>0.11120375143564211</v>
      </c>
      <c r="I31" s="249"/>
      <c r="J31" s="226">
        <f>+J30/J74</f>
        <v>0.1159151351696249</v>
      </c>
      <c r="K31" s="249"/>
      <c r="L31" s="226">
        <f>+L30/L74</f>
        <v>0.10720735164354209</v>
      </c>
      <c r="M31" s="249"/>
      <c r="N31" s="226">
        <f>+N30/N74</f>
        <v>9.1308634958618934E-2</v>
      </c>
      <c r="O31" s="249"/>
      <c r="P31" s="226">
        <f>+P30/P74</f>
        <v>6.9224893654778269E-2</v>
      </c>
      <c r="Q31" s="249"/>
      <c r="R31" s="226">
        <f>+R30/R74</f>
        <v>5.8545862636068209E-2</v>
      </c>
      <c r="S31" s="249"/>
      <c r="T31" s="226">
        <v>6.9473175161323111E-3</v>
      </c>
      <c r="U31" s="249"/>
      <c r="V31" s="223">
        <v>4.9498034963746853E-3</v>
      </c>
      <c r="W31" s="250"/>
      <c r="X31" s="223">
        <f>+X30/X74</f>
        <v>2.6126478380633259E-2</v>
      </c>
      <c r="Y31" s="250"/>
      <c r="Z31" s="226">
        <f>+Z30/Z74</f>
        <v>3.9406392151212763E-2</v>
      </c>
      <c r="AA31" s="249"/>
      <c r="AB31" s="226">
        <f>+AB30/AB74</f>
        <v>5.071392532519288E-2</v>
      </c>
      <c r="AC31" s="249"/>
      <c r="AD31" s="226">
        <f>+AD30/AD74</f>
        <v>6.417319622489584E-2</v>
      </c>
      <c r="AE31" s="249"/>
      <c r="AF31" s="223">
        <f>+AF30/AF74</f>
        <v>7.7303448413106851E-2</v>
      </c>
      <c r="AG31" s="250"/>
      <c r="AH31" s="226">
        <f>+AH30/AH74</f>
        <v>7.6671472822606349E-2</v>
      </c>
      <c r="AI31" s="248"/>
      <c r="AJ31" s="223">
        <f>+AJ30/AJ74</f>
        <v>7.3612357155950853E-2</v>
      </c>
      <c r="AK31" s="224"/>
      <c r="AL31" s="226">
        <f>+AL30/AL74</f>
        <v>7.5067230541946681E-2</v>
      </c>
      <c r="AM31" s="248"/>
      <c r="AN31" s="223">
        <f>+AN30/AN74</f>
        <v>9.0584300707217472E-2</v>
      </c>
      <c r="AO31" s="224"/>
      <c r="AP31" s="464">
        <f>+AP30/AP74</f>
        <v>9.7289543827125763E-2</v>
      </c>
      <c r="AQ31" s="467"/>
      <c r="AR31" s="565"/>
      <c r="AS31" s="109"/>
    </row>
    <row r="32" spans="1:45" x14ac:dyDescent="0.25">
      <c r="A32" s="218"/>
      <c r="B32" s="91"/>
      <c r="C32" s="269"/>
      <c r="D32" s="91"/>
      <c r="E32" s="269"/>
      <c r="F32" s="91"/>
      <c r="G32" s="269"/>
      <c r="H32" s="91"/>
      <c r="I32" s="269"/>
      <c r="J32" s="91"/>
      <c r="K32" s="269"/>
      <c r="L32" s="91"/>
      <c r="M32" s="269"/>
      <c r="N32" s="91"/>
      <c r="O32" s="269"/>
      <c r="P32" s="91"/>
      <c r="Q32" s="269"/>
      <c r="R32" s="91"/>
      <c r="S32" s="269"/>
      <c r="T32" s="91"/>
      <c r="U32" s="269"/>
      <c r="V32" s="29"/>
      <c r="W32" s="261"/>
      <c r="X32" s="29"/>
      <c r="Y32" s="261"/>
      <c r="Z32" s="91"/>
      <c r="AA32" s="269"/>
      <c r="AB32" s="91"/>
      <c r="AC32" s="269"/>
      <c r="AD32" s="91"/>
      <c r="AE32" s="269"/>
      <c r="AF32" s="29"/>
      <c r="AG32" s="261"/>
      <c r="AH32" s="91"/>
      <c r="AI32" s="454"/>
      <c r="AJ32" s="29"/>
      <c r="AK32" s="619"/>
      <c r="AL32" s="91"/>
      <c r="AM32" s="454"/>
      <c r="AN32" s="29"/>
      <c r="AO32" s="619"/>
      <c r="AP32" s="468"/>
      <c r="AQ32" s="469"/>
      <c r="AR32" s="565"/>
      <c r="AS32" s="109"/>
    </row>
    <row r="33" spans="1:45" s="590" customFormat="1" x14ac:dyDescent="0.25">
      <c r="A33" s="587" t="s">
        <v>81</v>
      </c>
      <c r="B33" s="588" t="s">
        <v>124</v>
      </c>
      <c r="C33" s="278"/>
      <c r="D33" s="588" t="s">
        <v>124</v>
      </c>
      <c r="E33" s="278"/>
      <c r="F33" s="588" t="s">
        <v>124</v>
      </c>
      <c r="G33" s="278"/>
      <c r="H33" s="588" t="s">
        <v>124</v>
      </c>
      <c r="I33" s="278"/>
      <c r="J33" s="588" t="s">
        <v>124</v>
      </c>
      <c r="K33" s="278"/>
      <c r="L33" s="588" t="s">
        <v>124</v>
      </c>
      <c r="M33" s="278"/>
      <c r="N33" s="588" t="s">
        <v>124</v>
      </c>
      <c r="O33" s="278"/>
      <c r="P33" s="588" t="s">
        <v>124</v>
      </c>
      <c r="Q33" s="278"/>
      <c r="R33" s="588" t="s">
        <v>124</v>
      </c>
      <c r="S33" s="278"/>
      <c r="T33" s="588" t="s">
        <v>124</v>
      </c>
      <c r="U33" s="278"/>
      <c r="V33" s="588" t="s">
        <v>124</v>
      </c>
      <c r="W33" s="278"/>
      <c r="X33" s="588" t="s">
        <v>124</v>
      </c>
      <c r="Y33" s="278"/>
      <c r="Z33" s="192" t="s">
        <v>124</v>
      </c>
      <c r="AA33" s="278"/>
      <c r="AB33" s="588" t="s">
        <v>124</v>
      </c>
      <c r="AC33" s="278"/>
      <c r="AD33" s="588" t="s">
        <v>124</v>
      </c>
      <c r="AE33" s="278"/>
      <c r="AF33" s="588" t="s">
        <v>124</v>
      </c>
      <c r="AG33" s="278"/>
      <c r="AH33" s="588" t="s">
        <v>124</v>
      </c>
      <c r="AI33" s="278"/>
      <c r="AJ33" s="247" t="s">
        <v>124</v>
      </c>
      <c r="AK33" s="279"/>
      <c r="AL33" s="654">
        <v>0.12556952805264671</v>
      </c>
      <c r="AM33" s="278"/>
      <c r="AN33" s="690">
        <v>7.2157867007684673E-2</v>
      </c>
      <c r="AO33" s="279"/>
      <c r="AP33" s="698">
        <v>4.1698572268155036E-2</v>
      </c>
      <c r="AQ33" s="541"/>
      <c r="AR33" s="455"/>
      <c r="AS33" s="589"/>
    </row>
    <row r="34" spans="1:45" x14ac:dyDescent="0.25">
      <c r="A34" s="418"/>
      <c r="B34" s="227"/>
      <c r="C34" s="258"/>
      <c r="D34" s="227"/>
      <c r="E34" s="258"/>
      <c r="F34" s="227"/>
      <c r="G34" s="258"/>
      <c r="H34" s="227"/>
      <c r="I34" s="258"/>
      <c r="J34" s="227"/>
      <c r="K34" s="258"/>
      <c r="L34" s="227"/>
      <c r="M34" s="258"/>
      <c r="N34" s="227"/>
      <c r="O34" s="258"/>
      <c r="P34" s="227"/>
      <c r="Q34" s="258"/>
      <c r="R34" s="227"/>
      <c r="S34" s="258"/>
      <c r="T34" s="227"/>
      <c r="U34" s="258"/>
      <c r="V34" s="227"/>
      <c r="W34" s="258"/>
      <c r="X34" s="227"/>
      <c r="Y34" s="258"/>
      <c r="Z34" s="227"/>
      <c r="AA34" s="258"/>
      <c r="AB34" s="227"/>
      <c r="AC34" s="258"/>
      <c r="AD34" s="227"/>
      <c r="AE34" s="258"/>
      <c r="AF34" s="227"/>
      <c r="AG34" s="258"/>
      <c r="AH34" s="227"/>
      <c r="AI34" s="258"/>
      <c r="AJ34" s="225"/>
      <c r="AK34" s="259"/>
      <c r="AL34" s="227"/>
      <c r="AM34" s="174"/>
      <c r="AN34" s="225"/>
      <c r="AO34" s="211"/>
      <c r="AP34" s="636"/>
      <c r="AQ34" s="462"/>
      <c r="AR34" s="566"/>
      <c r="AS34" s="109"/>
    </row>
    <row r="35" spans="1:45" s="68" customFormat="1" x14ac:dyDescent="0.25">
      <c r="A35" s="398" t="s">
        <v>83</v>
      </c>
      <c r="B35" s="251"/>
      <c r="C35" s="280"/>
      <c r="D35" s="251"/>
      <c r="E35" s="280"/>
      <c r="F35" s="251"/>
      <c r="G35" s="280"/>
      <c r="H35" s="251"/>
      <c r="I35" s="280"/>
      <c r="J35" s="251"/>
      <c r="K35" s="280"/>
      <c r="L35" s="251"/>
      <c r="M35" s="280"/>
      <c r="N35" s="251"/>
      <c r="O35" s="280"/>
      <c r="P35" s="251"/>
      <c r="Q35" s="280"/>
      <c r="R35" s="251"/>
      <c r="S35" s="280"/>
      <c r="T35" s="251"/>
      <c r="U35" s="280"/>
      <c r="V35" s="251"/>
      <c r="W35" s="280"/>
      <c r="X35" s="251"/>
      <c r="Y35" s="280"/>
      <c r="Z35" s="251"/>
      <c r="AA35" s="280"/>
      <c r="AB35" s="251"/>
      <c r="AC35" s="280"/>
      <c r="AD35" s="251"/>
      <c r="AE35" s="280"/>
      <c r="AF35" s="251"/>
      <c r="AG35" s="280"/>
      <c r="AH35" s="251"/>
      <c r="AI35" s="280"/>
      <c r="AJ35" s="252"/>
      <c r="AK35" s="281"/>
      <c r="AL35" s="251"/>
      <c r="AM35" s="280"/>
      <c r="AN35" s="252"/>
      <c r="AO35" s="281"/>
      <c r="AP35" s="489"/>
      <c r="AQ35" s="543"/>
      <c r="AR35" s="106"/>
      <c r="AS35" s="109"/>
    </row>
    <row r="36" spans="1:45" x14ac:dyDescent="0.25">
      <c r="A36" s="133" t="s">
        <v>84</v>
      </c>
      <c r="B36" s="134">
        <f>+'EXTERNAL DEBT USD'!B36*B93</f>
        <v>31607.19</v>
      </c>
      <c r="C36" s="174">
        <f>+B36/B7</f>
        <v>6.3422111515616011E-2</v>
      </c>
      <c r="D36" s="134">
        <f>+'EXTERNAL DEBT USD'!D36*D93</f>
        <v>33817.866000000002</v>
      </c>
      <c r="E36" s="174">
        <f t="shared" ref="E36" si="144">+D36/D7</f>
        <v>5.7449230912217111E-2</v>
      </c>
      <c r="F36" s="134">
        <f>+'EXTERNAL DEBT USD'!F36*F93</f>
        <v>103518.55500000001</v>
      </c>
      <c r="G36" s="174">
        <f t="shared" ref="G36" si="145">+F36/F7</f>
        <v>0.13996536485039696</v>
      </c>
      <c r="H36" s="134">
        <f>+'EXTERNAL DEBT USD'!H36*H93</f>
        <v>41859.099000000002</v>
      </c>
      <c r="I36" s="174">
        <f t="shared" ref="I36" si="146">+H36/H7</f>
        <v>4.5790819834438001E-2</v>
      </c>
      <c r="J36" s="134">
        <f>+'EXTERNAL DEBT USD'!J36*J93</f>
        <v>54467.34</v>
      </c>
      <c r="K36" s="174">
        <f t="shared" ref="K36" si="147">+J36/J7</f>
        <v>4.9349091726843403E-2</v>
      </c>
      <c r="L36" s="134">
        <f>+'EXTERNAL DEBT USD'!L36*L93</f>
        <v>37318.2958</v>
      </c>
      <c r="M36" s="174">
        <f t="shared" ref="M36" si="148">+L36/L7</f>
        <v>3.1672010103954144E-2</v>
      </c>
      <c r="N36" s="134">
        <f>+'EXTERNAL DEBT USD'!N36*N93</f>
        <v>39021.966</v>
      </c>
      <c r="O36" s="174">
        <f t="shared" ref="O36" si="149">+N36/N7</f>
        <v>3.244626760199245E-2</v>
      </c>
      <c r="P36" s="134">
        <f>+'EXTERNAL DEBT USD'!P36*P93</f>
        <v>133887.88100000002</v>
      </c>
      <c r="Q36" s="174">
        <f t="shared" ref="Q36" si="150">+P36/P7</f>
        <v>0.11820528126975212</v>
      </c>
      <c r="R36" s="134">
        <f>+'EXTERNAL DEBT USD'!R36*R93</f>
        <v>205474.1097496906</v>
      </c>
      <c r="S36" s="174">
        <f t="shared" ref="S36" si="151">+R36/R7</f>
        <v>0.18148509395612977</v>
      </c>
      <c r="T36" s="134">
        <f>+'EXTERNAL DEBT USD'!T36*T93</f>
        <v>40170.081105032616</v>
      </c>
      <c r="U36" s="174">
        <f t="shared" ref="U36" si="152">+T36/T7</f>
        <v>4.1382017703903075E-2</v>
      </c>
      <c r="V36" s="134">
        <f>+'EXTERNAL DEBT USD'!V36*V93</f>
        <v>164664.5898263423</v>
      </c>
      <c r="W36" s="174">
        <f t="shared" ref="W36" si="153">+V36/V7</f>
        <v>0.14428549240611677</v>
      </c>
      <c r="X36" s="134">
        <f>+'EXTERNAL DEBT USD'!X36*X93</f>
        <v>163300.59951122804</v>
      </c>
      <c r="Y36" s="174">
        <f t="shared" ref="Y36" si="154">+X36/X7</f>
        <v>0.15931394883863595</v>
      </c>
      <c r="Z36" s="134">
        <f>+'EXTERNAL DEBT USD'!Z36*Z93</f>
        <v>158525.16288710048</v>
      </c>
      <c r="AA36" s="174">
        <f t="shared" ref="AA36" si="155">+Z36/Z7</f>
        <v>0.11442914837985475</v>
      </c>
      <c r="AB36" s="134">
        <f>+'EXTERNAL DEBT USD'!AB36*AB93</f>
        <v>152153.33800002496</v>
      </c>
      <c r="AC36" s="174">
        <f t="shared" ref="AC36" si="156">+AB36/AB7</f>
        <v>8.6130879151182671E-2</v>
      </c>
      <c r="AD36" s="134">
        <f>+'EXTERNAL DEBT USD'!AD36*AD93</f>
        <v>27473.491779935353</v>
      </c>
      <c r="AE36" s="174">
        <f t="shared" ref="AE36" si="157">+AD36/AD7</f>
        <v>1.1556810765089668E-2</v>
      </c>
      <c r="AF36" s="134">
        <f>+'EXTERNAL DEBT USD'!AF36*AF93</f>
        <v>47094.484036068876</v>
      </c>
      <c r="AG36" s="174">
        <f t="shared" ref="AG36" si="158">+AF36/AF7</f>
        <v>1.5904199080541526E-2</v>
      </c>
      <c r="AH36" s="134">
        <f>+'EXTERNAL DEBT USD'!AH36*AH93</f>
        <v>52635.858372482624</v>
      </c>
      <c r="AI36" s="174">
        <f t="shared" ref="AI36" si="159">+AH36/AH7</f>
        <v>1.6321336246537834E-2</v>
      </c>
      <c r="AJ36" s="74">
        <f>+'EXTERNAL DEBT USD'!AJ36*AJ93</f>
        <v>53826.74090523721</v>
      </c>
      <c r="AK36" s="211">
        <f t="shared" ref="AK36" si="160">+AJ36/AJ7</f>
        <v>1.595375453334404E-2</v>
      </c>
      <c r="AL36" s="134">
        <f>+'EXTERNAL DEBT USD'!AL36*AL93</f>
        <v>55721.350945033497</v>
      </c>
      <c r="AM36" s="174">
        <f t="shared" ref="AM36" si="161">+AL36/AL7</f>
        <v>1.4874386033319314E-2</v>
      </c>
      <c r="AN36" s="74">
        <f>+'EXTERNAL DEBT USD'!AN36*AN93</f>
        <v>197707.03728505565</v>
      </c>
      <c r="AO36" s="211">
        <f t="shared" ref="AO36" si="162">+AN36/AN7</f>
        <v>4.264678550643318E-2</v>
      </c>
      <c r="AP36" s="461">
        <f>+'EXTERNAL DEBT USD'!AP36*AP93</f>
        <v>61900.467606064769</v>
      </c>
      <c r="AQ36" s="462">
        <f t="shared" ref="AQ36" si="163">+AP36/AP7</f>
        <v>1.0743818989015514E-2</v>
      </c>
      <c r="AR36" s="565"/>
      <c r="AS36" s="109"/>
    </row>
    <row r="37" spans="1:45" s="68" customFormat="1" x14ac:dyDescent="0.25">
      <c r="A37" s="397" t="s">
        <v>85</v>
      </c>
      <c r="B37" s="226">
        <f>+B36/B74</f>
        <v>6.8309584762086392E-3</v>
      </c>
      <c r="C37" s="92"/>
      <c r="D37" s="226">
        <f>+D36/D74</f>
        <v>6.4364907520296569E-3</v>
      </c>
      <c r="E37" s="92"/>
      <c r="F37" s="226">
        <f>+F36/F74</f>
        <v>1.7353187828559165E-2</v>
      </c>
      <c r="G37" s="92"/>
      <c r="H37" s="226">
        <f>+H36/H74</f>
        <v>6.0792584385451825E-3</v>
      </c>
      <c r="I37" s="92"/>
      <c r="J37" s="226">
        <f>+J36/J74</f>
        <v>6.682996205662259E-3</v>
      </c>
      <c r="K37" s="92"/>
      <c r="L37" s="226">
        <f>+L36/L74</f>
        <v>3.8966491792547337E-3</v>
      </c>
      <c r="M37" s="92"/>
      <c r="N37" s="226">
        <f>+N36/N74</f>
        <v>3.36010426225169E-3</v>
      </c>
      <c r="O37" s="92"/>
      <c r="P37" s="226">
        <f>+P36/P74</f>
        <v>9.6398135896399503E-3</v>
      </c>
      <c r="Q37" s="92"/>
      <c r="R37" s="226">
        <f>+R36/R74</f>
        <v>1.2676564284386739E-2</v>
      </c>
      <c r="S37" s="92"/>
      <c r="T37" s="226">
        <f>+T36/T74</f>
        <v>2.2790051284400791E-3</v>
      </c>
      <c r="U37" s="92"/>
      <c r="V37" s="226">
        <f>+V36/V74</f>
        <v>8.3155490224302072E-3</v>
      </c>
      <c r="W37" s="92"/>
      <c r="X37" s="226">
        <f>+X36/X74</f>
        <v>7.5519880713565317E-3</v>
      </c>
      <c r="Y37" s="92"/>
      <c r="Z37" s="226">
        <f>+Z36/Z74</f>
        <v>6.6739376098787955E-3</v>
      </c>
      <c r="AA37" s="92"/>
      <c r="AB37" s="226">
        <f>+AB36/AB74</f>
        <v>5.9754785002394707E-3</v>
      </c>
      <c r="AC37" s="92"/>
      <c r="AD37" s="226">
        <f>+AD36/AD74</f>
        <v>9.8114961377224977E-4</v>
      </c>
      <c r="AE37" s="92"/>
      <c r="AF37" s="226">
        <f>+AF36/AF74</f>
        <v>1.5608713601805348E-3</v>
      </c>
      <c r="AG37" s="92"/>
      <c r="AH37" s="226">
        <f>+AH36/AH74</f>
        <v>1.6419823163650001E-3</v>
      </c>
      <c r="AI37" s="92"/>
      <c r="AJ37" s="223">
        <f>+AJ36/AJ74</f>
        <v>1.5672983164933363E-3</v>
      </c>
      <c r="AK37" s="35"/>
      <c r="AL37" s="226">
        <f>+AL36/AL74</f>
        <v>1.5471827340701536E-3</v>
      </c>
      <c r="AM37" s="92"/>
      <c r="AN37" s="223">
        <f>+AN36/AN74</f>
        <v>5.2259001492179456E-3</v>
      </c>
      <c r="AO37" s="35"/>
      <c r="AP37" s="464">
        <f>+AP36/AP74</f>
        <v>1.696124131796573E-3</v>
      </c>
      <c r="AQ37" s="472"/>
      <c r="AR37" s="575"/>
      <c r="AS37" s="109"/>
    </row>
    <row r="38" spans="1:45" x14ac:dyDescent="0.25">
      <c r="A38" s="133" t="s">
        <v>86</v>
      </c>
      <c r="B38" s="134">
        <f>+'EXTERNAL DEBT USD'!B38*B93</f>
        <v>164943.06000000003</v>
      </c>
      <c r="C38" s="174">
        <f>+B38/B7</f>
        <v>0.33097017308552085</v>
      </c>
      <c r="D38" s="134">
        <f>+'EXTERNAL DEBT USD'!D38*D93</f>
        <v>169944.18</v>
      </c>
      <c r="E38" s="174">
        <f t="shared" ref="E38" si="164">+D38/D7</f>
        <v>0.28869835958920026</v>
      </c>
      <c r="F38" s="134">
        <f>+'EXTERNAL DEBT USD'!F38*F93</f>
        <v>95027.834999999992</v>
      </c>
      <c r="G38" s="174">
        <f t="shared" ref="G38" si="165">+F38/F7</f>
        <v>0.12848523239836879</v>
      </c>
      <c r="H38" s="134">
        <f>+'EXTERNAL DEBT USD'!H38*H93</f>
        <v>203345.55300000001</v>
      </c>
      <c r="I38" s="174">
        <f t="shared" ref="I38" si="166">+H38/H7</f>
        <v>0.2224452939504781</v>
      </c>
      <c r="J38" s="134">
        <f>+'EXTERNAL DEBT USD'!J38*J93</f>
        <v>359898.12</v>
      </c>
      <c r="K38" s="174">
        <f t="shared" ref="K38" si="167">+J38/J7</f>
        <v>0.32607880862547162</v>
      </c>
      <c r="L38" s="134">
        <f>+'EXTERNAL DEBT USD'!L38*L93</f>
        <v>372809.67549999995</v>
      </c>
      <c r="M38" s="174">
        <f t="shared" ref="M38" si="168">+L38/L7</f>
        <v>0.31640329645727994</v>
      </c>
      <c r="N38" s="134">
        <f>+'EXTERNAL DEBT USD'!N38*N93</f>
        <v>515473.43400000007</v>
      </c>
      <c r="O38" s="174">
        <f t="shared" ref="O38" si="169">+N38/N7</f>
        <v>0.42860959340905569</v>
      </c>
      <c r="P38" s="134">
        <f>+'EXTERNAL DEBT USD'!P38*P93</f>
        <v>523768.59500000003</v>
      </c>
      <c r="Q38" s="174">
        <f t="shared" ref="Q38" si="170">+P38/P7</f>
        <v>0.46241835803076065</v>
      </c>
      <c r="R38" s="134">
        <f>+'EXTERNAL DEBT USD'!R38*R93</f>
        <v>546343.31817501807</v>
      </c>
      <c r="S38" s="174">
        <f t="shared" ref="S38" si="171">+R38/R7</f>
        <v>0.48255796582881244</v>
      </c>
      <c r="T38" s="134">
        <f>+'EXTERNAL DEBT USD'!T38*T93</f>
        <v>684445.11441125558</v>
      </c>
      <c r="U38" s="174">
        <f t="shared" ref="U38" si="172">+T38/T7</f>
        <v>0.70509491299901994</v>
      </c>
      <c r="V38" s="134">
        <f>+'EXTERNAL DEBT USD'!V38*V93</f>
        <v>489602.57014606398</v>
      </c>
      <c r="W38" s="174">
        <f t="shared" ref="W38" si="173">+V38/V7</f>
        <v>0.42900873825590458</v>
      </c>
      <c r="X38" s="134">
        <f>+'EXTERNAL DEBT USD'!X38*X93</f>
        <v>363091.21746606857</v>
      </c>
      <c r="Y38" s="174">
        <f t="shared" ref="Y38" si="174">+X38/X7</f>
        <v>0.35422708683424042</v>
      </c>
      <c r="Z38" s="134">
        <f>+'EXTERNAL DEBT USD'!Z38*Z93</f>
        <v>237460.75974093052</v>
      </c>
      <c r="AA38" s="174">
        <f t="shared" ref="AA38" si="175">+Z38/Z7</f>
        <v>0.17140769336499484</v>
      </c>
      <c r="AB38" s="134">
        <f>+'EXTERNAL DEBT USD'!AB38*AB93</f>
        <v>123708.82755143601</v>
      </c>
      <c r="AC38" s="174">
        <f t="shared" ref="AC38" si="176">+AB38/AB7</f>
        <v>7.0029026085286966E-2</v>
      </c>
      <c r="AD38" s="134">
        <f>+'EXTERNAL DEBT USD'!AD38*AD93</f>
        <v>155784.57490664659</v>
      </c>
      <c r="AE38" s="174">
        <f t="shared" ref="AE38" si="177">+AD38/AD7</f>
        <v>6.553127162492367E-2</v>
      </c>
      <c r="AF38" s="134">
        <f>+'EXTERNAL DEBT USD'!AF38*AF93</f>
        <v>298759.55370753969</v>
      </c>
      <c r="AG38" s="174">
        <f t="shared" ref="AG38" si="178">+AF38/AF7</f>
        <v>0.10089358693768322</v>
      </c>
      <c r="AH38" s="134">
        <f>+'EXTERNAL DEBT USD'!AH38*AH93</f>
        <v>321940.41165379714</v>
      </c>
      <c r="AI38" s="174">
        <f t="shared" ref="AI38" si="179">+AH38/AH7</f>
        <v>9.9827339620197339E-2</v>
      </c>
      <c r="AJ38" s="74">
        <f>+'EXTERNAL DEBT USD'!AJ38*AJ93</f>
        <v>343177.50440884655</v>
      </c>
      <c r="AK38" s="211">
        <f t="shared" ref="AK38" si="180">+AJ38/AJ7</f>
        <v>0.10171467888689559</v>
      </c>
      <c r="AL38" s="134">
        <f>+'EXTERNAL DEBT USD'!AL38*AL93</f>
        <v>1000995.5758923545</v>
      </c>
      <c r="AM38" s="174">
        <f t="shared" ref="AM38" si="181">+AL38/AL7</f>
        <v>0.26720806945537184</v>
      </c>
      <c r="AN38" s="74">
        <f>+'EXTERNAL DEBT USD'!AN38*AN93</f>
        <v>816907.78017770138</v>
      </c>
      <c r="AO38" s="211">
        <f t="shared" ref="AO38" si="182">+AN38/AN7</f>
        <v>0.17621270015565743</v>
      </c>
      <c r="AP38" s="461">
        <f>+'EXTERNAL DEBT USD'!AP38*AP93</f>
        <v>1623073.928313059</v>
      </c>
      <c r="AQ38" s="462">
        <f t="shared" ref="AQ38" si="183">+AP38/AP7</f>
        <v>0.28171051311860101</v>
      </c>
      <c r="AR38" s="565"/>
      <c r="AS38" s="109"/>
    </row>
    <row r="39" spans="1:45" s="68" customFormat="1" x14ac:dyDescent="0.25">
      <c r="A39" s="397" t="s">
        <v>85</v>
      </c>
      <c r="B39" s="226">
        <f>+B38/B74</f>
        <v>3.5647559741906518E-2</v>
      </c>
      <c r="C39" s="92"/>
      <c r="D39" s="226">
        <f>+D38/D74</f>
        <v>3.2345155750846705E-2</v>
      </c>
      <c r="E39" s="92"/>
      <c r="F39" s="226">
        <f>+F38/F74</f>
        <v>1.5929857885828569E-2</v>
      </c>
      <c r="G39" s="92"/>
      <c r="H39" s="226">
        <f>+H38/H74</f>
        <v>2.9532173375635407E-2</v>
      </c>
      <c r="I39" s="92"/>
      <c r="J39" s="226">
        <f>+J38/J74</f>
        <v>4.4158531890578473E-2</v>
      </c>
      <c r="K39" s="92"/>
      <c r="L39" s="226">
        <f>+L38/L74</f>
        <v>3.892751490691862E-2</v>
      </c>
      <c r="M39" s="92"/>
      <c r="N39" s="226">
        <f>+N38/N74</f>
        <v>4.438639720666343E-2</v>
      </c>
      <c r="O39" s="92"/>
      <c r="P39" s="226">
        <f>+P38/P74</f>
        <v>3.7710893489363857E-2</v>
      </c>
      <c r="Q39" s="92"/>
      <c r="R39" s="226">
        <f>+R38/R74</f>
        <v>3.3706223147177805E-2</v>
      </c>
      <c r="S39" s="92"/>
      <c r="T39" s="226">
        <f>+T38/T74</f>
        <v>3.8831236655969444E-2</v>
      </c>
      <c r="U39" s="92"/>
      <c r="V39" s="226">
        <f>+V38/V74</f>
        <v>2.472489184135513E-2</v>
      </c>
      <c r="W39" s="92"/>
      <c r="X39" s="226">
        <f>+X38/X74</f>
        <v>1.6791490976305539E-2</v>
      </c>
      <c r="Y39" s="92"/>
      <c r="Z39" s="226">
        <f>+Z38/Z74</f>
        <v>9.9971403053158263E-3</v>
      </c>
      <c r="AA39" s="92"/>
      <c r="AB39" s="226">
        <f>+AB38/AB74</f>
        <v>4.8583846338180036E-3</v>
      </c>
      <c r="AC39" s="92"/>
      <c r="AD39" s="226">
        <f>+AD38/AD74</f>
        <v>5.5634710260222368E-3</v>
      </c>
      <c r="AE39" s="92"/>
      <c r="AF39" s="226">
        <f>+AF38/AF74</f>
        <v>9.9019076332860188E-3</v>
      </c>
      <c r="AG39" s="92"/>
      <c r="AH39" s="226">
        <f>+AH38/AH74</f>
        <v>1.0042972209514868E-2</v>
      </c>
      <c r="AI39" s="92"/>
      <c r="AJ39" s="223">
        <f>+AJ38/AJ74</f>
        <v>9.9924594332263788E-3</v>
      </c>
      <c r="AK39" s="35"/>
      <c r="AL39" s="226">
        <f>+AL38/AL74</f>
        <v>2.7794068981367732E-2</v>
      </c>
      <c r="AM39" s="92"/>
      <c r="AN39" s="223">
        <f>+AN38/AN74</f>
        <v>2.1592951616450341E-2</v>
      </c>
      <c r="AO39" s="35"/>
      <c r="AP39" s="464">
        <f>+AP38/AP74</f>
        <v>4.4473571266397324E-2</v>
      </c>
      <c r="AQ39" s="472"/>
      <c r="AR39" s="389"/>
      <c r="AS39" s="109"/>
    </row>
    <row r="40" spans="1:45" ht="12.75" customHeight="1" x14ac:dyDescent="0.25">
      <c r="A40" s="133" t="s">
        <v>87</v>
      </c>
      <c r="B40" s="134">
        <f>+'EXTERNAL DEBT USD'!B40*B93</f>
        <v>301812.06</v>
      </c>
      <c r="C40" s="174">
        <f>+B40/B7</f>
        <v>0.60560771539886304</v>
      </c>
      <c r="D40" s="134">
        <f>+'EXTERNAL DEBT USD'!D40*D93</f>
        <v>384894.50279999996</v>
      </c>
      <c r="E40" s="174">
        <f t="shared" ref="E40" si="184">+D40/D7</f>
        <v>0.65385240949858259</v>
      </c>
      <c r="F40" s="134">
        <f>+'EXTERNAL DEBT USD'!F40*F93</f>
        <v>541054.83285000001</v>
      </c>
      <c r="G40" s="174">
        <f t="shared" ref="G40" si="185">+F40/F7</f>
        <v>0.73154940275123426</v>
      </c>
      <c r="H40" s="134">
        <f>+'EXTERNAL DEBT USD'!H40*H93</f>
        <v>668932.70459999994</v>
      </c>
      <c r="I40" s="174">
        <f t="shared" ref="I40" si="186">+H40/H7</f>
        <v>0.73176388621508393</v>
      </c>
      <c r="J40" s="134">
        <f>+'EXTERNAL DEBT USD'!J40*J93</f>
        <v>689349.68640000012</v>
      </c>
      <c r="K40" s="174">
        <f t="shared" ref="K40" si="187">+J40/J7</f>
        <v>0.62457209964768512</v>
      </c>
      <c r="L40" s="134">
        <f>+'EXTERNAL DEBT USD'!L40*L93</f>
        <v>768145.70559999987</v>
      </c>
      <c r="M40" s="174">
        <f t="shared" ref="M40" si="188">+L40/L7</f>
        <v>0.65192469343876591</v>
      </c>
      <c r="N40" s="134">
        <f>+'EXTERNAL DEBT USD'!N40*N93</f>
        <v>648168.84720000019</v>
      </c>
      <c r="O40" s="174">
        <f t="shared" ref="O40" si="189">+N40/N7</f>
        <v>0.53894413898895199</v>
      </c>
      <c r="P40" s="134">
        <f>+'EXTERNAL DEBT USD'!P40*P93</f>
        <v>475016.10479999991</v>
      </c>
      <c r="Q40" s="174">
        <f t="shared" ref="Q40" si="190">+P40/P7</f>
        <v>0.4193763606994873</v>
      </c>
      <c r="R40" s="134">
        <f>+'EXTERNAL DEBT USD'!R40*R93</f>
        <v>380364.31367529125</v>
      </c>
      <c r="S40" s="174">
        <f t="shared" ref="S40" si="191">+R40/R7</f>
        <v>0.3359569402150579</v>
      </c>
      <c r="T40" s="134">
        <f>+'EXTERNAL DEBT USD'!T40*T93</f>
        <v>246098.25283361776</v>
      </c>
      <c r="U40" s="174">
        <f t="shared" ref="U40" si="192">+T40/T7</f>
        <v>0.25352306929707696</v>
      </c>
      <c r="V40" s="134">
        <f>+'EXTERNAL DEBT USD'!V40*V93</f>
        <v>486974.32647492556</v>
      </c>
      <c r="W40" s="174">
        <f t="shared" ref="W40" si="193">+V40/V7</f>
        <v>0.42670576933797633</v>
      </c>
      <c r="X40" s="134">
        <f>+'EXTERNAL DEBT USD'!X40*X93</f>
        <v>498632.04754714645</v>
      </c>
      <c r="Y40" s="174">
        <f t="shared" ref="Y40" si="194">+X40/X7</f>
        <v>0.48645896432712366</v>
      </c>
      <c r="Z40" s="134">
        <f>+'EXTERNAL DEBT USD'!Z40*Z93</f>
        <v>989370.56329867232</v>
      </c>
      <c r="AA40" s="174">
        <f t="shared" ref="AA40" si="195">+Z40/Z7</f>
        <v>0.71416315825515309</v>
      </c>
      <c r="AB40" s="134">
        <f>+'EXTERNAL DEBT USD'!AB40*AB93</f>
        <v>1490674.2903571811</v>
      </c>
      <c r="AC40" s="174">
        <f t="shared" ref="AC40" si="196">+AB40/AB7</f>
        <v>0.84384009476353572</v>
      </c>
      <c r="AD40" s="134">
        <f>+'EXTERNAL DEBT USD'!AD40*AD93</f>
        <v>2193997.4182717903</v>
      </c>
      <c r="AE40" s="174">
        <f t="shared" ref="AE40" si="197">+AD40/AD7</f>
        <v>0.92291191760998748</v>
      </c>
      <c r="AF40" s="134">
        <f>+'EXTERNAL DEBT USD'!AF40*AF93</f>
        <v>2615281.1818028018</v>
      </c>
      <c r="AG40" s="174">
        <f t="shared" ref="AG40" si="198">+AF40/AF7</f>
        <v>0.88320221398178111</v>
      </c>
      <c r="AH40" s="134">
        <f>+'EXTERNAL DEBT USD'!AH40*AH93</f>
        <v>2850396.096019675</v>
      </c>
      <c r="AI40" s="174">
        <f t="shared" ref="AI40" si="199">+AH40/AH7</f>
        <v>0.88385132412464129</v>
      </c>
      <c r="AJ40" s="74">
        <f>+'EXTERNAL DEBT USD'!AJ40*AJ93</f>
        <v>2976918.8517686739</v>
      </c>
      <c r="AK40" s="211">
        <f t="shared" ref="AK40" si="200">+AJ40/AJ7</f>
        <v>0.88233156657977896</v>
      </c>
      <c r="AL40" s="134">
        <f>+'EXTERNAL DEBT USD'!AL40*AL93</f>
        <v>2689410.8676269143</v>
      </c>
      <c r="AM40" s="174">
        <f t="shared" ref="AM40" si="201">+AL40/AL7</f>
        <v>0.71791754451087109</v>
      </c>
      <c r="AN40" s="74">
        <f>+'EXTERNAL DEBT USD'!AN40*AN93</f>
        <v>3621304.0434144023</v>
      </c>
      <c r="AO40" s="211">
        <f t="shared" ref="AO40" si="202">+AN40/AN7</f>
        <v>0.78114051433791243</v>
      </c>
      <c r="AP40" s="461">
        <f>+'EXTERNAL DEBT USD'!AP40*AP93</f>
        <v>4076521.3691356773</v>
      </c>
      <c r="AQ40" s="462">
        <f t="shared" ref="AQ40" si="203">+AP40/AP7</f>
        <v>0.70754566788694673</v>
      </c>
      <c r="AR40" s="565"/>
      <c r="AS40" s="109"/>
    </row>
    <row r="41" spans="1:45" s="68" customFormat="1" ht="12.75" customHeight="1" x14ac:dyDescent="0.25">
      <c r="A41" s="397" t="s">
        <v>85</v>
      </c>
      <c r="B41" s="226">
        <f>+B40/B74</f>
        <v>6.5227742468691161E-2</v>
      </c>
      <c r="C41" s="92"/>
      <c r="D41" s="226">
        <f>+D40/D74</f>
        <v>7.3256245907984033E-2</v>
      </c>
      <c r="E41" s="92"/>
      <c r="F41" s="226">
        <f>+F40/F74</f>
        <v>9.0698968315349196E-2</v>
      </c>
      <c r="G41" s="92"/>
      <c r="H41" s="226">
        <f>+H40/H74</f>
        <v>9.715007934734575E-2</v>
      </c>
      <c r="I41" s="92"/>
      <c r="J41" s="226">
        <f>+J40/J74</f>
        <v>8.4581353497080444E-2</v>
      </c>
      <c r="K41" s="92"/>
      <c r="L41" s="226">
        <f>+L40/L74</f>
        <v>8.0207154938578079E-2</v>
      </c>
      <c r="M41" s="92"/>
      <c r="N41" s="226">
        <f>+N40/N74</f>
        <v>5.5812536614261957E-2</v>
      </c>
      <c r="O41" s="92"/>
      <c r="P41" s="226">
        <f>+P40/P74</f>
        <v>3.4200755648294064E-2</v>
      </c>
      <c r="Q41" s="92"/>
      <c r="R41" s="226">
        <f>+R40/R74</f>
        <v>2.3466278450678297E-2</v>
      </c>
      <c r="S41" s="92"/>
      <c r="T41" s="226">
        <f>+T40/T74</f>
        <v>1.3962112220821285E-2</v>
      </c>
      <c r="U41" s="92"/>
      <c r="V41" s="226">
        <f>+V40/V74</f>
        <v>2.4592165739688143E-2</v>
      </c>
      <c r="W41" s="92"/>
      <c r="X41" s="226">
        <f>+X40/X74</f>
        <v>2.305970269762064E-2</v>
      </c>
      <c r="Y41" s="92"/>
      <c r="Z41" s="226">
        <f>+Z40/Z74</f>
        <v>4.1652677040354448E-2</v>
      </c>
      <c r="AA41" s="92"/>
      <c r="AB41" s="226">
        <f>+AB40/AB74</f>
        <v>5.8542863994791916E-2</v>
      </c>
      <c r="AC41" s="92"/>
      <c r="AD41" s="226">
        <f>+AD40/AD74</f>
        <v>7.8353335527841864E-2</v>
      </c>
      <c r="AE41" s="92"/>
      <c r="AF41" s="226">
        <f>+AF40/AF74</f>
        <v>8.6679312430064423E-2</v>
      </c>
      <c r="AG41" s="92"/>
      <c r="AH41" s="226">
        <f>+AH40/AH74</f>
        <v>8.8918469822977977E-2</v>
      </c>
      <c r="AI41" s="92"/>
      <c r="AJ41" s="223">
        <f>+AJ40/AJ74</f>
        <v>8.6680334462909223E-2</v>
      </c>
      <c r="AK41" s="35"/>
      <c r="AL41" s="226">
        <f>+AL40/AL74</f>
        <v>7.4675326219524635E-2</v>
      </c>
      <c r="AM41" s="92"/>
      <c r="AN41" s="223">
        <f>+AN40/AN74</f>
        <v>9.5720281891419304E-2</v>
      </c>
      <c r="AO41" s="35"/>
      <c r="AP41" s="464">
        <f>+AP40/AP74</f>
        <v>0.11170006520755253</v>
      </c>
      <c r="AQ41" s="472"/>
      <c r="AR41" s="389"/>
      <c r="AS41" s="109"/>
    </row>
    <row r="42" spans="1:45" x14ac:dyDescent="0.25">
      <c r="A42" s="142"/>
      <c r="B42" s="91"/>
      <c r="C42" s="100"/>
      <c r="D42" s="91"/>
      <c r="E42" s="100"/>
      <c r="F42" s="91"/>
      <c r="G42" s="100"/>
      <c r="H42" s="91"/>
      <c r="I42" s="100"/>
      <c r="J42" s="91"/>
      <c r="K42" s="100"/>
      <c r="L42" s="91"/>
      <c r="M42" s="100"/>
      <c r="N42" s="91"/>
      <c r="O42" s="100"/>
      <c r="P42" s="91"/>
      <c r="Q42" s="100"/>
      <c r="R42" s="91"/>
      <c r="S42" s="100"/>
      <c r="T42" s="91"/>
      <c r="U42" s="100"/>
      <c r="V42" s="91"/>
      <c r="W42" s="100"/>
      <c r="X42" s="91"/>
      <c r="Y42" s="100"/>
      <c r="Z42" s="91"/>
      <c r="AA42" s="100"/>
      <c r="AB42" s="91"/>
      <c r="AC42" s="100"/>
      <c r="AD42" s="91"/>
      <c r="AE42" s="100"/>
      <c r="AF42" s="91"/>
      <c r="AG42" s="100"/>
      <c r="AH42" s="91"/>
      <c r="AI42" s="100"/>
      <c r="AJ42" s="29"/>
      <c r="AK42" s="629"/>
      <c r="AL42" s="91"/>
      <c r="AM42" s="100"/>
      <c r="AN42" s="29"/>
      <c r="AO42" s="629"/>
      <c r="AP42" s="468"/>
      <c r="AQ42" s="520"/>
      <c r="AR42" s="577"/>
      <c r="AS42" s="109"/>
    </row>
    <row r="43" spans="1:45" x14ac:dyDescent="0.25">
      <c r="A43" s="142" t="s">
        <v>182</v>
      </c>
      <c r="B43" s="165" t="str">
        <f>+'EXTERNAL DEBT USD'!B43</f>
        <v>ND</v>
      </c>
      <c r="C43" s="37" t="str">
        <f>+'EXTERNAL DEBT USD'!C43</f>
        <v>años</v>
      </c>
      <c r="D43" s="36">
        <f>+'EXTERNAL DEBT USD'!D43</f>
        <v>9.4206849300000002</v>
      </c>
      <c r="E43" s="37" t="str">
        <f>+'EXTERNAL DEBT USD'!E43</f>
        <v>años</v>
      </c>
      <c r="F43" s="36">
        <f>+'EXTERNAL DEBT USD'!F43</f>
        <v>8.5651650000000004</v>
      </c>
      <c r="G43" s="37" t="str">
        <f>+'EXTERNAL DEBT USD'!G43</f>
        <v>años</v>
      </c>
      <c r="H43" s="36">
        <f>+'EXTERNAL DEBT USD'!H43</f>
        <v>8.0184440000000006</v>
      </c>
      <c r="I43" s="37" t="str">
        <f>+'EXTERNAL DEBT USD'!I43</f>
        <v>años</v>
      </c>
      <c r="J43" s="36">
        <f>+'EXTERNAL DEBT USD'!J43</f>
        <v>7.5343999999999998</v>
      </c>
      <c r="K43" s="37" t="str">
        <f>+'EXTERNAL DEBT USD'!K43</f>
        <v>años</v>
      </c>
      <c r="L43" s="36">
        <f>+'EXTERNAL DEBT USD'!L43</f>
        <v>7.1657770000000003</v>
      </c>
      <c r="M43" s="37" t="str">
        <f>+'EXTERNAL DEBT USD'!M43</f>
        <v>años</v>
      </c>
      <c r="N43" s="36">
        <f>+'EXTERNAL DEBT USD'!N43</f>
        <v>6.2751169999999998</v>
      </c>
      <c r="O43" s="37" t="str">
        <f>+'EXTERNAL DEBT USD'!O43</f>
        <v>años</v>
      </c>
      <c r="P43" s="36">
        <f>+'EXTERNAL DEBT USD'!P43</f>
        <v>5.4784569999999997</v>
      </c>
      <c r="Q43" s="37" t="str">
        <f>+'EXTERNAL DEBT USD'!Q43</f>
        <v>años</v>
      </c>
      <c r="R43" s="36">
        <f>+'EXTERNAL DEBT USD'!R43</f>
        <v>5.1081789999999998</v>
      </c>
      <c r="S43" s="37" t="str">
        <f>+'EXTERNAL DEBT USD'!S43</f>
        <v>años</v>
      </c>
      <c r="T43" s="36">
        <f>+'EXTERNAL DEBT USD'!T43</f>
        <v>5.23</v>
      </c>
      <c r="U43" s="37" t="str">
        <f>+'EXTERNAL DEBT USD'!U43</f>
        <v>años</v>
      </c>
      <c r="V43" s="36">
        <f>+'EXTERNAL DEBT USD'!V43</f>
        <v>6.9605431760233936</v>
      </c>
      <c r="W43" s="37" t="str">
        <f>+'EXTERNAL DEBT USD'!W43</f>
        <v>años</v>
      </c>
      <c r="X43" s="36">
        <f>+'EXTERNAL DEBT USD'!X43</f>
        <v>7.3175816663176043</v>
      </c>
      <c r="Y43" s="37" t="str">
        <f>+'EXTERNAL DEBT USD'!Y43</f>
        <v>años</v>
      </c>
      <c r="Z43" s="164">
        <f>+'EXTERNAL DEBT USD'!Z43</f>
        <v>8.6154912298913988</v>
      </c>
      <c r="AA43" s="94" t="str">
        <f>+'EXTERNAL DEBT USD'!AA43</f>
        <v>años</v>
      </c>
      <c r="AB43" s="36">
        <f>+'EXTERNAL DEBT USD'!AB43</f>
        <v>11.989718785133</v>
      </c>
      <c r="AC43" s="37" t="str">
        <f>+'EXTERNAL DEBT USD'!AC43</f>
        <v>años</v>
      </c>
      <c r="AD43" s="36">
        <f>+'EXTERNAL DEBT USD'!AD43</f>
        <v>15.940048510340608</v>
      </c>
      <c r="AE43" s="37" t="str">
        <f>+'EXTERNAL DEBT USD'!AE43</f>
        <v>años</v>
      </c>
      <c r="AF43" s="36">
        <f>+'EXTERNAL DEBT USD'!AF43</f>
        <v>17.501142928050246</v>
      </c>
      <c r="AG43" s="37" t="str">
        <f>+'EXTERNAL DEBT USD'!AG43</f>
        <v>años</v>
      </c>
      <c r="AH43" s="36">
        <f>+'EXTERNAL DEBT USD'!AH43</f>
        <v>16.529363120446284</v>
      </c>
      <c r="AI43" s="37" t="str">
        <f>+'EXTERNAL DEBT USD'!AI43</f>
        <v>años</v>
      </c>
      <c r="AJ43" s="36">
        <f>+'EXTERNAL DEBT USD'!AJ43</f>
        <v>15.637162399523893</v>
      </c>
      <c r="AK43" s="37" t="str">
        <f>+'EXTERNAL DEBT USD'!AK43</f>
        <v>años</v>
      </c>
      <c r="AL43" s="164">
        <f>+'EXTERNAL DEBT USD'!AL43</f>
        <v>14.793288452903644</v>
      </c>
      <c r="AM43" s="94" t="str">
        <f>+'EXTERNAL DEBT USD'!AM43</f>
        <v>años</v>
      </c>
      <c r="AN43" s="36">
        <f>+'EXTERNAL DEBT USD'!AN43</f>
        <v>13.742272065647381</v>
      </c>
      <c r="AO43" s="37" t="str">
        <f>+'EXTERNAL DEBT USD'!AO43</f>
        <v>años</v>
      </c>
      <c r="AP43" s="511">
        <f>+'EXTERNAL DEBT USD'!AP43</f>
        <v>12.525773203278099</v>
      </c>
      <c r="AQ43" s="475" t="str">
        <f>+'EXTERNAL DEBT USD'!AQ43</f>
        <v>años</v>
      </c>
      <c r="AR43" s="389"/>
      <c r="AS43" s="109"/>
    </row>
    <row r="44" spans="1:45" ht="15.6" x14ac:dyDescent="0.25">
      <c r="A44" s="142" t="s">
        <v>183</v>
      </c>
      <c r="B44" s="165" t="str">
        <f>+'EXTERNAL DEBT USD'!B44</f>
        <v>ND</v>
      </c>
      <c r="C44" s="37" t="str">
        <f>+'EXTERNAL DEBT USD'!C44</f>
        <v>años</v>
      </c>
      <c r="D44" s="36">
        <f>+'EXTERNAL DEBT USD'!D44</f>
        <v>5.73047109</v>
      </c>
      <c r="E44" s="37" t="str">
        <f>+'EXTERNAL DEBT USD'!E44</f>
        <v>años</v>
      </c>
      <c r="F44" s="36">
        <f>+'EXTERNAL DEBT USD'!F44</f>
        <v>5.4059990899999999</v>
      </c>
      <c r="G44" s="37" t="str">
        <f>+'EXTERNAL DEBT USD'!G44</f>
        <v>años</v>
      </c>
      <c r="H44" s="36">
        <f>+'EXTERNAL DEBT USD'!H44</f>
        <v>5.7895236099999998</v>
      </c>
      <c r="I44" s="37" t="str">
        <f>+'EXTERNAL DEBT USD'!I44</f>
        <v>años</v>
      </c>
      <c r="J44" s="36">
        <f>+'EXTERNAL DEBT USD'!J44</f>
        <v>5.4056562000000001</v>
      </c>
      <c r="K44" s="37" t="str">
        <f>+'EXTERNAL DEBT USD'!K44</f>
        <v>años</v>
      </c>
      <c r="L44" s="36">
        <f>+'EXTERNAL DEBT USD'!L44</f>
        <v>4.91795151</v>
      </c>
      <c r="M44" s="37" t="str">
        <f>+'EXTERNAL DEBT USD'!M44</f>
        <v>años</v>
      </c>
      <c r="N44" s="36">
        <f>+'EXTERNAL DEBT USD'!N44</f>
        <v>4.2766642299999997</v>
      </c>
      <c r="O44" s="37" t="str">
        <f>+'EXTERNAL DEBT USD'!O44</f>
        <v>años</v>
      </c>
      <c r="P44" s="36">
        <f>+'EXTERNAL DEBT USD'!P44</f>
        <v>3.5780823800000001</v>
      </c>
      <c r="Q44" s="37" t="str">
        <f>+'EXTERNAL DEBT USD'!Q44</f>
        <v>años</v>
      </c>
      <c r="R44" s="36">
        <f>+'EXTERNAL DEBT USD'!R44</f>
        <v>3.2285836899999998</v>
      </c>
      <c r="S44" s="37" t="str">
        <f>+'EXTERNAL DEBT USD'!S44</f>
        <v>años</v>
      </c>
      <c r="T44" s="36">
        <f>+'EXTERNAL DEBT USD'!T44</f>
        <v>3.2953940845770187</v>
      </c>
      <c r="U44" s="37" t="str">
        <f>+'EXTERNAL DEBT USD'!U44</f>
        <v>años</v>
      </c>
      <c r="V44" s="36">
        <f>+'EXTERNAL DEBT USD'!V44</f>
        <v>2.5448140549181235</v>
      </c>
      <c r="W44" s="37" t="str">
        <f>+'EXTERNAL DEBT USD'!W44</f>
        <v>años</v>
      </c>
      <c r="X44" s="36">
        <f>+'EXTERNAL DEBT USD'!X44</f>
        <v>2.3417820902855224</v>
      </c>
      <c r="Y44" s="37" t="str">
        <f>+'EXTERNAL DEBT USD'!Y44</f>
        <v>años</v>
      </c>
      <c r="Z44" s="164">
        <f>+'EXTERNAL DEBT USD'!Z44</f>
        <v>5.6417263335325698</v>
      </c>
      <c r="AA44" s="94" t="str">
        <f>+'EXTERNAL DEBT USD'!AA44</f>
        <v>años</v>
      </c>
      <c r="AB44" s="36">
        <f>+'EXTERNAL DEBT USD'!AB44</f>
        <v>7.9211178496309955</v>
      </c>
      <c r="AC44" s="37" t="str">
        <f>+'EXTERNAL DEBT USD'!AC44</f>
        <v>años</v>
      </c>
      <c r="AD44" s="36">
        <f>+'EXTERNAL DEBT USD'!AD44</f>
        <v>9.5530081182231488</v>
      </c>
      <c r="AE44" s="37" t="str">
        <f>+'EXTERNAL DEBT USD'!AE44</f>
        <v>años</v>
      </c>
      <c r="AF44" s="36">
        <f>+'EXTERNAL DEBT USD'!AF44</f>
        <v>9.2378949815711557</v>
      </c>
      <c r="AG44" s="37" t="str">
        <f>+'EXTERNAL DEBT USD'!AG44</f>
        <v>años</v>
      </c>
      <c r="AH44" s="36">
        <f>+'EXTERNAL DEBT USD'!AH44</f>
        <v>9.2019313812827086</v>
      </c>
      <c r="AI44" s="37" t="str">
        <f>+'EXTERNAL DEBT USD'!AI44</f>
        <v>años</v>
      </c>
      <c r="AJ44" s="36">
        <f>+'EXTERNAL DEBT USD'!AJ44</f>
        <v>9.305549118007713</v>
      </c>
      <c r="AK44" s="37" t="str">
        <f>+'EXTERNAL DEBT USD'!AK44</f>
        <v>años</v>
      </c>
      <c r="AL44" s="164">
        <f>+'EXTERNAL DEBT USD'!AL44</f>
        <v>8.3778033153317857</v>
      </c>
      <c r="AM44" s="94" t="str">
        <f>+'EXTERNAL DEBT USD'!AM44</f>
        <v>años</v>
      </c>
      <c r="AN44" s="36">
        <f>+'EXTERNAL DEBT USD'!AN44</f>
        <v>8.61</v>
      </c>
      <c r="AO44" s="37" t="str">
        <f>+'EXTERNAL DEBT USD'!AO44</f>
        <v>años</v>
      </c>
      <c r="AP44" s="511">
        <f>+'EXTERNAL DEBT USD'!AP44</f>
        <v>8.0801669736563628</v>
      </c>
      <c r="AQ44" s="475" t="str">
        <f>+'EXTERNAL DEBT USD'!AQ44</f>
        <v>años</v>
      </c>
      <c r="AR44" s="577"/>
      <c r="AS44" s="109"/>
    </row>
    <row r="45" spans="1:45" s="68" customFormat="1" ht="15.6" x14ac:dyDescent="0.25">
      <c r="A45" s="142" t="s">
        <v>184</v>
      </c>
      <c r="B45" s="165" t="str">
        <f>+'EXTERNAL DEBT USD'!B45</f>
        <v>ND</v>
      </c>
      <c r="C45" s="37" t="str">
        <f>+'EXTERNAL DEBT USD'!C45</f>
        <v>años</v>
      </c>
      <c r="D45" s="36">
        <f>+'EXTERNAL DEBT USD'!D45</f>
        <v>5.5050762899999999</v>
      </c>
      <c r="E45" s="37" t="str">
        <f>+'EXTERNAL DEBT USD'!E45</f>
        <v>años</v>
      </c>
      <c r="F45" s="36">
        <f>+'EXTERNAL DEBT USD'!F45</f>
        <v>5.1892693599999999</v>
      </c>
      <c r="G45" s="37" t="str">
        <f>+'EXTERNAL DEBT USD'!G45</f>
        <v>años</v>
      </c>
      <c r="H45" s="36">
        <f>+'EXTERNAL DEBT USD'!H45</f>
        <v>5.5995333499999997</v>
      </c>
      <c r="I45" s="37" t="str">
        <f>+'EXTERNAL DEBT USD'!I45</f>
        <v>años</v>
      </c>
      <c r="J45" s="36">
        <f>+'EXTERNAL DEBT USD'!J45</f>
        <v>5.2073198500000002</v>
      </c>
      <c r="K45" s="37" t="str">
        <f>+'EXTERNAL DEBT USD'!K45</f>
        <v>años</v>
      </c>
      <c r="L45" s="36">
        <f>+'EXTERNAL DEBT USD'!L45</f>
        <v>4.7680119999999997</v>
      </c>
      <c r="M45" s="37" t="str">
        <f>+'EXTERNAL DEBT USD'!M45</f>
        <v>años</v>
      </c>
      <c r="N45" s="36">
        <f>+'EXTERNAL DEBT USD'!N45</f>
        <v>4.1490397000000003</v>
      </c>
      <c r="O45" s="37" t="str">
        <f>+'EXTERNAL DEBT USD'!O45</f>
        <v>años</v>
      </c>
      <c r="P45" s="36">
        <f>+'EXTERNAL DEBT USD'!P45</f>
        <v>3.4743738400000002</v>
      </c>
      <c r="Q45" s="37" t="str">
        <f>+'EXTERNAL DEBT USD'!Q45</f>
        <v>años</v>
      </c>
      <c r="R45" s="36">
        <f>+'EXTERNAL DEBT USD'!R45</f>
        <v>3.11042687</v>
      </c>
      <c r="S45" s="37" t="str">
        <f>+'EXTERNAL DEBT USD'!S45</f>
        <v>años</v>
      </c>
      <c r="T45" s="36">
        <f>+'EXTERNAL DEBT USD'!T45</f>
        <v>3.2186011675017698</v>
      </c>
      <c r="U45" s="37" t="str">
        <f>+'EXTERNAL DEBT USD'!U45</f>
        <v>años</v>
      </c>
      <c r="V45" s="36">
        <f>+'EXTERNAL DEBT USD'!V45</f>
        <v>2.4996257541885294</v>
      </c>
      <c r="W45" s="37" t="str">
        <f>+'EXTERNAL DEBT USD'!W45</f>
        <v>años</v>
      </c>
      <c r="X45" s="36">
        <f>+'EXTERNAL DEBT USD'!X45</f>
        <v>2.2951437270348323</v>
      </c>
      <c r="Y45" s="37" t="str">
        <f>+'EXTERNAL DEBT USD'!Y45</f>
        <v>años</v>
      </c>
      <c r="Z45" s="164">
        <f>+'EXTERNAL DEBT USD'!Z45</f>
        <v>5.5244699102505859</v>
      </c>
      <c r="AA45" s="94" t="str">
        <f>+'EXTERNAL DEBT USD'!AA45</f>
        <v>años</v>
      </c>
      <c r="AB45" s="36">
        <f>+'EXTERNAL DEBT USD'!AB45</f>
        <v>7.6928546667010682</v>
      </c>
      <c r="AC45" s="37" t="str">
        <f>+'EXTERNAL DEBT USD'!AC45</f>
        <v>años</v>
      </c>
      <c r="AD45" s="36">
        <f>+'EXTERNAL DEBT USD'!AD45</f>
        <v>9.2564977905073054</v>
      </c>
      <c r="AE45" s="37" t="str">
        <f>+'EXTERNAL DEBT USD'!AE45</f>
        <v>años</v>
      </c>
      <c r="AF45" s="36">
        <f>+'EXTERNAL DEBT USD'!AF45</f>
        <v>8.8980754234030996</v>
      </c>
      <c r="AG45" s="37" t="str">
        <f>+'EXTERNAL DEBT USD'!AG45</f>
        <v>años</v>
      </c>
      <c r="AH45" s="36">
        <f>+'EXTERNAL DEBT USD'!AH45</f>
        <v>8.8803211814516736</v>
      </c>
      <c r="AI45" s="37" t="str">
        <f>+'EXTERNAL DEBT USD'!AI45</f>
        <v>años</v>
      </c>
      <c r="AJ45" s="36">
        <f>+'EXTERNAL DEBT USD'!AJ45</f>
        <v>9.0226773402421827</v>
      </c>
      <c r="AK45" s="37" t="str">
        <f>+'EXTERNAL DEBT USD'!AK45</f>
        <v>años</v>
      </c>
      <c r="AL45" s="164">
        <f>+'EXTERNAL DEBT USD'!AL45</f>
        <v>8.0660221925250841</v>
      </c>
      <c r="AM45" s="94" t="str">
        <f>+'EXTERNAL DEBT USD'!AM45</f>
        <v>años</v>
      </c>
      <c r="AN45" s="36">
        <f>+'EXTERNAL DEBT USD'!AN45</f>
        <v>8.35</v>
      </c>
      <c r="AO45" s="37" t="str">
        <f>+'EXTERNAL DEBT USD'!AO45</f>
        <v>años</v>
      </c>
      <c r="AP45" s="511">
        <f>+'EXTERNAL DEBT USD'!AP45</f>
        <v>7.7919492758080064</v>
      </c>
      <c r="AQ45" s="475" t="str">
        <f>+'EXTERNAL DEBT USD'!AQ45</f>
        <v>años</v>
      </c>
      <c r="AR45" s="566"/>
      <c r="AS45" s="109"/>
    </row>
    <row r="46" spans="1:45" x14ac:dyDescent="0.25">
      <c r="A46" s="76" t="s">
        <v>185</v>
      </c>
      <c r="B46" s="165"/>
      <c r="C46" s="37"/>
      <c r="D46" s="165"/>
      <c r="E46" s="37"/>
      <c r="F46" s="165"/>
      <c r="G46" s="37"/>
      <c r="H46" s="165"/>
      <c r="I46" s="37"/>
      <c r="J46" s="165"/>
      <c r="K46" s="37"/>
      <c r="L46" s="165"/>
      <c r="M46" s="37"/>
      <c r="N46" s="165"/>
      <c r="O46" s="37"/>
      <c r="P46" s="165"/>
      <c r="Q46" s="37"/>
      <c r="R46" s="165"/>
      <c r="S46" s="37"/>
      <c r="T46" s="165"/>
      <c r="U46" s="37"/>
      <c r="V46" s="165"/>
      <c r="W46" s="37"/>
      <c r="X46" s="165"/>
      <c r="Y46" s="37"/>
      <c r="Z46" s="165"/>
      <c r="AA46" s="94"/>
      <c r="AB46" s="165"/>
      <c r="AC46" s="37"/>
      <c r="AD46" s="165"/>
      <c r="AE46" s="37"/>
      <c r="AF46" s="165">
        <f>+'EXTERNAL DEBT USD'!AF46</f>
        <v>15.41</v>
      </c>
      <c r="AG46" s="37" t="str">
        <f>+'EXTERNAL DEBT USD'!AG46</f>
        <v>años</v>
      </c>
      <c r="AH46" s="176">
        <f>+'EXTERNAL DEBT USD'!AH46</f>
        <v>14.084780480762747</v>
      </c>
      <c r="AI46" s="37" t="str">
        <f>+'EXTERNAL DEBT USD'!AI46</f>
        <v>años</v>
      </c>
      <c r="AJ46" s="50">
        <f>+'EXTERNAL DEBT USD'!AJ46</f>
        <v>13.096169333611577</v>
      </c>
      <c r="AK46" s="37" t="str">
        <f>+'EXTERNAL DEBT USD'!AK46</f>
        <v>años</v>
      </c>
      <c r="AL46" s="176">
        <f>+'EXTERNAL DEBT USD'!AL46</f>
        <v>11.909796081228579</v>
      </c>
      <c r="AM46" s="94" t="str">
        <f>+'EXTERNAL DEBT USD'!AM46</f>
        <v>años</v>
      </c>
      <c r="AN46" s="50">
        <f>+'EXTERNAL DEBT USD'!AN46</f>
        <v>11.023172399823332</v>
      </c>
      <c r="AO46" s="37" t="str">
        <f>+'EXTERNAL DEBT USD'!AO46</f>
        <v>años</v>
      </c>
      <c r="AP46" s="474">
        <f>+'EXTERNAL DEBT USD'!AP46</f>
        <v>8.9714268588002799</v>
      </c>
      <c r="AQ46" s="475" t="str">
        <f>+'EXTERNAL DEBT USD'!AQ46</f>
        <v>años</v>
      </c>
      <c r="AR46" s="565"/>
      <c r="AS46" s="109"/>
    </row>
    <row r="47" spans="1:45" s="68" customFormat="1" x14ac:dyDescent="0.25">
      <c r="A47" s="76"/>
      <c r="B47" s="226"/>
      <c r="C47" s="92"/>
      <c r="D47" s="226"/>
      <c r="E47" s="92"/>
      <c r="F47" s="226"/>
      <c r="G47" s="92"/>
      <c r="H47" s="226"/>
      <c r="I47" s="92"/>
      <c r="J47" s="226"/>
      <c r="K47" s="92"/>
      <c r="L47" s="226"/>
      <c r="M47" s="92"/>
      <c r="N47" s="226"/>
      <c r="O47" s="92"/>
      <c r="P47" s="226"/>
      <c r="Q47" s="92"/>
      <c r="R47" s="226"/>
      <c r="S47" s="92"/>
      <c r="T47" s="226"/>
      <c r="U47" s="92"/>
      <c r="V47" s="226"/>
      <c r="W47" s="92"/>
      <c r="X47" s="226"/>
      <c r="Y47" s="92"/>
      <c r="Z47" s="226"/>
      <c r="AA47" s="92"/>
      <c r="AB47" s="226"/>
      <c r="AC47" s="92"/>
      <c r="AD47" s="226"/>
      <c r="AE47" s="92"/>
      <c r="AF47" s="226"/>
      <c r="AG47" s="92"/>
      <c r="AH47" s="226"/>
      <c r="AI47" s="92"/>
      <c r="AJ47" s="223"/>
      <c r="AK47" s="35"/>
      <c r="AL47" s="226"/>
      <c r="AM47" s="92"/>
      <c r="AN47" s="223"/>
      <c r="AO47" s="35"/>
      <c r="AP47" s="464"/>
      <c r="AQ47" s="472"/>
      <c r="AR47" s="565"/>
      <c r="AS47" s="109"/>
    </row>
    <row r="48" spans="1:45" s="30" customFormat="1" x14ac:dyDescent="0.25">
      <c r="A48" s="417" t="s">
        <v>93</v>
      </c>
      <c r="B48" s="29"/>
      <c r="C48" s="35"/>
      <c r="D48" s="29"/>
      <c r="E48" s="35"/>
      <c r="F48" s="29"/>
      <c r="G48" s="35"/>
      <c r="H48" s="29"/>
      <c r="I48" s="35"/>
      <c r="J48" s="29"/>
      <c r="K48" s="35"/>
      <c r="L48" s="29"/>
      <c r="M48" s="35"/>
      <c r="N48" s="29"/>
      <c r="O48" s="35"/>
      <c r="P48" s="29"/>
      <c r="Q48" s="35"/>
      <c r="R48" s="29"/>
      <c r="S48" s="35"/>
      <c r="T48" s="29"/>
      <c r="U48" s="35"/>
      <c r="V48" s="29"/>
      <c r="W48" s="35"/>
      <c r="X48" s="29"/>
      <c r="Y48" s="35"/>
      <c r="Z48" s="91"/>
      <c r="AA48" s="92"/>
      <c r="AB48" s="29"/>
      <c r="AC48" s="35"/>
      <c r="AD48" s="29"/>
      <c r="AE48" s="35"/>
      <c r="AF48" s="29"/>
      <c r="AG48" s="35"/>
      <c r="AH48" s="29"/>
      <c r="AI48" s="35"/>
      <c r="AJ48" s="29"/>
      <c r="AK48" s="35"/>
      <c r="AL48" s="91"/>
      <c r="AM48" s="92"/>
      <c r="AN48" s="29"/>
      <c r="AO48" s="35"/>
      <c r="AP48" s="468"/>
      <c r="AQ48" s="472"/>
      <c r="AR48" s="565"/>
      <c r="AS48" s="109"/>
    </row>
    <row r="49" spans="1:45" s="30" customFormat="1" ht="12.75" customHeight="1" x14ac:dyDescent="0.25">
      <c r="A49" s="31" t="s">
        <v>94</v>
      </c>
      <c r="B49" s="74">
        <v>26103.5</v>
      </c>
      <c r="C49" s="284"/>
      <c r="D49" s="74">
        <v>39846.5</v>
      </c>
      <c r="E49" s="284"/>
      <c r="F49" s="74">
        <v>48193.2</v>
      </c>
      <c r="G49" s="284"/>
      <c r="H49" s="74">
        <v>60051.299999999996</v>
      </c>
      <c r="I49" s="284"/>
      <c r="J49" s="74">
        <v>73409.8</v>
      </c>
      <c r="K49" s="284"/>
      <c r="L49" s="74">
        <v>80959.892103213293</v>
      </c>
      <c r="M49" s="284"/>
      <c r="N49" s="74">
        <v>87392.378596959999</v>
      </c>
      <c r="O49" s="284"/>
      <c r="P49" s="74">
        <v>88325.767296621983</v>
      </c>
      <c r="Q49" s="284"/>
      <c r="R49" s="74">
        <v>84892.097607995005</v>
      </c>
      <c r="S49" s="284"/>
      <c r="T49" s="74">
        <v>80082.968917084596</v>
      </c>
      <c r="U49" s="284"/>
      <c r="V49" s="74">
        <v>66026.491610379002</v>
      </c>
      <c r="W49" s="284"/>
      <c r="X49" s="74">
        <v>59628.043721374903</v>
      </c>
      <c r="Y49" s="284"/>
      <c r="Z49" s="134">
        <v>48684.119935579103</v>
      </c>
      <c r="AA49" s="285"/>
      <c r="AB49" s="153">
        <v>64233.786897491802</v>
      </c>
      <c r="AC49" s="285"/>
      <c r="AD49" s="153">
        <v>98994.861731066587</v>
      </c>
      <c r="AE49" s="285"/>
      <c r="AF49" s="75">
        <v>144882.43507879274</v>
      </c>
      <c r="AG49" s="284"/>
      <c r="AH49" s="93">
        <v>183718.18446362903</v>
      </c>
      <c r="AI49" s="519"/>
      <c r="AJ49" s="39">
        <v>194220.37832111472</v>
      </c>
      <c r="AK49" s="630"/>
      <c r="AL49" s="153">
        <v>204872.41</v>
      </c>
      <c r="AM49" s="519"/>
      <c r="AN49" s="75">
        <v>207239.47547146305</v>
      </c>
      <c r="AO49" s="630"/>
      <c r="AP49" s="471">
        <v>239503.79057539225</v>
      </c>
      <c r="AQ49" s="521"/>
      <c r="AR49" s="565"/>
      <c r="AS49" s="109"/>
    </row>
    <row r="50" spans="1:45" s="30" customFormat="1" x14ac:dyDescent="0.25">
      <c r="A50" s="415" t="s">
        <v>71</v>
      </c>
      <c r="B50" s="226">
        <f>+B49/B74</f>
        <v>5.6414988040288366E-3</v>
      </c>
      <c r="C50" s="35"/>
      <c r="D50" s="226">
        <f>+D49/D74</f>
        <v>7.583909308492431E-3</v>
      </c>
      <c r="E50" s="35"/>
      <c r="F50" s="226">
        <f>+F49/F74</f>
        <v>8.0787995124093209E-3</v>
      </c>
      <c r="G50" s="35"/>
      <c r="H50" s="226">
        <f>+H49/H74</f>
        <v>8.7213385140136029E-3</v>
      </c>
      <c r="I50" s="35"/>
      <c r="J50" s="226">
        <f>+J49/J74</f>
        <v>9.0071851288942208E-3</v>
      </c>
      <c r="K50" s="35"/>
      <c r="L50" s="226">
        <f>+L49/L74</f>
        <v>8.4535558324326764E-3</v>
      </c>
      <c r="M50" s="35"/>
      <c r="N50" s="226">
        <f>+N49/N74</f>
        <v>7.5251847590651552E-3</v>
      </c>
      <c r="O50" s="35"/>
      <c r="P50" s="226">
        <f>+P49/P74</f>
        <v>6.3593801436095058E-3</v>
      </c>
      <c r="Q50" s="35"/>
      <c r="R50" s="226">
        <f>+R49/R74</f>
        <v>5.2373514788560992E-3</v>
      </c>
      <c r="S50" s="35"/>
      <c r="T50" s="226">
        <f>+T49/T74</f>
        <v>4.5434186798263138E-3</v>
      </c>
      <c r="U50" s="35"/>
      <c r="V50" s="226">
        <f>+V49/V74</f>
        <v>3.3343327083510546E-3</v>
      </c>
      <c r="W50" s="35"/>
      <c r="X50" s="226">
        <f>+X49/X74</f>
        <v>2.7575543277242355E-3</v>
      </c>
      <c r="Y50" s="35"/>
      <c r="Z50" s="226">
        <f>+Z49/Z74</f>
        <v>2.0496101257647748E-3</v>
      </c>
      <c r="AA50" s="92"/>
      <c r="AB50" s="226">
        <f>+AB49/AB74</f>
        <v>2.5226368191466368E-3</v>
      </c>
      <c r="AC50" s="35"/>
      <c r="AD50" s="226">
        <f>+AD49/AD74</f>
        <v>3.5353631468064452E-3</v>
      </c>
      <c r="AE50" s="35"/>
      <c r="AF50" s="226">
        <f>+AF49/AF74</f>
        <v>4.8018966156313384E-3</v>
      </c>
      <c r="AG50" s="35"/>
      <c r="AH50" s="226">
        <f>+AH49/AH74</f>
        <v>5.7311122001511266E-3</v>
      </c>
      <c r="AI50" s="35"/>
      <c r="AJ50" s="223">
        <f>+AJ49/AJ74</f>
        <v>5.6552053282825547E-3</v>
      </c>
      <c r="AK50" s="35"/>
      <c r="AL50" s="226">
        <f>+AL49/AL74</f>
        <v>5.6885744882966419E-3</v>
      </c>
      <c r="AM50" s="92"/>
      <c r="AN50" s="223">
        <f>+AN49/AN74</f>
        <v>5.4778667500270644E-3</v>
      </c>
      <c r="AO50" s="35"/>
      <c r="AP50" s="464">
        <f>+AP49/AP74</f>
        <v>6.5626024255085718E-3</v>
      </c>
      <c r="AQ50" s="472"/>
      <c r="AR50" s="389"/>
      <c r="AS50" s="109"/>
    </row>
    <row r="51" spans="1:45" s="30" customFormat="1" x14ac:dyDescent="0.25">
      <c r="A51" s="419" t="s">
        <v>95</v>
      </c>
      <c r="B51" s="226">
        <f>+B49/B77</f>
        <v>4.2895446148052692E-2</v>
      </c>
      <c r="C51" s="35"/>
      <c r="D51" s="226">
        <f>+D49/D77</f>
        <v>5.5182034308929373E-2</v>
      </c>
      <c r="E51" s="35"/>
      <c r="F51" s="226">
        <f>+F49/F77</f>
        <v>5.958968567198767E-2</v>
      </c>
      <c r="G51" s="35"/>
      <c r="H51" s="226">
        <f>+H49/H77</f>
        <v>6.3049679128650171E-2</v>
      </c>
      <c r="I51" s="35"/>
      <c r="J51" s="226">
        <f>+J49/J77</f>
        <v>6.6275889738864516E-2</v>
      </c>
      <c r="K51" s="35"/>
      <c r="L51" s="226">
        <f>+L49/L77</f>
        <v>6.1272504143362265E-2</v>
      </c>
      <c r="M51" s="35"/>
      <c r="N51" s="226">
        <f>+N49/N77</f>
        <v>5.3360004219406572E-2</v>
      </c>
      <c r="O51" s="35"/>
      <c r="P51" s="226">
        <f>+P49/P77</f>
        <v>4.1970929754049639E-2</v>
      </c>
      <c r="Q51" s="35"/>
      <c r="R51" s="226">
        <f>+R49/R77</f>
        <v>3.40993581279673E-2</v>
      </c>
      <c r="S51" s="35"/>
      <c r="T51" s="226">
        <f>+T49/T77</f>
        <v>3.3945857865418816E-2</v>
      </c>
      <c r="U51" s="35"/>
      <c r="V51" s="226">
        <f>+V49/V77</f>
        <v>2.4082972861596358E-2</v>
      </c>
      <c r="W51" s="35"/>
      <c r="X51" s="226">
        <f>+X49/X77</f>
        <v>1.9717395424428491E-2</v>
      </c>
      <c r="Y51" s="35"/>
      <c r="Z51" s="226">
        <f>+Z49/Z77</f>
        <v>1.4886435033382382E-2</v>
      </c>
      <c r="AA51" s="92"/>
      <c r="AB51" s="226">
        <f>+AB49/AB77</f>
        <v>1.8164623734884013E-2</v>
      </c>
      <c r="AC51" s="35"/>
      <c r="AD51" s="226">
        <f>+AD49/AD77</f>
        <v>2.6068295284144113E-2</v>
      </c>
      <c r="AE51" s="35"/>
      <c r="AF51" s="226">
        <f>+AF49/AF77</f>
        <v>3.4659598454065466E-2</v>
      </c>
      <c r="AG51" s="35"/>
      <c r="AH51" s="226">
        <f>+AH49/AH77</f>
        <v>4.0278273698870153E-2</v>
      </c>
      <c r="AI51" s="35"/>
      <c r="AJ51" s="223">
        <f>+AJ49/AJ77</f>
        <v>4.0985622652791882E-2</v>
      </c>
      <c r="AK51" s="35"/>
      <c r="AL51" s="226">
        <f>+AL49/AL77</f>
        <v>4.159637870940873E-2</v>
      </c>
      <c r="AM51" s="92"/>
      <c r="AN51" s="223">
        <f>+AN49/AN77</f>
        <v>3.9431028950885454E-2</v>
      </c>
      <c r="AO51" s="35"/>
      <c r="AP51" s="464">
        <f>+AP49/AP77</f>
        <v>5.1015695136170859E-2</v>
      </c>
      <c r="AQ51" s="472"/>
      <c r="AR51" s="389"/>
      <c r="AS51" s="109"/>
    </row>
    <row r="52" spans="1:45" s="30" customFormat="1" x14ac:dyDescent="0.25">
      <c r="A52" s="415" t="s">
        <v>96</v>
      </c>
      <c r="B52" s="226">
        <f>+B49/B79</f>
        <v>3.4496233542811484E-2</v>
      </c>
      <c r="C52" s="259"/>
      <c r="D52" s="226">
        <f>+D49/D79</f>
        <v>4.5163516320655218E-2</v>
      </c>
      <c r="E52" s="259"/>
      <c r="F52" s="226">
        <f>+F49/F79</f>
        <v>4.5119924053014959E-2</v>
      </c>
      <c r="G52" s="259"/>
      <c r="H52" s="226">
        <f>+H49/H79</f>
        <v>5.1191980751184064E-2</v>
      </c>
      <c r="I52" s="259"/>
      <c r="J52" s="226">
        <f>+J49/J79</f>
        <v>5.5201485218015635E-2</v>
      </c>
      <c r="K52" s="259"/>
      <c r="L52" s="226">
        <f>+L49/L79</f>
        <v>5.3207427602338875E-2</v>
      </c>
      <c r="M52" s="259"/>
      <c r="N52" s="226">
        <f>+N49/N79</f>
        <v>4.9671400093440211E-2</v>
      </c>
      <c r="O52" s="259"/>
      <c r="P52" s="226">
        <f>+P49/P79</f>
        <v>4.3571777467099712E-2</v>
      </c>
      <c r="Q52" s="259"/>
      <c r="R52" s="226">
        <f>+R49/R79</f>
        <v>3.4502927519095325E-2</v>
      </c>
      <c r="S52" s="259"/>
      <c r="T52" s="226">
        <f>+T49/T79</f>
        <v>2.7273375727878673E-2</v>
      </c>
      <c r="U52" s="259"/>
      <c r="V52" s="226">
        <f>+V49/V79</f>
        <v>1.7727241916449952E-2</v>
      </c>
      <c r="W52" s="259"/>
      <c r="X52" s="226">
        <f>+X49/X79</f>
        <v>1.5408580965983524E-2</v>
      </c>
      <c r="Y52" s="259"/>
      <c r="Z52" s="226">
        <f>+Z49/Z79</f>
        <v>1.1386787734582429E-2</v>
      </c>
      <c r="AA52" s="258"/>
      <c r="AB52" s="226">
        <f>+AB49/AB79</f>
        <v>1.3183464746760796E-2</v>
      </c>
      <c r="AC52" s="259"/>
      <c r="AD52" s="226">
        <f>+AD49/AD79</f>
        <v>1.8583682919387997E-2</v>
      </c>
      <c r="AE52" s="259"/>
      <c r="AF52" s="226">
        <f>+AF49/AF79</f>
        <v>2.4778681937241771E-2</v>
      </c>
      <c r="AG52" s="259"/>
      <c r="AH52" s="226">
        <f>+AH49/AH79</f>
        <v>2.9627081834953359E-2</v>
      </c>
      <c r="AI52" s="259"/>
      <c r="AJ52" s="223">
        <f>+AJ49/AJ79</f>
        <v>2.8710966226917482E-2</v>
      </c>
      <c r="AK52" s="259"/>
      <c r="AL52" s="226">
        <f>+AL49/AL79</f>
        <v>2.9287708243826007E-2</v>
      </c>
      <c r="AM52" s="258"/>
      <c r="AN52" s="223">
        <f>+AN49/AN79</f>
        <v>2.6298078929876574E-2</v>
      </c>
      <c r="AO52" s="259"/>
      <c r="AP52" s="464">
        <f>+AP49/AP79</f>
        <v>3.1176270439542679E-2</v>
      </c>
      <c r="AQ52" s="542"/>
      <c r="AR52" s="389"/>
      <c r="AS52" s="109"/>
    </row>
    <row r="53" spans="1:45" s="187" customFormat="1" x14ac:dyDescent="0.25">
      <c r="A53" s="418"/>
      <c r="B53" s="223"/>
      <c r="C53" s="250"/>
      <c r="D53" s="223"/>
      <c r="E53" s="250"/>
      <c r="F53" s="223"/>
      <c r="G53" s="250"/>
      <c r="H53" s="223"/>
      <c r="I53" s="250"/>
      <c r="J53" s="223"/>
      <c r="K53" s="250"/>
      <c r="L53" s="223"/>
      <c r="M53" s="250"/>
      <c r="N53" s="223"/>
      <c r="O53" s="250"/>
      <c r="P53" s="223"/>
      <c r="Q53" s="250"/>
      <c r="R53" s="223"/>
      <c r="S53" s="250"/>
      <c r="T53" s="223"/>
      <c r="U53" s="250"/>
      <c r="V53" s="223"/>
      <c r="W53" s="250"/>
      <c r="X53" s="223"/>
      <c r="Y53" s="250"/>
      <c r="Z53" s="226"/>
      <c r="AA53" s="249"/>
      <c r="AB53" s="223"/>
      <c r="AC53" s="250"/>
      <c r="AD53" s="223"/>
      <c r="AE53" s="250"/>
      <c r="AF53" s="223"/>
      <c r="AG53" s="250"/>
      <c r="AH53" s="223"/>
      <c r="AI53" s="250"/>
      <c r="AJ53" s="223"/>
      <c r="AK53" s="250"/>
      <c r="AL53" s="226"/>
      <c r="AM53" s="249"/>
      <c r="AN53" s="223"/>
      <c r="AO53" s="250"/>
      <c r="AP53" s="464"/>
      <c r="AQ53" s="465"/>
      <c r="AR53" s="389"/>
      <c r="AS53" s="109"/>
    </row>
    <row r="54" spans="1:45" s="30" customFormat="1" x14ac:dyDescent="0.25">
      <c r="A54" s="31" t="s">
        <v>97</v>
      </c>
      <c r="B54" s="41">
        <f>+B61+B67</f>
        <v>1798054.9000000001</v>
      </c>
      <c r="C54" s="259">
        <f>+B54/B54</f>
        <v>1</v>
      </c>
      <c r="D54" s="41">
        <f t="shared" ref="D54" si="204">+D61+D67</f>
        <v>2083384.6088</v>
      </c>
      <c r="E54" s="259">
        <f t="shared" ref="E54" si="205">+D54/D54</f>
        <v>1</v>
      </c>
      <c r="F54" s="41">
        <f t="shared" ref="F54" si="206">+F61+F67</f>
        <v>2472572.2528499998</v>
      </c>
      <c r="G54" s="259">
        <f t="shared" ref="G54" si="207">+F54/F54</f>
        <v>1</v>
      </c>
      <c r="H54" s="41">
        <f t="shared" ref="H54" si="208">+H61+H67</f>
        <v>2794255.4665999999</v>
      </c>
      <c r="I54" s="259">
        <f t="shared" ref="I54" si="209">+H54/H54</f>
        <v>1</v>
      </c>
      <c r="J54" s="41">
        <f t="shared" ref="J54" si="210">+J61+J67</f>
        <v>3344189.4863999998</v>
      </c>
      <c r="K54" s="259">
        <f t="shared" ref="K54" si="211">+J54/J54</f>
        <v>1</v>
      </c>
      <c r="L54" s="41">
        <f t="shared" ref="L54" si="212">+L61+L67</f>
        <v>3576660.7168999999</v>
      </c>
      <c r="M54" s="259">
        <f t="shared" ref="M54" si="213">+L54/L54</f>
        <v>1</v>
      </c>
      <c r="N54" s="41">
        <f t="shared" ref="N54" si="214">+N61+N67</f>
        <v>3837466.1172000002</v>
      </c>
      <c r="O54" s="259">
        <f t="shared" ref="O54" si="215">+N54/N54</f>
        <v>1</v>
      </c>
      <c r="P54" s="41">
        <f t="shared" ref="P54" si="216">+P61+P67</f>
        <v>3744486.5208000001</v>
      </c>
      <c r="Q54" s="259">
        <f t="shared" ref="Q54" si="217">+P54/P54</f>
        <v>1</v>
      </c>
      <c r="R54" s="41">
        <f t="shared" ref="R54" si="218">+R61+R67</f>
        <v>3885010.1608529994</v>
      </c>
      <c r="S54" s="259">
        <f t="shared" ref="S54" si="219">+R54/R54</f>
        <v>1</v>
      </c>
      <c r="T54" s="41">
        <f t="shared" ref="T54" si="220">+T61+T67</f>
        <v>4581892.828349906</v>
      </c>
      <c r="U54" s="259">
        <f t="shared" ref="U54" si="221">+T54/T54</f>
        <v>1</v>
      </c>
      <c r="V54" s="41">
        <f t="shared" ref="V54" si="222">+V61+V67</f>
        <v>5561293.0269722147</v>
      </c>
      <c r="W54" s="259">
        <f t="shared" ref="W54" si="223">+V54/V54</f>
        <v>1</v>
      </c>
      <c r="X54" s="41">
        <f t="shared" ref="X54" si="224">+X61+X67</f>
        <v>6379725.9971905183</v>
      </c>
      <c r="Y54" s="259">
        <f t="shared" ref="Y54" si="225">+X54/X54</f>
        <v>1</v>
      </c>
      <c r="Z54" s="89">
        <f t="shared" ref="Z54" si="226">+Z61+Z67</f>
        <v>8017321.7867942927</v>
      </c>
      <c r="AA54" s="258">
        <f t="shared" ref="AA54" si="227">+Z54/Z54</f>
        <v>1</v>
      </c>
      <c r="AB54" s="41">
        <f t="shared" ref="AB54" si="228">+AB61+AB67</f>
        <v>8935187.1094532032</v>
      </c>
      <c r="AC54" s="259">
        <f t="shared" ref="AC54" si="229">+AB54/AB54</f>
        <v>1</v>
      </c>
      <c r="AD54" s="41">
        <f t="shared" ref="AD54" si="230">+AD61+AD67</f>
        <v>10494981.374009121</v>
      </c>
      <c r="AE54" s="259">
        <f t="shared" ref="AE54" si="231">+AD54/AD54</f>
        <v>1</v>
      </c>
      <c r="AF54" s="41">
        <f t="shared" ref="AF54" si="232">+AF61+AF67</f>
        <v>12000835.04171964</v>
      </c>
      <c r="AG54" s="259">
        <f t="shared" ref="AG54" si="233">+AF54/AF54</f>
        <v>1</v>
      </c>
      <c r="AH54" s="41">
        <f t="shared" ref="AH54" si="234">+AH61+AH67</f>
        <v>14034679.019789763</v>
      </c>
      <c r="AI54" s="259">
        <f t="shared" ref="AI54" si="235">+AH54/AH54</f>
        <v>1</v>
      </c>
      <c r="AJ54" s="41">
        <f t="shared" ref="AJ54" si="236">+AJ61+AJ67</f>
        <v>16066563.279830331</v>
      </c>
      <c r="AK54" s="259">
        <f t="shared" ref="AK54" si="237">+AJ54/AJ54</f>
        <v>1</v>
      </c>
      <c r="AL54" s="93">
        <f>+AL61+AL67</f>
        <v>18577940.947144195</v>
      </c>
      <c r="AM54" s="258">
        <f t="shared" ref="AM54" si="238">+AL54/AL54</f>
        <v>1</v>
      </c>
      <c r="AN54" s="39">
        <f>+AN61+AN67</f>
        <v>21217056.825013496</v>
      </c>
      <c r="AO54" s="259">
        <f t="shared" ref="AO54" si="239">+AN54/AN54</f>
        <v>1</v>
      </c>
      <c r="AP54" s="476">
        <f>+AP61+AP67</f>
        <v>24282549.98453198</v>
      </c>
      <c r="AQ54" s="542">
        <f t="shared" ref="AQ54" si="240">+AP54/AP54</f>
        <v>1</v>
      </c>
      <c r="AR54" s="389"/>
      <c r="AS54" s="109"/>
    </row>
    <row r="55" spans="1:45" s="187" customFormat="1" x14ac:dyDescent="0.25">
      <c r="A55" s="415" t="s">
        <v>71</v>
      </c>
      <c r="B55" s="223">
        <f>+B54/B74</f>
        <v>0.38859634025813361</v>
      </c>
      <c r="C55" s="250"/>
      <c r="D55" s="223">
        <f>+D54/D74</f>
        <v>0.3965266692896034</v>
      </c>
      <c r="E55" s="250"/>
      <c r="F55" s="223">
        <f>+F54/F74</f>
        <v>0.41448618292044093</v>
      </c>
      <c r="G55" s="250"/>
      <c r="H55" s="223">
        <f>+H54/H74</f>
        <v>0.40581382615949413</v>
      </c>
      <c r="I55" s="250"/>
      <c r="J55" s="223">
        <f>+J54/J74</f>
        <v>0.41032306054650031</v>
      </c>
      <c r="K55" s="250"/>
      <c r="L55" s="223">
        <f>+L54/L74</f>
        <v>0.37346271441958589</v>
      </c>
      <c r="M55" s="250"/>
      <c r="N55" s="223">
        <f>+N54/N74</f>
        <v>0.3304366124620724</v>
      </c>
      <c r="O55" s="250"/>
      <c r="P55" s="223">
        <f>+P54/P74</f>
        <v>0.2695998456307741</v>
      </c>
      <c r="Q55" s="250"/>
      <c r="R55" s="223">
        <f>+R54/R74</f>
        <v>0.23968265933622263</v>
      </c>
      <c r="S55" s="250"/>
      <c r="T55" s="223">
        <f>+T54/T74</f>
        <v>0.25994862261963497</v>
      </c>
      <c r="U55" s="250"/>
      <c r="V55" s="223">
        <f>+V54/V74</f>
        <v>0.28084486678439852</v>
      </c>
      <c r="W55" s="250"/>
      <c r="X55" s="223">
        <f>+X54/X74</f>
        <v>0.29503636100241792</v>
      </c>
      <c r="Y55" s="250"/>
      <c r="Z55" s="226">
        <f>+Z54/Z74</f>
        <v>0.33753067606998233</v>
      </c>
      <c r="AA55" s="249"/>
      <c r="AB55" s="223">
        <f>+AB54/AB74</f>
        <v>0.35090928118938619</v>
      </c>
      <c r="AC55" s="250"/>
      <c r="AD55" s="223">
        <f>+AD54/AD74</f>
        <v>0.374802992067295</v>
      </c>
      <c r="AE55" s="250"/>
      <c r="AF55" s="223">
        <f>+AF54/AF74</f>
        <v>0.39774848579984057</v>
      </c>
      <c r="AG55" s="250"/>
      <c r="AH55" s="223">
        <f>+AH54/AH74</f>
        <v>0.43781360234074085</v>
      </c>
      <c r="AI55" s="250"/>
      <c r="AJ55" s="223">
        <f>+AJ54/AJ74</f>
        <v>0.46781761549790718</v>
      </c>
      <c r="AK55" s="250"/>
      <c r="AL55" s="226">
        <f>+AL54/AL74</f>
        <v>0.51584301135036204</v>
      </c>
      <c r="AM55" s="249"/>
      <c r="AN55" s="223">
        <f>+AN54/AN74</f>
        <v>0.56082080815332092</v>
      </c>
      <c r="AO55" s="250"/>
      <c r="AP55" s="464">
        <f>+AP54/AP74</f>
        <v>0.66536200134110013</v>
      </c>
      <c r="AQ55" s="465"/>
      <c r="AR55" s="565"/>
      <c r="AS55" s="109"/>
    </row>
    <row r="56" spans="1:45" s="30" customFormat="1" x14ac:dyDescent="0.25">
      <c r="A56" s="415" t="s">
        <v>98</v>
      </c>
      <c r="B56" s="223">
        <f>+B54/B76</f>
        <v>1.3514613325629803</v>
      </c>
      <c r="C56" s="259"/>
      <c r="D56" s="223">
        <f>+D54/D76</f>
        <v>1.4523972995634873</v>
      </c>
      <c r="E56" s="259"/>
      <c r="F56" s="223">
        <f>+F54/F76</f>
        <v>1.5280488658909996</v>
      </c>
      <c r="G56" s="259"/>
      <c r="H56" s="223">
        <f>+H54/H76</f>
        <v>1.4474057516276175</v>
      </c>
      <c r="I56" s="259"/>
      <c r="J56" s="223">
        <f>+J54/J76</f>
        <v>1.4208993060953758</v>
      </c>
      <c r="K56" s="259"/>
      <c r="L56" s="223">
        <f>+L54/L76</f>
        <v>1.2904116297101553</v>
      </c>
      <c r="M56" s="259"/>
      <c r="N56" s="223">
        <f>+N54/N76</f>
        <v>1.1734059767398881</v>
      </c>
      <c r="O56" s="259"/>
      <c r="P56" s="223">
        <f>+P54/P76</f>
        <v>1.0956317215463367</v>
      </c>
      <c r="Q56" s="259"/>
      <c r="R56" s="223">
        <f>+R54/R76</f>
        <v>0.93606020523801448</v>
      </c>
      <c r="S56" s="259"/>
      <c r="T56" s="223">
        <f>+T54/T76</f>
        <v>1.2307916882600967</v>
      </c>
      <c r="U56" s="259"/>
      <c r="V56" s="223">
        <f>+V54/V76</f>
        <v>1.4482798445231504</v>
      </c>
      <c r="W56" s="259"/>
      <c r="X56" s="223">
        <f>+X54/X76</f>
        <v>1.5044712329991181</v>
      </c>
      <c r="Y56" s="259"/>
      <c r="Z56" s="226">
        <f>+Z54/Z76</f>
        <v>1.4543221650144607</v>
      </c>
      <c r="AA56" s="258"/>
      <c r="AB56" s="223">
        <f>+AB54/AB76</f>
        <v>2.0056252967347619</v>
      </c>
      <c r="AC56" s="259"/>
      <c r="AD56" s="223">
        <f>+AD54/AD76</f>
        <v>2.0385369733966971</v>
      </c>
      <c r="AE56" s="259"/>
      <c r="AF56" s="223">
        <f>+AF54/AF76</f>
        <v>2.4001854251300205</v>
      </c>
      <c r="AG56" s="259"/>
      <c r="AH56" s="223">
        <f>+AH54/AH76</f>
        <v>2.4623907433714418</v>
      </c>
      <c r="AI56" s="259"/>
      <c r="AJ56" s="223">
        <f>+AJ54/AJ76</f>
        <v>2.5844492103473198</v>
      </c>
      <c r="AK56" s="259"/>
      <c r="AL56" s="226">
        <f>+AL54/AL76</f>
        <v>2.7954604778291654</v>
      </c>
      <c r="AM56" s="258"/>
      <c r="AN56" s="223">
        <f>+AN54/AN76</f>
        <v>3.1855510830009885</v>
      </c>
      <c r="AO56" s="259"/>
      <c r="AP56" s="464">
        <f>+AP54/AP76</f>
        <v>3.3684705719956414</v>
      </c>
      <c r="AQ56" s="542"/>
      <c r="AR56" s="565"/>
      <c r="AS56" s="109"/>
    </row>
    <row r="57" spans="1:45" s="187" customFormat="1" x14ac:dyDescent="0.25">
      <c r="A57" s="415" t="s">
        <v>95</v>
      </c>
      <c r="B57" s="223">
        <f>+B54/B77</f>
        <v>2.9547136259196001</v>
      </c>
      <c r="C57" s="224"/>
      <c r="D57" s="223">
        <f>+D54/D77</f>
        <v>2.8852070059226533</v>
      </c>
      <c r="E57" s="224"/>
      <c r="F57" s="223">
        <f>+F54/F77</f>
        <v>3.0572737097476392</v>
      </c>
      <c r="G57" s="224"/>
      <c r="H57" s="223">
        <f>+H54/H77</f>
        <v>2.9337734665628665</v>
      </c>
      <c r="I57" s="224"/>
      <c r="J57" s="223">
        <f>+J54/J77</f>
        <v>3.0192036167720975</v>
      </c>
      <c r="K57" s="224"/>
      <c r="L57" s="223">
        <f>+L54/L77</f>
        <v>2.7069077403940636</v>
      </c>
      <c r="M57" s="224"/>
      <c r="N57" s="223">
        <f>+N54/N77</f>
        <v>2.3430785555108433</v>
      </c>
      <c r="O57" s="224"/>
      <c r="P57" s="223">
        <f>+P54/P77</f>
        <v>1.7793174691785905</v>
      </c>
      <c r="Q57" s="224"/>
      <c r="R57" s="223">
        <f>+R54/R77</f>
        <v>1.5605263215128975</v>
      </c>
      <c r="S57" s="224"/>
      <c r="T57" s="223">
        <f>+T54/T77</f>
        <v>1.9421892670685712</v>
      </c>
      <c r="U57" s="224"/>
      <c r="V57" s="223">
        <f>+V54/V77</f>
        <v>2.0284656321630674</v>
      </c>
      <c r="W57" s="224"/>
      <c r="X57" s="223">
        <f>+X54/X77</f>
        <v>2.1096043461345224</v>
      </c>
      <c r="Y57" s="224"/>
      <c r="Z57" s="226">
        <f>+Z54/Z77</f>
        <v>2.4515045168478449</v>
      </c>
      <c r="AA57" s="248"/>
      <c r="AB57" s="223">
        <f>+AB54/AB77</f>
        <v>2.5267747657944946</v>
      </c>
      <c r="AC57" s="224"/>
      <c r="AD57" s="223">
        <f>+AD54/AD77</f>
        <v>2.7636411494012458</v>
      </c>
      <c r="AE57" s="224"/>
      <c r="AF57" s="223">
        <f>+AF54/AF77</f>
        <v>2.8709078739135907</v>
      </c>
      <c r="AG57" s="224"/>
      <c r="AH57" s="223">
        <f>+AH54/AH77</f>
        <v>3.0769553078551928</v>
      </c>
      <c r="AI57" s="224"/>
      <c r="AJ57" s="223">
        <f>+AJ54/AJ77</f>
        <v>3.3904686295358712</v>
      </c>
      <c r="AK57" s="224"/>
      <c r="AL57" s="226">
        <f>+AL54/AL77</f>
        <v>3.7719821194002723</v>
      </c>
      <c r="AM57" s="248"/>
      <c r="AN57" s="223">
        <f>+AN54/AN77</f>
        <v>4.036925783644393</v>
      </c>
      <c r="AO57" s="224"/>
      <c r="AP57" s="464">
        <f>+AP54/AP77</f>
        <v>5.1723238457462362</v>
      </c>
      <c r="AQ57" s="467"/>
      <c r="AR57" s="565"/>
      <c r="AS57" s="109"/>
    </row>
    <row r="58" spans="1:45" s="30" customFormat="1" ht="12.75" customHeight="1" x14ac:dyDescent="0.25">
      <c r="A58" s="415" t="s">
        <v>99</v>
      </c>
      <c r="B58" s="223">
        <f>+B54/B78</f>
        <v>2.9781556633109996</v>
      </c>
      <c r="C58" s="54"/>
      <c r="D58" s="223">
        <f>+D54/D78</f>
        <v>2.9222271546955785</v>
      </c>
      <c r="E58" s="54"/>
      <c r="F58" s="223">
        <f>+F54/F78</f>
        <v>3.0852201533169232</v>
      </c>
      <c r="G58" s="54"/>
      <c r="H58" s="223">
        <f>+H54/H78</f>
        <v>2.9983116173069821</v>
      </c>
      <c r="I58" s="54"/>
      <c r="J58" s="223">
        <f>+J54/J78</f>
        <v>3.0795073678840499</v>
      </c>
      <c r="K58" s="54"/>
      <c r="L58" s="223">
        <f>+L54/L78</f>
        <v>2.7580933128932439</v>
      </c>
      <c r="M58" s="54"/>
      <c r="N58" s="223">
        <f>+N54/N78</f>
        <v>2.3819605085628694</v>
      </c>
      <c r="O58" s="54"/>
      <c r="P58" s="223">
        <f>+P54/P78</f>
        <v>1.8116542420683559</v>
      </c>
      <c r="Q58" s="54"/>
      <c r="R58" s="223">
        <f>+R54/R78</f>
        <v>1.5842247918344543</v>
      </c>
      <c r="S58" s="54"/>
      <c r="T58" s="223">
        <f>+T54/T78</f>
        <v>1.9778129029850908</v>
      </c>
      <c r="U58" s="54"/>
      <c r="V58" s="223">
        <f>+V54/V78</f>
        <v>2.1784689181265779</v>
      </c>
      <c r="W58" s="54"/>
      <c r="X58" s="223">
        <f>+X54/X78</f>
        <v>2.2494690000904023</v>
      </c>
      <c r="Y58" s="54"/>
      <c r="Z58" s="226">
        <f>+Z54/Z78</f>
        <v>2.6013325903728255</v>
      </c>
      <c r="AA58" s="177"/>
      <c r="AB58" s="223">
        <f>+AB54/AB78</f>
        <v>2.668350094309226</v>
      </c>
      <c r="AC58" s="54"/>
      <c r="AD58" s="223">
        <f>+AD54/AD78</f>
        <v>2.9296365439492931</v>
      </c>
      <c r="AE58" s="54"/>
      <c r="AF58" s="223">
        <f>+AF54/AF78</f>
        <v>3.0572482941546544</v>
      </c>
      <c r="AG58" s="54"/>
      <c r="AH58" s="223">
        <f>+AH54/AH78</f>
        <v>3.2535515012304805</v>
      </c>
      <c r="AI58" s="54"/>
      <c r="AJ58" s="223">
        <f>+AJ54/AJ78</f>
        <v>3.6007405915954567</v>
      </c>
      <c r="AK58" s="54"/>
      <c r="AL58" s="226">
        <f>+AL54/AL78</f>
        <v>3.9930765422604937</v>
      </c>
      <c r="AM58" s="177"/>
      <c r="AN58" s="223">
        <f>+AN54/AN78</f>
        <v>4.3392482484194863</v>
      </c>
      <c r="AO58" s="54"/>
      <c r="AP58" s="464">
        <f>+AP54/AP78</f>
        <v>5.5933453665952886</v>
      </c>
      <c r="AQ58" s="512"/>
      <c r="AR58" s="565"/>
      <c r="AS58" s="109"/>
    </row>
    <row r="59" spans="1:45" s="38" customFormat="1" ht="12.75" customHeight="1" x14ac:dyDescent="0.25">
      <c r="A59" s="415" t="s">
        <v>96</v>
      </c>
      <c r="B59" s="223">
        <f>+B54/B79</f>
        <v>2.376161118363306</v>
      </c>
      <c r="C59" s="37"/>
      <c r="D59" s="223">
        <f>+D54/D79</f>
        <v>2.3613861890439733</v>
      </c>
      <c r="E59" s="37"/>
      <c r="F59" s="223">
        <f>+F54/F79</f>
        <v>2.3148965469025526</v>
      </c>
      <c r="G59" s="37"/>
      <c r="H59" s="223">
        <f>+H54/H79</f>
        <v>2.3820212395081879</v>
      </c>
      <c r="I59" s="37"/>
      <c r="J59" s="223">
        <f>+J54/J79</f>
        <v>2.5147082065303663</v>
      </c>
      <c r="K59" s="37"/>
      <c r="L59" s="223">
        <f>+L54/L79</f>
        <v>2.3506073341843425</v>
      </c>
      <c r="M59" s="37"/>
      <c r="N59" s="223">
        <f>+N54/N79</f>
        <v>2.1811091300253533</v>
      </c>
      <c r="O59" s="37"/>
      <c r="P59" s="223">
        <f>+P54/P79</f>
        <v>1.8471838785723389</v>
      </c>
      <c r="Q59" s="37"/>
      <c r="R59" s="223">
        <f>+R54/R79</f>
        <v>1.5789953101386889</v>
      </c>
      <c r="S59" s="37"/>
      <c r="T59" s="223">
        <f>+T54/T79</f>
        <v>1.5604277206785775</v>
      </c>
      <c r="U59" s="37"/>
      <c r="V59" s="223">
        <f>+V54/V79</f>
        <v>1.4931338081562617</v>
      </c>
      <c r="W59" s="37"/>
      <c r="X59" s="223">
        <f>+X54/X79</f>
        <v>1.6485955002622619</v>
      </c>
      <c r="Y59" s="37"/>
      <c r="Z59" s="226">
        <f>+Z54/Z79</f>
        <v>1.875181096153542</v>
      </c>
      <c r="AA59" s="94"/>
      <c r="AB59" s="223">
        <f>+AB54/AB79</f>
        <v>1.833874818110522</v>
      </c>
      <c r="AC59" s="37"/>
      <c r="AD59" s="223">
        <f>+AD54/AD79</f>
        <v>1.9701568615683254</v>
      </c>
      <c r="AE59" s="37"/>
      <c r="AF59" s="223">
        <f>+AF54/AF79</f>
        <v>2.0524563541353915</v>
      </c>
      <c r="AG59" s="37"/>
      <c r="AH59" s="223">
        <f>+AH54/AH79</f>
        <v>2.2632848515272159</v>
      </c>
      <c r="AI59" s="37"/>
      <c r="AJ59" s="223">
        <f>+AJ54/AJ79</f>
        <v>2.3750677436492889</v>
      </c>
      <c r="AK59" s="37"/>
      <c r="AL59" s="226">
        <f>+AL54/AL79</f>
        <v>2.6558252242504876</v>
      </c>
      <c r="AM59" s="94"/>
      <c r="AN59" s="223">
        <f>+AN54/AN79</f>
        <v>2.6923820076967608</v>
      </c>
      <c r="AO59" s="37"/>
      <c r="AP59" s="464">
        <f>+AP54/AP79</f>
        <v>3.1608658195377375</v>
      </c>
      <c r="AQ59" s="475"/>
      <c r="AR59" s="565"/>
      <c r="AS59" s="109"/>
    </row>
    <row r="60" spans="1:45" s="38" customFormat="1" ht="14.25" customHeight="1" x14ac:dyDescent="0.25">
      <c r="A60" s="418"/>
      <c r="B60" s="50"/>
      <c r="C60" s="37"/>
      <c r="D60" s="50"/>
      <c r="E60" s="37"/>
      <c r="F60" s="50"/>
      <c r="G60" s="37"/>
      <c r="H60" s="50"/>
      <c r="I60" s="37"/>
      <c r="J60" s="50"/>
      <c r="K60" s="37"/>
      <c r="L60" s="50"/>
      <c r="M60" s="37"/>
      <c r="N60" s="50"/>
      <c r="O60" s="37"/>
      <c r="P60" s="50"/>
      <c r="Q60" s="37"/>
      <c r="R60" s="50"/>
      <c r="S60" s="37"/>
      <c r="T60" s="50"/>
      <c r="U60" s="37"/>
      <c r="V60" s="50"/>
      <c r="W60" s="37"/>
      <c r="X60" s="50"/>
      <c r="Y60" s="37"/>
      <c r="Z60" s="176"/>
      <c r="AA60" s="94"/>
      <c r="AB60" s="50"/>
      <c r="AC60" s="37"/>
      <c r="AD60" s="50"/>
      <c r="AE60" s="37"/>
      <c r="AF60" s="50"/>
      <c r="AG60" s="37"/>
      <c r="AH60" s="50"/>
      <c r="AI60" s="37"/>
      <c r="AJ60" s="50"/>
      <c r="AK60" s="37"/>
      <c r="AL60" s="176"/>
      <c r="AM60" s="94"/>
      <c r="AN60" s="50"/>
      <c r="AO60" s="37"/>
      <c r="AP60" s="474"/>
      <c r="AQ60" s="475"/>
      <c r="AR60" s="565"/>
      <c r="AS60" s="109"/>
    </row>
    <row r="61" spans="1:45" s="38" customFormat="1" ht="14.25" customHeight="1" x14ac:dyDescent="0.25">
      <c r="A61" s="6" t="s">
        <v>100</v>
      </c>
      <c r="B61" s="41">
        <f>+'EXTERNAL DEBT USD'!B61*B93</f>
        <v>1299692.5900000001</v>
      </c>
      <c r="C61" s="259">
        <f>+B61/B54</f>
        <v>0.72283253976282924</v>
      </c>
      <c r="D61" s="41">
        <f>+'EXTERNAL DEBT USD'!D61*D93</f>
        <v>1494728.06</v>
      </c>
      <c r="E61" s="259">
        <f t="shared" ref="E61" si="241">+D61/D54</f>
        <v>0.71745181071532549</v>
      </c>
      <c r="F61" s="41">
        <f>+'EXTERNAL DEBT USD'!F61*F93</f>
        <v>1732971.03</v>
      </c>
      <c r="G61" s="259">
        <f t="shared" ref="G61" si="242">+F61/F54</f>
        <v>0.70087781176161723</v>
      </c>
      <c r="H61" s="41">
        <f>+'EXTERNAL DEBT USD'!H61*H93</f>
        <v>1880118.1099999999</v>
      </c>
      <c r="I61" s="259">
        <f t="shared" ref="I61" si="243">+H61/H54</f>
        <v>0.67285118790075915</v>
      </c>
      <c r="J61" s="41">
        <f>+'EXTERNAL DEBT USD'!J61*J93</f>
        <v>2240474.34</v>
      </c>
      <c r="K61" s="259">
        <f t="shared" ref="K61" si="244">+J61/J54</f>
        <v>0.66996034438582519</v>
      </c>
      <c r="L61" s="41">
        <f>+'EXTERNAL DEBT USD'!L61*L93</f>
        <v>2398387.04</v>
      </c>
      <c r="M61" s="259">
        <f t="shared" ref="M61" si="245">+L61/L54</f>
        <v>0.67056599153155205</v>
      </c>
      <c r="N61" s="41">
        <f>+'EXTERNAL DEBT USD'!N61*N93</f>
        <v>2634801.87</v>
      </c>
      <c r="O61" s="259">
        <f t="shared" ref="O61" si="246">+N61/N54</f>
        <v>0.68659938342920879</v>
      </c>
      <c r="P61" s="41">
        <f>+'EXTERNAL DEBT USD'!P61*P93</f>
        <v>2611813.94</v>
      </c>
      <c r="Q61" s="259">
        <f t="shared" ref="Q61" si="247">+P61/P54</f>
        <v>0.69750923804687448</v>
      </c>
      <c r="R61" s="41">
        <f>+'EXTERNAL DEBT USD'!R61*R93</f>
        <v>2752828.4192529996</v>
      </c>
      <c r="S61" s="259">
        <f t="shared" ref="S61" si="248">+R61/R54</f>
        <v>0.70857689047808925</v>
      </c>
      <c r="T61" s="41">
        <f>+'EXTERNAL DEBT USD'!T61*T93</f>
        <v>3611179.38</v>
      </c>
      <c r="U61" s="259">
        <f t="shared" ref="U61" si="249">+T61/T54</f>
        <v>0.78814138943981094</v>
      </c>
      <c r="V61" s="41">
        <f>+'EXTERNAL DEBT USD'!V61*V93</f>
        <v>4420051.5405248804</v>
      </c>
      <c r="W61" s="259">
        <f t="shared" ref="W61" si="250">+V61/V54</f>
        <v>0.79478846359788546</v>
      </c>
      <c r="X61" s="41">
        <f>+'EXTERNAL DEBT USD'!X61*X93</f>
        <v>5354702.1326660756</v>
      </c>
      <c r="Y61" s="259">
        <f t="shared" ref="Y61" si="251">+X61/X54</f>
        <v>0.83933105199567515</v>
      </c>
      <c r="Z61" s="89">
        <f>+'EXTERNAL DEBT USD'!Z61*Z93</f>
        <v>6631965.3008675929</v>
      </c>
      <c r="AA61" s="258">
        <f t="shared" ref="AA61" si="252">+Z61/Z54</f>
        <v>0.82720457993733199</v>
      </c>
      <c r="AB61" s="41">
        <f>+'EXTERNAL DEBT USD'!AB61*AB93</f>
        <v>7168650.6535445713</v>
      </c>
      <c r="AC61" s="259">
        <f t="shared" ref="AC61" si="253">+AB61/AB54</f>
        <v>0.80229440813391806</v>
      </c>
      <c r="AD61" s="41">
        <f>+'EXTERNAL DEBT USD'!AD61*AD93</f>
        <v>8117725.8890507501</v>
      </c>
      <c r="AE61" s="259">
        <f t="shared" ref="AE61" si="254">+AD61/AD54</f>
        <v>0.77348645030989216</v>
      </c>
      <c r="AF61" s="41">
        <f>+'EXTERNAL DEBT USD'!AF61*AF93</f>
        <v>9039699.8221732471</v>
      </c>
      <c r="AG61" s="259">
        <f t="shared" ref="AG61" si="255">+AF61/AF54</f>
        <v>0.75325590183913727</v>
      </c>
      <c r="AH61" s="41">
        <f>+'EXTERNAL DEBT USD'!AH61*AH93</f>
        <v>10809706.653715998</v>
      </c>
      <c r="AI61" s="259">
        <f t="shared" ref="AI61" si="256">+AH61/AH54</f>
        <v>0.77021402758649804</v>
      </c>
      <c r="AJ61" s="41">
        <f>+'EXTERNAL DEBT USD'!AJ61*AJ93</f>
        <v>12692640.182747636</v>
      </c>
      <c r="AK61" s="259">
        <f t="shared" ref="AK61" si="257">+AJ61/AJ54</f>
        <v>0.79000343518901417</v>
      </c>
      <c r="AL61" s="89">
        <f>+'Domestic Debt Colones'!AL57</f>
        <v>14831813.152678255</v>
      </c>
      <c r="AM61" s="258">
        <f t="shared" ref="AM61" si="258">+AL61/AL54</f>
        <v>0.79835613617655532</v>
      </c>
      <c r="AN61" s="41">
        <f>+'Domestic Debt Colones'!AN57</f>
        <v>16581137.964136351</v>
      </c>
      <c r="AO61" s="259">
        <f t="shared" ref="AO61" si="259">+AN61/AN54</f>
        <v>0.78150037966567987</v>
      </c>
      <c r="AP61" s="477">
        <f>+'Domestic Debt Colones'!AP57</f>
        <v>18521054.219445854</v>
      </c>
      <c r="AQ61" s="542">
        <f t="shared" ref="AQ61" si="260">+AP61/AP54</f>
        <v>0.76273102418171868</v>
      </c>
      <c r="AR61" s="389"/>
      <c r="AS61" s="109"/>
    </row>
    <row r="62" spans="1:45" s="30" customFormat="1" x14ac:dyDescent="0.25">
      <c r="A62" s="415" t="s">
        <v>71</v>
      </c>
      <c r="B62" s="223">
        <f>+B61/B74</f>
        <v>0.28089007957132728</v>
      </c>
      <c r="C62" s="35"/>
      <c r="D62" s="223">
        <f>+D61/D74</f>
        <v>0.28448877687874302</v>
      </c>
      <c r="E62" s="35"/>
      <c r="F62" s="223">
        <f>+F61/F74</f>
        <v>0.29050416889070407</v>
      </c>
      <c r="G62" s="35"/>
      <c r="H62" s="223">
        <f>+H61/H74</f>
        <v>0.27305231499796778</v>
      </c>
      <c r="I62" s="35"/>
      <c r="J62" s="223">
        <f>+J61/J74</f>
        <v>0.2749001789531792</v>
      </c>
      <c r="K62" s="35"/>
      <c r="L62" s="223">
        <f>+L61/L74</f>
        <v>0.25043139539483444</v>
      </c>
      <c r="M62" s="35"/>
      <c r="N62" s="223">
        <f>+N61/N74</f>
        <v>0.2268775743788953</v>
      </c>
      <c r="O62" s="35"/>
      <c r="P62" s="223">
        <f>+P61/P74</f>
        <v>0.18804838290347622</v>
      </c>
      <c r="Q62" s="35"/>
      <c r="R62" s="223">
        <f>+R61/R74</f>
        <v>0.1698335934539798</v>
      </c>
      <c r="S62" s="35"/>
      <c r="T62" s="223">
        <f>+T61/T74</f>
        <v>0.20487626861440419</v>
      </c>
      <c r="U62" s="35"/>
      <c r="V62" s="223">
        <f>+V61/V74</f>
        <v>0.22321226018092494</v>
      </c>
      <c r="W62" s="35"/>
      <c r="X62" s="223">
        <f>+X61/X74</f>
        <v>0.24763317925713524</v>
      </c>
      <c r="Y62" s="35"/>
      <c r="Z62" s="226">
        <f>+Z61/Z74</f>
        <v>0.2792069211144334</v>
      </c>
      <c r="AA62" s="92"/>
      <c r="AB62" s="223">
        <f>+AB61/AB74</f>
        <v>0.28153255406053723</v>
      </c>
      <c r="AC62" s="35"/>
      <c r="AD62" s="223">
        <f>+AD61/AD74</f>
        <v>0.28990503589965871</v>
      </c>
      <c r="AE62" s="35"/>
      <c r="AF62" s="223">
        <f>+AF61/AF74</f>
        <v>0.29960639437631015</v>
      </c>
      <c r="AG62" s="35"/>
      <c r="AH62" s="223">
        <f>+AH61/AH74</f>
        <v>0.33721017799101549</v>
      </c>
      <c r="AI62" s="35"/>
      <c r="AJ62" s="223">
        <f>+AJ61/AJ74</f>
        <v>0.3695775232852801</v>
      </c>
      <c r="AK62" s="35"/>
      <c r="AL62" s="226">
        <f>+AL61/AL74</f>
        <v>0.41182643341535397</v>
      </c>
      <c r="AM62" s="92"/>
      <c r="AN62" s="223">
        <f>+AN61/AN74</f>
        <v>0.43828167449623368</v>
      </c>
      <c r="AO62" s="35"/>
      <c r="AP62" s="464">
        <f>+AP61/AP74</f>
        <v>0.50749224073449539</v>
      </c>
      <c r="AQ62" s="472"/>
      <c r="AR62" s="567"/>
      <c r="AS62" s="109"/>
    </row>
    <row r="63" spans="1:45" s="30" customFormat="1" x14ac:dyDescent="0.25">
      <c r="A63" s="415" t="s">
        <v>95</v>
      </c>
      <c r="B63" s="223">
        <f>+B61/B77</f>
        <v>2.1357631544953026</v>
      </c>
      <c r="C63" s="40"/>
      <c r="D63" s="223">
        <f>+D61/D77</f>
        <v>2.0699969906877502</v>
      </c>
      <c r="E63" s="40"/>
      <c r="F63" s="223">
        <f>+F61/F77</f>
        <v>2.1427753076442468</v>
      </c>
      <c r="G63" s="40"/>
      <c r="H63" s="223">
        <f>+H61/H77</f>
        <v>1.9739929620085528</v>
      </c>
      <c r="I63" s="40"/>
      <c r="J63" s="223">
        <f>+J61/J77</f>
        <v>2.0227466948635637</v>
      </c>
      <c r="K63" s="40"/>
      <c r="L63" s="223">
        <f>+L61/L77</f>
        <v>1.8151602729217782</v>
      </c>
      <c r="M63" s="40"/>
      <c r="N63" s="223">
        <f>+N61/N77</f>
        <v>1.6087562915399463</v>
      </c>
      <c r="O63" s="40"/>
      <c r="P63" s="223">
        <f>+P61/P77</f>
        <v>1.2410903721702518</v>
      </c>
      <c r="Q63" s="40"/>
      <c r="R63" s="223">
        <f>+R61/R77</f>
        <v>1.1057528884068197</v>
      </c>
      <c r="S63" s="40"/>
      <c r="T63" s="223">
        <f>+T61/T77</f>
        <v>1.5307197475025116</v>
      </c>
      <c r="U63" s="40"/>
      <c r="V63" s="223">
        <f>+V61/V77</f>
        <v>1.6122010832479978</v>
      </c>
      <c r="W63" s="40"/>
      <c r="X63" s="223">
        <f>+X61/X77</f>
        <v>1.7706564351357372</v>
      </c>
      <c r="Y63" s="40"/>
      <c r="Z63" s="226">
        <f>+Z61/Z77</f>
        <v>2.0278957640735937</v>
      </c>
      <c r="AA63" s="90"/>
      <c r="AB63" s="223">
        <f>+AB61/AB77</f>
        <v>2.0272172652108136</v>
      </c>
      <c r="AC63" s="40"/>
      <c r="AD63" s="223">
        <f>+AD61/AD77</f>
        <v>2.1376389825807203</v>
      </c>
      <c r="AE63" s="40"/>
      <c r="AF63" s="223">
        <f>+AF61/AF77</f>
        <v>2.162528299661862</v>
      </c>
      <c r="AG63" s="40"/>
      <c r="AH63" s="223">
        <f>+AH61/AH77</f>
        <v>2.3699141403668009</v>
      </c>
      <c r="AI63" s="40"/>
      <c r="AJ63" s="223">
        <f>+AJ61/AJ77</f>
        <v>2.6784818642339272</v>
      </c>
      <c r="AK63" s="40"/>
      <c r="AL63" s="226">
        <f>+AL61/AL77</f>
        <v>3.0113850705714555</v>
      </c>
      <c r="AM63" s="90"/>
      <c r="AN63" s="223">
        <f>+AN61/AN77</f>
        <v>3.1548590326002652</v>
      </c>
      <c r="AO63" s="40"/>
      <c r="AP63" s="464">
        <f>+AP61/AP77</f>
        <v>3.9450918642655526</v>
      </c>
      <c r="AQ63" s="463"/>
      <c r="AR63" s="567"/>
      <c r="AS63" s="109"/>
    </row>
    <row r="64" spans="1:45" s="55" customFormat="1" x14ac:dyDescent="0.25">
      <c r="A64" s="415" t="s">
        <v>99</v>
      </c>
      <c r="B64" s="223">
        <f>+B61/B78</f>
        <v>2.152707821920143</v>
      </c>
      <c r="C64" s="284"/>
      <c r="D64" s="223">
        <f>+D61/D78</f>
        <v>2.0965571634578364</v>
      </c>
      <c r="E64" s="284"/>
      <c r="F64" s="223">
        <f>+F61/F78</f>
        <v>2.1623623498596061</v>
      </c>
      <c r="G64" s="284"/>
      <c r="H64" s="223">
        <f>+H61/H78</f>
        <v>2.0174175334016491</v>
      </c>
      <c r="I64" s="284"/>
      <c r="J64" s="223">
        <f>+J61/J78</f>
        <v>2.0631478167262842</v>
      </c>
      <c r="K64" s="284"/>
      <c r="L64" s="223">
        <f>+L61/L78</f>
        <v>1.8494835770968012</v>
      </c>
      <c r="M64" s="284"/>
      <c r="N64" s="223">
        <f>+N61/N78</f>
        <v>1.6354526165319907</v>
      </c>
      <c r="O64" s="284"/>
      <c r="P64" s="223">
        <f>+P61/P78</f>
        <v>1.2636455699894868</v>
      </c>
      <c r="Q64" s="284"/>
      <c r="R64" s="223">
        <f>+R61/R78</f>
        <v>1.1225450768163558</v>
      </c>
      <c r="S64" s="284"/>
      <c r="T64" s="223">
        <f>+T61/T78</f>
        <v>1.5587962094106553</v>
      </c>
      <c r="U64" s="284"/>
      <c r="V64" s="223">
        <f>+V61/V78</f>
        <v>1.7314219644335707</v>
      </c>
      <c r="W64" s="284"/>
      <c r="X64" s="223">
        <f>+X61/X78</f>
        <v>1.8880491822775369</v>
      </c>
      <c r="Y64" s="284"/>
      <c r="Z64" s="226">
        <f>+Z61/Z78</f>
        <v>2.1518342326966446</v>
      </c>
      <c r="AA64" s="285"/>
      <c r="AB64" s="223">
        <f>+AB61/AB78</f>
        <v>2.1408023596079047</v>
      </c>
      <c r="AC64" s="284"/>
      <c r="AD64" s="223">
        <f>+AD61/AD78</f>
        <v>2.2660341710774792</v>
      </c>
      <c r="AE64" s="284"/>
      <c r="AF64" s="223">
        <f>+AF61/AF78</f>
        <v>2.3028903209596279</v>
      </c>
      <c r="AG64" s="284"/>
      <c r="AH64" s="223">
        <f>+AH61/AH78</f>
        <v>2.5059310057228252</v>
      </c>
      <c r="AI64" s="284"/>
      <c r="AJ64" s="223">
        <f>+AJ61/AJ78</f>
        <v>2.8445974365849342</v>
      </c>
      <c r="AK64" s="284"/>
      <c r="AL64" s="226">
        <f>+AL61/AL78</f>
        <v>3.1878971597363273</v>
      </c>
      <c r="AM64" s="285"/>
      <c r="AN64" s="223">
        <f>+AN61/AN78</f>
        <v>3.3911241536034646</v>
      </c>
      <c r="AO64" s="284"/>
      <c r="AP64" s="464">
        <f>+AP61/AP78</f>
        <v>4.2662180400652954</v>
      </c>
      <c r="AQ64" s="544"/>
      <c r="AR64" s="567"/>
      <c r="AS64" s="109"/>
    </row>
    <row r="65" spans="1:45" s="187" customFormat="1" x14ac:dyDescent="0.25">
      <c r="A65" s="415" t="s">
        <v>96</v>
      </c>
      <c r="B65" s="223">
        <f>+B61/B79</f>
        <v>1.7175665760722332</v>
      </c>
      <c r="C65" s="35"/>
      <c r="D65" s="223">
        <f>+D61/D79</f>
        <v>1.6941807971277607</v>
      </c>
      <c r="E65" s="35"/>
      <c r="F65" s="223">
        <f>+F61/F79</f>
        <v>1.6224596262475852</v>
      </c>
      <c r="G65" s="35"/>
      <c r="H65" s="223">
        <f>+H61/H79</f>
        <v>1.602745820607923</v>
      </c>
      <c r="I65" s="35"/>
      <c r="J65" s="223">
        <f>+J61/J79</f>
        <v>1.684754776076945</v>
      </c>
      <c r="K65" s="35"/>
      <c r="L65" s="223">
        <f>+L61/L79</f>
        <v>1.5762373377486618</v>
      </c>
      <c r="M65" s="35"/>
      <c r="N65" s="223">
        <f>+N61/N79</f>
        <v>1.4975481838672255</v>
      </c>
      <c r="O65" s="35"/>
      <c r="P65" s="223">
        <f>+P61/P79</f>
        <v>1.2884278196754624</v>
      </c>
      <c r="Q65" s="35"/>
      <c r="R65" s="223">
        <f>+R61/R79</f>
        <v>1.1188395869375583</v>
      </c>
      <c r="S65" s="35"/>
      <c r="T65" s="223">
        <f>+T61/T79</f>
        <v>1.2298376718960113</v>
      </c>
      <c r="U65" s="35"/>
      <c r="V65" s="223">
        <f>+V61/V79</f>
        <v>1.1867255253305753</v>
      </c>
      <c r="W65" s="35"/>
      <c r="X65" s="223">
        <f>+X61/X79</f>
        <v>1.3837173955504607</v>
      </c>
      <c r="Y65" s="35"/>
      <c r="Z65" s="226">
        <f>+Z61/Z79</f>
        <v>1.5511583909501165</v>
      </c>
      <c r="AA65" s="92"/>
      <c r="AB65" s="223">
        <f>+AB61/AB79</f>
        <v>1.4713075117876777</v>
      </c>
      <c r="AC65" s="35"/>
      <c r="AD65" s="223">
        <f>+AD61/AD79</f>
        <v>1.5238896374081616</v>
      </c>
      <c r="AE65" s="35"/>
      <c r="AF65" s="223">
        <f>+AF61/AF79</f>
        <v>1.5460248620197219</v>
      </c>
      <c r="AG65" s="35"/>
      <c r="AH65" s="223">
        <f>+AH61/AH79</f>
        <v>1.7432137410702861</v>
      </c>
      <c r="AI65" s="35"/>
      <c r="AJ65" s="223">
        <f>+AJ61/AJ79</f>
        <v>1.8763116762895593</v>
      </c>
      <c r="AK65" s="35"/>
      <c r="AL65" s="226">
        <f>+AL61/AL79</f>
        <v>2.1202943643928527</v>
      </c>
      <c r="AM65" s="92"/>
      <c r="AN65" s="223">
        <f>+AN61/AN79</f>
        <v>2.1040975612200641</v>
      </c>
      <c r="AO65" s="35"/>
      <c r="AP65" s="464">
        <f>+AP61/AP79</f>
        <v>2.4108904238370061</v>
      </c>
      <c r="AQ65" s="472"/>
      <c r="AR65" s="567"/>
      <c r="AS65" s="109"/>
    </row>
    <row r="66" spans="1:45" s="187" customFormat="1" x14ac:dyDescent="0.25">
      <c r="A66" s="415"/>
      <c r="B66" s="223"/>
      <c r="C66" s="35"/>
      <c r="D66" s="223"/>
      <c r="E66" s="35"/>
      <c r="F66" s="223"/>
      <c r="G66" s="35"/>
      <c r="H66" s="223"/>
      <c r="I66" s="35"/>
      <c r="J66" s="223"/>
      <c r="K66" s="35"/>
      <c r="L66" s="223"/>
      <c r="M66" s="35"/>
      <c r="N66" s="223"/>
      <c r="O66" s="35"/>
      <c r="P66" s="223"/>
      <c r="Q66" s="35"/>
      <c r="R66" s="223"/>
      <c r="S66" s="35"/>
      <c r="T66" s="223"/>
      <c r="U66" s="35"/>
      <c r="V66" s="223"/>
      <c r="W66" s="35"/>
      <c r="X66" s="223"/>
      <c r="Y66" s="35"/>
      <c r="Z66" s="226"/>
      <c r="AA66" s="92"/>
      <c r="AB66" s="223"/>
      <c r="AC66" s="35"/>
      <c r="AD66" s="223"/>
      <c r="AE66" s="35"/>
      <c r="AF66" s="223"/>
      <c r="AG66" s="35"/>
      <c r="AH66" s="223"/>
      <c r="AI66" s="35"/>
      <c r="AJ66" s="223"/>
      <c r="AK66" s="35"/>
      <c r="AL66" s="226"/>
      <c r="AM66" s="92"/>
      <c r="AN66" s="223"/>
      <c r="AO66" s="35"/>
      <c r="AP66" s="464"/>
      <c r="AQ66" s="472"/>
      <c r="AR66" s="565"/>
      <c r="AS66" s="109"/>
    </row>
    <row r="67" spans="1:45" s="187" customFormat="1" x14ac:dyDescent="0.25">
      <c r="A67" s="31" t="s">
        <v>101</v>
      </c>
      <c r="B67" s="41">
        <f>+'EXTERNAL DEBT USD'!B67*B93</f>
        <v>498362.31000000006</v>
      </c>
      <c r="C67" s="259">
        <f>+B67/B54</f>
        <v>0.27716746023717076</v>
      </c>
      <c r="D67" s="41">
        <f>+'EXTERNAL DEBT USD'!D67*D93</f>
        <v>588656.54879999999</v>
      </c>
      <c r="E67" s="259">
        <f t="shared" ref="E67" si="261">+D67/D54</f>
        <v>0.28254818928467451</v>
      </c>
      <c r="F67" s="41">
        <f>+'EXTERNAL DEBT USD'!F67*F93</f>
        <v>739601.22285000002</v>
      </c>
      <c r="G67" s="259">
        <f t="shared" ref="G67" si="262">+F67/F54</f>
        <v>0.29912218823838288</v>
      </c>
      <c r="H67" s="41">
        <f>+'EXTERNAL DEBT USD'!H67*H93</f>
        <v>914137.35659999994</v>
      </c>
      <c r="I67" s="259">
        <f t="shared" ref="I67" si="263">+H67/H54</f>
        <v>0.32714881209924085</v>
      </c>
      <c r="J67" s="41">
        <f>+'EXTERNAL DEBT USD'!J67*J93</f>
        <v>1103715.1464</v>
      </c>
      <c r="K67" s="259">
        <f t="shared" ref="K67" si="264">+J67/J54</f>
        <v>0.33003965561417475</v>
      </c>
      <c r="L67" s="41">
        <f>+'EXTERNAL DEBT USD'!L67*L93</f>
        <v>1178273.6768999998</v>
      </c>
      <c r="M67" s="259">
        <f t="shared" ref="M67" si="265">+L67/L54</f>
        <v>0.329434008468448</v>
      </c>
      <c r="N67" s="41">
        <f>+'EXTERNAL DEBT USD'!N67*N93</f>
        <v>1202664.2472000001</v>
      </c>
      <c r="O67" s="259">
        <f t="shared" ref="O67" si="266">+N67/N54</f>
        <v>0.31340061657079121</v>
      </c>
      <c r="P67" s="41">
        <f>+'EXTERNAL DEBT USD'!P67*P93</f>
        <v>1132672.5807999999</v>
      </c>
      <c r="Q67" s="259">
        <f t="shared" ref="Q67" si="267">+P67/P54</f>
        <v>0.30249076195312546</v>
      </c>
      <c r="R67" s="41">
        <f>+'EXTERNAL DEBT USD'!R67*R93</f>
        <v>1132181.7415999998</v>
      </c>
      <c r="S67" s="259">
        <f t="shared" ref="S67" si="268">+R67/R54</f>
        <v>0.29142310952191075</v>
      </c>
      <c r="T67" s="41">
        <f>+'EXTERNAL DEBT USD'!T67*T93</f>
        <v>970713.44834990602</v>
      </c>
      <c r="U67" s="259">
        <f t="shared" ref="U67" si="269">+T67/T54</f>
        <v>0.21185861056018909</v>
      </c>
      <c r="V67" s="41">
        <f>+'EXTERNAL DEBT USD'!V67*V93</f>
        <v>1141241.4864473345</v>
      </c>
      <c r="W67" s="259">
        <f t="shared" ref="W67" si="270">+V67/V54</f>
        <v>0.20521153640211456</v>
      </c>
      <c r="X67" s="41">
        <f>+'EXTERNAL DEBT USD'!X67*X93</f>
        <v>1025023.8645244431</v>
      </c>
      <c r="Y67" s="259">
        <f t="shared" ref="Y67" si="271">+X67/X54</f>
        <v>0.16066894800432488</v>
      </c>
      <c r="Z67" s="89">
        <f>+'EXTERNAL DEBT USD'!Z67*Z93</f>
        <v>1385356.4859266996</v>
      </c>
      <c r="AA67" s="258">
        <f t="shared" ref="AA67" si="272">+Z67/Z54</f>
        <v>0.17279542006266799</v>
      </c>
      <c r="AB67" s="41">
        <f>+'EXTERNAL DEBT USD'!AB67*AB93</f>
        <v>1766536.4559086326</v>
      </c>
      <c r="AC67" s="259">
        <f t="shared" ref="AC67" si="273">+AB67/AB54</f>
        <v>0.19770559186608208</v>
      </c>
      <c r="AD67" s="41">
        <f>+'EXTERNAL DEBT USD'!AD67*AD93</f>
        <v>2377255.4849583702</v>
      </c>
      <c r="AE67" s="259">
        <f t="shared" ref="AE67" si="274">+AD67/AD54</f>
        <v>0.22651354969010773</v>
      </c>
      <c r="AF67" s="41">
        <f>+'EXTERNAL DEBT USD'!AF67*AF93</f>
        <v>2961135.219546393</v>
      </c>
      <c r="AG67" s="259">
        <f t="shared" ref="AG67" si="275">+AF67/AF54</f>
        <v>0.24674409816086282</v>
      </c>
      <c r="AH67" s="41">
        <f>+'EXTERNAL DEBT USD'!AH67*AH93</f>
        <v>3224972.3660737653</v>
      </c>
      <c r="AI67" s="259">
        <f t="shared" ref="AI67" si="276">+AH67/AH54</f>
        <v>0.22978597241350196</v>
      </c>
      <c r="AJ67" s="41">
        <f>+'EXTERNAL DEBT USD'!AJ67*AJ93</f>
        <v>3373923.097082695</v>
      </c>
      <c r="AK67" s="259">
        <f t="shared" ref="AK67" si="277">+AJ67/AJ54</f>
        <v>0.20999656481098583</v>
      </c>
      <c r="AL67" s="89">
        <f>+AL7</f>
        <v>3746127.7944659423</v>
      </c>
      <c r="AM67" s="258">
        <f t="shared" ref="AM67" si="278">+AL67/AL54</f>
        <v>0.20164386382344474</v>
      </c>
      <c r="AN67" s="41">
        <f>+AN7</f>
        <v>4635918.8608771451</v>
      </c>
      <c r="AO67" s="259">
        <f t="shared" ref="AO67" si="279">+AN67/AN54</f>
        <v>0.21849962033432016</v>
      </c>
      <c r="AP67" s="477">
        <f>+AP7</f>
        <v>5761495.7650861247</v>
      </c>
      <c r="AQ67" s="542">
        <f t="shared" ref="AQ67" si="280">+AP67/AP54</f>
        <v>0.23726897581828127</v>
      </c>
      <c r="AR67" s="576"/>
      <c r="AS67" s="109"/>
    </row>
    <row r="68" spans="1:45" s="30" customFormat="1" x14ac:dyDescent="0.25">
      <c r="A68" s="415" t="s">
        <v>71</v>
      </c>
      <c r="B68" s="223">
        <f>+B67/B74</f>
        <v>0.10770626068680632</v>
      </c>
      <c r="C68" s="35"/>
      <c r="D68" s="223">
        <f>+D67/D74</f>
        <v>0.1120378924108604</v>
      </c>
      <c r="E68" s="35"/>
      <c r="F68" s="223">
        <f>+F67/F74</f>
        <v>0.12398201402973692</v>
      </c>
      <c r="G68" s="35"/>
      <c r="H68" s="223">
        <f>+H67/H74</f>
        <v>0.13276151116152635</v>
      </c>
      <c r="I68" s="35"/>
      <c r="J68" s="223">
        <f>+J67/J74</f>
        <v>0.13542288159332116</v>
      </c>
      <c r="K68" s="35"/>
      <c r="L68" s="223">
        <f>+L67/L74</f>
        <v>0.12303131902475144</v>
      </c>
      <c r="M68" s="35"/>
      <c r="N68" s="223">
        <f>+N67/N74</f>
        <v>0.10355903808317707</v>
      </c>
      <c r="O68" s="35"/>
      <c r="P68" s="223">
        <f>+P67/P74</f>
        <v>8.1551462727297866E-2</v>
      </c>
      <c r="Q68" s="35"/>
      <c r="R68" s="223">
        <f>+R67/R74</f>
        <v>6.9849065882242836E-2</v>
      </c>
      <c r="S68" s="35"/>
      <c r="T68" s="223">
        <f>+T67/T74</f>
        <v>5.5072354005230813E-2</v>
      </c>
      <c r="U68" s="35"/>
      <c r="V68" s="223">
        <f>+V67/V74</f>
        <v>5.7632606603473614E-2</v>
      </c>
      <c r="W68" s="35"/>
      <c r="X68" s="223">
        <f>+X67/X74</f>
        <v>4.7403181745282713E-2</v>
      </c>
      <c r="Y68" s="35"/>
      <c r="Z68" s="226">
        <f>+Z67/Z74</f>
        <v>5.8323754955548909E-2</v>
      </c>
      <c r="AA68" s="92"/>
      <c r="AB68" s="223">
        <f>+AB67/AB74</f>
        <v>6.9376727128849014E-2</v>
      </c>
      <c r="AC68" s="35"/>
      <c r="AD68" s="223">
        <f>+AD67/AD74</f>
        <v>8.489795616763629E-2</v>
      </c>
      <c r="AE68" s="35"/>
      <c r="AF68" s="223">
        <f>+AF67/AF74</f>
        <v>9.8142091423530406E-2</v>
      </c>
      <c r="AG68" s="35"/>
      <c r="AH68" s="223">
        <f>+AH67/AH74</f>
        <v>0.1006034243497254</v>
      </c>
      <c r="AI68" s="35"/>
      <c r="AJ68" s="223">
        <f>+AJ67/AJ74</f>
        <v>9.8240092212627111E-2</v>
      </c>
      <c r="AK68" s="35"/>
      <c r="AL68" s="226">
        <f>+AL67/AL74</f>
        <v>0.10401657793500806</v>
      </c>
      <c r="AM68" s="92"/>
      <c r="AN68" s="223">
        <f>+AN67/AN74</f>
        <v>0.12253913365708721</v>
      </c>
      <c r="AO68" s="35"/>
      <c r="AP68" s="464">
        <f>+AP67/AP74</f>
        <v>0.15786976060660471</v>
      </c>
      <c r="AQ68" s="472"/>
      <c r="AR68" s="389"/>
      <c r="AS68" s="109"/>
    </row>
    <row r="69" spans="1:45" s="38" customFormat="1" x14ac:dyDescent="0.25">
      <c r="A69" s="415" t="s">
        <v>98</v>
      </c>
      <c r="B69" s="223">
        <f>+B67/B76</f>
        <v>0.37458110515522364</v>
      </c>
      <c r="C69" s="211"/>
      <c r="D69" s="223">
        <f>+D67/D76</f>
        <v>0.41037222711361437</v>
      </c>
      <c r="E69" s="211"/>
      <c r="F69" s="223">
        <f>+F67/F76</f>
        <v>0.45707332050049504</v>
      </c>
      <c r="G69" s="211"/>
      <c r="H69" s="223">
        <f>+H67/H76</f>
        <v>0.47351707227058393</v>
      </c>
      <c r="I69" s="211"/>
      <c r="J69" s="223">
        <f>+J67/J76</f>
        <v>0.46895311764613773</v>
      </c>
      <c r="K69" s="211"/>
      <c r="L69" s="223">
        <f>+L67/L76</f>
        <v>0.42510547574971908</v>
      </c>
      <c r="M69" s="211"/>
      <c r="N69" s="223">
        <f>+N67/N76</f>
        <v>0.36774615659813237</v>
      </c>
      <c r="O69" s="211"/>
      <c r="P69" s="223">
        <f>+P67/P76</f>
        <v>0.33141847427056598</v>
      </c>
      <c r="Q69" s="211"/>
      <c r="R69" s="223">
        <f>+R67/R76</f>
        <v>0.27278957571018014</v>
      </c>
      <c r="S69" s="211"/>
      <c r="T69" s="223">
        <f>+T67/T76</f>
        <v>0.26075381696381345</v>
      </c>
      <c r="U69" s="211"/>
      <c r="V69" s="223">
        <f>+V67/V76</f>
        <v>0.29720373203481132</v>
      </c>
      <c r="W69" s="211"/>
      <c r="X69" s="223">
        <f>+X67/X76</f>
        <v>0.24172181030873782</v>
      </c>
      <c r="Y69" s="211"/>
      <c r="Z69" s="226">
        <f>+Z67/Z76</f>
        <v>0.25130020941012243</v>
      </c>
      <c r="AA69" s="174"/>
      <c r="AB69" s="223">
        <f>+AB67/AB76</f>
        <v>0.39652333635253256</v>
      </c>
      <c r="AC69" s="211"/>
      <c r="AD69" s="223">
        <f>+AD67/AD76</f>
        <v>0.46175624601861454</v>
      </c>
      <c r="AE69" s="211"/>
      <c r="AF69" s="223">
        <f>+AF67/AF76</f>
        <v>0.59223158814255406</v>
      </c>
      <c r="AG69" s="211"/>
      <c r="AH69" s="223">
        <f>+AH67/AH76</f>
        <v>0.56582285142761268</v>
      </c>
      <c r="AI69" s="211"/>
      <c r="AJ69" s="223">
        <f>+AJ67/AJ76</f>
        <v>0.5427254561014021</v>
      </c>
      <c r="AK69" s="211"/>
      <c r="AL69" s="226">
        <f>+AL67/AL76</f>
        <v>0.56368745191520608</v>
      </c>
      <c r="AM69" s="174"/>
      <c r="AN69" s="223">
        <f>+AN67/AN76</f>
        <v>0.69604170219129835</v>
      </c>
      <c r="AO69" s="211"/>
      <c r="AP69" s="464">
        <f>+AP67/AP76</f>
        <v>0.79923356269142598</v>
      </c>
      <c r="AQ69" s="462"/>
      <c r="AR69" s="389"/>
      <c r="AS69" s="109"/>
    </row>
    <row r="70" spans="1:45" s="38" customFormat="1" ht="12.75" customHeight="1" x14ac:dyDescent="0.25">
      <c r="A70" s="415" t="s">
        <v>102</v>
      </c>
      <c r="B70" s="223">
        <f>+B67/B77</f>
        <v>0.81895047142429733</v>
      </c>
      <c r="C70" s="211"/>
      <c r="D70" s="223">
        <f>+D67/D77</f>
        <v>0.81521001523490288</v>
      </c>
      <c r="E70" s="211"/>
      <c r="F70" s="223">
        <f>+F67/F77</f>
        <v>0.91449840210339239</v>
      </c>
      <c r="G70" s="211"/>
      <c r="H70" s="223">
        <f>+H67/H77</f>
        <v>0.95978050455431374</v>
      </c>
      <c r="I70" s="211"/>
      <c r="J70" s="223">
        <f>+J67/J77</f>
        <v>0.99645692190853408</v>
      </c>
      <c r="K70" s="211"/>
      <c r="L70" s="223">
        <f>+L67/L77</f>
        <v>0.89174746747228539</v>
      </c>
      <c r="M70" s="211"/>
      <c r="N70" s="223">
        <f>+N67/N77</f>
        <v>0.73432226397089706</v>
      </c>
      <c r="O70" s="211"/>
      <c r="P70" s="223">
        <f>+P67/P77</f>
        <v>0.53822709700833871</v>
      </c>
      <c r="Q70" s="211"/>
      <c r="R70" s="223">
        <f>+R67/R77</f>
        <v>0.45477343310607765</v>
      </c>
      <c r="S70" s="211"/>
      <c r="T70" s="223">
        <f>+T67/T77</f>
        <v>0.41146951956605948</v>
      </c>
      <c r="U70" s="211"/>
      <c r="V70" s="223">
        <f>+V67/V77</f>
        <v>0.41626454891506964</v>
      </c>
      <c r="W70" s="211"/>
      <c r="X70" s="223">
        <f>+X67/X77</f>
        <v>0.33894791099878535</v>
      </c>
      <c r="Y70" s="211"/>
      <c r="Z70" s="226">
        <f>+Z67/Z77</f>
        <v>0.42360875277425131</v>
      </c>
      <c r="AA70" s="174"/>
      <c r="AB70" s="223">
        <f>+AB67/AB77</f>
        <v>0.49955750058368148</v>
      </c>
      <c r="AC70" s="211"/>
      <c r="AD70" s="223">
        <f>+AD67/AD77</f>
        <v>0.62600216682052556</v>
      </c>
      <c r="AE70" s="211"/>
      <c r="AF70" s="223">
        <f>+AF67/AF77</f>
        <v>0.70837957425172904</v>
      </c>
      <c r="AG70" s="211"/>
      <c r="AH70" s="223">
        <f>+AH67/AH77</f>
        <v>0.70704116748839185</v>
      </c>
      <c r="AI70" s="211"/>
      <c r="AJ70" s="223">
        <f>+AJ67/AJ77</f>
        <v>0.71198676530194382</v>
      </c>
      <c r="AK70" s="211"/>
      <c r="AL70" s="226">
        <f>+AL67/AL77</f>
        <v>0.76059704882881696</v>
      </c>
      <c r="AM70" s="174"/>
      <c r="AN70" s="223">
        <f>+AN67/AN77</f>
        <v>0.88206675104412768</v>
      </c>
      <c r="AO70" s="211"/>
      <c r="AP70" s="464">
        <f>+AP67/AP77</f>
        <v>1.2272319814806831</v>
      </c>
      <c r="AQ70" s="462"/>
      <c r="AR70" s="389"/>
      <c r="AS70" s="109"/>
    </row>
    <row r="71" spans="1:45" s="38" customFormat="1" ht="12.75" customHeight="1" x14ac:dyDescent="0.25">
      <c r="A71" s="415" t="s">
        <v>99</v>
      </c>
      <c r="B71" s="223">
        <f>+B67/B78</f>
        <v>0.82544784139085636</v>
      </c>
      <c r="C71" s="211"/>
      <c r="D71" s="223">
        <f>+D67/D78</f>
        <v>0.82566999123774221</v>
      </c>
      <c r="E71" s="211"/>
      <c r="F71" s="223">
        <f>+F67/F78</f>
        <v>0.92285780345731705</v>
      </c>
      <c r="G71" s="211"/>
      <c r="H71" s="223">
        <f>+H67/H78</f>
        <v>0.98089408390533284</v>
      </c>
      <c r="I71" s="211"/>
      <c r="J71" s="223">
        <f>+J67/J78</f>
        <v>1.0163595511577657</v>
      </c>
      <c r="K71" s="211"/>
      <c r="L71" s="223">
        <f>+L67/L78</f>
        <v>0.90860973579644277</v>
      </c>
      <c r="M71" s="211"/>
      <c r="N71" s="223">
        <f>+N67/N78</f>
        <v>0.74650789203087864</v>
      </c>
      <c r="O71" s="211"/>
      <c r="P71" s="223">
        <f>+P67/P78</f>
        <v>0.54800867207886905</v>
      </c>
      <c r="Q71" s="211"/>
      <c r="R71" s="223">
        <f>+R67/R78</f>
        <v>0.46167971501809851</v>
      </c>
      <c r="S71" s="211"/>
      <c r="T71" s="223">
        <f>+T67/T78</f>
        <v>0.41901669357443538</v>
      </c>
      <c r="U71" s="211"/>
      <c r="V71" s="223">
        <f>+V67/V78</f>
        <v>0.4470469536930074</v>
      </c>
      <c r="W71" s="211"/>
      <c r="X71" s="223">
        <f>+X67/X78</f>
        <v>0.36141981781286553</v>
      </c>
      <c r="Y71" s="211"/>
      <c r="Z71" s="226">
        <f>+Z67/Z78</f>
        <v>0.44949835767618057</v>
      </c>
      <c r="AA71" s="174"/>
      <c r="AB71" s="223">
        <f>+AB67/AB78</f>
        <v>0.52754773470132144</v>
      </c>
      <c r="AC71" s="211"/>
      <c r="AD71" s="223">
        <f>+AD67/AD78</f>
        <v>0.66360237287181367</v>
      </c>
      <c r="AE71" s="211"/>
      <c r="AF71" s="223">
        <f>+AF67/AF78</f>
        <v>0.7543579731950264</v>
      </c>
      <c r="AG71" s="211"/>
      <c r="AH71" s="223">
        <f>+AH67/AH78</f>
        <v>0.74762049550765508</v>
      </c>
      <c r="AI71" s="211"/>
      <c r="AJ71" s="223">
        <f>+AJ67/AJ78</f>
        <v>0.75614315501052276</v>
      </c>
      <c r="AK71" s="211"/>
      <c r="AL71" s="226">
        <f>+AL67/AL78</f>
        <v>0.80517938252416654</v>
      </c>
      <c r="AM71" s="174"/>
      <c r="AN71" s="223">
        <f>+AN67/AN78</f>
        <v>0.94812409481602145</v>
      </c>
      <c r="AO71" s="211"/>
      <c r="AP71" s="464">
        <f>+AP67/AP78</f>
        <v>1.3271273265299932</v>
      </c>
      <c r="AQ71" s="462"/>
      <c r="AR71" s="389"/>
      <c r="AS71" s="109"/>
    </row>
    <row r="72" spans="1:45" s="38" customFormat="1" ht="12.75" customHeight="1" x14ac:dyDescent="0.25">
      <c r="A72" s="415" t="s">
        <v>96</v>
      </c>
      <c r="B72" s="223">
        <f>+B67/B79</f>
        <v>0.65859454229107273</v>
      </c>
      <c r="C72" s="211"/>
      <c r="D72" s="223">
        <f>+D67/D79</f>
        <v>0.66720539191621286</v>
      </c>
      <c r="E72" s="211"/>
      <c r="F72" s="223">
        <f>+F67/F79</f>
        <v>0.69243692065496787</v>
      </c>
      <c r="G72" s="211"/>
      <c r="H72" s="223">
        <f>+H67/H79</f>
        <v>0.77927541890026497</v>
      </c>
      <c r="I72" s="211"/>
      <c r="J72" s="223">
        <f>+J67/J79</f>
        <v>0.82995343045342118</v>
      </c>
      <c r="K72" s="211"/>
      <c r="L72" s="223">
        <f>+L67/L79</f>
        <v>0.77436999643568072</v>
      </c>
      <c r="M72" s="211"/>
      <c r="N72" s="223">
        <f>+N67/N79</f>
        <v>0.68356094615812768</v>
      </c>
      <c r="O72" s="211"/>
      <c r="P72" s="223">
        <f>+P67/P79</f>
        <v>0.55875605889687641</v>
      </c>
      <c r="Q72" s="211"/>
      <c r="R72" s="223">
        <f>+R67/R79</f>
        <v>0.46015572320113057</v>
      </c>
      <c r="S72" s="211"/>
      <c r="T72" s="223">
        <f>+T67/T79</f>
        <v>0.33059004878256626</v>
      </c>
      <c r="U72" s="211"/>
      <c r="V72" s="223">
        <f>+V67/V79</f>
        <v>0.30640828282568666</v>
      </c>
      <c r="W72" s="211"/>
      <c r="X72" s="223">
        <f>+X67/X79</f>
        <v>0.26487810471180129</v>
      </c>
      <c r="Y72" s="211"/>
      <c r="Z72" s="226">
        <f>+Z67/Z79</f>
        <v>0.32402270520342547</v>
      </c>
      <c r="AA72" s="174"/>
      <c r="AB72" s="223">
        <f>+AB67/AB79</f>
        <v>0.36256730632284434</v>
      </c>
      <c r="AC72" s="211"/>
      <c r="AD72" s="223">
        <f>+AD67/AD79</f>
        <v>0.44626722416016357</v>
      </c>
      <c r="AE72" s="211"/>
      <c r="AF72" s="223">
        <f>+AF67/AF79</f>
        <v>0.50643149211566973</v>
      </c>
      <c r="AG72" s="211"/>
      <c r="AH72" s="223">
        <f>+AH67/AH79</f>
        <v>0.52007111045692977</v>
      </c>
      <c r="AI72" s="211"/>
      <c r="AJ72" s="223">
        <f>+AJ67/AJ79</f>
        <v>0.49875606735972977</v>
      </c>
      <c r="AK72" s="211"/>
      <c r="AL72" s="226">
        <f>+AL67/AL79</f>
        <v>0.53553085985763493</v>
      </c>
      <c r="AM72" s="174"/>
      <c r="AN72" s="223">
        <f>+AN67/AN79</f>
        <v>0.58828444647669698</v>
      </c>
      <c r="AO72" s="211"/>
      <c r="AP72" s="464">
        <f>+AP67/AP79</f>
        <v>0.74997539570073135</v>
      </c>
      <c r="AQ72" s="462"/>
      <c r="AR72" s="565"/>
      <c r="AS72" s="109"/>
    </row>
    <row r="73" spans="1:45" s="30" customFormat="1" ht="12.75" customHeight="1" x14ac:dyDescent="0.25">
      <c r="A73" s="219"/>
      <c r="B73" s="32"/>
      <c r="C73" s="35"/>
      <c r="D73" s="32"/>
      <c r="E73" s="35"/>
      <c r="F73" s="32"/>
      <c r="G73" s="35"/>
      <c r="H73" s="32"/>
      <c r="I73" s="35"/>
      <c r="J73" s="32"/>
      <c r="K73" s="35"/>
      <c r="L73" s="32"/>
      <c r="M73" s="35"/>
      <c r="N73" s="32"/>
      <c r="O73" s="35"/>
      <c r="P73" s="32"/>
      <c r="Q73" s="35"/>
      <c r="R73" s="32"/>
      <c r="S73" s="35"/>
      <c r="T73" s="32"/>
      <c r="U73" s="35"/>
      <c r="V73" s="76"/>
      <c r="W73" s="35"/>
      <c r="X73" s="76"/>
      <c r="Y73" s="35"/>
      <c r="Z73" s="133"/>
      <c r="AA73" s="92"/>
      <c r="AB73" s="133"/>
      <c r="AC73" s="92"/>
      <c r="AD73" s="133"/>
      <c r="AE73" s="92"/>
      <c r="AF73" s="76"/>
      <c r="AG73" s="35"/>
      <c r="AH73" s="133"/>
      <c r="AI73" s="92"/>
      <c r="AJ73" s="76"/>
      <c r="AK73" s="35"/>
      <c r="AL73" s="133"/>
      <c r="AM73" s="92"/>
      <c r="AN73" s="76"/>
      <c r="AO73" s="35"/>
      <c r="AP73" s="473"/>
      <c r="AQ73" s="472"/>
      <c r="AR73" s="565"/>
      <c r="AS73" s="109"/>
    </row>
    <row r="74" spans="1:45" s="11" customFormat="1" ht="13.5" customHeight="1" x14ac:dyDescent="0.3">
      <c r="A74" s="290" t="s">
        <v>103</v>
      </c>
      <c r="B74" s="89">
        <f>+'Domestic Debt Colones'!B70</f>
        <v>4627050.5244738096</v>
      </c>
      <c r="C74" s="178"/>
      <c r="D74" s="89">
        <f>+'Domestic Debt Colones'!D70</f>
        <v>5254084.4542246899</v>
      </c>
      <c r="E74" s="178"/>
      <c r="F74" s="89">
        <f>+'Domestic Debt Colones'!F70</f>
        <v>5965391.2596758399</v>
      </c>
      <c r="G74" s="178"/>
      <c r="H74" s="89">
        <f>+'Domestic Debt Colones'!H70</f>
        <v>6885560.0437373798</v>
      </c>
      <c r="I74" s="178"/>
      <c r="J74" s="89">
        <f>+'Domestic Debt Colones'!J70</f>
        <v>8150137.80104376</v>
      </c>
      <c r="K74" s="178"/>
      <c r="L74" s="89">
        <f>+'Domestic Debt Colones'!L70</f>
        <v>9577022.2268604208</v>
      </c>
      <c r="M74" s="178"/>
      <c r="N74" s="89">
        <f>+'Domestic Debt Colones'!N70</f>
        <v>11613319.990806</v>
      </c>
      <c r="O74" s="178"/>
      <c r="P74" s="89">
        <f>+'Domestic Debt Colones'!P70</f>
        <v>13889052.911136299</v>
      </c>
      <c r="Q74" s="178"/>
      <c r="R74" s="89">
        <f>+'Domestic Debt Colones'!R70</f>
        <v>16208974.6985124</v>
      </c>
      <c r="S74" s="178"/>
      <c r="T74" s="89">
        <f>+'Domestic Debt Colones'!T70</f>
        <v>17626147.744796</v>
      </c>
      <c r="U74" s="178"/>
      <c r="V74" s="89">
        <f>+'Domestic Debt Colones'!V70</f>
        <v>19802010.5927076</v>
      </c>
      <c r="W74" s="178"/>
      <c r="X74" s="89">
        <f>+'Domestic Debt Colones'!X70</f>
        <v>21623524.556480799</v>
      </c>
      <c r="Y74" s="178"/>
      <c r="Z74" s="89">
        <f>+'Domestic Debt Colones'!Z70</f>
        <v>23752868.5692912</v>
      </c>
      <c r="AA74" s="178"/>
      <c r="AB74" s="89">
        <f>+'Domestic Debt Colones'!AB70</f>
        <v>25462954.639352702</v>
      </c>
      <c r="AC74" s="178"/>
      <c r="AD74" s="89">
        <f>+'Domestic Debt Colones'!AD70</f>
        <v>28001327.620471001</v>
      </c>
      <c r="AE74" s="178"/>
      <c r="AF74" s="89">
        <f>+'Domestic Debt Colones'!AF70</f>
        <v>30171918.863718402</v>
      </c>
      <c r="AG74" s="178"/>
      <c r="AH74" s="89">
        <f>+'Domestic Debt Colones'!AH70</f>
        <v>32056288.212048002</v>
      </c>
      <c r="AI74" s="178"/>
      <c r="AJ74" s="41">
        <f>+'Domestic Debt Colones'!AJ70</f>
        <v>34343647.497605197</v>
      </c>
      <c r="AK74" s="56"/>
      <c r="AL74" s="89">
        <f>+'Domestic Debt Colones'!AL70</f>
        <v>36014718.700000003</v>
      </c>
      <c r="AM74" s="178"/>
      <c r="AN74" s="41">
        <f>+'Domestic Debt Colones'!AN70</f>
        <v>37832149.799999997</v>
      </c>
      <c r="AO74" s="56"/>
      <c r="AP74" s="477">
        <f>+'Domestic Debt Colones'!AP70</f>
        <v>36495246.100000001</v>
      </c>
      <c r="AQ74" s="513"/>
      <c r="AR74" s="565"/>
      <c r="AS74" s="109"/>
    </row>
    <row r="75" spans="1:45" s="38" customFormat="1" ht="13.5" customHeight="1" x14ac:dyDescent="0.3">
      <c r="A75" s="268" t="s">
        <v>104</v>
      </c>
      <c r="B75" s="73">
        <f>+'Domestic Debt Colones'!B71</f>
        <v>2.9000000000000001E-2</v>
      </c>
      <c r="C75" s="56"/>
      <c r="D75" s="73">
        <f>+'Domestic Debt Colones'!D71</f>
        <v>5.6000000000000001E-2</v>
      </c>
      <c r="E75" s="56"/>
      <c r="F75" s="73">
        <f>+'Domestic Debt Colones'!F71</f>
        <v>2.9000000000000001E-2</v>
      </c>
      <c r="G75" s="181"/>
      <c r="H75" s="73">
        <f>+'Domestic Debt Colones'!H71</f>
        <v>5.6000000000000001E-2</v>
      </c>
      <c r="I75" s="181"/>
      <c r="J75" s="73">
        <f>+'Domestic Debt Colones'!J71</f>
        <v>4.2999999999999997E-2</v>
      </c>
      <c r="K75" s="181"/>
      <c r="L75" s="73">
        <f>+'Domestic Debt Colones'!L71</f>
        <v>5.8999999999999997E-2</v>
      </c>
      <c r="M75" s="181"/>
      <c r="N75" s="73">
        <f>+'Domestic Debt Colones'!N71</f>
        <v>8.7999999999999995E-2</v>
      </c>
      <c r="O75" s="181"/>
      <c r="P75" s="73">
        <f>+'Domestic Debt Colones'!P71</f>
        <v>6.8000000000000005E-2</v>
      </c>
      <c r="Q75" s="181"/>
      <c r="R75" s="73">
        <f>+'Domestic Debt Colones'!R71</f>
        <v>2.9000000000000001E-2</v>
      </c>
      <c r="S75" s="181"/>
      <c r="T75" s="73">
        <f>+'Domestic Debt Colones'!T71</f>
        <v>-1.2999999999999999E-2</v>
      </c>
      <c r="U75" s="181"/>
      <c r="V75" s="73">
        <f>+'Domestic Debt Colones'!V71</f>
        <v>4.2000000000000003E-2</v>
      </c>
      <c r="W75" s="181"/>
      <c r="X75" s="73">
        <f>+'Domestic Debt Colones'!X71</f>
        <v>4.4999999999999998E-2</v>
      </c>
      <c r="Y75" s="181"/>
      <c r="Z75" s="518">
        <f>+'Domestic Debt Colones'!Z71</f>
        <v>4.8000000000000001E-2</v>
      </c>
      <c r="AA75" s="182"/>
      <c r="AB75" s="73">
        <f>+'Domestic Debt Colones'!AB71</f>
        <v>3.4972883502778697E-2</v>
      </c>
      <c r="AC75" s="182"/>
      <c r="AD75" s="73">
        <f>+'Domestic Debt Colones'!AD71</f>
        <v>3.4972883502778697E-2</v>
      </c>
      <c r="AE75" s="182"/>
      <c r="AF75" s="73">
        <f>+'Domestic Debt Colones'!AF71</f>
        <v>3.5000000000000003E-2</v>
      </c>
      <c r="AG75" s="181"/>
      <c r="AH75" s="518">
        <f>+'Domestic Debt Colones'!AH71</f>
        <v>4.2999999999999997E-2</v>
      </c>
      <c r="AI75" s="182"/>
      <c r="AJ75" s="73">
        <f>+'Domestic Debt Colones'!AJ71</f>
        <v>3.2000000000000001E-2</v>
      </c>
      <c r="AK75" s="181"/>
      <c r="AL75" s="518">
        <f>+'Domestic Debt Colones'!AL71</f>
        <v>2.7E-2</v>
      </c>
      <c r="AM75" s="182"/>
      <c r="AN75" s="73">
        <f>+'Domestic Debt Colones'!AN71</f>
        <v>2.1000000000000001E-2</v>
      </c>
      <c r="AO75" s="181"/>
      <c r="AP75" s="514">
        <f>+'Domestic Debt Colones'!AP71</f>
        <v>2.1000000000000001E-2</v>
      </c>
      <c r="AQ75" s="522"/>
      <c r="AR75" s="565"/>
      <c r="AS75" s="109"/>
    </row>
    <row r="76" spans="1:45" s="38" customFormat="1" ht="13.5" customHeight="1" x14ac:dyDescent="0.3">
      <c r="A76" s="268" t="s">
        <v>105</v>
      </c>
      <c r="B76" s="41">
        <f>+'Domestic Debt Colones'!B72</f>
        <v>1330452.3456768659</v>
      </c>
      <c r="C76" s="56"/>
      <c r="D76" s="41">
        <f>+'Domestic Debt Colones'!D72</f>
        <v>1434445.3886179447</v>
      </c>
      <c r="E76" s="56"/>
      <c r="F76" s="41">
        <f>+'Domestic Debt Colones'!F72</f>
        <v>1618123.8100708593</v>
      </c>
      <c r="G76" s="56"/>
      <c r="H76" s="89">
        <f>+'Domestic Debt Colones'!H72</f>
        <v>1930526.7119864908</v>
      </c>
      <c r="I76" s="56"/>
      <c r="J76" s="41">
        <f>+'Domestic Debt Colones'!J72</f>
        <v>2353572.4678406776</v>
      </c>
      <c r="K76" s="56"/>
      <c r="L76" s="89">
        <f>+'Domestic Debt Colones'!L72</f>
        <v>2771720.7707616277</v>
      </c>
      <c r="M76" s="56"/>
      <c r="N76" s="89">
        <f>+'Domestic Debt Colones'!N72</f>
        <v>3270365.2386889635</v>
      </c>
      <c r="O76" s="56"/>
      <c r="P76" s="89">
        <f>+'Domestic Debt Colones'!P72</f>
        <v>3417650.7006525528</v>
      </c>
      <c r="Q76" s="56"/>
      <c r="R76" s="89">
        <f>+'Domestic Debt Colones'!R72</f>
        <v>4150384.9208771223</v>
      </c>
      <c r="S76" s="56"/>
      <c r="T76" s="89">
        <f>+'Domestic Debt Colones'!T72</f>
        <v>3722719.9956371812</v>
      </c>
      <c r="U76" s="56"/>
      <c r="V76" s="89">
        <f>+'Domestic Debt Colones'!V72</f>
        <v>3839929.8643856249</v>
      </c>
      <c r="W76" s="56"/>
      <c r="X76" s="89">
        <f>+'Domestic Debt Colones'!X72</f>
        <v>4240510.4579319386</v>
      </c>
      <c r="Y76" s="56"/>
      <c r="Z76" s="89">
        <f>+'Domestic Debt Colones'!Z72</f>
        <v>5512755</v>
      </c>
      <c r="AA76" s="178"/>
      <c r="AB76" s="89">
        <f>+'Domestic Debt Colones'!AB72</f>
        <v>4455063.0289715854</v>
      </c>
      <c r="AC76" s="178"/>
      <c r="AD76" s="89">
        <f>+'Domestic Debt Colones'!AD72</f>
        <v>5148290.9120465629</v>
      </c>
      <c r="AE76" s="178"/>
      <c r="AF76" s="41">
        <f>+'Domestic Debt Colones'!AF72</f>
        <v>4999961.6346597644</v>
      </c>
      <c r="AG76" s="56"/>
      <c r="AH76" s="89">
        <f>+'Domestic Debt Colones'!AH72</f>
        <v>5699614.9200000009</v>
      </c>
      <c r="AI76" s="178"/>
      <c r="AJ76" s="41">
        <f>+'Domestic Debt Colones'!AJ72</f>
        <v>6216629.5300000003</v>
      </c>
      <c r="AK76" s="56"/>
      <c r="AL76" s="89">
        <f>+'Domestic Debt Colones'!AL72</f>
        <v>6645753.3899999997</v>
      </c>
      <c r="AM76" s="178"/>
      <c r="AN76" s="41">
        <f>+'Domestic Debt Colones'!AN72</f>
        <v>6660403.8899999997</v>
      </c>
      <c r="AO76" s="56"/>
      <c r="AP76" s="477">
        <f>+'Domestic Debt Colones'!AP72</f>
        <v>7208776.0499999998</v>
      </c>
      <c r="AQ76" s="513"/>
      <c r="AR76" s="389"/>
      <c r="AS76" s="109"/>
    </row>
    <row r="77" spans="1:45" s="38" customFormat="1" ht="13.5" customHeight="1" x14ac:dyDescent="0.3">
      <c r="A77" s="268" t="s">
        <v>106</v>
      </c>
      <c r="B77" s="41">
        <f>+'Domestic Debt Colones'!B73</f>
        <v>608537.79</v>
      </c>
      <c r="C77" s="56"/>
      <c r="D77" s="41">
        <f>+'Domestic Debt Colones'!D73</f>
        <v>722091.9</v>
      </c>
      <c r="E77" s="56"/>
      <c r="F77" s="41">
        <f>+'Domestic Debt Colones'!F73</f>
        <v>808750.7</v>
      </c>
      <c r="G77" s="56"/>
      <c r="H77" s="89">
        <f>+'Domestic Debt Colones'!H73</f>
        <v>952444.18099999987</v>
      </c>
      <c r="I77" s="56"/>
      <c r="J77" s="41">
        <f>+'Domestic Debt Colones'!J73</f>
        <v>1107639.6000000001</v>
      </c>
      <c r="K77" s="56"/>
      <c r="L77" s="89">
        <f>+'Domestic Debt Colones'!L73</f>
        <v>1321308.68870297</v>
      </c>
      <c r="M77" s="56"/>
      <c r="N77" s="89">
        <f>+'Domestic Debt Colones'!N73</f>
        <v>1637788.0750837</v>
      </c>
      <c r="O77" s="56"/>
      <c r="P77" s="89">
        <f>+'Domestic Debt Colones'!P73</f>
        <v>2104451.05253118</v>
      </c>
      <c r="Q77" s="56"/>
      <c r="R77" s="89">
        <f>+'Domestic Debt Colones'!R73</f>
        <v>2489551.1900668</v>
      </c>
      <c r="S77" s="56"/>
      <c r="T77" s="89">
        <f>+'Domestic Debt Colones'!T73</f>
        <v>2359138.1674482999</v>
      </c>
      <c r="U77" s="56"/>
      <c r="V77" s="89">
        <f>+'Domestic Debt Colones'!V73</f>
        <v>2741625.4625137001</v>
      </c>
      <c r="W77" s="56"/>
      <c r="X77" s="89">
        <f>+'Domestic Debt Colones'!X73</f>
        <v>3024133.8897885</v>
      </c>
      <c r="Y77" s="56"/>
      <c r="Z77" s="89">
        <f>+'Domestic Debt Colones'!Z73</f>
        <v>3270367.9441321199</v>
      </c>
      <c r="AA77" s="178"/>
      <c r="AB77" s="41">
        <f>+'Domestic Debt Colones'!AB73</f>
        <v>3536202.4468546999</v>
      </c>
      <c r="AC77" s="56"/>
      <c r="AD77" s="41">
        <f>+'Domestic Debt Colones'!AD73</f>
        <v>3797519.5789377</v>
      </c>
      <c r="AE77" s="56"/>
      <c r="AF77" s="41">
        <f>+'Domestic Debt Colones'!AF73</f>
        <v>4180153.3064731299</v>
      </c>
      <c r="AG77" s="56"/>
      <c r="AH77" s="89">
        <f>+'Domestic Debt Colones'!AH73</f>
        <v>4561222.90238031</v>
      </c>
      <c r="AI77" s="178"/>
      <c r="AJ77" s="41">
        <f>+'Domestic Debt Colones'!AJ73</f>
        <v>4738744.1192840999</v>
      </c>
      <c r="AK77" s="56"/>
      <c r="AL77" s="89">
        <f>+'Domestic Debt Colones'!AL73</f>
        <v>4925246.2920206003</v>
      </c>
      <c r="AM77" s="178"/>
      <c r="AN77" s="41">
        <f>+'Domestic Debt Colones'!AN73</f>
        <v>5255746.0706794299</v>
      </c>
      <c r="AO77" s="56"/>
      <c r="AP77" s="477">
        <f>+'Domestic Debt Colones'!AP73</f>
        <v>4694707.9704806497</v>
      </c>
      <c r="AQ77" s="513"/>
      <c r="AR77" s="567"/>
      <c r="AS77" s="109"/>
    </row>
    <row r="78" spans="1:45" s="38" customFormat="1" ht="13.5" customHeight="1" x14ac:dyDescent="0.3">
      <c r="A78" s="268" t="s">
        <v>107</v>
      </c>
      <c r="B78" s="41">
        <f>+'Domestic Debt Colones'!B74</f>
        <v>603747.79</v>
      </c>
      <c r="C78" s="56"/>
      <c r="D78" s="41">
        <f>+'Domestic Debt Colones'!D74</f>
        <v>712944.1</v>
      </c>
      <c r="E78" s="56"/>
      <c r="F78" s="41">
        <f>+'Domestic Debt Colones'!F74</f>
        <v>801424.9</v>
      </c>
      <c r="G78" s="56"/>
      <c r="H78" s="89">
        <f>+'Domestic Debt Colones'!H74</f>
        <v>931942.98099999991</v>
      </c>
      <c r="I78" s="56"/>
      <c r="J78" s="41">
        <f>+'Domestic Debt Colones'!J74</f>
        <v>1085949.5</v>
      </c>
      <c r="K78" s="56"/>
      <c r="L78" s="89">
        <f>+'Domestic Debt Colones'!L74</f>
        <v>1296787.42201368</v>
      </c>
      <c r="M78" s="56"/>
      <c r="N78" s="89">
        <f>+'Domestic Debt Colones'!N74</f>
        <v>1611053.6272137</v>
      </c>
      <c r="O78" s="56"/>
      <c r="P78" s="89">
        <f>+'Domestic Debt Colones'!P74</f>
        <v>2066888.0594593701</v>
      </c>
      <c r="Q78" s="56"/>
      <c r="R78" s="89">
        <f>+'Domestic Debt Colones'!R74</f>
        <v>2452309.9126320002</v>
      </c>
      <c r="S78" s="56"/>
      <c r="T78" s="89">
        <f>+'Domestic Debt Colones'!T74</f>
        <v>2316646.2416311</v>
      </c>
      <c r="U78" s="56"/>
      <c r="V78" s="89">
        <f>+'Domestic Debt Colones'!V74</f>
        <v>2552844.7896125</v>
      </c>
      <c r="W78" s="56"/>
      <c r="X78" s="89">
        <f>+'Domestic Debt Colones'!X74</f>
        <v>2836103.096746</v>
      </c>
      <c r="Y78" s="56"/>
      <c r="Z78" s="89">
        <f>+'Domestic Debt Colones'!Z74</f>
        <v>3082005.6675817999</v>
      </c>
      <c r="AA78" s="178"/>
      <c r="AB78" s="89">
        <f>+'Domestic Debt Colones'!AB74</f>
        <v>3348581.2557015</v>
      </c>
      <c r="AC78" s="178"/>
      <c r="AD78" s="89">
        <f>+'Domestic Debt Colones'!AD74</f>
        <v>3582349.283458</v>
      </c>
      <c r="AE78" s="178"/>
      <c r="AF78" s="41">
        <f>+'Domestic Debt Colones'!AF74</f>
        <v>3925371.4082251</v>
      </c>
      <c r="AG78" s="56"/>
      <c r="AH78" s="89">
        <f>+'Domestic Debt Colones'!AH74</f>
        <v>4313648.9508409202</v>
      </c>
      <c r="AI78" s="178"/>
      <c r="AJ78" s="41">
        <f>+'Domestic Debt Colones'!AJ74</f>
        <v>4462016.3189016003</v>
      </c>
      <c r="AK78" s="56"/>
      <c r="AL78" s="89">
        <f>+'Domestic Debt Colones'!AL74</f>
        <v>4652538.1496011</v>
      </c>
      <c r="AM78" s="178"/>
      <c r="AN78" s="41">
        <f>+'Domestic Debt Colones'!AN74</f>
        <v>4889569.7158468701</v>
      </c>
      <c r="AO78" s="56"/>
      <c r="AP78" s="477">
        <f>+'Domestic Debt Colones'!AP74</f>
        <v>4341328.5597475898</v>
      </c>
      <c r="AQ78" s="513"/>
      <c r="AR78" s="567"/>
      <c r="AS78" s="109"/>
    </row>
    <row r="79" spans="1:45" s="38" customFormat="1" ht="13.5" customHeight="1" x14ac:dyDescent="0.3">
      <c r="A79" s="268" t="s">
        <v>108</v>
      </c>
      <c r="B79" s="41">
        <f>+'Domestic Debt Colones'!B75</f>
        <v>756705.8</v>
      </c>
      <c r="C79" s="56"/>
      <c r="D79" s="41">
        <f>+'Domestic Debt Colones'!D75</f>
        <v>882271.87</v>
      </c>
      <c r="E79" s="56"/>
      <c r="F79" s="41">
        <f>+'Domestic Debt Colones'!F75</f>
        <v>1068113.5</v>
      </c>
      <c r="G79" s="56"/>
      <c r="H79" s="89">
        <f>+'Domestic Debt Colones'!H75</f>
        <v>1173060.6848732068</v>
      </c>
      <c r="I79" s="56"/>
      <c r="J79" s="41">
        <f>+'Domestic Debt Colones'!J75</f>
        <v>1329851.8999999999</v>
      </c>
      <c r="K79" s="56"/>
      <c r="L79" s="89">
        <f>+'Domestic Debt Colones'!L75</f>
        <v>1521590.0439369199</v>
      </c>
      <c r="M79" s="56"/>
      <c r="N79" s="89">
        <f>+'Domestic Debt Colones'!N75</f>
        <v>1759410.4138913001</v>
      </c>
      <c r="O79" s="56"/>
      <c r="P79" s="89">
        <f>+'Domestic Debt Colones'!P75</f>
        <v>2027132.5254820101</v>
      </c>
      <c r="Q79" s="56"/>
      <c r="R79" s="89">
        <f>+'Domestic Debt Colones'!R75</f>
        <v>2460431.7289021998</v>
      </c>
      <c r="S79" s="56"/>
      <c r="T79" s="89">
        <f>+'Domestic Debt Colones'!T75</f>
        <v>2936305.7113323999</v>
      </c>
      <c r="U79" s="56"/>
      <c r="V79" s="89">
        <f>+'Domestic Debt Colones'!V75</f>
        <v>3724577.7951002</v>
      </c>
      <c r="W79" s="56"/>
      <c r="X79" s="89">
        <f>+'Domestic Debt Colones'!X75</f>
        <v>3869794.6198298</v>
      </c>
      <c r="Y79" s="56"/>
      <c r="Z79" s="89">
        <f>+'Domestic Debt Colones'!Z75</f>
        <v>4275492.0062066503</v>
      </c>
      <c r="AA79" s="178"/>
      <c r="AB79" s="41">
        <f>+'Domestic Debt Colones'!AB75</f>
        <v>4872299.3637370002</v>
      </c>
      <c r="AC79" s="56"/>
      <c r="AD79" s="41">
        <f>+'Domestic Debt Colones'!AD75</f>
        <v>5326977.5512466999</v>
      </c>
      <c r="AE79" s="56"/>
      <c r="AF79" s="41">
        <f>+'Domestic Debt Colones'!AF75</f>
        <v>5847059.8010718999</v>
      </c>
      <c r="AG79" s="56"/>
      <c r="AH79" s="89">
        <f>+'Domestic Debt Colones'!AH75</f>
        <v>6201021.9395581</v>
      </c>
      <c r="AI79" s="178"/>
      <c r="AJ79" s="41">
        <f>+'Domestic Debt Colones'!AJ75</f>
        <v>6764675.7962129004</v>
      </c>
      <c r="AK79" s="56"/>
      <c r="AL79" s="89">
        <f>+'Domestic Debt Colones'!AL75</f>
        <v>6995166.9927327996</v>
      </c>
      <c r="AM79" s="178"/>
      <c r="AN79" s="41">
        <f>+'Domestic Debt Colones'!AN75</f>
        <v>7880403.5847661709</v>
      </c>
      <c r="AO79" s="56"/>
      <c r="AP79" s="477">
        <f>+'Domestic Debt Colones'!AP75</f>
        <v>7682246.3751666602</v>
      </c>
      <c r="AQ79" s="513"/>
      <c r="AR79" s="567"/>
      <c r="AS79" s="109"/>
    </row>
    <row r="80" spans="1:45" s="1" customFormat="1" ht="13.5" customHeight="1" thickBot="1" x14ac:dyDescent="0.3">
      <c r="A80" s="9"/>
      <c r="B80" s="98"/>
      <c r="C80" s="99"/>
      <c r="D80" s="98"/>
      <c r="E80" s="99"/>
      <c r="F80" s="98"/>
      <c r="G80" s="99"/>
      <c r="H80" s="98"/>
      <c r="I80" s="99"/>
      <c r="J80" s="98"/>
      <c r="K80" s="99"/>
      <c r="L80" s="98"/>
      <c r="M80" s="99"/>
      <c r="N80" s="98"/>
      <c r="O80" s="99"/>
      <c r="P80" s="98"/>
      <c r="Q80" s="99"/>
      <c r="R80" s="98"/>
      <c r="S80" s="99"/>
      <c r="T80" s="98"/>
      <c r="U80" s="99"/>
      <c r="V80" s="51"/>
      <c r="W80" s="52"/>
      <c r="X80" s="51"/>
      <c r="Y80" s="52"/>
      <c r="Z80" s="98"/>
      <c r="AA80" s="99"/>
      <c r="AB80" s="98"/>
      <c r="AC80" s="99"/>
      <c r="AD80" s="98"/>
      <c r="AE80" s="99"/>
      <c r="AF80" s="51"/>
      <c r="AG80" s="52"/>
      <c r="AH80" s="98"/>
      <c r="AI80" s="99"/>
      <c r="AJ80" s="51"/>
      <c r="AK80" s="52"/>
      <c r="AL80" s="98"/>
      <c r="AM80" s="99"/>
      <c r="AN80" s="51"/>
      <c r="AO80" s="52"/>
      <c r="AP80" s="480"/>
      <c r="AQ80" s="481"/>
      <c r="AR80" s="440"/>
    </row>
    <row r="81" spans="1:49" s="1" customFormat="1" ht="14.25" customHeight="1" x14ac:dyDescent="0.25">
      <c r="A81" s="144"/>
      <c r="B81" s="145"/>
      <c r="C81" s="106"/>
      <c r="D81" s="106"/>
      <c r="E81" s="106"/>
      <c r="F81" s="145"/>
      <c r="G81" s="146"/>
      <c r="H81" s="145"/>
      <c r="I81" s="146"/>
      <c r="J81" s="145"/>
      <c r="K81" s="146"/>
      <c r="L81" s="145"/>
      <c r="M81" s="146"/>
      <c r="N81" s="145"/>
      <c r="O81" s="146"/>
      <c r="P81" s="145"/>
      <c r="Q81" s="145"/>
      <c r="R81" s="145"/>
      <c r="S81" s="145"/>
      <c r="T81" s="145"/>
      <c r="U81" s="145"/>
      <c r="V81" s="145"/>
      <c r="W81" s="145"/>
      <c r="Z81" s="11"/>
      <c r="AA81" s="11"/>
      <c r="AB81" s="11"/>
      <c r="AC81" s="11"/>
      <c r="AD81" s="11"/>
      <c r="AE81" s="11"/>
      <c r="AF81" s="38"/>
      <c r="AG81" s="38"/>
      <c r="AH81" s="38"/>
      <c r="AI81" s="38"/>
      <c r="AJ81" s="38"/>
      <c r="AK81" s="38"/>
      <c r="AL81" s="11"/>
      <c r="AM81" s="11"/>
      <c r="AR81" s="440"/>
    </row>
    <row r="82" spans="1:49" s="1" customFormat="1" ht="13.5" customHeight="1" x14ac:dyDescent="0.25">
      <c r="A82" s="780" t="s">
        <v>109</v>
      </c>
      <c r="B82" s="780"/>
      <c r="C82" s="780"/>
      <c r="D82" s="780"/>
      <c r="E82" s="780"/>
      <c r="F82" s="780"/>
      <c r="G82" s="780"/>
      <c r="H82" s="780"/>
      <c r="I82" s="780"/>
      <c r="J82" s="780"/>
      <c r="K82" s="780"/>
      <c r="L82" s="780"/>
      <c r="M82" s="780"/>
      <c r="N82" s="780"/>
      <c r="O82" s="780"/>
      <c r="P82" s="780"/>
      <c r="Q82" s="780"/>
      <c r="R82" s="780"/>
      <c r="S82" s="780"/>
      <c r="T82" s="780"/>
      <c r="U82" s="780"/>
      <c r="V82" s="780"/>
      <c r="W82" s="780"/>
      <c r="X82" s="780"/>
      <c r="Y82" s="780"/>
      <c r="Z82" s="780"/>
      <c r="AA82" s="780"/>
      <c r="AB82" s="780"/>
      <c r="AC82" s="780"/>
      <c r="AD82" s="780"/>
      <c r="AE82" s="780"/>
      <c r="AF82" s="780"/>
      <c r="AG82" s="780"/>
      <c r="AH82" s="780"/>
      <c r="AI82" s="780"/>
      <c r="AJ82" s="780"/>
      <c r="AK82" s="780"/>
      <c r="AL82" s="780"/>
      <c r="AM82" s="780"/>
      <c r="AN82" s="780"/>
      <c r="AO82" s="780"/>
      <c r="AP82" s="679"/>
      <c r="AQ82" s="679"/>
      <c r="AR82" s="440"/>
    </row>
    <row r="83" spans="1:49" s="1" customFormat="1" ht="12.75" customHeight="1" x14ac:dyDescent="0.25">
      <c r="A83" s="38"/>
      <c r="B83" s="163"/>
      <c r="C83" s="163"/>
      <c r="D83" s="104"/>
      <c r="E83" s="104"/>
      <c r="F83" s="163"/>
      <c r="G83" s="163"/>
      <c r="H83" s="104"/>
      <c r="I83" s="104"/>
      <c r="J83" s="104"/>
      <c r="K83" s="163"/>
      <c r="L83" s="163"/>
      <c r="M83" s="163"/>
      <c r="N83" s="163"/>
      <c r="O83" s="163"/>
      <c r="P83" s="163"/>
      <c r="Q83" s="163"/>
      <c r="R83" s="163"/>
      <c r="S83" s="163"/>
      <c r="T83" s="121"/>
      <c r="U83" s="163"/>
      <c r="V83" s="104"/>
      <c r="W83" s="104"/>
      <c r="X83" s="104"/>
      <c r="Y83" s="104"/>
      <c r="Z83" s="7"/>
      <c r="AA83" s="7"/>
      <c r="AB83" s="7"/>
      <c r="AC83" s="7"/>
      <c r="AD83" s="195"/>
      <c r="AE83" s="7"/>
      <c r="AF83" s="38"/>
      <c r="AG83" s="38"/>
      <c r="AH83" s="38"/>
      <c r="AI83" s="38"/>
      <c r="AJ83" s="38"/>
      <c r="AK83" s="38"/>
      <c r="AL83" s="779" t="s">
        <v>110</v>
      </c>
      <c r="AM83" s="779"/>
      <c r="AN83" s="779" t="s">
        <v>110</v>
      </c>
      <c r="AO83" s="779"/>
      <c r="AP83" s="779" t="s">
        <v>110</v>
      </c>
      <c r="AQ83" s="779"/>
      <c r="AR83" s="7"/>
    </row>
    <row r="84" spans="1:49" s="1" customFormat="1" ht="13.5" customHeight="1" x14ac:dyDescent="0.3">
      <c r="A84" s="156"/>
      <c r="B84" s="104"/>
      <c r="C84" s="163"/>
      <c r="D84" s="104"/>
      <c r="E84" s="104"/>
      <c r="F84" s="104"/>
      <c r="G84" s="163"/>
      <c r="H84" s="104"/>
      <c r="I84" s="104"/>
      <c r="J84" s="104"/>
      <c r="K84" s="163"/>
      <c r="L84" s="104"/>
      <c r="M84" s="163"/>
      <c r="N84" s="104"/>
      <c r="O84" s="163"/>
      <c r="P84" s="104"/>
      <c r="Q84" s="163"/>
      <c r="R84" s="104"/>
      <c r="S84" s="104"/>
      <c r="T84" s="103"/>
      <c r="U84" s="104"/>
      <c r="V84" s="104"/>
      <c r="W84" s="104"/>
      <c r="X84" s="104"/>
      <c r="Y84" s="104"/>
      <c r="Z84" s="7"/>
      <c r="AA84" s="7"/>
      <c r="AB84" s="7"/>
      <c r="AC84" s="7"/>
      <c r="AD84" s="195"/>
      <c r="AE84" s="7"/>
      <c r="AF84" s="38"/>
      <c r="AG84" s="38"/>
      <c r="AH84" s="38"/>
      <c r="AI84" s="38"/>
      <c r="AJ84" s="38"/>
      <c r="AK84" s="38"/>
      <c r="AL84" s="425" t="s">
        <v>111</v>
      </c>
      <c r="AM84" s="425" t="s">
        <v>112</v>
      </c>
      <c r="AN84" s="425" t="s">
        <v>111</v>
      </c>
      <c r="AO84" s="425" t="s">
        <v>112</v>
      </c>
      <c r="AP84" s="425" t="s">
        <v>111</v>
      </c>
      <c r="AQ84" s="425" t="s">
        <v>112</v>
      </c>
      <c r="AR84" s="11"/>
    </row>
    <row r="85" spans="1:49" s="1" customFormat="1" ht="18" customHeight="1" x14ac:dyDescent="0.3">
      <c r="A85" s="426" t="s">
        <v>113</v>
      </c>
      <c r="B85" s="427"/>
      <c r="C85" s="428"/>
      <c r="D85" s="427"/>
      <c r="E85" s="427"/>
      <c r="F85" s="427"/>
      <c r="G85" s="428"/>
      <c r="H85" s="427"/>
      <c r="I85" s="427"/>
      <c r="J85" s="427"/>
      <c r="K85" s="428"/>
      <c r="L85" s="427"/>
      <c r="M85" s="428"/>
      <c r="N85" s="427"/>
      <c r="O85" s="428"/>
      <c r="P85" s="427"/>
      <c r="Q85" s="428"/>
      <c r="R85" s="427"/>
      <c r="S85" s="427"/>
      <c r="T85" s="427"/>
      <c r="U85" s="427"/>
      <c r="V85" s="427"/>
      <c r="W85" s="427"/>
      <c r="X85" s="427"/>
      <c r="Y85" s="427"/>
      <c r="Z85" s="429"/>
      <c r="AA85" s="429"/>
      <c r="AB85" s="429"/>
      <c r="AC85" s="429"/>
      <c r="AD85" s="430"/>
      <c r="AE85" s="429"/>
      <c r="AF85" s="427"/>
      <c r="AG85" s="427"/>
      <c r="AH85" s="427"/>
      <c r="AI85" s="427"/>
      <c r="AJ85" s="427"/>
      <c r="AK85" s="427"/>
      <c r="AL85" s="431" t="str">
        <f>+'EXTERNAL DEBT USD'!AL85</f>
        <v>B+</v>
      </c>
      <c r="AM85" s="431" t="str">
        <f>+'EXTERNAL DEBT USD'!AM85</f>
        <v>Negativa</v>
      </c>
      <c r="AN85" s="431" t="str">
        <f>+'EXTERNAL DEBT USD'!AN85</f>
        <v>B+</v>
      </c>
      <c r="AO85" s="431" t="str">
        <f>+'EXTERNAL DEBT USD'!AO85</f>
        <v>Negativa</v>
      </c>
      <c r="AP85" s="431" t="str">
        <f>+'EXTERNAL DEBT USD'!AP85</f>
        <v>B+</v>
      </c>
      <c r="AQ85" s="431" t="str">
        <f>+'EXTERNAL DEBT USD'!AQ85</f>
        <v>Negativa</v>
      </c>
      <c r="AR85" s="15"/>
    </row>
    <row r="86" spans="1:49" s="1" customFormat="1" ht="18" customHeight="1" x14ac:dyDescent="0.3">
      <c r="A86" s="157" t="s">
        <v>116</v>
      </c>
      <c r="B86" s="104"/>
      <c r="C86" s="80"/>
      <c r="D86" s="104"/>
      <c r="E86" s="104"/>
      <c r="F86" s="104"/>
      <c r="G86" s="80"/>
      <c r="H86" s="104"/>
      <c r="I86" s="104"/>
      <c r="J86" s="104"/>
      <c r="K86" s="80"/>
      <c r="L86" s="104"/>
      <c r="M86" s="80"/>
      <c r="N86" s="104"/>
      <c r="O86" s="80"/>
      <c r="P86" s="104"/>
      <c r="Q86" s="80"/>
      <c r="R86" s="104"/>
      <c r="S86" s="104"/>
      <c r="T86" s="104"/>
      <c r="U86" s="104"/>
      <c r="V86" s="104"/>
      <c r="W86" s="104"/>
      <c r="X86" s="104"/>
      <c r="Y86" s="104"/>
      <c r="Z86" s="106"/>
      <c r="AA86" s="7"/>
      <c r="AB86" s="106"/>
      <c r="AC86" s="7"/>
      <c r="AD86" s="126"/>
      <c r="AE86" s="7"/>
      <c r="AF86" s="104"/>
      <c r="AG86" s="104"/>
      <c r="AH86" s="104"/>
      <c r="AI86" s="104"/>
      <c r="AJ86" s="104"/>
      <c r="AK86" s="104"/>
      <c r="AL86" s="745" t="str">
        <f>+'EXTERNAL DEBT USD'!AL86</f>
        <v>B1</v>
      </c>
      <c r="AM86" s="745" t="str">
        <f>+'EXTERNAL DEBT USD'!AM86</f>
        <v>Negativa</v>
      </c>
      <c r="AN86" s="745" t="str">
        <f>+'EXTERNAL DEBT USD'!AN86</f>
        <v>B1</v>
      </c>
      <c r="AO86" s="745" t="str">
        <f>+'EXTERNAL DEBT USD'!AO86</f>
        <v>Negativa</v>
      </c>
      <c r="AP86" s="745" t="str">
        <f>+'EXTERNAL DEBT USD'!AP86</f>
        <v>B1</v>
      </c>
      <c r="AQ86" s="745" t="str">
        <f>+'EXTERNAL DEBT USD'!AQ86</f>
        <v>Negativa</v>
      </c>
      <c r="AR86" s="745"/>
    </row>
    <row r="87" spans="1:49" s="1" customFormat="1" ht="17.399999999999999" x14ac:dyDescent="0.3">
      <c r="A87" s="432" t="s">
        <v>118</v>
      </c>
      <c r="B87" s="433"/>
      <c r="C87" s="433"/>
      <c r="D87" s="433"/>
      <c r="E87" s="433"/>
      <c r="F87" s="433"/>
      <c r="G87" s="433"/>
      <c r="H87" s="433"/>
      <c r="I87" s="433"/>
      <c r="J87" s="433"/>
      <c r="K87" s="433"/>
      <c r="L87" s="433"/>
      <c r="M87" s="433"/>
      <c r="N87" s="433"/>
      <c r="O87" s="433"/>
      <c r="P87" s="433"/>
      <c r="Q87" s="433"/>
      <c r="R87" s="433"/>
      <c r="S87" s="433"/>
      <c r="T87" s="433"/>
      <c r="U87" s="433"/>
      <c r="V87" s="433"/>
      <c r="W87" s="433"/>
      <c r="X87" s="433"/>
      <c r="Y87" s="433"/>
      <c r="Z87" s="434"/>
      <c r="AA87" s="434"/>
      <c r="AB87" s="434"/>
      <c r="AC87" s="434"/>
      <c r="AD87" s="434"/>
      <c r="AE87" s="434"/>
      <c r="AF87" s="433"/>
      <c r="AG87" s="433"/>
      <c r="AH87" s="433"/>
      <c r="AI87" s="433"/>
      <c r="AJ87" s="433"/>
      <c r="AK87" s="433"/>
      <c r="AL87" s="435" t="str">
        <f>+'EXTERNAL DEBT USD'!AL87</f>
        <v>B+</v>
      </c>
      <c r="AM87" s="435" t="str">
        <f>+'EXTERNAL DEBT USD'!AM87</f>
        <v>Negativa</v>
      </c>
      <c r="AN87" s="435" t="str">
        <f>+'EXTERNAL DEBT USD'!AN87</f>
        <v>B+</v>
      </c>
      <c r="AO87" s="435" t="str">
        <f>+'EXTERNAL DEBT USD'!AO87</f>
        <v>Negativa</v>
      </c>
      <c r="AP87" s="435" t="str">
        <f>+'EXTERNAL DEBT USD'!AP87</f>
        <v>B+</v>
      </c>
      <c r="AQ87" s="435" t="str">
        <f>+'EXTERNAL DEBT USD'!AQ87</f>
        <v>Negativa</v>
      </c>
      <c r="AR87" s="425"/>
    </row>
    <row r="88" spans="1:49" s="1" customFormat="1" ht="12.75" customHeight="1" x14ac:dyDescent="0.25">
      <c r="A88" s="196"/>
      <c r="B88" s="102"/>
      <c r="C88" s="102"/>
      <c r="D88" s="30"/>
      <c r="E88" s="30"/>
      <c r="F88" s="102"/>
      <c r="G88" s="102"/>
      <c r="H88" s="30"/>
      <c r="I88" s="30"/>
      <c r="J88" s="30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30"/>
      <c r="W88" s="30"/>
      <c r="X88" s="30"/>
      <c r="Y88" s="30"/>
      <c r="Z88" s="12"/>
      <c r="AA88" s="12"/>
      <c r="AB88" s="12"/>
      <c r="AC88" s="12"/>
      <c r="AD88" s="12"/>
      <c r="AE88" s="12"/>
      <c r="AF88" s="102"/>
      <c r="AG88" s="102"/>
      <c r="AH88" s="102"/>
      <c r="AI88" s="102"/>
      <c r="AJ88" s="102"/>
      <c r="AK88" s="102"/>
      <c r="AL88" s="12"/>
      <c r="AM88" s="12"/>
      <c r="AN88" s="102"/>
      <c r="AO88" s="102"/>
      <c r="AP88" s="102"/>
      <c r="AQ88" s="102"/>
      <c r="AR88" s="745"/>
    </row>
    <row r="89" spans="1:49" s="1" customFormat="1" ht="13.5" customHeight="1" x14ac:dyDescent="0.25">
      <c r="A89" s="159" t="s">
        <v>119</v>
      </c>
      <c r="B89" s="78"/>
      <c r="C89" s="82"/>
      <c r="D89" s="61"/>
      <c r="E89" s="61"/>
      <c r="F89" s="158"/>
      <c r="G89" s="82"/>
      <c r="H89" s="61"/>
      <c r="I89" s="61"/>
      <c r="J89" s="61"/>
      <c r="K89" s="82"/>
      <c r="L89" s="82"/>
      <c r="M89" s="82"/>
      <c r="N89" s="82"/>
      <c r="O89" s="82"/>
      <c r="P89" s="82"/>
      <c r="Q89" s="82"/>
      <c r="R89" s="82"/>
      <c r="S89" s="82"/>
      <c r="T89" s="82"/>
      <c r="U89" s="82"/>
      <c r="V89" s="61"/>
      <c r="W89" s="61"/>
      <c r="X89" s="61"/>
      <c r="Y89" s="61"/>
      <c r="Z89" s="586"/>
      <c r="AA89" s="21"/>
      <c r="AB89" s="21"/>
      <c r="AC89" s="21"/>
      <c r="AD89" s="21"/>
      <c r="AE89" s="21"/>
      <c r="AF89" s="61"/>
      <c r="AG89" s="61"/>
      <c r="AH89" s="61"/>
      <c r="AI89" s="61"/>
      <c r="AJ89" s="61"/>
      <c r="AK89" s="61"/>
      <c r="AL89" s="586"/>
      <c r="AM89" s="21"/>
      <c r="AN89" s="159"/>
      <c r="AO89" s="82"/>
      <c r="AP89" s="159"/>
      <c r="AQ89" s="82"/>
      <c r="AR89" s="745"/>
    </row>
    <row r="90" spans="1:49" s="1" customFormat="1" ht="13.5" customHeight="1" x14ac:dyDescent="0.25">
      <c r="A90" s="159" t="s">
        <v>120</v>
      </c>
      <c r="B90" s="82"/>
      <c r="C90" s="82"/>
      <c r="D90" s="61"/>
      <c r="E90" s="61"/>
      <c r="F90" s="158"/>
      <c r="G90" s="82"/>
      <c r="H90" s="61"/>
      <c r="I90" s="61"/>
      <c r="J90" s="61"/>
      <c r="K90" s="82"/>
      <c r="L90" s="160"/>
      <c r="M90" s="82"/>
      <c r="N90" s="160"/>
      <c r="O90" s="82"/>
      <c r="P90" s="160"/>
      <c r="Q90" s="82"/>
      <c r="R90" s="82"/>
      <c r="S90" s="82"/>
      <c r="T90" s="82"/>
      <c r="U90" s="82"/>
      <c r="V90" s="61"/>
      <c r="W90" s="61"/>
      <c r="X90" s="61"/>
      <c r="Y90" s="61"/>
      <c r="Z90" s="21"/>
      <c r="AA90" s="21"/>
      <c r="AB90" s="21"/>
      <c r="AC90" s="21"/>
      <c r="AD90" s="21"/>
      <c r="AE90" s="21"/>
      <c r="AF90" s="61"/>
      <c r="AG90" s="61"/>
      <c r="AH90" s="61"/>
      <c r="AI90" s="61"/>
      <c r="AJ90" s="61"/>
      <c r="AK90" s="61"/>
      <c r="AL90" s="21"/>
      <c r="AM90" s="21"/>
      <c r="AN90" s="82"/>
      <c r="AO90" s="82"/>
      <c r="AP90" s="82"/>
      <c r="AQ90" s="82"/>
      <c r="AR90" s="745"/>
    </row>
    <row r="91" spans="1:49" s="1" customFormat="1" x14ac:dyDescent="0.25">
      <c r="A91" s="63" t="s">
        <v>121</v>
      </c>
      <c r="B91" s="61"/>
      <c r="C91" s="61"/>
      <c r="D91" s="61"/>
      <c r="E91" s="61"/>
      <c r="F91" s="122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2"/>
      <c r="AA91" s="62"/>
      <c r="AB91" s="62"/>
      <c r="AC91" s="62"/>
      <c r="AD91" s="62"/>
      <c r="AE91" s="62"/>
      <c r="AF91" s="61"/>
      <c r="AG91" s="61"/>
      <c r="AH91" s="61"/>
      <c r="AI91" s="61"/>
      <c r="AJ91" s="61"/>
      <c r="AK91" s="61"/>
      <c r="AL91" s="62"/>
      <c r="AM91" s="62"/>
      <c r="AN91" s="61"/>
      <c r="AO91" s="61"/>
      <c r="AP91" s="61"/>
      <c r="AQ91" s="61"/>
      <c r="AR91" s="12"/>
    </row>
    <row r="92" spans="1:49" s="1" customFormat="1" ht="13.8" thickBot="1" x14ac:dyDescent="0.3">
      <c r="A92" s="63"/>
      <c r="B92" s="61"/>
      <c r="C92" s="61"/>
      <c r="D92" s="61"/>
      <c r="E92" s="61"/>
      <c r="F92" s="122"/>
      <c r="G92" s="61"/>
      <c r="H92" s="61"/>
      <c r="I92" s="61"/>
      <c r="J92" s="61"/>
      <c r="K92" s="61"/>
      <c r="L92" s="61"/>
      <c r="M92" s="61"/>
      <c r="N92" s="61"/>
      <c r="O92" s="61"/>
      <c r="P92" s="61"/>
      <c r="Q92" s="61"/>
      <c r="R92" s="61"/>
      <c r="S92" s="61"/>
      <c r="T92" s="61"/>
      <c r="U92" s="61"/>
      <c r="V92" s="61"/>
      <c r="W92" s="61"/>
      <c r="X92" s="61"/>
      <c r="Y92" s="61"/>
      <c r="Z92" s="62"/>
      <c r="AA92" s="62"/>
      <c r="AB92" s="62"/>
      <c r="AC92" s="62"/>
      <c r="AD92" s="62"/>
      <c r="AE92" s="62"/>
      <c r="AF92" s="61"/>
      <c r="AG92" s="61"/>
      <c r="AH92" s="61"/>
      <c r="AI92" s="61"/>
      <c r="AJ92" s="61"/>
      <c r="AK92" s="61"/>
      <c r="AL92" s="62"/>
      <c r="AM92" s="62"/>
      <c r="AN92" s="61"/>
      <c r="AO92" s="61"/>
      <c r="AP92" s="61"/>
      <c r="AQ92" s="61"/>
      <c r="AR92" s="21"/>
    </row>
    <row r="93" spans="1:49" s="3" customFormat="1" ht="13.8" thickBot="1" x14ac:dyDescent="0.3">
      <c r="A93" s="67" t="s">
        <v>122</v>
      </c>
      <c r="B93" s="173">
        <v>318.3</v>
      </c>
      <c r="C93" s="8"/>
      <c r="D93" s="173">
        <v>341.94</v>
      </c>
      <c r="E93" s="8"/>
      <c r="F93" s="173">
        <v>379.05</v>
      </c>
      <c r="G93" s="8"/>
      <c r="H93" s="173">
        <v>419.01</v>
      </c>
      <c r="I93" s="8"/>
      <c r="J93" s="173">
        <v>459.64</v>
      </c>
      <c r="K93" s="8"/>
      <c r="L93" s="173">
        <v>497.71</v>
      </c>
      <c r="M93" s="8"/>
      <c r="N93" s="173">
        <v>518.22</v>
      </c>
      <c r="O93" s="8"/>
      <c r="P93" s="173">
        <v>497.17</v>
      </c>
      <c r="Q93" s="8"/>
      <c r="R93" s="173">
        <v>552.37</v>
      </c>
      <c r="S93" s="8"/>
      <c r="T93" s="173">
        <v>562.1</v>
      </c>
      <c r="U93" s="8"/>
      <c r="V93" s="173">
        <f>+'Domestic Debt Colones'!V89</f>
        <v>512.5</v>
      </c>
      <c r="W93" s="8"/>
      <c r="X93" s="173">
        <f>+'Domestic Debt Colones'!X89</f>
        <v>510.82</v>
      </c>
      <c r="Y93" s="8"/>
      <c r="Z93" s="173">
        <f>+'Domestic Debt Colones'!Z89</f>
        <v>509.23</v>
      </c>
      <c r="AA93" s="8"/>
      <c r="AB93" s="173">
        <f>+'Domestic Debt Colones'!AB89</f>
        <v>502.47</v>
      </c>
      <c r="AC93" s="8"/>
      <c r="AD93" s="173">
        <f>+'Domestic Debt Colones'!AD89</f>
        <v>542.22</v>
      </c>
      <c r="AE93" s="8"/>
      <c r="AF93" s="173">
        <f>+'Domestic Debt Colones'!AF89</f>
        <v>537.80999999999995</v>
      </c>
      <c r="AG93" s="8"/>
      <c r="AH93" s="173">
        <f>+'Domestic Debt Colones'!AH89</f>
        <v>556.44000000000005</v>
      </c>
      <c r="AI93" s="8"/>
      <c r="AJ93" s="173">
        <f>+'Domestic Debt Colones'!AJ89</f>
        <v>570.49</v>
      </c>
      <c r="AK93" s="8"/>
      <c r="AL93" s="173">
        <f>+'Domestic Debt Colones'!AL89</f>
        <v>609.87</v>
      </c>
      <c r="AM93" s="67"/>
      <c r="AN93" s="689">
        <f>+'Domestic Debt Colones'!AN89</f>
        <v>573.53</v>
      </c>
      <c r="AO93" s="143"/>
      <c r="AP93" s="123">
        <f>+'Domestic Debt Colones'!AP89</f>
        <v>615.74</v>
      </c>
      <c r="AQ93" s="143"/>
      <c r="AR93" s="21"/>
    </row>
    <row r="94" spans="1:49" x14ac:dyDescent="0.25">
      <c r="A94" s="65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67"/>
      <c r="Y94" s="67"/>
      <c r="Z94" s="67"/>
      <c r="AA94" s="67"/>
      <c r="AB94" s="67"/>
      <c r="AC94" s="67"/>
      <c r="AD94" s="67"/>
      <c r="AE94" s="67"/>
      <c r="AF94" s="213"/>
      <c r="AG94" s="213"/>
      <c r="AH94" s="213"/>
      <c r="AI94" s="213"/>
      <c r="AJ94" s="213"/>
      <c r="AK94" s="213"/>
      <c r="AL94" s="67"/>
      <c r="AM94" s="67"/>
      <c r="AN94" s="67"/>
      <c r="AO94" s="67"/>
      <c r="AP94" s="67"/>
      <c r="AQ94" s="67"/>
      <c r="AR94" s="62"/>
      <c r="AS94" s="8"/>
      <c r="AT94" s="8"/>
      <c r="AU94" s="8"/>
      <c r="AV94" s="8"/>
      <c r="AW94" s="8"/>
    </row>
    <row r="95" spans="1:49" x14ac:dyDescent="0.25">
      <c r="A95" s="60">
        <f>+'EXTERNAL DEBT USD'!A96</f>
        <v>0</v>
      </c>
      <c r="D95" s="4"/>
      <c r="E95" s="4"/>
      <c r="H95" s="4"/>
      <c r="I95" s="4"/>
      <c r="X95" s="438"/>
      <c r="Y95" s="438"/>
      <c r="Z95" s="585"/>
      <c r="AA95" s="585"/>
      <c r="AB95" s="585"/>
      <c r="AC95" s="585"/>
      <c r="AD95" s="585"/>
      <c r="AE95" s="585"/>
      <c r="AN95" s="438"/>
      <c r="AO95" s="438"/>
      <c r="AR95" s="62"/>
    </row>
    <row r="96" spans="1:49" x14ac:dyDescent="0.25">
      <c r="A96" s="62"/>
      <c r="B96" s="137"/>
      <c r="D96" s="4"/>
      <c r="E96" s="4"/>
      <c r="F96" s="137"/>
      <c r="H96" s="4"/>
      <c r="I96" s="4"/>
      <c r="X96" s="438"/>
      <c r="Y96" s="438"/>
      <c r="Z96" s="585"/>
      <c r="AA96" s="585"/>
      <c r="AB96" s="585"/>
      <c r="AC96" s="585"/>
      <c r="AD96" s="585"/>
      <c r="AE96" s="585"/>
      <c r="AN96" s="438"/>
      <c r="AO96" s="438"/>
      <c r="AR96" s="67"/>
    </row>
    <row r="97" spans="1:44" x14ac:dyDescent="0.25">
      <c r="A97" s="62"/>
      <c r="B97" s="137"/>
      <c r="D97" s="4"/>
      <c r="E97" s="4"/>
      <c r="F97" s="137"/>
      <c r="H97" s="4"/>
      <c r="I97" s="4"/>
      <c r="X97" s="438"/>
      <c r="Y97" s="438"/>
      <c r="Z97" s="585"/>
      <c r="AA97" s="585"/>
      <c r="AB97" s="585"/>
      <c r="AC97" s="585"/>
      <c r="AD97" s="585"/>
      <c r="AE97" s="585"/>
      <c r="AN97" s="438"/>
      <c r="AO97" s="438"/>
      <c r="AR97" s="67"/>
    </row>
    <row r="98" spans="1:44" x14ac:dyDescent="0.25">
      <c r="A98" s="62"/>
      <c r="D98" s="4"/>
      <c r="E98" s="4"/>
      <c r="H98" s="4"/>
      <c r="I98" s="4"/>
      <c r="X98" s="438"/>
      <c r="Y98" s="438"/>
      <c r="Z98" s="585"/>
      <c r="AA98" s="585"/>
      <c r="AB98" s="585"/>
      <c r="AC98" s="585"/>
      <c r="AD98" s="585"/>
      <c r="AE98" s="585"/>
      <c r="AN98" s="438"/>
      <c r="AO98" s="438"/>
      <c r="AR98" s="585"/>
    </row>
    <row r="99" spans="1:44" x14ac:dyDescent="0.25">
      <c r="A99" s="62"/>
      <c r="D99" s="4"/>
      <c r="E99" s="4"/>
      <c r="H99" s="4"/>
      <c r="I99" s="4"/>
      <c r="X99" s="438"/>
      <c r="Y99" s="438"/>
      <c r="Z99" s="585"/>
      <c r="AA99" s="585"/>
      <c r="AB99" s="585"/>
      <c r="AC99" s="585"/>
      <c r="AD99" s="585"/>
      <c r="AE99" s="585"/>
      <c r="AN99" s="438"/>
      <c r="AO99" s="438"/>
      <c r="AR99" s="585"/>
    </row>
    <row r="100" spans="1:44" x14ac:dyDescent="0.25">
      <c r="A100" s="62"/>
      <c r="D100" s="4"/>
      <c r="E100" s="4"/>
      <c r="H100" s="4"/>
      <c r="I100" s="4"/>
      <c r="X100" s="438"/>
      <c r="Y100" s="438"/>
      <c r="Z100" s="585"/>
      <c r="AA100" s="585"/>
      <c r="AB100" s="585"/>
      <c r="AC100" s="585"/>
      <c r="AD100" s="585"/>
      <c r="AE100" s="585"/>
      <c r="AN100" s="438"/>
      <c r="AO100" s="438"/>
      <c r="AR100" s="585"/>
    </row>
    <row r="101" spans="1:44" x14ac:dyDescent="0.25">
      <c r="A101" s="585"/>
      <c r="D101" s="4"/>
      <c r="E101" s="4"/>
      <c r="H101" s="4"/>
      <c r="I101" s="4"/>
      <c r="X101" s="438"/>
      <c r="Y101" s="438"/>
      <c r="Z101" s="585"/>
      <c r="AA101" s="585"/>
      <c r="AB101" s="585"/>
      <c r="AC101" s="585"/>
      <c r="AD101" s="585"/>
      <c r="AE101" s="585"/>
      <c r="AN101" s="438"/>
      <c r="AO101" s="438"/>
      <c r="AR101" s="585"/>
    </row>
    <row r="102" spans="1:44" x14ac:dyDescent="0.25">
      <c r="A102" s="585"/>
      <c r="D102" s="4"/>
      <c r="E102" s="4"/>
      <c r="H102" s="4"/>
      <c r="I102" s="4"/>
      <c r="X102" s="438"/>
      <c r="Y102" s="438"/>
      <c r="Z102" s="585"/>
      <c r="AA102" s="585"/>
      <c r="AB102" s="585"/>
      <c r="AC102" s="585"/>
      <c r="AD102" s="585"/>
      <c r="AE102" s="585"/>
      <c r="AN102" s="438"/>
      <c r="AO102" s="438"/>
      <c r="AR102" s="585"/>
    </row>
    <row r="103" spans="1:44" x14ac:dyDescent="0.25">
      <c r="A103" s="585"/>
      <c r="D103" s="4"/>
      <c r="E103" s="4"/>
      <c r="H103" s="4"/>
      <c r="I103" s="4"/>
      <c r="X103" s="438"/>
      <c r="Y103" s="438"/>
      <c r="Z103" s="585"/>
      <c r="AA103" s="585"/>
      <c r="AB103" s="585"/>
      <c r="AC103" s="585"/>
      <c r="AD103" s="585"/>
      <c r="AE103" s="585"/>
      <c r="AN103" s="438"/>
      <c r="AO103" s="438"/>
      <c r="AR103" s="585"/>
    </row>
    <row r="104" spans="1:44" x14ac:dyDescent="0.25">
      <c r="A104" s="585"/>
      <c r="D104" s="4"/>
      <c r="E104" s="4"/>
      <c r="H104" s="4"/>
      <c r="I104" s="4"/>
      <c r="X104" s="438"/>
      <c r="Y104" s="438"/>
      <c r="Z104" s="585"/>
      <c r="AA104" s="585"/>
      <c r="AB104" s="585"/>
      <c r="AC104" s="585"/>
      <c r="AD104" s="585"/>
      <c r="AE104" s="585"/>
      <c r="AN104" s="438"/>
      <c r="AO104" s="438"/>
      <c r="AR104" s="585"/>
    </row>
    <row r="105" spans="1:44" x14ac:dyDescent="0.25">
      <c r="A105" s="585"/>
      <c r="D105" s="4"/>
      <c r="E105" s="4"/>
      <c r="H105" s="4"/>
      <c r="I105" s="4"/>
      <c r="X105" s="438"/>
      <c r="Y105" s="438"/>
      <c r="Z105" s="585"/>
      <c r="AA105" s="585"/>
      <c r="AB105" s="585"/>
      <c r="AC105" s="585"/>
      <c r="AD105" s="585"/>
      <c r="AE105" s="585"/>
      <c r="AN105" s="438"/>
      <c r="AO105" s="438"/>
      <c r="AR105" s="585"/>
    </row>
    <row r="106" spans="1:44" x14ac:dyDescent="0.25">
      <c r="A106" s="585"/>
      <c r="D106" s="4"/>
      <c r="E106" s="4"/>
      <c r="H106" s="4"/>
      <c r="I106" s="4"/>
      <c r="X106" s="438"/>
      <c r="Y106" s="438"/>
      <c r="Z106" s="585"/>
      <c r="AA106" s="585"/>
      <c r="AB106" s="585"/>
      <c r="AC106" s="585"/>
      <c r="AD106" s="585"/>
      <c r="AE106" s="585"/>
      <c r="AN106" s="438"/>
      <c r="AO106" s="438"/>
      <c r="AR106" s="585"/>
    </row>
    <row r="107" spans="1:44" x14ac:dyDescent="0.25">
      <c r="A107" s="438"/>
      <c r="D107" s="4"/>
      <c r="E107" s="4"/>
      <c r="H107" s="4"/>
      <c r="I107" s="4"/>
      <c r="X107" s="438"/>
      <c r="Y107" s="438"/>
      <c r="Z107" s="585"/>
      <c r="AA107" s="585"/>
      <c r="AB107" s="585"/>
      <c r="AC107" s="585"/>
      <c r="AD107" s="585"/>
      <c r="AE107" s="585"/>
      <c r="AN107" s="438"/>
      <c r="AO107" s="438"/>
      <c r="AR107" s="585"/>
    </row>
    <row r="108" spans="1:44" x14ac:dyDescent="0.25">
      <c r="A108" s="438"/>
      <c r="D108" s="4"/>
      <c r="E108" s="4"/>
      <c r="H108" s="4"/>
      <c r="I108" s="4"/>
      <c r="X108" s="438"/>
      <c r="Y108" s="438"/>
      <c r="Z108" s="585"/>
      <c r="AA108" s="585"/>
      <c r="AB108" s="585"/>
      <c r="AC108" s="585"/>
      <c r="AD108" s="585"/>
      <c r="AE108" s="585"/>
      <c r="AN108" s="438"/>
      <c r="AO108" s="438"/>
      <c r="AR108" s="585"/>
    </row>
    <row r="109" spans="1:44" x14ac:dyDescent="0.25">
      <c r="A109" s="438"/>
      <c r="D109" s="4"/>
      <c r="E109" s="4"/>
      <c r="H109" s="4"/>
      <c r="I109" s="4"/>
      <c r="X109" s="438"/>
      <c r="Y109" s="438"/>
      <c r="Z109" s="585"/>
      <c r="AA109" s="585"/>
      <c r="AB109" s="585"/>
      <c r="AC109" s="585"/>
      <c r="AD109" s="585"/>
      <c r="AE109" s="585"/>
      <c r="AN109" s="438"/>
      <c r="AO109" s="438"/>
      <c r="AR109" s="585"/>
    </row>
    <row r="110" spans="1:44" x14ac:dyDescent="0.25">
      <c r="A110" s="438"/>
      <c r="D110" s="4"/>
      <c r="E110" s="4"/>
      <c r="H110" s="4"/>
      <c r="I110" s="4"/>
      <c r="X110" s="438"/>
      <c r="Y110" s="438"/>
      <c r="Z110" s="585"/>
      <c r="AA110" s="585"/>
      <c r="AB110" s="585"/>
      <c r="AC110" s="585"/>
      <c r="AD110" s="585"/>
      <c r="AE110" s="585"/>
      <c r="AN110" s="438"/>
      <c r="AO110" s="438"/>
      <c r="AR110" s="585"/>
    </row>
    <row r="111" spans="1:44" x14ac:dyDescent="0.25">
      <c r="A111" s="438"/>
      <c r="D111" s="4"/>
      <c r="E111" s="4"/>
      <c r="H111" s="4"/>
      <c r="I111" s="4"/>
      <c r="X111" s="438"/>
      <c r="Y111" s="438"/>
      <c r="Z111" s="585"/>
      <c r="AA111" s="585"/>
      <c r="AB111" s="585"/>
      <c r="AC111" s="585"/>
      <c r="AD111" s="585"/>
      <c r="AE111" s="585"/>
      <c r="AN111" s="438"/>
      <c r="AO111" s="438"/>
      <c r="AR111" s="585"/>
    </row>
    <row r="112" spans="1:44" x14ac:dyDescent="0.25">
      <c r="A112" s="438"/>
      <c r="D112" s="4"/>
      <c r="E112" s="4"/>
      <c r="H112" s="4"/>
      <c r="I112" s="4"/>
      <c r="X112" s="438"/>
      <c r="Y112" s="438"/>
      <c r="Z112" s="585"/>
      <c r="AA112" s="585"/>
      <c r="AB112" s="585"/>
      <c r="AC112" s="585"/>
      <c r="AD112" s="585"/>
      <c r="AE112" s="585"/>
      <c r="AN112" s="438"/>
      <c r="AO112" s="438"/>
      <c r="AR112" s="585"/>
    </row>
    <row r="113" spans="4:9" x14ac:dyDescent="0.25">
      <c r="D113" s="4"/>
      <c r="E113" s="4"/>
      <c r="H113" s="4"/>
      <c r="I113" s="4"/>
    </row>
    <row r="114" spans="4:9" x14ac:dyDescent="0.25">
      <c r="D114" s="4"/>
      <c r="E114" s="4"/>
      <c r="H114" s="4"/>
      <c r="I114" s="4"/>
    </row>
    <row r="115" spans="4:9" x14ac:dyDescent="0.25">
      <c r="D115" s="4"/>
      <c r="E115" s="4"/>
      <c r="H115" s="4"/>
      <c r="I115" s="4"/>
    </row>
    <row r="116" spans="4:9" x14ac:dyDescent="0.25">
      <c r="D116" s="4"/>
      <c r="E116" s="4"/>
      <c r="H116" s="4"/>
      <c r="I116" s="4"/>
    </row>
    <row r="117" spans="4:9" x14ac:dyDescent="0.25">
      <c r="D117" s="4"/>
      <c r="E117" s="4"/>
      <c r="H117" s="4"/>
      <c r="I117" s="4"/>
    </row>
    <row r="118" spans="4:9" x14ac:dyDescent="0.25">
      <c r="D118" s="4"/>
      <c r="E118" s="4"/>
      <c r="H118" s="4"/>
      <c r="I118" s="4"/>
    </row>
    <row r="119" spans="4:9" x14ac:dyDescent="0.25">
      <c r="D119" s="4"/>
      <c r="E119" s="4"/>
      <c r="H119" s="4"/>
      <c r="I119" s="4"/>
    </row>
    <row r="120" spans="4:9" x14ac:dyDescent="0.25">
      <c r="D120" s="4"/>
      <c r="E120" s="4"/>
      <c r="H120" s="4"/>
      <c r="I120" s="4"/>
    </row>
    <row r="121" spans="4:9" x14ac:dyDescent="0.25">
      <c r="D121" s="4"/>
      <c r="E121" s="4"/>
      <c r="H121" s="4"/>
      <c r="I121" s="4"/>
    </row>
    <row r="122" spans="4:9" x14ac:dyDescent="0.25">
      <c r="D122" s="4"/>
      <c r="E122" s="4"/>
      <c r="H122" s="4"/>
      <c r="I122" s="4"/>
    </row>
    <row r="123" spans="4:9" x14ac:dyDescent="0.25">
      <c r="D123" s="4"/>
      <c r="E123" s="4"/>
      <c r="H123" s="4"/>
      <c r="I123" s="4"/>
    </row>
    <row r="124" spans="4:9" x14ac:dyDescent="0.25">
      <c r="D124" s="4"/>
      <c r="E124" s="4"/>
      <c r="H124" s="4"/>
      <c r="I124" s="4"/>
    </row>
    <row r="125" spans="4:9" x14ac:dyDescent="0.25">
      <c r="D125" s="4"/>
      <c r="E125" s="4"/>
      <c r="H125" s="4"/>
      <c r="I125" s="4"/>
    </row>
    <row r="126" spans="4:9" x14ac:dyDescent="0.25">
      <c r="D126" s="4"/>
      <c r="E126" s="4"/>
      <c r="H126" s="4"/>
      <c r="I126" s="4"/>
    </row>
    <row r="127" spans="4:9" x14ac:dyDescent="0.25">
      <c r="D127" s="4"/>
      <c r="E127" s="4"/>
      <c r="H127" s="4"/>
      <c r="I127" s="4"/>
    </row>
    <row r="128" spans="4:9" x14ac:dyDescent="0.25">
      <c r="D128" s="4"/>
      <c r="E128" s="4"/>
      <c r="H128" s="4"/>
      <c r="I128" s="4"/>
    </row>
    <row r="129" spans="4:9" x14ac:dyDescent="0.25">
      <c r="D129" s="4"/>
      <c r="E129" s="4"/>
      <c r="H129" s="4"/>
      <c r="I129" s="4"/>
    </row>
    <row r="130" spans="4:9" x14ac:dyDescent="0.25">
      <c r="D130" s="4"/>
      <c r="E130" s="4"/>
      <c r="H130" s="4"/>
      <c r="I130" s="4"/>
    </row>
    <row r="131" spans="4:9" x14ac:dyDescent="0.25">
      <c r="D131" s="4"/>
      <c r="E131" s="4"/>
      <c r="H131" s="4"/>
      <c r="I131" s="4"/>
    </row>
    <row r="132" spans="4:9" x14ac:dyDescent="0.25">
      <c r="D132" s="4"/>
      <c r="E132" s="4"/>
      <c r="H132" s="4"/>
      <c r="I132" s="4"/>
    </row>
    <row r="133" spans="4:9" x14ac:dyDescent="0.25">
      <c r="D133" s="4"/>
      <c r="E133" s="4"/>
      <c r="H133" s="4"/>
      <c r="I133" s="4"/>
    </row>
    <row r="134" spans="4:9" x14ac:dyDescent="0.25">
      <c r="D134" s="4"/>
      <c r="E134" s="4"/>
      <c r="H134" s="4"/>
      <c r="I134" s="4"/>
    </row>
    <row r="135" spans="4:9" x14ac:dyDescent="0.25">
      <c r="D135" s="4"/>
      <c r="E135" s="4"/>
      <c r="H135" s="4"/>
      <c r="I135" s="4"/>
    </row>
    <row r="136" spans="4:9" x14ac:dyDescent="0.25">
      <c r="D136" s="4"/>
      <c r="E136" s="4"/>
      <c r="H136" s="4"/>
      <c r="I136" s="4"/>
    </row>
    <row r="137" spans="4:9" x14ac:dyDescent="0.25">
      <c r="D137" s="4"/>
      <c r="E137" s="4"/>
      <c r="H137" s="4"/>
      <c r="I137" s="4"/>
    </row>
    <row r="138" spans="4:9" x14ac:dyDescent="0.25">
      <c r="D138" s="4"/>
      <c r="E138" s="4"/>
      <c r="H138" s="4"/>
      <c r="I138" s="4"/>
    </row>
    <row r="139" spans="4:9" x14ac:dyDescent="0.25">
      <c r="D139" s="4"/>
      <c r="E139" s="4"/>
      <c r="H139" s="4"/>
      <c r="I139" s="4"/>
    </row>
    <row r="140" spans="4:9" x14ac:dyDescent="0.25">
      <c r="D140" s="4"/>
      <c r="E140" s="4"/>
      <c r="H140" s="4"/>
      <c r="I140" s="4"/>
    </row>
    <row r="141" spans="4:9" x14ac:dyDescent="0.25">
      <c r="D141" s="4"/>
      <c r="E141" s="4"/>
      <c r="H141" s="4"/>
      <c r="I141" s="4"/>
    </row>
    <row r="142" spans="4:9" x14ac:dyDescent="0.25">
      <c r="D142" s="4"/>
      <c r="E142" s="4"/>
      <c r="H142" s="4"/>
      <c r="I142" s="4"/>
    </row>
    <row r="143" spans="4:9" x14ac:dyDescent="0.25">
      <c r="D143" s="4"/>
      <c r="E143" s="4"/>
      <c r="H143" s="4"/>
      <c r="I143" s="4"/>
    </row>
    <row r="144" spans="4:9" x14ac:dyDescent="0.25">
      <c r="D144" s="4"/>
      <c r="E144" s="4"/>
      <c r="H144" s="4"/>
      <c r="I144" s="4"/>
    </row>
    <row r="145" spans="4:9" x14ac:dyDescent="0.25">
      <c r="D145" s="4"/>
      <c r="E145" s="4"/>
      <c r="H145" s="4"/>
      <c r="I145" s="4"/>
    </row>
    <row r="146" spans="4:9" x14ac:dyDescent="0.25">
      <c r="D146" s="4"/>
      <c r="E146" s="4"/>
      <c r="H146" s="4"/>
      <c r="I146" s="4"/>
    </row>
    <row r="147" spans="4:9" x14ac:dyDescent="0.25">
      <c r="D147" s="4"/>
      <c r="E147" s="4"/>
      <c r="H147" s="4"/>
      <c r="I147" s="4"/>
    </row>
    <row r="148" spans="4:9" x14ac:dyDescent="0.25">
      <c r="D148" s="4"/>
      <c r="E148" s="4"/>
      <c r="H148" s="4"/>
      <c r="I148" s="4"/>
    </row>
    <row r="149" spans="4:9" x14ac:dyDescent="0.25">
      <c r="D149" s="4"/>
      <c r="E149" s="4"/>
      <c r="H149" s="4"/>
      <c r="I149" s="4"/>
    </row>
    <row r="150" spans="4:9" x14ac:dyDescent="0.25">
      <c r="D150" s="4"/>
      <c r="E150" s="4"/>
      <c r="H150" s="4"/>
      <c r="I150" s="4"/>
    </row>
    <row r="151" spans="4:9" x14ac:dyDescent="0.25">
      <c r="D151" s="4"/>
      <c r="E151" s="4"/>
      <c r="H151" s="4"/>
      <c r="I151" s="4"/>
    </row>
    <row r="152" spans="4:9" x14ac:dyDescent="0.25">
      <c r="D152" s="4"/>
      <c r="E152" s="4"/>
      <c r="H152" s="4"/>
      <c r="I152" s="4"/>
    </row>
    <row r="153" spans="4:9" x14ac:dyDescent="0.25">
      <c r="D153" s="4"/>
      <c r="E153" s="4"/>
      <c r="H153" s="4"/>
      <c r="I153" s="4"/>
    </row>
    <row r="154" spans="4:9" x14ac:dyDescent="0.25">
      <c r="D154" s="4"/>
      <c r="E154" s="4"/>
      <c r="H154" s="4"/>
      <c r="I154" s="4"/>
    </row>
    <row r="155" spans="4:9" x14ac:dyDescent="0.25">
      <c r="D155" s="4"/>
      <c r="E155" s="4"/>
      <c r="H155" s="4"/>
      <c r="I155" s="4"/>
    </row>
    <row r="156" spans="4:9" x14ac:dyDescent="0.25">
      <c r="D156" s="4"/>
      <c r="E156" s="4"/>
      <c r="H156" s="4"/>
      <c r="I156" s="4"/>
    </row>
    <row r="157" spans="4:9" x14ac:dyDescent="0.25">
      <c r="D157" s="4"/>
      <c r="E157" s="4"/>
      <c r="H157" s="4"/>
      <c r="I157" s="4"/>
    </row>
    <row r="158" spans="4:9" x14ac:dyDescent="0.25">
      <c r="D158" s="4"/>
      <c r="E158" s="4"/>
      <c r="H158" s="4"/>
      <c r="I158" s="4"/>
    </row>
    <row r="159" spans="4:9" x14ac:dyDescent="0.25">
      <c r="D159" s="4"/>
      <c r="E159" s="4"/>
      <c r="H159" s="4"/>
      <c r="I159" s="4"/>
    </row>
    <row r="160" spans="4:9" x14ac:dyDescent="0.25">
      <c r="D160" s="4"/>
      <c r="E160" s="4"/>
      <c r="H160" s="4"/>
      <c r="I160" s="4"/>
    </row>
    <row r="161" spans="4:9" x14ac:dyDescent="0.25">
      <c r="D161" s="4"/>
      <c r="E161" s="4"/>
      <c r="H161" s="4"/>
      <c r="I161" s="4"/>
    </row>
    <row r="162" spans="4:9" x14ac:dyDescent="0.25">
      <c r="D162" s="4"/>
      <c r="E162" s="4"/>
      <c r="H162" s="4"/>
      <c r="I162" s="4"/>
    </row>
    <row r="163" spans="4:9" x14ac:dyDescent="0.25">
      <c r="D163" s="4"/>
      <c r="E163" s="4"/>
      <c r="H163" s="4"/>
      <c r="I163" s="4"/>
    </row>
    <row r="164" spans="4:9" x14ac:dyDescent="0.25">
      <c r="D164" s="4"/>
      <c r="E164" s="4"/>
      <c r="H164" s="4"/>
      <c r="I164" s="4"/>
    </row>
    <row r="165" spans="4:9" x14ac:dyDescent="0.25">
      <c r="D165" s="4"/>
      <c r="E165" s="4"/>
      <c r="H165" s="4"/>
      <c r="I165" s="4"/>
    </row>
    <row r="166" spans="4:9" x14ac:dyDescent="0.25">
      <c r="D166" s="4"/>
      <c r="E166" s="4"/>
      <c r="H166" s="4"/>
      <c r="I166" s="4"/>
    </row>
    <row r="167" spans="4:9" x14ac:dyDescent="0.25">
      <c r="D167" s="4"/>
      <c r="E167" s="4"/>
      <c r="H167" s="4"/>
      <c r="I167" s="4"/>
    </row>
    <row r="168" spans="4:9" x14ac:dyDescent="0.25">
      <c r="D168" s="4"/>
      <c r="E168" s="4"/>
      <c r="H168" s="4"/>
      <c r="I168" s="4"/>
    </row>
    <row r="169" spans="4:9" x14ac:dyDescent="0.25">
      <c r="D169" s="4"/>
      <c r="E169" s="4"/>
      <c r="H169" s="4"/>
      <c r="I169" s="4"/>
    </row>
    <row r="170" spans="4:9" x14ac:dyDescent="0.25">
      <c r="D170" s="4"/>
      <c r="E170" s="4"/>
      <c r="H170" s="4"/>
      <c r="I170" s="4"/>
    </row>
    <row r="171" spans="4:9" x14ac:dyDescent="0.25">
      <c r="D171" s="4"/>
      <c r="E171" s="4"/>
      <c r="H171" s="4"/>
      <c r="I171" s="4"/>
    </row>
    <row r="172" spans="4:9" x14ac:dyDescent="0.25">
      <c r="D172" s="4"/>
      <c r="E172" s="4"/>
      <c r="H172" s="4"/>
      <c r="I172" s="4"/>
    </row>
    <row r="173" spans="4:9" x14ac:dyDescent="0.25">
      <c r="D173" s="4"/>
      <c r="E173" s="4"/>
      <c r="H173" s="4"/>
      <c r="I173" s="4"/>
    </row>
    <row r="174" spans="4:9" x14ac:dyDescent="0.25">
      <c r="D174" s="4"/>
      <c r="E174" s="4"/>
      <c r="H174" s="4"/>
      <c r="I174" s="4"/>
    </row>
    <row r="175" spans="4:9" x14ac:dyDescent="0.25">
      <c r="D175" s="4"/>
      <c r="E175" s="4"/>
      <c r="H175" s="4"/>
      <c r="I175" s="4"/>
    </row>
    <row r="176" spans="4:9" x14ac:dyDescent="0.25">
      <c r="D176" s="4"/>
      <c r="E176" s="4"/>
      <c r="H176" s="4"/>
      <c r="I176" s="4"/>
    </row>
    <row r="177" spans="4:9" x14ac:dyDescent="0.25">
      <c r="D177" s="4"/>
      <c r="E177" s="4"/>
      <c r="H177" s="4"/>
      <c r="I177" s="4"/>
    </row>
    <row r="178" spans="4:9" x14ac:dyDescent="0.25">
      <c r="D178" s="4"/>
      <c r="E178" s="4"/>
      <c r="H178" s="4"/>
      <c r="I178" s="4"/>
    </row>
    <row r="179" spans="4:9" x14ac:dyDescent="0.25">
      <c r="D179" s="4"/>
      <c r="E179" s="4"/>
      <c r="H179" s="4"/>
      <c r="I179" s="4"/>
    </row>
    <row r="180" spans="4:9" x14ac:dyDescent="0.25">
      <c r="D180" s="4"/>
      <c r="E180" s="4"/>
      <c r="H180" s="4"/>
      <c r="I180" s="4"/>
    </row>
    <row r="181" spans="4:9" x14ac:dyDescent="0.25">
      <c r="D181" s="4"/>
      <c r="E181" s="4"/>
      <c r="H181" s="4"/>
      <c r="I181" s="4"/>
    </row>
    <row r="182" spans="4:9" x14ac:dyDescent="0.25">
      <c r="D182" s="4"/>
      <c r="E182" s="4"/>
      <c r="H182" s="4"/>
      <c r="I182" s="4"/>
    </row>
    <row r="183" spans="4:9" x14ac:dyDescent="0.25">
      <c r="D183" s="4"/>
      <c r="E183" s="4"/>
      <c r="H183" s="4"/>
      <c r="I183" s="4"/>
    </row>
    <row r="184" spans="4:9" x14ac:dyDescent="0.25">
      <c r="D184" s="4"/>
      <c r="E184" s="4"/>
      <c r="H184" s="4"/>
      <c r="I184" s="4"/>
    </row>
    <row r="185" spans="4:9" x14ac:dyDescent="0.25">
      <c r="D185" s="4"/>
      <c r="E185" s="4"/>
      <c r="H185" s="4"/>
      <c r="I185" s="4"/>
    </row>
    <row r="186" spans="4:9" x14ac:dyDescent="0.25">
      <c r="D186" s="4"/>
      <c r="E186" s="4"/>
      <c r="H186" s="4"/>
      <c r="I186" s="4"/>
    </row>
    <row r="187" spans="4:9" x14ac:dyDescent="0.25">
      <c r="D187" s="4"/>
      <c r="E187" s="4"/>
      <c r="H187" s="4"/>
      <c r="I187" s="4"/>
    </row>
    <row r="188" spans="4:9" x14ac:dyDescent="0.25">
      <c r="D188" s="4"/>
      <c r="E188" s="4"/>
      <c r="H188" s="4"/>
      <c r="I188" s="4"/>
    </row>
    <row r="189" spans="4:9" x14ac:dyDescent="0.25">
      <c r="D189" s="4"/>
      <c r="E189" s="4"/>
      <c r="H189" s="4"/>
      <c r="I189" s="4"/>
    </row>
    <row r="190" spans="4:9" x14ac:dyDescent="0.25">
      <c r="D190" s="4"/>
      <c r="E190" s="4"/>
      <c r="H190" s="4"/>
      <c r="I190" s="4"/>
    </row>
    <row r="191" spans="4:9" x14ac:dyDescent="0.25">
      <c r="D191" s="4"/>
      <c r="E191" s="4"/>
      <c r="H191" s="4"/>
      <c r="I191" s="4"/>
    </row>
    <row r="192" spans="4:9" x14ac:dyDescent="0.25">
      <c r="D192" s="4"/>
      <c r="E192" s="4"/>
      <c r="H192" s="4"/>
      <c r="I192" s="4"/>
    </row>
    <row r="193" spans="4:9" x14ac:dyDescent="0.25">
      <c r="D193" s="4"/>
      <c r="E193" s="4"/>
      <c r="H193" s="4"/>
      <c r="I193" s="4"/>
    </row>
    <row r="194" spans="4:9" x14ac:dyDescent="0.25">
      <c r="D194" s="4"/>
      <c r="E194" s="4"/>
      <c r="H194" s="4"/>
      <c r="I194" s="4"/>
    </row>
    <row r="195" spans="4:9" x14ac:dyDescent="0.25">
      <c r="D195" s="4"/>
      <c r="E195" s="4"/>
      <c r="H195" s="4"/>
      <c r="I195" s="4"/>
    </row>
    <row r="196" spans="4:9" x14ac:dyDescent="0.25">
      <c r="D196" s="4"/>
      <c r="E196" s="4"/>
      <c r="H196" s="4"/>
      <c r="I196" s="4"/>
    </row>
    <row r="197" spans="4:9" x14ac:dyDescent="0.25">
      <c r="D197" s="4"/>
      <c r="E197" s="4"/>
      <c r="H197" s="4"/>
      <c r="I197" s="4"/>
    </row>
    <row r="198" spans="4:9" x14ac:dyDescent="0.25">
      <c r="D198" s="4"/>
      <c r="E198" s="4"/>
      <c r="H198" s="4"/>
      <c r="I198" s="4"/>
    </row>
    <row r="199" spans="4:9" x14ac:dyDescent="0.25">
      <c r="D199" s="4"/>
      <c r="E199" s="4"/>
      <c r="H199" s="4"/>
      <c r="I199" s="4"/>
    </row>
    <row r="200" spans="4:9" x14ac:dyDescent="0.25">
      <c r="D200" s="4"/>
      <c r="E200" s="4"/>
      <c r="H200" s="4"/>
      <c r="I200" s="4"/>
    </row>
    <row r="201" spans="4:9" x14ac:dyDescent="0.25">
      <c r="D201" s="4"/>
      <c r="E201" s="4"/>
      <c r="H201" s="4"/>
      <c r="I201" s="4"/>
    </row>
    <row r="202" spans="4:9" x14ac:dyDescent="0.25">
      <c r="D202" s="4"/>
      <c r="E202" s="4"/>
      <c r="H202" s="4"/>
      <c r="I202" s="4"/>
    </row>
    <row r="203" spans="4:9" x14ac:dyDescent="0.25">
      <c r="D203" s="4"/>
      <c r="E203" s="4"/>
      <c r="H203" s="4"/>
      <c r="I203" s="4"/>
    </row>
    <row r="204" spans="4:9" x14ac:dyDescent="0.25">
      <c r="D204" s="4"/>
      <c r="E204" s="4"/>
      <c r="H204" s="4"/>
      <c r="I204" s="4"/>
    </row>
    <row r="205" spans="4:9" x14ac:dyDescent="0.25">
      <c r="D205" s="4"/>
      <c r="E205" s="4"/>
      <c r="H205" s="4"/>
      <c r="I205" s="4"/>
    </row>
    <row r="206" spans="4:9" x14ac:dyDescent="0.25">
      <c r="D206" s="4"/>
      <c r="E206" s="4"/>
      <c r="H206" s="4"/>
      <c r="I206" s="4"/>
    </row>
    <row r="207" spans="4:9" x14ac:dyDescent="0.25">
      <c r="D207" s="4"/>
      <c r="E207" s="4"/>
      <c r="H207" s="4"/>
      <c r="I207" s="4"/>
    </row>
    <row r="208" spans="4:9" x14ac:dyDescent="0.25">
      <c r="D208" s="4"/>
      <c r="E208" s="4"/>
      <c r="H208" s="4"/>
      <c r="I208" s="4"/>
    </row>
    <row r="209" spans="4:9" x14ac:dyDescent="0.25">
      <c r="D209" s="4"/>
      <c r="E209" s="4"/>
      <c r="H209" s="4"/>
      <c r="I209" s="4"/>
    </row>
    <row r="210" spans="4:9" x14ac:dyDescent="0.25">
      <c r="D210" s="4"/>
      <c r="E210" s="4"/>
      <c r="H210" s="4"/>
      <c r="I210" s="4"/>
    </row>
    <row r="211" spans="4:9" x14ac:dyDescent="0.25">
      <c r="D211" s="4"/>
      <c r="E211" s="4"/>
      <c r="H211" s="4"/>
      <c r="I211" s="4"/>
    </row>
    <row r="212" spans="4:9" x14ac:dyDescent="0.25">
      <c r="D212" s="4"/>
      <c r="E212" s="4"/>
      <c r="H212" s="4"/>
      <c r="I212" s="4"/>
    </row>
    <row r="213" spans="4:9" x14ac:dyDescent="0.25">
      <c r="D213" s="4"/>
      <c r="E213" s="4"/>
      <c r="H213" s="4"/>
      <c r="I213" s="4"/>
    </row>
    <row r="214" spans="4:9" x14ac:dyDescent="0.25">
      <c r="D214" s="4"/>
      <c r="E214" s="4"/>
      <c r="H214" s="4"/>
      <c r="I214" s="4"/>
    </row>
    <row r="215" spans="4:9" x14ac:dyDescent="0.25">
      <c r="D215" s="4"/>
      <c r="E215" s="4"/>
      <c r="H215" s="4"/>
      <c r="I215" s="4"/>
    </row>
    <row r="216" spans="4:9" x14ac:dyDescent="0.25">
      <c r="D216" s="4"/>
      <c r="E216" s="4"/>
      <c r="H216" s="4"/>
      <c r="I216" s="4"/>
    </row>
    <row r="217" spans="4:9" x14ac:dyDescent="0.25">
      <c r="D217" s="4"/>
      <c r="E217" s="4"/>
      <c r="H217" s="4"/>
      <c r="I217" s="4"/>
    </row>
    <row r="218" spans="4:9" x14ac:dyDescent="0.25">
      <c r="D218" s="4"/>
      <c r="E218" s="4"/>
      <c r="H218" s="4"/>
      <c r="I218" s="4"/>
    </row>
    <row r="219" spans="4:9" x14ac:dyDescent="0.25">
      <c r="D219" s="4"/>
      <c r="E219" s="4"/>
      <c r="H219" s="4"/>
      <c r="I219" s="4"/>
    </row>
    <row r="220" spans="4:9" x14ac:dyDescent="0.25">
      <c r="D220" s="4"/>
      <c r="E220" s="4"/>
      <c r="H220" s="4"/>
      <c r="I220" s="4"/>
    </row>
    <row r="221" spans="4:9" x14ac:dyDescent="0.25">
      <c r="D221" s="4"/>
      <c r="E221" s="4"/>
      <c r="H221" s="4"/>
      <c r="I221" s="4"/>
    </row>
    <row r="222" spans="4:9" x14ac:dyDescent="0.25">
      <c r="D222" s="4"/>
      <c r="E222" s="4"/>
      <c r="H222" s="4"/>
      <c r="I222" s="4"/>
    </row>
    <row r="223" spans="4:9" x14ac:dyDescent="0.25">
      <c r="D223" s="4"/>
      <c r="E223" s="4"/>
      <c r="H223" s="4"/>
      <c r="I223" s="4"/>
    </row>
    <row r="224" spans="4:9" x14ac:dyDescent="0.25">
      <c r="D224" s="4"/>
      <c r="E224" s="4"/>
      <c r="H224" s="4"/>
      <c r="I224" s="4"/>
    </row>
    <row r="225" spans="4:9" x14ac:dyDescent="0.25">
      <c r="D225" s="4"/>
      <c r="E225" s="4"/>
      <c r="H225" s="4"/>
      <c r="I225" s="4"/>
    </row>
    <row r="226" spans="4:9" x14ac:dyDescent="0.25">
      <c r="D226" s="4"/>
      <c r="E226" s="4"/>
      <c r="H226" s="4"/>
      <c r="I226" s="4"/>
    </row>
    <row r="227" spans="4:9" x14ac:dyDescent="0.25">
      <c r="D227" s="4"/>
      <c r="E227" s="4"/>
      <c r="H227" s="4"/>
      <c r="I227" s="4"/>
    </row>
    <row r="228" spans="4:9" x14ac:dyDescent="0.25">
      <c r="D228" s="4"/>
      <c r="E228" s="4"/>
      <c r="H228" s="4"/>
      <c r="I228" s="4"/>
    </row>
    <row r="229" spans="4:9" x14ac:dyDescent="0.25">
      <c r="D229" s="4"/>
      <c r="E229" s="4"/>
      <c r="H229" s="4"/>
      <c r="I229" s="4"/>
    </row>
    <row r="230" spans="4:9" x14ac:dyDescent="0.25">
      <c r="D230" s="4"/>
      <c r="E230" s="4"/>
      <c r="H230" s="4"/>
      <c r="I230" s="4"/>
    </row>
    <row r="231" spans="4:9" x14ac:dyDescent="0.25">
      <c r="D231" s="4"/>
      <c r="E231" s="4"/>
      <c r="H231" s="4"/>
      <c r="I231" s="4"/>
    </row>
    <row r="232" spans="4:9" x14ac:dyDescent="0.25">
      <c r="D232" s="4"/>
      <c r="E232" s="4"/>
      <c r="H232" s="4"/>
      <c r="I232" s="4"/>
    </row>
    <row r="233" spans="4:9" x14ac:dyDescent="0.25">
      <c r="D233" s="4"/>
      <c r="E233" s="4"/>
      <c r="H233" s="4"/>
      <c r="I233" s="4"/>
    </row>
    <row r="234" spans="4:9" x14ac:dyDescent="0.25">
      <c r="D234" s="4"/>
      <c r="E234" s="4"/>
      <c r="H234" s="4"/>
      <c r="I234" s="4"/>
    </row>
    <row r="235" spans="4:9" x14ac:dyDescent="0.25">
      <c r="D235" s="4"/>
      <c r="E235" s="4"/>
      <c r="H235" s="4"/>
      <c r="I235" s="4"/>
    </row>
    <row r="236" spans="4:9" x14ac:dyDescent="0.25">
      <c r="D236" s="4"/>
      <c r="E236" s="4"/>
      <c r="H236" s="4"/>
      <c r="I236" s="4"/>
    </row>
    <row r="237" spans="4:9" x14ac:dyDescent="0.25">
      <c r="D237" s="4"/>
      <c r="E237" s="4"/>
      <c r="H237" s="4"/>
      <c r="I237" s="4"/>
    </row>
    <row r="238" spans="4:9" x14ac:dyDescent="0.25">
      <c r="D238" s="4"/>
      <c r="E238" s="4"/>
      <c r="H238" s="4"/>
      <c r="I238" s="4"/>
    </row>
    <row r="239" spans="4:9" x14ac:dyDescent="0.25">
      <c r="D239" s="4"/>
      <c r="E239" s="4"/>
      <c r="H239" s="4"/>
      <c r="I239" s="4"/>
    </row>
    <row r="240" spans="4:9" x14ac:dyDescent="0.25">
      <c r="D240" s="4"/>
      <c r="E240" s="4"/>
      <c r="H240" s="4"/>
      <c r="I240" s="4"/>
    </row>
    <row r="241" spans="4:9" x14ac:dyDescent="0.25">
      <c r="D241" s="4"/>
      <c r="E241" s="4"/>
      <c r="H241" s="4"/>
      <c r="I241" s="4"/>
    </row>
    <row r="242" spans="4:9" x14ac:dyDescent="0.25">
      <c r="D242" s="4"/>
      <c r="E242" s="4"/>
      <c r="H242" s="4"/>
      <c r="I242" s="4"/>
    </row>
    <row r="243" spans="4:9" x14ac:dyDescent="0.25">
      <c r="D243" s="4"/>
      <c r="E243" s="4"/>
      <c r="H243" s="4"/>
      <c r="I243" s="4"/>
    </row>
    <row r="244" spans="4:9" x14ac:dyDescent="0.25">
      <c r="D244" s="4"/>
      <c r="E244" s="4"/>
      <c r="H244" s="4"/>
      <c r="I244" s="4"/>
    </row>
    <row r="245" spans="4:9" x14ac:dyDescent="0.25">
      <c r="D245" s="4"/>
      <c r="E245" s="4"/>
      <c r="H245" s="4"/>
      <c r="I245" s="4"/>
    </row>
    <row r="246" spans="4:9" x14ac:dyDescent="0.25">
      <c r="D246" s="4"/>
      <c r="E246" s="4"/>
      <c r="H246" s="4"/>
      <c r="I246" s="4"/>
    </row>
    <row r="247" spans="4:9" x14ac:dyDescent="0.25">
      <c r="D247" s="4"/>
      <c r="E247" s="4"/>
      <c r="H247" s="4"/>
      <c r="I247" s="4"/>
    </row>
    <row r="248" spans="4:9" x14ac:dyDescent="0.25">
      <c r="D248" s="4"/>
      <c r="E248" s="4"/>
      <c r="H248" s="4"/>
      <c r="I248" s="4"/>
    </row>
    <row r="249" spans="4:9" x14ac:dyDescent="0.25">
      <c r="D249" s="4"/>
      <c r="E249" s="4"/>
      <c r="H249" s="4"/>
      <c r="I249" s="4"/>
    </row>
    <row r="250" spans="4:9" x14ac:dyDescent="0.25">
      <c r="D250" s="4"/>
      <c r="E250" s="4"/>
      <c r="H250" s="4"/>
      <c r="I250" s="4"/>
    </row>
    <row r="251" spans="4:9" x14ac:dyDescent="0.25">
      <c r="D251" s="4"/>
      <c r="E251" s="4"/>
      <c r="H251" s="4"/>
      <c r="I251" s="4"/>
    </row>
    <row r="252" spans="4:9" x14ac:dyDescent="0.25">
      <c r="D252" s="4"/>
      <c r="E252" s="4"/>
      <c r="H252" s="4"/>
      <c r="I252" s="4"/>
    </row>
    <row r="253" spans="4:9" x14ac:dyDescent="0.25">
      <c r="D253" s="4"/>
      <c r="E253" s="4"/>
      <c r="H253" s="4"/>
      <c r="I253" s="4"/>
    </row>
    <row r="254" spans="4:9" x14ac:dyDescent="0.25">
      <c r="D254" s="4"/>
      <c r="E254" s="4"/>
      <c r="H254" s="4"/>
      <c r="I254" s="4"/>
    </row>
    <row r="255" spans="4:9" x14ac:dyDescent="0.25">
      <c r="D255" s="4"/>
      <c r="E255" s="4"/>
      <c r="H255" s="4"/>
      <c r="I255" s="4"/>
    </row>
    <row r="256" spans="4:9" x14ac:dyDescent="0.25">
      <c r="D256" s="4"/>
      <c r="E256" s="4"/>
      <c r="H256" s="4"/>
      <c r="I256" s="4"/>
    </row>
    <row r="257" spans="4:9" x14ac:dyDescent="0.25">
      <c r="D257" s="4"/>
      <c r="E257" s="4"/>
      <c r="H257" s="4"/>
      <c r="I257" s="4"/>
    </row>
    <row r="258" spans="4:9" x14ac:dyDescent="0.25">
      <c r="D258" s="4"/>
      <c r="E258" s="4"/>
      <c r="H258" s="4"/>
      <c r="I258" s="4"/>
    </row>
    <row r="259" spans="4:9" x14ac:dyDescent="0.25">
      <c r="D259" s="4"/>
      <c r="E259" s="4"/>
      <c r="H259" s="4"/>
      <c r="I259" s="4"/>
    </row>
    <row r="260" spans="4:9" x14ac:dyDescent="0.25">
      <c r="D260" s="4"/>
      <c r="E260" s="4"/>
      <c r="H260" s="4"/>
      <c r="I260" s="4"/>
    </row>
    <row r="261" spans="4:9" x14ac:dyDescent="0.25">
      <c r="D261" s="4"/>
      <c r="E261" s="4"/>
      <c r="H261" s="4"/>
      <c r="I261" s="4"/>
    </row>
    <row r="262" spans="4:9" x14ac:dyDescent="0.25">
      <c r="D262" s="4"/>
      <c r="E262" s="4"/>
      <c r="H262" s="4"/>
      <c r="I262" s="4"/>
    </row>
    <row r="263" spans="4:9" x14ac:dyDescent="0.25">
      <c r="D263" s="4"/>
      <c r="E263" s="4"/>
      <c r="H263" s="4"/>
      <c r="I263" s="4"/>
    </row>
    <row r="264" spans="4:9" x14ac:dyDescent="0.25">
      <c r="D264" s="4"/>
      <c r="E264" s="4"/>
      <c r="H264" s="4"/>
      <c r="I264" s="4"/>
    </row>
    <row r="265" spans="4:9" x14ac:dyDescent="0.25">
      <c r="D265" s="4"/>
      <c r="E265" s="4"/>
      <c r="H265" s="4"/>
      <c r="I265" s="4"/>
    </row>
    <row r="266" spans="4:9" x14ac:dyDescent="0.25">
      <c r="D266" s="4"/>
      <c r="E266" s="4"/>
      <c r="H266" s="4"/>
      <c r="I266" s="4"/>
    </row>
    <row r="267" spans="4:9" x14ac:dyDescent="0.25">
      <c r="D267" s="4"/>
      <c r="E267" s="4"/>
      <c r="H267" s="4"/>
      <c r="I267" s="4"/>
    </row>
    <row r="268" spans="4:9" x14ac:dyDescent="0.25">
      <c r="D268" s="4"/>
      <c r="E268" s="4"/>
      <c r="H268" s="4"/>
      <c r="I268" s="4"/>
    </row>
    <row r="269" spans="4:9" x14ac:dyDescent="0.25">
      <c r="D269" s="4"/>
      <c r="E269" s="4"/>
      <c r="H269" s="4"/>
      <c r="I269" s="4"/>
    </row>
    <row r="270" spans="4:9" x14ac:dyDescent="0.25">
      <c r="D270" s="4"/>
      <c r="E270" s="4"/>
      <c r="H270" s="4"/>
      <c r="I270" s="4"/>
    </row>
    <row r="271" spans="4:9" x14ac:dyDescent="0.25">
      <c r="D271" s="4"/>
      <c r="E271" s="4"/>
      <c r="H271" s="4"/>
      <c r="I271" s="4"/>
    </row>
    <row r="272" spans="4:9" x14ac:dyDescent="0.25">
      <c r="D272" s="4"/>
      <c r="E272" s="4"/>
      <c r="H272" s="4"/>
      <c r="I272" s="4"/>
    </row>
    <row r="273" spans="4:9" x14ac:dyDescent="0.25">
      <c r="D273" s="4"/>
      <c r="E273" s="4"/>
      <c r="H273" s="4"/>
      <c r="I273" s="4"/>
    </row>
    <row r="274" spans="4:9" x14ac:dyDescent="0.25">
      <c r="D274" s="4"/>
      <c r="E274" s="4"/>
      <c r="H274" s="4"/>
      <c r="I274" s="4"/>
    </row>
    <row r="275" spans="4:9" x14ac:dyDescent="0.25">
      <c r="D275" s="4"/>
      <c r="E275" s="4"/>
      <c r="H275" s="4"/>
      <c r="I275" s="4"/>
    </row>
    <row r="276" spans="4:9" x14ac:dyDescent="0.25">
      <c r="D276" s="4"/>
      <c r="E276" s="4"/>
      <c r="H276" s="4"/>
      <c r="I276" s="4"/>
    </row>
    <row r="277" spans="4:9" x14ac:dyDescent="0.25">
      <c r="D277" s="4"/>
      <c r="E277" s="4"/>
      <c r="H277" s="4"/>
      <c r="I277" s="4"/>
    </row>
    <row r="278" spans="4:9" x14ac:dyDescent="0.25">
      <c r="D278" s="4"/>
      <c r="E278" s="4"/>
      <c r="H278" s="4"/>
      <c r="I278" s="4"/>
    </row>
    <row r="279" spans="4:9" x14ac:dyDescent="0.25">
      <c r="D279" s="4"/>
      <c r="E279" s="4"/>
      <c r="H279" s="4"/>
      <c r="I279" s="4"/>
    </row>
    <row r="280" spans="4:9" x14ac:dyDescent="0.25">
      <c r="D280" s="4"/>
      <c r="E280" s="4"/>
      <c r="H280" s="4"/>
      <c r="I280" s="4"/>
    </row>
    <row r="281" spans="4:9" x14ac:dyDescent="0.25">
      <c r="D281" s="4"/>
      <c r="E281" s="4"/>
      <c r="H281" s="4"/>
      <c r="I281" s="4"/>
    </row>
    <row r="282" spans="4:9" x14ac:dyDescent="0.25">
      <c r="D282" s="4"/>
      <c r="E282" s="4"/>
      <c r="H282" s="4"/>
      <c r="I282" s="4"/>
    </row>
    <row r="283" spans="4:9" x14ac:dyDescent="0.25">
      <c r="D283" s="4"/>
      <c r="E283" s="4"/>
      <c r="H283" s="4"/>
      <c r="I283" s="4"/>
    </row>
    <row r="284" spans="4:9" x14ac:dyDescent="0.25">
      <c r="D284" s="4"/>
      <c r="E284" s="4"/>
      <c r="H284" s="4"/>
      <c r="I284" s="4"/>
    </row>
    <row r="285" spans="4:9" x14ac:dyDescent="0.25">
      <c r="D285" s="4"/>
      <c r="E285" s="4"/>
      <c r="H285" s="4"/>
      <c r="I285" s="4"/>
    </row>
    <row r="286" spans="4:9" x14ac:dyDescent="0.25">
      <c r="D286" s="4"/>
      <c r="E286" s="4"/>
      <c r="H286" s="4"/>
      <c r="I286" s="4"/>
    </row>
    <row r="287" spans="4:9" x14ac:dyDescent="0.25">
      <c r="D287" s="4"/>
      <c r="E287" s="4"/>
      <c r="H287" s="4"/>
      <c r="I287" s="4"/>
    </row>
    <row r="288" spans="4:9" x14ac:dyDescent="0.25">
      <c r="D288" s="4"/>
      <c r="E288" s="4"/>
      <c r="H288" s="4"/>
      <c r="I288" s="4"/>
    </row>
    <row r="289" spans="4:9" x14ac:dyDescent="0.25">
      <c r="D289" s="4"/>
      <c r="E289" s="4"/>
      <c r="H289" s="4"/>
      <c r="I289" s="4"/>
    </row>
    <row r="290" spans="4:9" x14ac:dyDescent="0.25">
      <c r="D290" s="4"/>
      <c r="E290" s="4"/>
      <c r="H290" s="4"/>
      <c r="I290" s="4"/>
    </row>
    <row r="291" spans="4:9" x14ac:dyDescent="0.25">
      <c r="D291" s="4"/>
      <c r="E291" s="4"/>
      <c r="H291" s="4"/>
      <c r="I291" s="4"/>
    </row>
    <row r="292" spans="4:9" x14ac:dyDescent="0.25">
      <c r="D292" s="4"/>
      <c r="E292" s="4"/>
      <c r="H292" s="4"/>
      <c r="I292" s="4"/>
    </row>
    <row r="293" spans="4:9" x14ac:dyDescent="0.25">
      <c r="D293" s="4"/>
      <c r="E293" s="4"/>
      <c r="H293" s="4"/>
      <c r="I293" s="4"/>
    </row>
    <row r="294" spans="4:9" x14ac:dyDescent="0.25">
      <c r="D294" s="4"/>
      <c r="E294" s="4"/>
      <c r="H294" s="4"/>
      <c r="I294" s="4"/>
    </row>
    <row r="295" spans="4:9" x14ac:dyDescent="0.25">
      <c r="D295" s="4"/>
      <c r="E295" s="4"/>
      <c r="H295" s="4"/>
      <c r="I295" s="4"/>
    </row>
    <row r="296" spans="4:9" x14ac:dyDescent="0.25">
      <c r="D296" s="4"/>
      <c r="E296" s="4"/>
      <c r="H296" s="4"/>
      <c r="I296" s="4"/>
    </row>
    <row r="297" spans="4:9" x14ac:dyDescent="0.25">
      <c r="D297" s="4"/>
      <c r="E297" s="4"/>
      <c r="H297" s="4"/>
      <c r="I297" s="4"/>
    </row>
    <row r="298" spans="4:9" x14ac:dyDescent="0.25">
      <c r="D298" s="4"/>
      <c r="E298" s="4"/>
      <c r="H298" s="4"/>
      <c r="I298" s="4"/>
    </row>
    <row r="299" spans="4:9" x14ac:dyDescent="0.25">
      <c r="D299" s="4"/>
      <c r="E299" s="4"/>
      <c r="H299" s="4"/>
      <c r="I299" s="4"/>
    </row>
    <row r="300" spans="4:9" x14ac:dyDescent="0.25">
      <c r="D300" s="4"/>
      <c r="E300" s="4"/>
      <c r="H300" s="4"/>
      <c r="I300" s="4"/>
    </row>
    <row r="301" spans="4:9" x14ac:dyDescent="0.25">
      <c r="D301" s="4"/>
      <c r="E301" s="4"/>
      <c r="H301" s="4"/>
      <c r="I301" s="4"/>
    </row>
    <row r="302" spans="4:9" x14ac:dyDescent="0.25">
      <c r="D302" s="4"/>
      <c r="E302" s="4"/>
      <c r="H302" s="4"/>
      <c r="I302" s="4"/>
    </row>
    <row r="303" spans="4:9" x14ac:dyDescent="0.25">
      <c r="D303" s="4"/>
      <c r="E303" s="4"/>
      <c r="H303" s="4"/>
      <c r="I303" s="4"/>
    </row>
    <row r="304" spans="4:9" x14ac:dyDescent="0.25">
      <c r="D304" s="4"/>
      <c r="E304" s="4"/>
      <c r="H304" s="4"/>
      <c r="I304" s="4"/>
    </row>
    <row r="305" spans="4:9" x14ac:dyDescent="0.25">
      <c r="D305" s="4"/>
      <c r="E305" s="4"/>
      <c r="H305" s="4"/>
      <c r="I305" s="4"/>
    </row>
    <row r="306" spans="4:9" x14ac:dyDescent="0.25">
      <c r="D306" s="4"/>
      <c r="E306" s="4"/>
      <c r="H306" s="4"/>
      <c r="I306" s="4"/>
    </row>
    <row r="307" spans="4:9" x14ac:dyDescent="0.25">
      <c r="D307" s="4"/>
      <c r="E307" s="4"/>
      <c r="H307" s="4"/>
      <c r="I307" s="4"/>
    </row>
    <row r="308" spans="4:9" x14ac:dyDescent="0.25">
      <c r="D308" s="4"/>
      <c r="E308" s="4"/>
      <c r="H308" s="4"/>
      <c r="I308" s="4"/>
    </row>
    <row r="309" spans="4:9" x14ac:dyDescent="0.25">
      <c r="D309" s="4"/>
      <c r="E309" s="4"/>
      <c r="H309" s="4"/>
      <c r="I309" s="4"/>
    </row>
    <row r="310" spans="4:9" x14ac:dyDescent="0.25">
      <c r="D310" s="4"/>
      <c r="E310" s="4"/>
      <c r="H310" s="4"/>
      <c r="I310" s="4"/>
    </row>
    <row r="311" spans="4:9" x14ac:dyDescent="0.25">
      <c r="D311" s="4"/>
      <c r="E311" s="4"/>
      <c r="H311" s="4"/>
      <c r="I311" s="4"/>
    </row>
    <row r="312" spans="4:9" x14ac:dyDescent="0.25">
      <c r="D312" s="4"/>
      <c r="E312" s="4"/>
      <c r="H312" s="4"/>
      <c r="I312" s="4"/>
    </row>
    <row r="313" spans="4:9" x14ac:dyDescent="0.25">
      <c r="D313" s="4"/>
      <c r="E313" s="4"/>
      <c r="H313" s="4"/>
      <c r="I313" s="4"/>
    </row>
    <row r="314" spans="4:9" x14ac:dyDescent="0.25">
      <c r="D314" s="4"/>
      <c r="E314" s="4"/>
      <c r="H314" s="4"/>
      <c r="I314" s="4"/>
    </row>
    <row r="315" spans="4:9" x14ac:dyDescent="0.25">
      <c r="D315" s="4"/>
      <c r="E315" s="4"/>
      <c r="H315" s="4"/>
      <c r="I315" s="4"/>
    </row>
    <row r="316" spans="4:9" x14ac:dyDescent="0.25">
      <c r="D316" s="4"/>
      <c r="E316" s="4"/>
      <c r="H316" s="4"/>
      <c r="I316" s="4"/>
    </row>
    <row r="317" spans="4:9" x14ac:dyDescent="0.25">
      <c r="D317" s="4"/>
      <c r="E317" s="4"/>
      <c r="H317" s="4"/>
      <c r="I317" s="4"/>
    </row>
    <row r="318" spans="4:9" x14ac:dyDescent="0.25">
      <c r="D318" s="4"/>
      <c r="E318" s="4"/>
      <c r="H318" s="4"/>
      <c r="I318" s="4"/>
    </row>
    <row r="319" spans="4:9" x14ac:dyDescent="0.25">
      <c r="D319" s="4"/>
      <c r="E319" s="4"/>
      <c r="H319" s="4"/>
      <c r="I319" s="4"/>
    </row>
    <row r="320" spans="4:9" x14ac:dyDescent="0.25">
      <c r="D320" s="4"/>
      <c r="E320" s="4"/>
      <c r="H320" s="4"/>
      <c r="I320" s="4"/>
    </row>
    <row r="321" spans="4:9" x14ac:dyDescent="0.25">
      <c r="D321" s="4"/>
      <c r="E321" s="4"/>
      <c r="H321" s="4"/>
      <c r="I321" s="4"/>
    </row>
    <row r="322" spans="4:9" x14ac:dyDescent="0.25">
      <c r="D322" s="4"/>
      <c r="E322" s="4"/>
      <c r="H322" s="4"/>
      <c r="I322" s="4"/>
    </row>
    <row r="323" spans="4:9" x14ac:dyDescent="0.25">
      <c r="D323" s="4"/>
      <c r="E323" s="4"/>
      <c r="H323" s="4"/>
      <c r="I323" s="4"/>
    </row>
    <row r="324" spans="4:9" x14ac:dyDescent="0.25">
      <c r="D324" s="4"/>
      <c r="E324" s="4"/>
      <c r="H324" s="4"/>
      <c r="I324" s="4"/>
    </row>
    <row r="325" spans="4:9" x14ac:dyDescent="0.25">
      <c r="D325" s="4"/>
      <c r="E325" s="4"/>
      <c r="H325" s="4"/>
      <c r="I325" s="4"/>
    </row>
    <row r="326" spans="4:9" x14ac:dyDescent="0.25">
      <c r="D326" s="4"/>
      <c r="E326" s="4"/>
      <c r="H326" s="4"/>
      <c r="I326" s="4"/>
    </row>
    <row r="327" spans="4:9" x14ac:dyDescent="0.25">
      <c r="D327" s="4"/>
      <c r="E327" s="4"/>
      <c r="H327" s="4"/>
      <c r="I327" s="4"/>
    </row>
    <row r="328" spans="4:9" x14ac:dyDescent="0.25">
      <c r="D328" s="4"/>
      <c r="E328" s="4"/>
      <c r="H328" s="4"/>
      <c r="I328" s="4"/>
    </row>
    <row r="329" spans="4:9" x14ac:dyDescent="0.25">
      <c r="D329" s="4"/>
      <c r="E329" s="4"/>
      <c r="H329" s="4"/>
      <c r="I329" s="4"/>
    </row>
    <row r="330" spans="4:9" x14ac:dyDescent="0.25">
      <c r="D330" s="4"/>
      <c r="E330" s="4"/>
      <c r="H330" s="4"/>
      <c r="I330" s="4"/>
    </row>
    <row r="331" spans="4:9" x14ac:dyDescent="0.25">
      <c r="D331" s="4"/>
      <c r="E331" s="4"/>
      <c r="H331" s="4"/>
      <c r="I331" s="4"/>
    </row>
    <row r="332" spans="4:9" x14ac:dyDescent="0.25">
      <c r="D332" s="4"/>
      <c r="E332" s="4"/>
      <c r="H332" s="4"/>
      <c r="I332" s="4"/>
    </row>
    <row r="333" spans="4:9" x14ac:dyDescent="0.25">
      <c r="D333" s="4"/>
      <c r="E333" s="4"/>
      <c r="H333" s="4"/>
      <c r="I333" s="4"/>
    </row>
    <row r="334" spans="4:9" x14ac:dyDescent="0.25">
      <c r="D334" s="4"/>
      <c r="E334" s="4"/>
      <c r="H334" s="4"/>
      <c r="I334" s="4"/>
    </row>
    <row r="335" spans="4:9" x14ac:dyDescent="0.25">
      <c r="D335" s="4"/>
      <c r="E335" s="4"/>
      <c r="H335" s="4"/>
      <c r="I335" s="4"/>
    </row>
    <row r="336" spans="4:9" x14ac:dyDescent="0.25">
      <c r="D336" s="4"/>
      <c r="E336" s="4"/>
      <c r="H336" s="4"/>
      <c r="I336" s="4"/>
    </row>
    <row r="337" spans="4:9" x14ac:dyDescent="0.25">
      <c r="D337" s="4"/>
      <c r="E337" s="4"/>
      <c r="H337" s="4"/>
      <c r="I337" s="4"/>
    </row>
    <row r="338" spans="4:9" x14ac:dyDescent="0.25">
      <c r="D338" s="4"/>
      <c r="E338" s="4"/>
      <c r="H338" s="4"/>
      <c r="I338" s="4"/>
    </row>
    <row r="339" spans="4:9" x14ac:dyDescent="0.25">
      <c r="D339" s="4"/>
      <c r="E339" s="4"/>
      <c r="H339" s="4"/>
      <c r="I339" s="4"/>
    </row>
    <row r="340" spans="4:9" x14ac:dyDescent="0.25">
      <c r="D340" s="4"/>
      <c r="E340" s="4"/>
      <c r="H340" s="4"/>
      <c r="I340" s="4"/>
    </row>
    <row r="341" spans="4:9" x14ac:dyDescent="0.25">
      <c r="D341" s="4"/>
      <c r="E341" s="4"/>
      <c r="H341" s="4"/>
      <c r="I341" s="4"/>
    </row>
    <row r="342" spans="4:9" x14ac:dyDescent="0.25">
      <c r="D342" s="4"/>
      <c r="E342" s="4"/>
      <c r="H342" s="4"/>
      <c r="I342" s="4"/>
    </row>
    <row r="343" spans="4:9" x14ac:dyDescent="0.25">
      <c r="D343" s="4"/>
      <c r="E343" s="4"/>
      <c r="H343" s="4"/>
      <c r="I343" s="4"/>
    </row>
    <row r="344" spans="4:9" x14ac:dyDescent="0.25">
      <c r="D344" s="4"/>
      <c r="E344" s="4"/>
      <c r="H344" s="4"/>
      <c r="I344" s="4"/>
    </row>
    <row r="345" spans="4:9" x14ac:dyDescent="0.25">
      <c r="D345" s="4"/>
      <c r="E345" s="4"/>
      <c r="H345" s="4"/>
      <c r="I345" s="4"/>
    </row>
    <row r="346" spans="4:9" x14ac:dyDescent="0.25">
      <c r="D346" s="4"/>
      <c r="E346" s="4"/>
      <c r="H346" s="4"/>
      <c r="I346" s="4"/>
    </row>
    <row r="347" spans="4:9" x14ac:dyDescent="0.25">
      <c r="D347" s="4"/>
      <c r="E347" s="4"/>
      <c r="H347" s="4"/>
      <c r="I347" s="4"/>
    </row>
    <row r="348" spans="4:9" x14ac:dyDescent="0.25">
      <c r="D348" s="4"/>
      <c r="E348" s="4"/>
      <c r="H348" s="4"/>
      <c r="I348" s="4"/>
    </row>
    <row r="349" spans="4:9" x14ac:dyDescent="0.25">
      <c r="D349" s="4"/>
      <c r="E349" s="4"/>
      <c r="H349" s="4"/>
      <c r="I349" s="4"/>
    </row>
    <row r="350" spans="4:9" x14ac:dyDescent="0.25">
      <c r="D350" s="4"/>
      <c r="E350" s="4"/>
      <c r="H350" s="4"/>
      <c r="I350" s="4"/>
    </row>
    <row r="351" spans="4:9" x14ac:dyDescent="0.25">
      <c r="D351" s="4"/>
      <c r="E351" s="4"/>
      <c r="H351" s="4"/>
      <c r="I351" s="4"/>
    </row>
    <row r="352" spans="4:9" x14ac:dyDescent="0.25">
      <c r="D352" s="4"/>
      <c r="E352" s="4"/>
      <c r="H352" s="4"/>
      <c r="I352" s="4"/>
    </row>
    <row r="353" spans="4:9" x14ac:dyDescent="0.25">
      <c r="D353" s="4"/>
      <c r="E353" s="4"/>
      <c r="H353" s="4"/>
      <c r="I353" s="4"/>
    </row>
    <row r="354" spans="4:9" x14ac:dyDescent="0.25">
      <c r="D354" s="4"/>
      <c r="E354" s="4"/>
      <c r="H354" s="4"/>
      <c r="I354" s="4"/>
    </row>
  </sheetData>
  <mergeCells count="29">
    <mergeCell ref="AP5:AQ5"/>
    <mergeCell ref="AP83:AQ83"/>
    <mergeCell ref="AL83:AM83"/>
    <mergeCell ref="AN83:AO83"/>
    <mergeCell ref="A2:AO2"/>
    <mergeCell ref="A3:AO3"/>
    <mergeCell ref="X5:Y5"/>
    <mergeCell ref="AN5:AO5"/>
    <mergeCell ref="Z5:AA5"/>
    <mergeCell ref="B5:C5"/>
    <mergeCell ref="D5:E5"/>
    <mergeCell ref="AB5:AC5"/>
    <mergeCell ref="AD5:AE5"/>
    <mergeCell ref="AF5:AG5"/>
    <mergeCell ref="A4:AO4"/>
    <mergeCell ref="A5:A7"/>
    <mergeCell ref="F5:G5"/>
    <mergeCell ref="H5:I5"/>
    <mergeCell ref="J5:K5"/>
    <mergeCell ref="V5:W5"/>
    <mergeCell ref="A82:AO82"/>
    <mergeCell ref="L5:M5"/>
    <mergeCell ref="N5:O5"/>
    <mergeCell ref="P5:Q5"/>
    <mergeCell ref="R5:S5"/>
    <mergeCell ref="T5:U5"/>
    <mergeCell ref="AH5:AI5"/>
    <mergeCell ref="AJ5:AK5"/>
    <mergeCell ref="AL5:AM5"/>
  </mergeCells>
  <hyperlinks>
    <hyperlink ref="AQ1" location="CONTENTS!B22" display="Å CONTENTS" xr:uid="{00000000-0004-0000-0600-000000000000}"/>
  </hyperlinks>
  <printOptions horizontalCentered="1" verticalCentered="1"/>
  <pageMargins left="0.55118110236220474" right="0.27559055118110237" top="0.27559055118110237" bottom="0.51181102362204722" header="0" footer="0.51181102362204722"/>
  <pageSetup scale="58" orientation="portrait" r:id="rId1"/>
  <headerFooter alignWithMargins="0"/>
  <rowBreaks count="1" manualBreakCount="1">
    <brk id="92" max="16383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4" tint="0.39997558519241921"/>
  </sheetPr>
  <dimension ref="A1:AK316"/>
  <sheetViews>
    <sheetView showGridLines="0" zoomScaleNormal="100" workbookViewId="0">
      <selection activeCell="B5" sqref="B5:F5"/>
    </sheetView>
  </sheetViews>
  <sheetFormatPr baseColWidth="10" defaultColWidth="11.44140625" defaultRowHeight="13.2" x14ac:dyDescent="0.25"/>
  <cols>
    <col min="1" max="1" width="3.5546875" style="298" customWidth="1"/>
    <col min="2" max="2" width="21.6640625" style="298" customWidth="1"/>
    <col min="3" max="3" width="12.44140625" style="298" customWidth="1"/>
    <col min="4" max="4" width="12.33203125" style="298" customWidth="1"/>
    <col min="5" max="5" width="16.109375" style="298" bestFit="1" customWidth="1"/>
    <col min="6" max="7" width="11.44140625" style="298"/>
    <col min="8" max="8" width="16.33203125" style="298" customWidth="1"/>
    <col min="9" max="9" width="13.109375" style="298" customWidth="1"/>
    <col min="10" max="10" width="11.44140625" style="298"/>
    <col min="11" max="11" width="12.88671875" style="298" customWidth="1"/>
    <col min="12" max="12" width="11.44140625" style="298" customWidth="1"/>
    <col min="13" max="13" width="12.109375" style="298" customWidth="1"/>
    <col min="14" max="14" width="11.33203125" style="298" bestFit="1" customWidth="1"/>
    <col min="15" max="15" width="23.44140625" style="315" bestFit="1" customWidth="1"/>
    <col min="16" max="16" width="15.33203125" style="298" bestFit="1" customWidth="1"/>
    <col min="17" max="17" width="15.33203125" style="298" customWidth="1"/>
    <col min="18" max="18" width="14.109375" style="298" bestFit="1" customWidth="1"/>
    <col min="19" max="19" width="17" style="298" bestFit="1" customWidth="1"/>
    <col min="20" max="20" width="14" style="298" bestFit="1" customWidth="1"/>
    <col min="21" max="16384" width="11.44140625" style="298"/>
  </cols>
  <sheetData>
    <row r="1" spans="2:20" s="130" customFormat="1" x14ac:dyDescent="0.25">
      <c r="B1" s="585"/>
      <c r="C1" s="585"/>
      <c r="D1" s="585"/>
      <c r="E1" s="585"/>
      <c r="F1" s="585"/>
      <c r="G1" s="585"/>
      <c r="H1" s="585"/>
      <c r="I1" s="585"/>
      <c r="J1" s="585"/>
      <c r="K1" s="585"/>
      <c r="L1" s="585"/>
      <c r="M1" s="585"/>
      <c r="N1" s="585"/>
      <c r="O1" s="313"/>
      <c r="P1" s="585"/>
      <c r="Q1" s="585"/>
      <c r="R1" s="585"/>
      <c r="S1" s="585"/>
      <c r="T1" s="585"/>
    </row>
    <row r="2" spans="2:20" s="130" customFormat="1" ht="29.25" customHeight="1" x14ac:dyDescent="0.25">
      <c r="B2" s="790" t="s">
        <v>186</v>
      </c>
      <c r="C2" s="790"/>
      <c r="D2" s="790"/>
      <c r="E2" s="790"/>
      <c r="F2" s="790"/>
      <c r="G2" s="790"/>
      <c r="H2" s="790"/>
      <c r="I2" s="790"/>
      <c r="J2" s="790"/>
      <c r="K2" s="790"/>
      <c r="L2" s="812"/>
      <c r="M2" s="316" t="s">
        <v>43</v>
      </c>
      <c r="N2" s="585"/>
      <c r="O2" s="313"/>
      <c r="P2" s="585"/>
      <c r="Q2" s="585"/>
      <c r="R2" s="585"/>
      <c r="S2" s="585"/>
      <c r="T2" s="585"/>
    </row>
    <row r="3" spans="2:20" s="130" customFormat="1" ht="15.6" x14ac:dyDescent="0.3">
      <c r="B3" s="585"/>
      <c r="C3" s="368"/>
      <c r="D3" s="368"/>
      <c r="E3" s="368"/>
      <c r="F3" s="368"/>
      <c r="G3" s="368"/>
      <c r="H3" s="368"/>
      <c r="I3" s="368"/>
      <c r="J3" s="368"/>
      <c r="K3" s="368"/>
      <c r="L3" s="368"/>
      <c r="M3" s="368"/>
      <c r="N3" s="368"/>
      <c r="O3" s="313"/>
      <c r="P3" s="585"/>
      <c r="Q3" s="585"/>
      <c r="R3" s="585"/>
      <c r="S3" s="585"/>
      <c r="T3" s="585"/>
    </row>
    <row r="4" spans="2:20" s="130" customFormat="1" x14ac:dyDescent="0.25">
      <c r="B4" s="585"/>
      <c r="C4" s="585"/>
      <c r="D4" s="585"/>
      <c r="E4" s="585"/>
      <c r="F4" s="585"/>
      <c r="G4" s="585"/>
      <c r="H4" s="585"/>
      <c r="I4" s="585"/>
      <c r="J4" s="585"/>
      <c r="K4" s="585"/>
      <c r="L4" s="585"/>
      <c r="M4" s="585"/>
      <c r="N4" s="585"/>
      <c r="O4" s="313"/>
      <c r="P4" s="585"/>
      <c r="Q4" s="585"/>
      <c r="R4" s="585"/>
      <c r="S4" s="585"/>
      <c r="T4" s="585"/>
    </row>
    <row r="5" spans="2:20" s="130" customFormat="1" ht="13.8" x14ac:dyDescent="0.25">
      <c r="B5" s="788" t="s">
        <v>126</v>
      </c>
      <c r="C5" s="788"/>
      <c r="D5" s="788"/>
      <c r="E5" s="788"/>
      <c r="F5" s="788"/>
      <c r="G5" s="585"/>
      <c r="H5" s="788" t="s">
        <v>127</v>
      </c>
      <c r="I5" s="788"/>
      <c r="J5" s="788"/>
      <c r="K5" s="788"/>
      <c r="L5" s="788"/>
      <c r="M5" s="750"/>
      <c r="N5" s="585"/>
      <c r="O5" s="313"/>
      <c r="P5" s="585"/>
      <c r="Q5" s="585"/>
      <c r="R5" s="585"/>
      <c r="S5" s="585"/>
      <c r="T5" s="585"/>
    </row>
    <row r="6" spans="2:20" s="130" customFormat="1" ht="13.8" x14ac:dyDescent="0.25">
      <c r="B6" s="788" t="s">
        <v>187</v>
      </c>
      <c r="C6" s="788"/>
      <c r="D6" s="788"/>
      <c r="E6" s="788"/>
      <c r="F6" s="788"/>
      <c r="G6" s="585"/>
      <c r="H6" s="788" t="str">
        <f>+B6</f>
        <v>External Public Debt of the Central Goverment of Costa Rica</v>
      </c>
      <c r="I6" s="788"/>
      <c r="J6" s="788"/>
      <c r="K6" s="788"/>
      <c r="L6" s="788"/>
      <c r="M6" s="585"/>
      <c r="N6" s="585"/>
      <c r="O6" s="313"/>
      <c r="P6" s="585"/>
      <c r="Q6" s="585"/>
      <c r="R6" s="585"/>
      <c r="S6" s="585"/>
      <c r="T6" s="585"/>
    </row>
    <row r="7" spans="2:20" s="130" customFormat="1" ht="13.8" x14ac:dyDescent="0.25">
      <c r="B7" s="788" t="s">
        <v>188</v>
      </c>
      <c r="C7" s="788"/>
      <c r="D7" s="788"/>
      <c r="E7" s="788"/>
      <c r="F7" s="788"/>
      <c r="G7" s="585"/>
      <c r="H7" s="788" t="s">
        <v>189</v>
      </c>
      <c r="I7" s="788"/>
      <c r="J7" s="788"/>
      <c r="K7" s="788"/>
      <c r="L7" s="788"/>
      <c r="M7" s="585"/>
      <c r="N7" s="585"/>
      <c r="O7" s="313"/>
      <c r="P7" s="585"/>
      <c r="Q7" s="585"/>
      <c r="R7" s="585"/>
      <c r="S7" s="585"/>
      <c r="T7" s="585"/>
    </row>
    <row r="8" spans="2:20" s="130" customFormat="1" ht="13.8" x14ac:dyDescent="0.25">
      <c r="B8" s="787" t="s">
        <v>190</v>
      </c>
      <c r="C8" s="787"/>
      <c r="D8" s="787"/>
      <c r="E8" s="787"/>
      <c r="F8" s="787"/>
      <c r="G8" s="585"/>
      <c r="H8" s="787" t="str">
        <f>+B8</f>
        <v>December 2021</v>
      </c>
      <c r="I8" s="788"/>
      <c r="J8" s="788"/>
      <c r="K8" s="788"/>
      <c r="L8" s="788"/>
      <c r="M8" s="585"/>
      <c r="N8" s="585"/>
      <c r="O8" s="313"/>
      <c r="P8" s="585"/>
      <c r="Q8" s="585"/>
      <c r="R8" s="585"/>
      <c r="S8" s="585"/>
      <c r="T8" s="585"/>
    </row>
    <row r="9" spans="2:20" s="130" customFormat="1" x14ac:dyDescent="0.25">
      <c r="B9" s="585"/>
      <c r="C9" s="585"/>
      <c r="D9" s="585"/>
      <c r="E9" s="585"/>
      <c r="F9" s="585"/>
      <c r="G9" s="585"/>
      <c r="H9" s="585"/>
      <c r="I9" s="585"/>
      <c r="J9" s="585"/>
      <c r="K9" s="585"/>
      <c r="L9" s="585"/>
      <c r="M9" s="585"/>
      <c r="N9" s="585"/>
      <c r="O9" s="313"/>
      <c r="P9" s="585"/>
      <c r="Q9" s="585"/>
      <c r="R9" s="585"/>
      <c r="S9" s="585"/>
      <c r="T9" s="585"/>
    </row>
    <row r="10" spans="2:20" s="130" customFormat="1" x14ac:dyDescent="0.25">
      <c r="B10" s="585"/>
      <c r="C10" s="585"/>
      <c r="D10" s="585"/>
      <c r="E10" s="585"/>
      <c r="F10" s="585"/>
      <c r="G10" s="585"/>
      <c r="H10" s="585"/>
      <c r="I10" s="585"/>
      <c r="J10" s="585"/>
      <c r="K10" s="585"/>
      <c r="L10" s="585"/>
      <c r="M10" s="585"/>
      <c r="N10" s="585"/>
      <c r="O10" s="313"/>
      <c r="P10" s="585"/>
      <c r="Q10" s="585"/>
      <c r="R10" s="585"/>
      <c r="S10" s="585"/>
      <c r="T10" s="369"/>
    </row>
    <row r="11" spans="2:20" s="130" customFormat="1" x14ac:dyDescent="0.25">
      <c r="B11" s="585"/>
      <c r="C11" s="585"/>
      <c r="D11" s="585"/>
      <c r="E11" s="585"/>
      <c r="F11" s="585"/>
      <c r="G11" s="585"/>
      <c r="H11" s="585"/>
      <c r="I11" s="585"/>
      <c r="J11" s="585"/>
      <c r="K11" s="585"/>
      <c r="L11" s="585"/>
      <c r="M11" s="585"/>
      <c r="N11" s="585"/>
      <c r="O11" s="313"/>
      <c r="P11" s="585"/>
      <c r="Q11" s="585"/>
      <c r="R11" s="585"/>
      <c r="S11" s="585"/>
      <c r="T11" s="369"/>
    </row>
    <row r="12" spans="2:20" s="130" customFormat="1" x14ac:dyDescent="0.25">
      <c r="B12" s="585"/>
      <c r="C12" s="585"/>
      <c r="D12" s="585"/>
      <c r="E12" s="585"/>
      <c r="F12" s="585"/>
      <c r="G12" s="11"/>
      <c r="H12" s="585"/>
      <c r="I12" s="585"/>
      <c r="J12" s="585"/>
      <c r="K12" s="585"/>
      <c r="L12" s="585"/>
      <c r="M12" s="585"/>
      <c r="N12" s="585"/>
      <c r="O12" s="313"/>
      <c r="P12" s="585"/>
      <c r="Q12" s="585"/>
      <c r="R12" s="585"/>
      <c r="S12" s="585"/>
      <c r="T12" s="369"/>
    </row>
    <row r="13" spans="2:20" s="130" customFormat="1" x14ac:dyDescent="0.25">
      <c r="B13" s="585"/>
      <c r="C13" s="585"/>
      <c r="D13" s="585"/>
      <c r="E13" s="585"/>
      <c r="F13" s="585"/>
      <c r="G13" s="585"/>
      <c r="H13" s="585"/>
      <c r="I13" s="585"/>
      <c r="J13" s="585"/>
      <c r="K13" s="585"/>
      <c r="L13" s="585"/>
      <c r="M13" s="585"/>
      <c r="N13" s="585"/>
      <c r="O13" s="313"/>
      <c r="P13" s="585"/>
      <c r="Q13" s="585"/>
      <c r="R13" s="585"/>
      <c r="S13" s="585"/>
      <c r="T13" s="369"/>
    </row>
    <row r="14" spans="2:20" s="130" customFormat="1" x14ac:dyDescent="0.25">
      <c r="B14" s="585"/>
      <c r="C14" s="585"/>
      <c r="D14" s="585"/>
      <c r="E14" s="585"/>
      <c r="F14" s="585"/>
      <c r="G14" s="585"/>
      <c r="H14" s="585"/>
      <c r="I14" s="585"/>
      <c r="J14" s="585"/>
      <c r="K14" s="585"/>
      <c r="L14" s="585"/>
      <c r="M14" s="585"/>
      <c r="N14" s="585"/>
      <c r="O14" s="313"/>
      <c r="P14" s="585"/>
      <c r="Q14" s="585"/>
      <c r="R14" s="585"/>
      <c r="S14" s="585"/>
      <c r="T14" s="369"/>
    </row>
    <row r="15" spans="2:20" s="130" customFormat="1" x14ac:dyDescent="0.25">
      <c r="B15" s="585"/>
      <c r="C15" s="585"/>
      <c r="D15" s="585"/>
      <c r="E15" s="585"/>
      <c r="F15" s="585"/>
      <c r="G15" s="585"/>
      <c r="H15" s="585"/>
      <c r="I15" s="585"/>
      <c r="J15" s="585"/>
      <c r="K15" s="585"/>
      <c r="L15" s="585"/>
      <c r="M15" s="585"/>
      <c r="N15" s="585"/>
      <c r="O15" s="313"/>
      <c r="P15" s="585"/>
      <c r="Q15" s="585"/>
      <c r="R15" s="585"/>
      <c r="S15" s="585"/>
      <c r="T15" s="369"/>
    </row>
    <row r="16" spans="2:20" s="130" customFormat="1" x14ac:dyDescent="0.25">
      <c r="B16" s="585"/>
      <c r="C16" s="585"/>
      <c r="D16" s="585"/>
      <c r="E16" s="585"/>
      <c r="F16" s="585"/>
      <c r="G16" s="585"/>
      <c r="H16" s="585"/>
      <c r="I16" s="585"/>
      <c r="J16" s="585"/>
      <c r="K16" s="585"/>
      <c r="L16" s="585"/>
      <c r="M16" s="585"/>
      <c r="N16" s="585"/>
      <c r="O16" s="313"/>
      <c r="P16" s="585"/>
      <c r="Q16" s="585"/>
      <c r="R16" s="585"/>
      <c r="S16" s="585"/>
      <c r="T16" s="369"/>
    </row>
    <row r="17" spans="2:23" s="130" customFormat="1" x14ac:dyDescent="0.25">
      <c r="B17" s="585"/>
      <c r="C17" s="585"/>
      <c r="D17" s="585"/>
      <c r="E17" s="585"/>
      <c r="F17" s="585"/>
      <c r="G17" s="585"/>
      <c r="H17" s="585"/>
      <c r="I17" s="585"/>
      <c r="J17" s="585"/>
      <c r="K17" s="585"/>
      <c r="L17" s="585"/>
      <c r="M17" s="585"/>
      <c r="N17" s="585"/>
      <c r="O17" s="313"/>
      <c r="P17" s="585"/>
      <c r="Q17" s="585"/>
      <c r="R17" s="585"/>
      <c r="S17" s="585"/>
      <c r="T17" s="369"/>
      <c r="U17" s="585"/>
      <c r="V17" s="585"/>
      <c r="W17" s="585"/>
    </row>
    <row r="18" spans="2:23" s="130" customFormat="1" x14ac:dyDescent="0.25">
      <c r="B18" s="585"/>
      <c r="C18" s="585"/>
      <c r="D18" s="585"/>
      <c r="E18" s="585"/>
      <c r="F18" s="585"/>
      <c r="G18" s="585"/>
      <c r="H18" s="585"/>
      <c r="I18" s="585"/>
      <c r="J18" s="585"/>
      <c r="K18" s="585"/>
      <c r="L18" s="585"/>
      <c r="M18" s="585"/>
      <c r="N18" s="585"/>
      <c r="O18" s="313"/>
      <c r="P18" s="585"/>
      <c r="Q18" s="585"/>
      <c r="R18" s="585"/>
      <c r="S18" s="585"/>
      <c r="T18" s="369"/>
      <c r="U18" s="585"/>
      <c r="V18" s="585"/>
      <c r="W18" s="585"/>
    </row>
    <row r="19" spans="2:23" s="130" customFormat="1" x14ac:dyDescent="0.25">
      <c r="B19" s="585"/>
      <c r="C19" s="585"/>
      <c r="D19" s="585"/>
      <c r="E19" s="585"/>
      <c r="F19" s="585"/>
      <c r="G19" s="585"/>
      <c r="H19" s="585"/>
      <c r="I19" s="585"/>
      <c r="J19" s="585"/>
      <c r="K19" s="585"/>
      <c r="L19" s="585"/>
      <c r="M19" s="585"/>
      <c r="N19" s="585"/>
      <c r="O19" s="313"/>
      <c r="P19" s="585"/>
      <c r="Q19" s="585"/>
      <c r="R19" s="585"/>
      <c r="S19" s="585"/>
      <c r="T19" s="369"/>
      <c r="U19" s="585"/>
      <c r="V19" s="585"/>
      <c r="W19" s="585"/>
    </row>
    <row r="20" spans="2:23" s="130" customFormat="1" x14ac:dyDescent="0.25">
      <c r="B20" s="585"/>
      <c r="C20" s="585"/>
      <c r="D20" s="585"/>
      <c r="E20" s="585"/>
      <c r="F20" s="585"/>
      <c r="G20" s="585"/>
      <c r="H20" s="585"/>
      <c r="I20" s="585"/>
      <c r="J20" s="585"/>
      <c r="K20" s="585"/>
      <c r="L20" s="585"/>
      <c r="M20" s="585"/>
      <c r="N20" s="585"/>
      <c r="O20" s="313"/>
      <c r="P20" s="585"/>
      <c r="Q20" s="585"/>
      <c r="R20" s="585"/>
      <c r="S20" s="585"/>
      <c r="T20" s="369"/>
      <c r="U20" s="585"/>
      <c r="V20" s="585"/>
      <c r="W20" s="585"/>
    </row>
    <row r="21" spans="2:23" s="130" customFormat="1" ht="13.8" x14ac:dyDescent="0.25">
      <c r="B21" s="108"/>
      <c r="C21" s="108"/>
      <c r="D21" s="585"/>
      <c r="E21" s="585"/>
      <c r="F21" s="585"/>
      <c r="G21" s="585"/>
      <c r="H21" s="585"/>
      <c r="I21" s="585"/>
      <c r="J21" s="585"/>
      <c r="K21" s="585"/>
      <c r="L21" s="585"/>
      <c r="M21" s="585"/>
      <c r="N21" s="585"/>
      <c r="O21" s="313"/>
      <c r="P21" s="585"/>
      <c r="Q21" s="585"/>
      <c r="R21" s="585"/>
      <c r="S21" s="585"/>
      <c r="T21" s="369"/>
      <c r="U21" s="585"/>
      <c r="V21" s="585"/>
      <c r="W21" s="585"/>
    </row>
    <row r="22" spans="2:23" s="130" customFormat="1" x14ac:dyDescent="0.25">
      <c r="B22" s="585"/>
      <c r="C22" s="585"/>
      <c r="D22" s="585"/>
      <c r="E22" s="585"/>
      <c r="F22" s="585"/>
      <c r="G22" s="585"/>
      <c r="H22" s="585"/>
      <c r="I22" s="585"/>
      <c r="J22" s="585"/>
      <c r="K22" s="585"/>
      <c r="L22" s="585"/>
      <c r="M22" s="585"/>
      <c r="N22" s="313"/>
      <c r="O22" s="313"/>
      <c r="P22" s="585"/>
      <c r="Q22" s="585"/>
      <c r="R22" s="585"/>
      <c r="S22" s="585"/>
      <c r="T22" s="369"/>
      <c r="U22" s="370"/>
      <c r="V22" s="585"/>
      <c r="W22" s="585"/>
    </row>
    <row r="23" spans="2:23" s="130" customFormat="1" ht="13.8" x14ac:dyDescent="0.25">
      <c r="B23" s="788" t="s">
        <v>131</v>
      </c>
      <c r="C23" s="788"/>
      <c r="D23" s="788"/>
      <c r="E23" s="788"/>
      <c r="F23" s="788"/>
      <c r="G23" s="585"/>
      <c r="H23" s="788" t="s">
        <v>132</v>
      </c>
      <c r="I23" s="788"/>
      <c r="J23" s="788"/>
      <c r="K23" s="788"/>
      <c r="L23" s="788"/>
      <c r="M23" s="788"/>
      <c r="N23" s="585"/>
      <c r="O23" s="18"/>
      <c r="P23" s="195"/>
      <c r="Q23" s="195"/>
      <c r="R23" s="195"/>
      <c r="S23" s="195"/>
      <c r="T23" s="585"/>
      <c r="U23" s="585"/>
      <c r="V23" s="585"/>
      <c r="W23" s="585"/>
    </row>
    <row r="24" spans="2:23" s="130" customFormat="1" ht="13.8" x14ac:dyDescent="0.25">
      <c r="B24" s="788" t="s">
        <v>187</v>
      </c>
      <c r="C24" s="788"/>
      <c r="D24" s="788"/>
      <c r="E24" s="788"/>
      <c r="F24" s="788"/>
      <c r="G24" s="585"/>
      <c r="H24" s="788" t="s">
        <v>187</v>
      </c>
      <c r="I24" s="788"/>
      <c r="J24" s="788"/>
      <c r="K24" s="788"/>
      <c r="L24" s="788"/>
      <c r="M24" s="585"/>
      <c r="N24" s="585"/>
      <c r="O24" s="19"/>
      <c r="P24" s="15"/>
      <c r="Q24" s="15"/>
      <c r="R24" s="15"/>
      <c r="S24" s="195"/>
      <c r="T24" s="195"/>
      <c r="U24" s="585"/>
      <c r="V24" s="585"/>
      <c r="W24" s="585"/>
    </row>
    <row r="25" spans="2:23" s="130" customFormat="1" ht="13.8" x14ac:dyDescent="0.25">
      <c r="B25" s="788" t="s">
        <v>133</v>
      </c>
      <c r="C25" s="788"/>
      <c r="D25" s="788"/>
      <c r="E25" s="788"/>
      <c r="F25" s="788"/>
      <c r="G25" s="585"/>
      <c r="H25" s="788" t="s">
        <v>191</v>
      </c>
      <c r="I25" s="788"/>
      <c r="J25" s="788"/>
      <c r="K25" s="788"/>
      <c r="L25" s="788"/>
      <c r="M25" s="585"/>
      <c r="N25" s="585"/>
      <c r="O25" s="25" t="s">
        <v>142</v>
      </c>
      <c r="P25" s="20"/>
      <c r="Q25" s="20"/>
      <c r="R25" s="20"/>
      <c r="S25" s="195"/>
      <c r="T25" s="195"/>
      <c r="U25" s="195"/>
      <c r="V25" s="195"/>
      <c r="W25" s="195"/>
    </row>
    <row r="26" spans="2:23" s="130" customFormat="1" ht="13.8" x14ac:dyDescent="0.25">
      <c r="B26" s="787" t="str">
        <f>+B8</f>
        <v>December 2021</v>
      </c>
      <c r="C26" s="788"/>
      <c r="D26" s="788"/>
      <c r="E26" s="788"/>
      <c r="F26" s="788"/>
      <c r="G26" s="585"/>
      <c r="H26" s="787" t="str">
        <f>+B26</f>
        <v>December 2021</v>
      </c>
      <c r="I26" s="788"/>
      <c r="J26" s="788"/>
      <c r="K26" s="788"/>
      <c r="L26" s="788"/>
      <c r="M26" s="585"/>
      <c r="N26" s="585"/>
      <c r="O26" s="25"/>
      <c r="P26" s="20"/>
      <c r="Q26" s="20"/>
      <c r="R26" s="20"/>
      <c r="S26" s="195"/>
      <c r="T26" s="195"/>
      <c r="U26" s="195"/>
      <c r="V26" s="195"/>
      <c r="W26" s="195"/>
    </row>
    <row r="27" spans="2:23" s="130" customFormat="1" x14ac:dyDescent="0.25">
      <c r="B27" s="585"/>
      <c r="C27" s="585"/>
      <c r="D27" s="585"/>
      <c r="E27" s="585"/>
      <c r="F27" s="585"/>
      <c r="G27" s="585"/>
      <c r="H27" s="585"/>
      <c r="I27" s="585"/>
      <c r="J27" s="585"/>
      <c r="K27" s="585"/>
      <c r="L27" s="585"/>
      <c r="M27" s="585"/>
      <c r="N27" s="585"/>
      <c r="O27" s="25"/>
      <c r="P27" s="20"/>
      <c r="Q27" s="20"/>
      <c r="R27" s="20"/>
      <c r="S27" s="195"/>
      <c r="T27" s="195"/>
      <c r="U27" s="195"/>
      <c r="V27" s="195"/>
      <c r="W27" s="195"/>
    </row>
    <row r="28" spans="2:23" s="130" customFormat="1" x14ac:dyDescent="0.25">
      <c r="B28" s="585"/>
      <c r="C28" s="585"/>
      <c r="D28" s="585"/>
      <c r="E28" s="585"/>
      <c r="F28" s="585"/>
      <c r="G28" s="585"/>
      <c r="H28" s="585"/>
      <c r="I28" s="585"/>
      <c r="J28" s="585"/>
      <c r="K28" s="585"/>
      <c r="L28" s="585"/>
      <c r="M28" s="585"/>
      <c r="N28" s="25"/>
      <c r="O28" s="25"/>
      <c r="P28" s="20"/>
      <c r="Q28" s="20"/>
      <c r="R28" s="20"/>
      <c r="S28" s="195"/>
      <c r="T28" s="23"/>
      <c r="U28" s="195"/>
      <c r="V28" s="195"/>
      <c r="W28" s="195"/>
    </row>
    <row r="29" spans="2:23" s="130" customFormat="1" x14ac:dyDescent="0.25">
      <c r="B29" s="585"/>
      <c r="C29" s="585"/>
      <c r="D29" s="585"/>
      <c r="E29" s="585"/>
      <c r="F29" s="585"/>
      <c r="G29" s="585"/>
      <c r="H29" s="585"/>
      <c r="I29" s="585"/>
      <c r="J29" s="585"/>
      <c r="K29" s="585"/>
      <c r="L29" s="585"/>
      <c r="M29" s="585"/>
      <c r="N29" s="25"/>
      <c r="O29" s="25"/>
      <c r="P29" s="20"/>
      <c r="Q29" s="20"/>
      <c r="R29" s="20"/>
      <c r="S29" s="297"/>
      <c r="T29" s="195"/>
      <c r="U29" s="195"/>
      <c r="V29" s="195"/>
      <c r="W29" s="195"/>
    </row>
    <row r="30" spans="2:23" s="130" customFormat="1" x14ac:dyDescent="0.25">
      <c r="B30" s="585"/>
      <c r="C30" s="585"/>
      <c r="D30" s="585"/>
      <c r="E30" s="585"/>
      <c r="F30" s="585"/>
      <c r="G30" s="585"/>
      <c r="H30" s="585"/>
      <c r="I30" s="585"/>
      <c r="J30" s="585"/>
      <c r="K30" s="585"/>
      <c r="L30" s="585"/>
      <c r="M30" s="585"/>
      <c r="N30" s="25"/>
      <c r="O30" s="25"/>
      <c r="P30" s="20"/>
      <c r="Q30" s="20"/>
      <c r="R30" s="20"/>
      <c r="S30" s="364"/>
      <c r="T30" s="195"/>
      <c r="U30" s="195"/>
      <c r="V30" s="195"/>
      <c r="W30" s="195"/>
    </row>
    <row r="31" spans="2:23" s="130" customFormat="1" x14ac:dyDescent="0.25">
      <c r="B31" s="585"/>
      <c r="C31" s="585"/>
      <c r="D31" s="585"/>
      <c r="E31" s="585"/>
      <c r="F31" s="585"/>
      <c r="G31" s="585"/>
      <c r="H31" s="585"/>
      <c r="I31" s="585"/>
      <c r="J31" s="585"/>
      <c r="K31" s="585"/>
      <c r="L31" s="585"/>
      <c r="M31" s="585"/>
      <c r="N31" s="25"/>
      <c r="O31" s="25"/>
      <c r="P31" s="20"/>
      <c r="Q31" s="20"/>
      <c r="R31" s="20"/>
      <c r="S31" s="195"/>
      <c r="T31" s="7"/>
      <c r="U31" s="195"/>
      <c r="V31" s="195"/>
      <c r="W31" s="195"/>
    </row>
    <row r="32" spans="2:23" s="130" customFormat="1" x14ac:dyDescent="0.25">
      <c r="B32" s="585"/>
      <c r="C32" s="585"/>
      <c r="D32" s="585"/>
      <c r="E32" s="585"/>
      <c r="F32" s="585"/>
      <c r="G32" s="585"/>
      <c r="H32" s="585"/>
      <c r="I32" s="585"/>
      <c r="J32" s="585"/>
      <c r="K32" s="585"/>
      <c r="L32" s="585"/>
      <c r="M32" s="585"/>
      <c r="N32" s="25"/>
      <c r="O32" s="25"/>
      <c r="P32" s="20"/>
      <c r="Q32" s="20"/>
      <c r="R32" s="20"/>
      <c r="S32" s="195"/>
      <c r="T32" s="20"/>
      <c r="U32" s="195"/>
      <c r="V32" s="195"/>
      <c r="W32" s="195"/>
    </row>
    <row r="33" spans="4:23" s="130" customFormat="1" x14ac:dyDescent="0.25">
      <c r="D33" s="585"/>
      <c r="E33" s="585"/>
      <c r="F33" s="585"/>
      <c r="G33" s="585"/>
      <c r="H33" s="585"/>
      <c r="I33" s="585"/>
      <c r="J33" s="585"/>
      <c r="K33" s="585"/>
      <c r="L33" s="585"/>
      <c r="M33" s="585"/>
      <c r="N33" s="25"/>
      <c r="O33" s="25"/>
      <c r="P33" s="20"/>
      <c r="Q33" s="20"/>
      <c r="R33" s="20"/>
      <c r="S33" s="365"/>
      <c r="T33" s="365"/>
      <c r="U33" s="195"/>
      <c r="V33" s="195"/>
      <c r="W33" s="195"/>
    </row>
    <row r="34" spans="4:23" s="130" customFormat="1" x14ac:dyDescent="0.25">
      <c r="D34" s="585"/>
      <c r="E34" s="585"/>
      <c r="F34" s="585"/>
      <c r="G34" s="585"/>
      <c r="H34" s="585"/>
      <c r="I34" s="585"/>
      <c r="J34" s="585"/>
      <c r="K34" s="585"/>
      <c r="L34" s="585"/>
      <c r="M34" s="585"/>
      <c r="N34" s="24"/>
      <c r="O34" s="313"/>
      <c r="P34" s="585"/>
      <c r="Q34" s="585"/>
      <c r="R34" s="20"/>
      <c r="S34" s="365"/>
      <c r="T34" s="195"/>
      <c r="U34" s="195"/>
      <c r="V34" s="195"/>
      <c r="W34" s="195"/>
    </row>
    <row r="35" spans="4:23" s="130" customFormat="1" ht="13.8" x14ac:dyDescent="0.25">
      <c r="D35" s="585"/>
      <c r="E35" s="585"/>
      <c r="F35" s="585"/>
      <c r="G35" s="585"/>
      <c r="H35" s="585"/>
      <c r="I35" s="585"/>
      <c r="J35" s="585"/>
      <c r="K35" s="585"/>
      <c r="L35" s="585"/>
      <c r="M35" s="585"/>
      <c r="N35" s="25"/>
      <c r="O35" s="26"/>
      <c r="P35" s="27"/>
      <c r="Q35" s="27"/>
      <c r="R35" s="195"/>
      <c r="S35" s="195"/>
      <c r="T35" s="23"/>
      <c r="U35" s="195"/>
      <c r="V35" s="195"/>
      <c r="W35" s="195"/>
    </row>
    <row r="36" spans="4:23" s="130" customFormat="1" x14ac:dyDescent="0.25">
      <c r="D36" s="585"/>
      <c r="E36" s="585"/>
      <c r="F36" s="585"/>
      <c r="G36" s="585"/>
      <c r="H36" s="585"/>
      <c r="I36" s="585"/>
      <c r="J36" s="585"/>
      <c r="K36" s="585"/>
      <c r="L36" s="585"/>
      <c r="M36" s="585"/>
      <c r="N36" s="25"/>
      <c r="O36" s="297"/>
      <c r="P36" s="195"/>
      <c r="Q36" s="195"/>
      <c r="R36" s="195"/>
      <c r="S36" s="195"/>
      <c r="T36" s="22"/>
      <c r="U36" s="585"/>
      <c r="V36" s="585"/>
      <c r="W36" s="585"/>
    </row>
    <row r="37" spans="4:23" s="130" customFormat="1" x14ac:dyDescent="0.25">
      <c r="D37" s="585"/>
      <c r="E37" s="585"/>
      <c r="F37" s="585"/>
      <c r="G37" s="585"/>
      <c r="H37" s="585"/>
      <c r="I37" s="585"/>
      <c r="J37" s="585"/>
      <c r="K37" s="585"/>
      <c r="L37" s="585"/>
      <c r="M37" s="585"/>
      <c r="N37" s="585"/>
      <c r="O37" s="195"/>
      <c r="P37" s="585"/>
      <c r="Q37" s="585"/>
      <c r="R37" s="195"/>
      <c r="S37" s="195"/>
      <c r="T37" s="366"/>
      <c r="U37" s="585"/>
      <c r="V37" s="585"/>
      <c r="W37" s="585"/>
    </row>
    <row r="38" spans="4:23" s="130" customFormat="1" x14ac:dyDescent="0.25">
      <c r="D38" s="585"/>
      <c r="E38" s="585"/>
      <c r="F38" s="585"/>
      <c r="G38" s="585"/>
      <c r="H38" s="585"/>
      <c r="I38" s="585"/>
      <c r="J38" s="585"/>
      <c r="K38" s="585"/>
      <c r="L38" s="585"/>
      <c r="M38" s="585"/>
      <c r="N38" s="585"/>
      <c r="O38" s="297"/>
      <c r="P38" s="195"/>
      <c r="Q38" s="195"/>
      <c r="R38" s="195"/>
      <c r="S38" s="195"/>
      <c r="T38" s="585"/>
      <c r="U38" s="585"/>
      <c r="V38" s="585"/>
      <c r="W38" s="585"/>
    </row>
    <row r="39" spans="4:23" s="130" customFormat="1" x14ac:dyDescent="0.25">
      <c r="D39" s="585"/>
      <c r="E39" s="585"/>
      <c r="F39" s="585"/>
      <c r="G39" s="585"/>
      <c r="H39" s="585"/>
      <c r="I39" s="585"/>
      <c r="J39" s="585"/>
      <c r="K39" s="585"/>
      <c r="L39" s="585"/>
      <c r="M39" s="585"/>
      <c r="N39" s="585"/>
      <c r="O39" s="297"/>
      <c r="P39" s="195"/>
      <c r="Q39" s="195"/>
      <c r="R39" s="367"/>
      <c r="S39" s="195"/>
      <c r="T39" s="585"/>
      <c r="U39" s="585"/>
      <c r="V39" s="585"/>
      <c r="W39" s="585"/>
    </row>
    <row r="40" spans="4:23" s="130" customFormat="1" x14ac:dyDescent="0.25">
      <c r="D40" s="585"/>
      <c r="E40" s="585"/>
      <c r="F40" s="585"/>
      <c r="G40" s="585"/>
      <c r="H40" s="585"/>
      <c r="I40" s="585"/>
      <c r="J40" s="585"/>
      <c r="K40" s="585"/>
      <c r="L40" s="585"/>
      <c r="M40" s="585"/>
      <c r="N40" s="585"/>
      <c r="O40" s="18"/>
      <c r="P40" s="195"/>
      <c r="Q40" s="195"/>
      <c r="R40" s="195"/>
      <c r="S40" s="195"/>
      <c r="T40" s="195"/>
      <c r="U40" s="585"/>
      <c r="V40" s="585"/>
      <c r="W40" s="585"/>
    </row>
    <row r="41" spans="4:23" s="130" customFormat="1" x14ac:dyDescent="0.25">
      <c r="D41" s="585"/>
      <c r="E41" s="585"/>
      <c r="F41" s="585"/>
      <c r="G41" s="585"/>
      <c r="H41" s="585"/>
      <c r="I41" s="585"/>
      <c r="J41" s="585"/>
      <c r="K41" s="585"/>
      <c r="L41" s="585"/>
      <c r="M41" s="585"/>
      <c r="N41" s="585"/>
      <c r="O41" s="18"/>
      <c r="P41" s="126"/>
      <c r="Q41" s="126"/>
      <c r="R41" s="195"/>
      <c r="S41" s="195"/>
      <c r="T41" s="195"/>
      <c r="U41" s="585"/>
      <c r="V41" s="585"/>
      <c r="W41" s="585"/>
    </row>
    <row r="42" spans="4:23" s="130" customFormat="1" x14ac:dyDescent="0.25">
      <c r="D42" s="585"/>
      <c r="E42" s="585"/>
      <c r="F42" s="585"/>
      <c r="G42" s="585"/>
      <c r="H42" s="585"/>
      <c r="I42" s="585"/>
      <c r="J42" s="585"/>
      <c r="K42" s="585"/>
      <c r="L42" s="585"/>
      <c r="M42" s="585"/>
      <c r="N42" s="585"/>
      <c r="O42" s="313"/>
      <c r="P42" s="585"/>
      <c r="Q42" s="585"/>
      <c r="R42" s="195"/>
      <c r="S42" s="195"/>
      <c r="T42" s="195"/>
      <c r="U42" s="585"/>
      <c r="V42" s="585"/>
      <c r="W42" s="585"/>
    </row>
    <row r="43" spans="4:23" s="393" customFormat="1" ht="13.8" x14ac:dyDescent="0.25">
      <c r="D43" s="788" t="s">
        <v>135</v>
      </c>
      <c r="E43" s="788"/>
      <c r="F43" s="788"/>
      <c r="G43" s="788"/>
      <c r="H43" s="788"/>
      <c r="I43" s="788"/>
      <c r="J43" s="788"/>
      <c r="K43" s="585"/>
      <c r="L43" s="585"/>
      <c r="M43" s="585"/>
      <c r="N43" s="585"/>
      <c r="O43" s="313"/>
      <c r="P43" s="585"/>
      <c r="Q43" s="585"/>
      <c r="R43" s="195"/>
      <c r="S43" s="195"/>
      <c r="T43" s="195"/>
      <c r="U43" s="585"/>
      <c r="V43" s="585"/>
      <c r="W43" s="585"/>
    </row>
    <row r="44" spans="4:23" s="130" customFormat="1" ht="13.8" x14ac:dyDescent="0.25">
      <c r="D44" s="788" t="s">
        <v>192</v>
      </c>
      <c r="E44" s="788"/>
      <c r="F44" s="788"/>
      <c r="G44" s="788"/>
      <c r="H44" s="788"/>
      <c r="I44" s="788"/>
      <c r="J44" s="788"/>
      <c r="K44" s="585"/>
      <c r="L44" s="585"/>
      <c r="M44" s="585"/>
      <c r="N44" s="585"/>
      <c r="O44" s="313"/>
      <c r="P44" s="585"/>
      <c r="Q44" s="585"/>
      <c r="R44" s="195"/>
      <c r="S44" s="585"/>
      <c r="T44" s="195"/>
      <c r="U44" s="585"/>
      <c r="V44" s="585"/>
      <c r="W44" s="585"/>
    </row>
    <row r="45" spans="4:23" s="130" customFormat="1" ht="13.8" x14ac:dyDescent="0.25">
      <c r="D45" s="788" t="s">
        <v>193</v>
      </c>
      <c r="E45" s="788"/>
      <c r="F45" s="788"/>
      <c r="G45" s="788"/>
      <c r="H45" s="788"/>
      <c r="I45" s="788"/>
      <c r="J45" s="788"/>
      <c r="K45" s="585"/>
      <c r="L45" s="585"/>
      <c r="M45" s="585"/>
      <c r="N45" s="585"/>
      <c r="O45" s="297"/>
      <c r="P45" s="585"/>
      <c r="Q45" s="585"/>
      <c r="R45" s="297"/>
      <c r="S45" s="195"/>
      <c r="T45" s="195"/>
      <c r="U45" s="585"/>
      <c r="V45" s="585"/>
      <c r="W45" s="585"/>
    </row>
    <row r="46" spans="4:23" s="130" customFormat="1" ht="13.8" x14ac:dyDescent="0.25">
      <c r="D46" s="788" t="s">
        <v>138</v>
      </c>
      <c r="E46" s="788"/>
      <c r="F46" s="788"/>
      <c r="G46" s="788"/>
      <c r="H46" s="788"/>
      <c r="I46" s="788"/>
      <c r="J46" s="788"/>
      <c r="K46" s="585"/>
      <c r="L46" s="585"/>
      <c r="M46" s="585"/>
      <c r="N46" s="585"/>
      <c r="O46" s="313"/>
      <c r="P46" s="585"/>
      <c r="Q46" s="585"/>
      <c r="R46" s="585"/>
      <c r="S46" s="585"/>
      <c r="T46" s="195"/>
      <c r="U46" s="585"/>
      <c r="V46" s="585"/>
      <c r="W46" s="585"/>
    </row>
    <row r="47" spans="4:23" s="130" customFormat="1" ht="13.8" x14ac:dyDescent="0.25">
      <c r="D47" s="788" t="s">
        <v>194</v>
      </c>
      <c r="E47" s="788"/>
      <c r="F47" s="788"/>
      <c r="G47" s="788"/>
      <c r="H47" s="788"/>
      <c r="I47" s="788"/>
      <c r="J47" s="788"/>
      <c r="K47" s="585"/>
      <c r="L47" s="585"/>
      <c r="M47" s="585"/>
      <c r="N47" s="585"/>
      <c r="O47" s="313"/>
      <c r="P47" s="585"/>
      <c r="Q47" s="585"/>
      <c r="R47" s="585"/>
      <c r="S47" s="585"/>
      <c r="T47" s="585"/>
      <c r="U47" s="585"/>
      <c r="V47" s="585"/>
      <c r="W47" s="585"/>
    </row>
    <row r="48" spans="4:23" s="130" customFormat="1" x14ac:dyDescent="0.25">
      <c r="D48" s="585"/>
      <c r="E48" s="585"/>
      <c r="F48" s="585"/>
      <c r="G48" s="585"/>
      <c r="H48" s="585"/>
      <c r="I48" s="585"/>
      <c r="J48" s="585"/>
      <c r="K48" s="585"/>
      <c r="L48" s="585"/>
      <c r="M48" s="585"/>
      <c r="N48" s="310"/>
      <c r="O48" s="313"/>
      <c r="P48" s="585"/>
      <c r="Q48" s="585"/>
      <c r="R48" s="585"/>
      <c r="S48" s="585"/>
      <c r="T48" s="585"/>
      <c r="U48" s="585"/>
      <c r="V48" s="585"/>
      <c r="W48" s="585"/>
    </row>
    <row r="49" spans="15:19" s="130" customFormat="1" x14ac:dyDescent="0.25">
      <c r="O49" s="313"/>
      <c r="P49" s="585"/>
      <c r="Q49" s="585"/>
      <c r="R49" s="585"/>
      <c r="S49" s="585"/>
    </row>
    <row r="50" spans="15:19" s="130" customFormat="1" x14ac:dyDescent="0.25">
      <c r="O50" s="371"/>
      <c r="P50" s="585"/>
      <c r="Q50" s="585"/>
      <c r="R50" s="585"/>
      <c r="S50" s="585"/>
    </row>
    <row r="51" spans="15:19" s="130" customFormat="1" x14ac:dyDescent="0.25">
      <c r="O51" s="313"/>
      <c r="P51" s="585"/>
      <c r="Q51" s="585"/>
      <c r="R51" s="369"/>
      <c r="S51" s="585"/>
    </row>
    <row r="52" spans="15:19" s="130" customFormat="1" x14ac:dyDescent="0.25">
      <c r="O52" s="372"/>
      <c r="P52" s="585"/>
      <c r="Q52" s="585"/>
      <c r="R52" s="369"/>
      <c r="S52" s="195"/>
    </row>
    <row r="53" spans="15:19" s="130" customFormat="1" x14ac:dyDescent="0.25">
      <c r="O53" s="372"/>
      <c r="P53" s="585"/>
      <c r="Q53" s="585"/>
      <c r="R53" s="369"/>
      <c r="S53" s="585"/>
    </row>
    <row r="54" spans="15:19" s="130" customFormat="1" x14ac:dyDescent="0.25">
      <c r="O54" s="372"/>
      <c r="P54" s="585"/>
      <c r="Q54" s="585"/>
      <c r="R54" s="369"/>
      <c r="S54" s="585"/>
    </row>
    <row r="55" spans="15:19" s="130" customFormat="1" x14ac:dyDescent="0.25">
      <c r="O55" s="372"/>
      <c r="P55" s="585"/>
      <c r="Q55" s="585"/>
      <c r="R55" s="369"/>
      <c r="S55" s="585"/>
    </row>
    <row r="56" spans="15:19" s="130" customFormat="1" x14ac:dyDescent="0.25">
      <c r="O56" s="372"/>
      <c r="P56" s="585"/>
      <c r="Q56" s="585"/>
      <c r="R56" s="369"/>
      <c r="S56" s="585"/>
    </row>
    <row r="57" spans="15:19" s="130" customFormat="1" x14ac:dyDescent="0.25">
      <c r="O57" s="372"/>
      <c r="P57" s="585"/>
      <c r="Q57" s="585"/>
      <c r="R57" s="369"/>
      <c r="S57" s="585"/>
    </row>
    <row r="58" spans="15:19" s="130" customFormat="1" x14ac:dyDescent="0.25">
      <c r="O58" s="372"/>
      <c r="P58" s="585"/>
      <c r="Q58" s="585"/>
      <c r="R58" s="369"/>
      <c r="S58" s="313"/>
    </row>
    <row r="59" spans="15:19" s="130" customFormat="1" x14ac:dyDescent="0.25">
      <c r="O59" s="372"/>
      <c r="P59" s="585"/>
      <c r="Q59" s="585"/>
      <c r="R59" s="369"/>
      <c r="S59" s="373"/>
    </row>
    <row r="60" spans="15:19" s="130" customFormat="1" x14ac:dyDescent="0.25">
      <c r="O60" s="372"/>
      <c r="P60" s="585"/>
      <c r="Q60" s="585"/>
      <c r="R60" s="369"/>
      <c r="S60" s="585"/>
    </row>
    <row r="61" spans="15:19" s="130" customFormat="1" x14ac:dyDescent="0.25">
      <c r="O61" s="372"/>
      <c r="P61" s="585"/>
      <c r="Q61" s="585"/>
      <c r="R61" s="369"/>
      <c r="S61" s="585"/>
    </row>
    <row r="62" spans="15:19" s="130" customFormat="1" x14ac:dyDescent="0.25">
      <c r="O62" s="313"/>
      <c r="P62" s="585"/>
      <c r="Q62" s="585"/>
      <c r="R62" s="369"/>
      <c r="S62" s="373"/>
    </row>
    <row r="63" spans="15:19" s="130" customFormat="1" x14ac:dyDescent="0.25">
      <c r="O63" s="374"/>
      <c r="P63" s="585"/>
      <c r="Q63" s="585"/>
      <c r="R63" s="369"/>
      <c r="S63" s="373"/>
    </row>
    <row r="64" spans="15:19" s="130" customFormat="1" x14ac:dyDescent="0.25">
      <c r="O64" s="313"/>
      <c r="P64" s="585"/>
      <c r="Q64" s="585"/>
      <c r="R64" s="585"/>
      <c r="S64" s="585"/>
    </row>
    <row r="65" spans="1:37" s="130" customFormat="1" x14ac:dyDescent="0.25">
      <c r="A65" s="585"/>
      <c r="B65" s="585"/>
      <c r="C65" s="585"/>
      <c r="D65" s="585"/>
      <c r="E65" s="585"/>
      <c r="F65" s="585"/>
      <c r="G65" s="585"/>
      <c r="H65" s="585"/>
      <c r="I65" s="585"/>
      <c r="J65" s="585"/>
      <c r="K65" s="585"/>
      <c r="L65" s="585"/>
      <c r="M65" s="585"/>
      <c r="N65" s="585"/>
      <c r="O65" s="313"/>
      <c r="P65" s="585"/>
      <c r="Q65" s="585"/>
      <c r="R65" s="585"/>
      <c r="S65" s="585"/>
      <c r="T65" s="585"/>
      <c r="U65" s="585"/>
      <c r="V65" s="585"/>
      <c r="W65" s="585"/>
      <c r="X65" s="585"/>
      <c r="Y65" s="585"/>
      <c r="Z65" s="585"/>
      <c r="AA65" s="585"/>
      <c r="AB65" s="585"/>
      <c r="AC65" s="585"/>
      <c r="AD65" s="585"/>
      <c r="AE65" s="585"/>
      <c r="AF65" s="585"/>
      <c r="AG65" s="585"/>
      <c r="AH65" s="585"/>
      <c r="AI65" s="585"/>
      <c r="AJ65" s="585"/>
      <c r="AK65" s="585"/>
    </row>
    <row r="66" spans="1:37" s="130" customFormat="1" x14ac:dyDescent="0.25">
      <c r="A66" s="585"/>
      <c r="B66" s="585"/>
      <c r="C66" s="585"/>
      <c r="D66" s="585"/>
      <c r="E66" s="585"/>
      <c r="F66" s="585"/>
      <c r="G66" s="585"/>
      <c r="H66" s="585"/>
      <c r="I66" s="585"/>
      <c r="J66" s="585"/>
      <c r="K66" s="585"/>
      <c r="L66" s="585"/>
      <c r="M66" s="585"/>
      <c r="N66" s="585"/>
      <c r="O66" s="313"/>
      <c r="P66" s="585"/>
      <c r="Q66" s="585"/>
      <c r="R66" s="585"/>
      <c r="S66" s="585"/>
      <c r="T66" s="585"/>
      <c r="U66" s="585"/>
      <c r="V66" s="585"/>
      <c r="W66" s="585"/>
      <c r="X66" s="585"/>
      <c r="Y66" s="585"/>
      <c r="Z66" s="585"/>
      <c r="AA66" s="585"/>
      <c r="AB66" s="585"/>
      <c r="AC66" s="585"/>
      <c r="AD66" s="585"/>
      <c r="AE66" s="585"/>
      <c r="AF66" s="585"/>
      <c r="AG66" s="585"/>
      <c r="AH66" s="585"/>
      <c r="AI66" s="585"/>
      <c r="AJ66" s="585"/>
      <c r="AK66" s="585"/>
    </row>
    <row r="67" spans="1:37" s="130" customFormat="1" x14ac:dyDescent="0.25">
      <c r="A67" s="585"/>
      <c r="B67" s="585"/>
      <c r="C67" s="585"/>
      <c r="D67" s="585"/>
      <c r="E67" s="585"/>
      <c r="F67" s="585"/>
      <c r="G67" s="585"/>
      <c r="H67" s="585"/>
      <c r="I67" s="585"/>
      <c r="J67" s="585"/>
      <c r="K67" s="585"/>
      <c r="L67" s="585"/>
      <c r="M67" s="585"/>
      <c r="N67" s="585"/>
      <c r="O67" s="313"/>
      <c r="P67" s="585"/>
      <c r="Q67" s="585"/>
      <c r="R67" s="585"/>
      <c r="S67" s="585"/>
      <c r="T67" s="585"/>
      <c r="U67" s="585"/>
      <c r="V67" s="585"/>
      <c r="W67" s="585"/>
      <c r="X67" s="585"/>
      <c r="Y67" s="585"/>
      <c r="Z67" s="585"/>
      <c r="AA67" s="585"/>
      <c r="AB67" s="585"/>
      <c r="AC67" s="585"/>
      <c r="AD67" s="585"/>
      <c r="AE67" s="585"/>
      <c r="AF67" s="585"/>
      <c r="AG67" s="585"/>
      <c r="AH67" s="585"/>
      <c r="AI67" s="585"/>
      <c r="AJ67" s="585"/>
      <c r="AK67" s="585"/>
    </row>
    <row r="68" spans="1:37" s="130" customFormat="1" x14ac:dyDescent="0.25">
      <c r="A68" s="585"/>
      <c r="B68" s="585"/>
      <c r="C68" s="585"/>
      <c r="D68" s="585"/>
      <c r="E68" s="585"/>
      <c r="F68" s="585"/>
      <c r="G68" s="585"/>
      <c r="H68" s="585"/>
      <c r="I68" s="585"/>
      <c r="J68" s="585"/>
      <c r="K68" s="585"/>
      <c r="L68" s="585"/>
      <c r="M68" s="585"/>
      <c r="N68" s="585"/>
      <c r="O68" s="313"/>
      <c r="P68" s="585"/>
      <c r="Q68" s="585"/>
      <c r="R68" s="585"/>
      <c r="S68" s="585"/>
      <c r="T68" s="585"/>
      <c r="U68" s="585"/>
      <c r="V68" s="585"/>
      <c r="W68" s="585"/>
      <c r="X68" s="585"/>
      <c r="Y68" s="585"/>
      <c r="Z68" s="585"/>
      <c r="AA68" s="585"/>
      <c r="AB68" s="585"/>
      <c r="AC68" s="585"/>
      <c r="AD68" s="585"/>
      <c r="AE68" s="585"/>
      <c r="AF68" s="585"/>
      <c r="AG68" s="585"/>
      <c r="AH68" s="585"/>
      <c r="AI68" s="585"/>
      <c r="AJ68" s="585"/>
      <c r="AK68" s="585"/>
    </row>
    <row r="69" spans="1:37" s="585" customFormat="1" ht="27.75" customHeight="1" x14ac:dyDescent="0.25">
      <c r="G69" s="316" t="s">
        <v>43</v>
      </c>
      <c r="O69" s="313"/>
    </row>
    <row r="70" spans="1:37" s="585" customFormat="1" x14ac:dyDescent="0.25">
      <c r="A70" s="187"/>
      <c r="B70" s="187"/>
      <c r="C70" s="187"/>
      <c r="D70" s="187"/>
      <c r="E70" s="187"/>
      <c r="F70" s="187"/>
      <c r="G70" s="187"/>
      <c r="H70" s="187"/>
      <c r="I70" s="187"/>
      <c r="J70" s="187"/>
      <c r="K70" s="187"/>
      <c r="L70" s="187"/>
      <c r="M70" s="187"/>
      <c r="N70" s="187"/>
      <c r="O70" s="700"/>
      <c r="P70" s="187"/>
      <c r="Q70" s="187"/>
      <c r="R70" s="187"/>
      <c r="S70" s="187"/>
      <c r="T70" s="187"/>
      <c r="U70" s="187"/>
      <c r="V70" s="187"/>
      <c r="W70" s="187"/>
      <c r="X70" s="187"/>
      <c r="Y70" s="187"/>
      <c r="Z70" s="187"/>
      <c r="AA70" s="187"/>
      <c r="AB70" s="187"/>
      <c r="AC70" s="187"/>
      <c r="AD70" s="187"/>
      <c r="AE70" s="187"/>
      <c r="AF70" s="187"/>
      <c r="AG70" s="187"/>
      <c r="AH70" s="187"/>
      <c r="AI70" s="187"/>
      <c r="AJ70" s="187"/>
      <c r="AK70" s="187"/>
    </row>
    <row r="71" spans="1:37" s="585" customFormat="1" x14ac:dyDescent="0.25">
      <c r="A71" s="187"/>
      <c r="B71" s="187"/>
      <c r="C71" s="187"/>
      <c r="D71" s="187"/>
      <c r="E71" s="187"/>
      <c r="F71" s="187"/>
      <c r="G71" s="187"/>
      <c r="H71" s="187"/>
      <c r="I71" s="187"/>
      <c r="J71" s="187"/>
      <c r="K71" s="187"/>
      <c r="L71" s="187"/>
      <c r="M71" s="187"/>
      <c r="N71" s="187"/>
      <c r="O71" s="700"/>
      <c r="P71" s="187"/>
      <c r="Q71" s="187"/>
      <c r="R71" s="187"/>
      <c r="S71" s="187"/>
      <c r="T71" s="187"/>
      <c r="U71" s="187"/>
      <c r="V71" s="187"/>
      <c r="W71" s="187"/>
      <c r="X71" s="187"/>
      <c r="Y71" s="187"/>
      <c r="Z71" s="187"/>
      <c r="AA71" s="187"/>
      <c r="AB71" s="187"/>
      <c r="AC71" s="187"/>
      <c r="AD71" s="187"/>
      <c r="AE71" s="187"/>
      <c r="AF71" s="187"/>
      <c r="AG71" s="187"/>
      <c r="AH71" s="187"/>
      <c r="AI71" s="187"/>
      <c r="AJ71" s="187"/>
      <c r="AK71" s="187"/>
    </row>
    <row r="72" spans="1:37" x14ac:dyDescent="0.25">
      <c r="A72" s="621"/>
      <c r="B72" s="621"/>
      <c r="C72" s="621"/>
      <c r="D72" s="621"/>
      <c r="E72" s="621"/>
      <c r="F72" s="621"/>
      <c r="G72" s="621"/>
      <c r="H72" s="621"/>
      <c r="I72" s="621"/>
      <c r="J72" s="621"/>
      <c r="K72" s="621"/>
      <c r="L72" s="621"/>
      <c r="M72" s="621"/>
      <c r="N72" s="621"/>
      <c r="O72" s="623"/>
      <c r="P72" s="621"/>
      <c r="Q72" s="621"/>
      <c r="R72" s="621"/>
      <c r="S72" s="621"/>
      <c r="T72" s="621"/>
      <c r="U72" s="621"/>
      <c r="V72" s="621"/>
      <c r="W72" s="621"/>
      <c r="X72" s="621"/>
      <c r="Y72" s="621"/>
      <c r="Z72" s="621"/>
      <c r="AA72" s="621"/>
      <c r="AB72" s="621"/>
      <c r="AC72" s="621"/>
      <c r="AD72" s="621"/>
      <c r="AE72" s="621"/>
      <c r="AF72" s="621"/>
      <c r="AG72" s="621"/>
      <c r="AH72" s="621"/>
      <c r="AI72" s="621"/>
      <c r="AJ72" s="621"/>
      <c r="AK72" s="621"/>
    </row>
    <row r="73" spans="1:37" x14ac:dyDescent="0.25">
      <c r="A73" s="621"/>
      <c r="B73" s="621"/>
      <c r="C73" s="621"/>
      <c r="D73" s="621"/>
      <c r="E73" s="621"/>
      <c r="F73" s="621"/>
      <c r="G73" s="621"/>
      <c r="H73" s="621"/>
      <c r="I73" s="621"/>
      <c r="J73" s="621"/>
      <c r="K73" s="621"/>
      <c r="L73" s="621"/>
      <c r="M73" s="621"/>
      <c r="N73" s="621"/>
      <c r="O73" s="623"/>
      <c r="P73" s="621"/>
      <c r="Q73" s="621"/>
      <c r="R73" s="621"/>
      <c r="S73" s="621"/>
      <c r="T73" s="621"/>
      <c r="U73" s="621"/>
      <c r="V73" s="621"/>
      <c r="W73" s="621"/>
      <c r="X73" s="621"/>
      <c r="Y73" s="621"/>
      <c r="Z73" s="621"/>
      <c r="AA73" s="621"/>
      <c r="AB73" s="621"/>
      <c r="AC73" s="621"/>
      <c r="AD73" s="621"/>
      <c r="AE73" s="621"/>
      <c r="AF73" s="621"/>
      <c r="AG73" s="621"/>
      <c r="AH73" s="621"/>
      <c r="AI73" s="621"/>
      <c r="AJ73" s="621"/>
      <c r="AK73" s="621"/>
    </row>
    <row r="74" spans="1:37" x14ac:dyDescent="0.25">
      <c r="A74" s="621"/>
      <c r="B74" s="621"/>
      <c r="C74" s="621"/>
      <c r="D74" s="621"/>
      <c r="E74" s="621"/>
      <c r="F74" s="621"/>
      <c r="G74" s="621"/>
      <c r="H74" s="621"/>
      <c r="I74" s="621"/>
      <c r="J74" s="621"/>
      <c r="K74" s="621"/>
      <c r="L74" s="621"/>
      <c r="M74" s="621"/>
      <c r="N74" s="621"/>
      <c r="O74" s="623"/>
      <c r="P74" s="621"/>
      <c r="Q74" s="621"/>
      <c r="R74" s="621"/>
      <c r="S74" s="621"/>
      <c r="T74" s="621"/>
      <c r="U74" s="621"/>
      <c r="V74" s="621"/>
      <c r="W74" s="621"/>
      <c r="X74" s="621"/>
      <c r="Y74" s="621"/>
      <c r="Z74" s="621"/>
      <c r="AA74" s="621"/>
      <c r="AB74" s="621"/>
      <c r="AC74" s="621"/>
      <c r="AD74" s="621"/>
      <c r="AE74" s="621"/>
      <c r="AF74" s="621"/>
      <c r="AG74" s="621"/>
      <c r="AH74" s="621"/>
      <c r="AI74" s="621"/>
      <c r="AJ74" s="621"/>
      <c r="AK74" s="621"/>
    </row>
    <row r="75" spans="1:37" x14ac:dyDescent="0.25">
      <c r="A75" s="621"/>
      <c r="B75" s="621"/>
      <c r="C75" s="621"/>
      <c r="D75" s="621"/>
      <c r="E75" s="621"/>
      <c r="F75" s="621"/>
      <c r="G75" s="621"/>
      <c r="H75" s="621"/>
      <c r="I75" s="621"/>
      <c r="J75" s="621"/>
      <c r="K75" s="621"/>
      <c r="L75" s="621"/>
      <c r="M75" s="621"/>
      <c r="N75" s="621"/>
      <c r="O75" s="623"/>
      <c r="P75" s="621"/>
      <c r="Q75" s="621"/>
      <c r="R75" s="621"/>
      <c r="S75" s="621"/>
      <c r="T75" s="621"/>
      <c r="U75" s="621"/>
      <c r="V75" s="621"/>
      <c r="W75" s="621"/>
      <c r="X75" s="621"/>
      <c r="Y75" s="621"/>
      <c r="Z75" s="621"/>
      <c r="AA75" s="621"/>
      <c r="AB75" s="621"/>
      <c r="AC75" s="621"/>
      <c r="AD75" s="621"/>
      <c r="AE75" s="621"/>
      <c r="AF75" s="621"/>
      <c r="AG75" s="621"/>
      <c r="AH75" s="621"/>
      <c r="AI75" s="621"/>
      <c r="AJ75" s="621"/>
      <c r="AK75" s="621"/>
    </row>
    <row r="76" spans="1:37" x14ac:dyDescent="0.25">
      <c r="A76" s="621"/>
      <c r="B76" s="621"/>
      <c r="C76" s="621"/>
      <c r="D76" s="621"/>
      <c r="E76" s="621"/>
      <c r="F76" s="621"/>
      <c r="G76" s="621"/>
      <c r="H76" s="621"/>
      <c r="I76" s="621"/>
      <c r="J76" s="621"/>
      <c r="K76" s="621"/>
      <c r="L76" s="621"/>
      <c r="M76" s="621"/>
      <c r="N76" s="621"/>
      <c r="O76" s="623"/>
      <c r="P76" s="621"/>
      <c r="Q76" s="621"/>
      <c r="R76" s="621"/>
      <c r="S76" s="621"/>
      <c r="T76" s="621"/>
      <c r="U76" s="621"/>
      <c r="V76" s="621"/>
      <c r="W76" s="621"/>
      <c r="X76" s="621"/>
      <c r="Y76" s="621"/>
      <c r="Z76" s="621"/>
      <c r="AA76" s="621"/>
      <c r="AB76" s="621"/>
      <c r="AC76" s="621"/>
      <c r="AD76" s="621"/>
      <c r="AE76" s="621"/>
      <c r="AF76" s="621"/>
      <c r="AG76" s="621"/>
      <c r="AH76" s="621"/>
      <c r="AI76" s="621"/>
      <c r="AJ76" s="621"/>
      <c r="AK76" s="621"/>
    </row>
    <row r="77" spans="1:37" x14ac:dyDescent="0.25">
      <c r="A77" s="621"/>
      <c r="B77" s="621"/>
      <c r="C77" s="621"/>
      <c r="D77" s="621"/>
      <c r="E77" s="621"/>
      <c r="F77" s="621"/>
      <c r="G77" s="621"/>
      <c r="H77" s="621"/>
      <c r="I77" s="621"/>
      <c r="J77" s="621"/>
      <c r="K77" s="621"/>
      <c r="L77" s="621"/>
      <c r="M77" s="621"/>
      <c r="N77" s="621"/>
      <c r="O77" s="621"/>
      <c r="P77" s="621"/>
      <c r="Q77" s="621"/>
      <c r="R77" s="621"/>
      <c r="S77" s="621"/>
      <c r="T77" s="621"/>
      <c r="U77" s="621"/>
      <c r="V77" s="621"/>
      <c r="W77" s="621"/>
      <c r="X77" s="621"/>
      <c r="Y77" s="621"/>
      <c r="Z77" s="621"/>
      <c r="AA77" s="621"/>
      <c r="AB77" s="621"/>
      <c r="AC77" s="621"/>
      <c r="AD77" s="621"/>
      <c r="AE77" s="621"/>
      <c r="AF77" s="621"/>
      <c r="AG77" s="621"/>
      <c r="AH77" s="621"/>
      <c r="AI77" s="621"/>
      <c r="AJ77" s="621"/>
      <c r="AK77" s="621"/>
    </row>
    <row r="78" spans="1:37" x14ac:dyDescent="0.25">
      <c r="A78" s="621"/>
      <c r="B78" s="621"/>
      <c r="C78" s="621"/>
      <c r="D78" s="621"/>
      <c r="E78" s="621"/>
      <c r="F78" s="621"/>
      <c r="G78" s="621"/>
      <c r="H78" s="621"/>
      <c r="I78" s="621"/>
      <c r="J78" s="621"/>
      <c r="K78" s="621"/>
      <c r="L78" s="621"/>
      <c r="M78" s="621"/>
      <c r="N78" s="623"/>
      <c r="O78" s="621"/>
      <c r="P78" s="621"/>
      <c r="Q78" s="621"/>
      <c r="R78" s="621"/>
      <c r="S78" s="621"/>
      <c r="T78" s="621"/>
      <c r="U78" s="621"/>
      <c r="V78" s="621"/>
      <c r="W78" s="621"/>
      <c r="X78" s="621"/>
      <c r="Y78" s="621"/>
      <c r="Z78" s="621"/>
      <c r="AA78" s="621"/>
      <c r="AB78" s="621"/>
      <c r="AC78" s="621"/>
      <c r="AD78" s="621"/>
      <c r="AE78" s="621"/>
      <c r="AF78" s="621"/>
      <c r="AG78" s="621"/>
      <c r="AH78" s="621"/>
      <c r="AI78" s="621"/>
      <c r="AJ78" s="621"/>
      <c r="AK78" s="621"/>
    </row>
    <row r="79" spans="1:37" x14ac:dyDescent="0.25">
      <c r="A79" s="621"/>
      <c r="B79" s="621" t="s">
        <v>154</v>
      </c>
      <c r="C79" s="748">
        <v>1998</v>
      </c>
      <c r="D79" s="748">
        <v>1999</v>
      </c>
      <c r="E79" s="748">
        <v>2000</v>
      </c>
      <c r="F79" s="748">
        <v>2001</v>
      </c>
      <c r="G79" s="748">
        <v>2002</v>
      </c>
      <c r="H79" s="748">
        <v>2003</v>
      </c>
      <c r="I79" s="748">
        <v>2004</v>
      </c>
      <c r="J79" s="748">
        <v>2005</v>
      </c>
      <c r="K79" s="748">
        <v>2006</v>
      </c>
      <c r="L79" s="748">
        <v>2007</v>
      </c>
      <c r="M79" s="748">
        <v>2008</v>
      </c>
      <c r="N79" s="748">
        <v>2009</v>
      </c>
      <c r="O79" s="748">
        <v>2010</v>
      </c>
      <c r="P79" s="748">
        <v>2011</v>
      </c>
      <c r="Q79" s="748">
        <v>2012</v>
      </c>
      <c r="R79" s="748">
        <v>2013</v>
      </c>
      <c r="S79" s="748">
        <v>2014</v>
      </c>
      <c r="T79" s="748">
        <v>2015</v>
      </c>
      <c r="U79" s="748">
        <v>2016</v>
      </c>
      <c r="V79" s="748">
        <v>2017</v>
      </c>
      <c r="W79" s="748">
        <v>2018</v>
      </c>
      <c r="X79" s="748">
        <v>2019</v>
      </c>
      <c r="Y79" s="748">
        <v>2020</v>
      </c>
      <c r="Z79" s="621"/>
      <c r="AA79" s="621"/>
      <c r="AB79" s="621"/>
      <c r="AC79" s="621"/>
      <c r="AD79" s="621"/>
      <c r="AE79" s="621"/>
      <c r="AF79" s="621"/>
      <c r="AG79" s="621"/>
      <c r="AH79" s="621"/>
      <c r="AI79" s="621"/>
      <c r="AJ79" s="621"/>
      <c r="AK79" s="621"/>
    </row>
    <row r="80" spans="1:37" x14ac:dyDescent="0.25">
      <c r="A80" s="621"/>
      <c r="B80" s="621" t="s">
        <v>71</v>
      </c>
      <c r="C80" s="551">
        <v>3.4338942937608436E-3</v>
      </c>
      <c r="D80" s="551">
        <v>4.7329315942628769E-3</v>
      </c>
      <c r="E80" s="551">
        <v>5.6656939473578071E-3</v>
      </c>
      <c r="F80" s="551">
        <v>7.6138434041180579E-3</v>
      </c>
      <c r="G80" s="551">
        <v>8.1150334598289724E-3</v>
      </c>
      <c r="H80" s="551">
        <v>8.7597571627980302E-3</v>
      </c>
      <c r="I80" s="551">
        <v>9.0468711481181373E-3</v>
      </c>
      <c r="J80" s="551">
        <v>8.4927046713490755E-3</v>
      </c>
      <c r="K80" s="551">
        <v>7.562745744382429E-3</v>
      </c>
      <c r="L80" s="551">
        <v>6.392843439103642E-3</v>
      </c>
      <c r="M80" s="551">
        <v>5.2696549987860256E-3</v>
      </c>
      <c r="N80" s="551">
        <v>4.5706757306073409E-3</v>
      </c>
      <c r="O80" s="551">
        <v>3.3692251342551985E-3</v>
      </c>
      <c r="P80" s="551">
        <v>2.7901730325752554E-3</v>
      </c>
      <c r="Q80" s="551">
        <v>2.0835449926746631E-3</v>
      </c>
      <c r="R80" s="551">
        <v>2.5837228138275623E-3</v>
      </c>
      <c r="S80" s="551">
        <v>3.6359233676011168E-3</v>
      </c>
      <c r="T80" s="551">
        <v>4.9479404667734771E-3</v>
      </c>
      <c r="U80" s="551">
        <v>5.9179650702546648E-3</v>
      </c>
      <c r="V80" s="551">
        <v>5.9451391403558644E-3</v>
      </c>
      <c r="W80" s="626">
        <v>5.9056260182235084E-3</v>
      </c>
      <c r="X80" s="701">
        <v>5.7123018121348727E-3</v>
      </c>
      <c r="Y80" s="701">
        <f>+'EXTERNAL DEBT USD'!AP50</f>
        <v>6.5626024255085718E-3</v>
      </c>
      <c r="Z80" s="621"/>
      <c r="AA80" s="621"/>
      <c r="AB80" s="621"/>
      <c r="AC80" s="621"/>
      <c r="AD80" s="621"/>
      <c r="AE80" s="621"/>
      <c r="AF80" s="621"/>
      <c r="AG80" s="621"/>
      <c r="AH80" s="621"/>
      <c r="AI80" s="621"/>
      <c r="AJ80" s="621"/>
      <c r="AK80" s="621"/>
    </row>
    <row r="81" spans="1:37" s="678" customFormat="1" x14ac:dyDescent="0.25">
      <c r="A81" s="702"/>
      <c r="B81" s="702" t="s">
        <v>95</v>
      </c>
      <c r="C81" s="551">
        <v>2.800770059905297E-2</v>
      </c>
      <c r="D81" s="551">
        <v>3.901581632429383E-2</v>
      </c>
      <c r="E81" s="551">
        <v>4.3571153754670543E-2</v>
      </c>
      <c r="F81" s="551">
        <v>5.6589668133866698E-2</v>
      </c>
      <c r="G81" s="551">
        <v>6.1644056393083631E-2</v>
      </c>
      <c r="H81" s="551">
        <v>6.4886541234315184E-2</v>
      </c>
      <c r="I81" s="551">
        <v>6.799655987043475E-2</v>
      </c>
      <c r="J81" s="551">
        <v>6.2745704946309794E-2</v>
      </c>
      <c r="K81" s="551">
        <v>5.4622943872755694E-2</v>
      </c>
      <c r="L81" s="551">
        <v>4.2998865656023351E-2</v>
      </c>
      <c r="M81" s="551">
        <v>3.4099357991912355E-2</v>
      </c>
      <c r="N81" s="551">
        <v>3.3945857397029384E-2</v>
      </c>
      <c r="O81" s="551">
        <v>2.4082972532309392E-2</v>
      </c>
      <c r="P81" s="551">
        <v>1.9741713212339435E-2</v>
      </c>
      <c r="Q81" s="551">
        <v>1.4889877003030301E-2</v>
      </c>
      <c r="R81" s="551">
        <v>1.8164623975565369E-2</v>
      </c>
      <c r="S81" s="551">
        <v>2.5982869243233692E-2</v>
      </c>
      <c r="T81" s="551">
        <v>3.4496088916601664E-2</v>
      </c>
      <c r="U81" s="551">
        <v>4.027827369886397E-2</v>
      </c>
      <c r="V81" s="551">
        <v>4.101262694695032E-2</v>
      </c>
      <c r="W81" s="626">
        <v>4.1596378709409493E-2</v>
      </c>
      <c r="X81" s="703">
        <v>3.9431028950885454E-2</v>
      </c>
      <c r="Y81" s="703">
        <f>+'EXTERNAL DEBT USD'!AP51</f>
        <v>5.1015695136170859E-2</v>
      </c>
      <c r="Z81" s="702"/>
      <c r="AA81" s="702"/>
      <c r="AB81" s="702"/>
      <c r="AC81" s="702"/>
      <c r="AD81" s="702"/>
      <c r="AE81" s="702"/>
      <c r="AF81" s="702"/>
      <c r="AG81" s="702"/>
      <c r="AH81" s="702"/>
      <c r="AI81" s="702"/>
      <c r="AJ81" s="702"/>
      <c r="AK81" s="702"/>
    </row>
    <row r="82" spans="1:37" x14ac:dyDescent="0.25">
      <c r="A82" s="621"/>
      <c r="B82" s="704" t="s">
        <v>96</v>
      </c>
      <c r="C82" s="551">
        <v>2.3316196581252613E-2</v>
      </c>
      <c r="D82" s="551">
        <v>3.3041126058456612E-2</v>
      </c>
      <c r="E82" s="551">
        <v>3.5309670278952279E-2</v>
      </c>
      <c r="F82" s="551">
        <v>4.6967977284597548E-2</v>
      </c>
      <c r="G82" s="551">
        <v>4.717588044375861E-2</v>
      </c>
      <c r="H82" s="551">
        <v>5.2633507193981348E-2</v>
      </c>
      <c r="I82" s="551">
        <v>5.732485767528913E-2</v>
      </c>
      <c r="J82" s="551">
        <v>5.6172723099337803E-2</v>
      </c>
      <c r="K82" s="551">
        <v>5.2077615402922529E-2</v>
      </c>
      <c r="L82" s="551">
        <v>4.4894935984988615E-2</v>
      </c>
      <c r="M82" s="551">
        <v>3.4502925119770642E-2</v>
      </c>
      <c r="N82" s="551">
        <v>2.727337490430479E-2</v>
      </c>
      <c r="O82" s="551">
        <v>1.7727241893129204E-2</v>
      </c>
      <c r="P82" s="551">
        <v>1.5409383808936729E-2</v>
      </c>
      <c r="Q82" s="551">
        <v>1.1389420395514363E-2</v>
      </c>
      <c r="R82" s="551">
        <v>1.3183464919220338E-2</v>
      </c>
      <c r="S82" s="551">
        <v>1.8029466271469268E-2</v>
      </c>
      <c r="T82" s="551">
        <v>2.3384504272148582E-2</v>
      </c>
      <c r="U82" s="551">
        <v>2.9627081834619203E-2</v>
      </c>
      <c r="V82" s="551">
        <v>2.8713748383127083E-2</v>
      </c>
      <c r="W82" s="626">
        <v>2.9287708243825084E-2</v>
      </c>
      <c r="X82" s="701">
        <v>2.6298078929876574E-2</v>
      </c>
      <c r="Y82" s="701">
        <f>+'EXTERNAL DEBT USD'!AP52</f>
        <v>3.1176270439542679E-2</v>
      </c>
      <c r="Z82" s="621"/>
      <c r="AA82" s="621"/>
      <c r="AB82" s="621"/>
      <c r="AC82" s="621"/>
      <c r="AD82" s="621"/>
      <c r="AE82" s="621"/>
      <c r="AF82" s="621"/>
      <c r="AG82" s="621"/>
      <c r="AH82" s="621"/>
      <c r="AI82" s="621"/>
      <c r="AJ82" s="621"/>
      <c r="AK82" s="621"/>
    </row>
    <row r="83" spans="1:37" x14ac:dyDescent="0.25">
      <c r="A83" s="621"/>
      <c r="B83" s="704"/>
      <c r="C83" s="704"/>
      <c r="D83" s="704"/>
      <c r="E83" s="704"/>
      <c r="F83" s="704"/>
      <c r="G83" s="704"/>
      <c r="H83" s="704"/>
      <c r="I83" s="704"/>
      <c r="J83" s="621"/>
      <c r="K83" s="705"/>
      <c r="L83" s="702"/>
      <c r="M83" s="702"/>
      <c r="N83" s="705"/>
      <c r="O83" s="621"/>
      <c r="P83" s="621"/>
      <c r="Q83" s="621"/>
      <c r="R83" s="621"/>
      <c r="S83" s="621"/>
      <c r="T83" s="621"/>
      <c r="U83" s="621"/>
      <c r="V83" s="621"/>
      <c r="W83" s="621"/>
      <c r="X83" s="621"/>
      <c r="Y83" s="621"/>
      <c r="Z83" s="621"/>
      <c r="AA83" s="621"/>
      <c r="AB83" s="621"/>
      <c r="AC83" s="621"/>
      <c r="AD83" s="621"/>
      <c r="AE83" s="621"/>
      <c r="AF83" s="621"/>
      <c r="AG83" s="621"/>
      <c r="AH83" s="621"/>
      <c r="AI83" s="621"/>
      <c r="AJ83" s="621"/>
      <c r="AK83" s="621"/>
    </row>
    <row r="84" spans="1:37" x14ac:dyDescent="0.25">
      <c r="A84" s="621"/>
      <c r="B84" s="704"/>
      <c r="C84" s="704"/>
      <c r="D84" s="704"/>
      <c r="E84" s="704"/>
      <c r="F84" s="704"/>
      <c r="G84" s="704"/>
      <c r="H84" s="704"/>
      <c r="I84" s="704"/>
      <c r="J84" s="621"/>
      <c r="K84" s="705"/>
      <c r="L84" s="702"/>
      <c r="M84" s="702"/>
      <c r="N84" s="705"/>
      <c r="O84" s="621"/>
      <c r="P84" s="621"/>
      <c r="Q84" s="621"/>
      <c r="R84" s="621"/>
      <c r="S84" s="702"/>
      <c r="T84" s="621"/>
      <c r="U84" s="621"/>
      <c r="V84" s="621"/>
      <c r="W84" s="621"/>
      <c r="X84" s="621"/>
      <c r="Y84" s="621"/>
      <c r="Z84" s="621"/>
      <c r="AA84" s="621"/>
      <c r="AB84" s="621"/>
      <c r="AC84" s="621"/>
      <c r="AD84" s="621"/>
      <c r="AE84" s="621"/>
      <c r="AF84" s="621"/>
      <c r="AG84" s="621"/>
      <c r="AH84" s="621"/>
      <c r="AI84" s="621"/>
      <c r="AJ84" s="621"/>
      <c r="AK84" s="621"/>
    </row>
    <row r="85" spans="1:37" s="678" customFormat="1" x14ac:dyDescent="0.25">
      <c r="A85" s="702"/>
      <c r="B85" s="706"/>
      <c r="C85" s="702"/>
      <c r="D85" s="702"/>
      <c r="E85" s="702"/>
      <c r="F85" s="702"/>
      <c r="G85" s="702"/>
      <c r="H85" s="702"/>
      <c r="I85" s="702"/>
      <c r="J85" s="702"/>
      <c r="K85" s="702"/>
      <c r="L85" s="702"/>
      <c r="M85" s="702"/>
      <c r="N85" s="706"/>
      <c r="O85" s="702"/>
      <c r="P85" s="702"/>
      <c r="Q85" s="702"/>
      <c r="R85" s="702"/>
      <c r="S85" s="707"/>
      <c r="T85" s="702"/>
      <c r="U85" s="702"/>
      <c r="V85" s="702"/>
      <c r="W85" s="702"/>
      <c r="X85" s="702"/>
      <c r="Y85" s="702"/>
      <c r="Z85" s="702"/>
      <c r="AA85" s="702"/>
      <c r="AB85" s="702"/>
      <c r="AC85" s="702"/>
      <c r="AD85" s="702"/>
      <c r="AE85" s="702"/>
      <c r="AF85" s="702"/>
      <c r="AG85" s="702"/>
      <c r="AH85" s="702"/>
      <c r="AI85" s="702"/>
      <c r="AJ85" s="702"/>
      <c r="AK85" s="702"/>
    </row>
    <row r="86" spans="1:37" s="678" customFormat="1" x14ac:dyDescent="0.25">
      <c r="A86" s="702"/>
      <c r="B86" s="708" t="s">
        <v>195</v>
      </c>
      <c r="C86" s="702"/>
      <c r="D86" s="702"/>
      <c r="E86" s="702"/>
      <c r="F86" s="702"/>
      <c r="G86" s="707"/>
      <c r="H86" s="702"/>
      <c r="I86" s="707"/>
      <c r="J86" s="702"/>
      <c r="K86" s="707"/>
      <c r="L86" s="702"/>
      <c r="M86" s="702"/>
      <c r="N86" s="707"/>
      <c r="O86" s="702"/>
      <c r="P86" s="707"/>
      <c r="Q86" s="707"/>
      <c r="R86" s="702"/>
      <c r="S86" s="702"/>
      <c r="T86" s="702"/>
      <c r="U86" s="707"/>
      <c r="V86" s="702"/>
      <c r="W86" s="707"/>
      <c r="X86" s="702"/>
      <c r="Y86" s="707"/>
      <c r="Z86" s="702"/>
      <c r="AA86" s="702"/>
      <c r="AB86" s="702"/>
      <c r="AC86" s="702"/>
      <c r="AD86" s="702"/>
      <c r="AE86" s="702"/>
      <c r="AF86" s="702"/>
      <c r="AG86" s="702"/>
      <c r="AH86" s="702"/>
      <c r="AI86" s="702"/>
      <c r="AJ86" s="702"/>
      <c r="AK86" s="702"/>
    </row>
    <row r="87" spans="1:37" s="678" customFormat="1" x14ac:dyDescent="0.25">
      <c r="A87" s="702"/>
      <c r="B87" s="709">
        <v>44561</v>
      </c>
      <c r="C87" s="761" t="s">
        <v>196</v>
      </c>
      <c r="D87" s="761" t="s">
        <v>145</v>
      </c>
      <c r="E87" s="702"/>
      <c r="F87" s="707"/>
      <c r="G87" s="707"/>
      <c r="H87" s="707"/>
      <c r="I87" s="707"/>
      <c r="J87" s="707"/>
      <c r="K87" s="707"/>
      <c r="L87" s="707"/>
      <c r="M87" s="707"/>
      <c r="N87" s="707"/>
      <c r="O87" s="702"/>
      <c r="P87" s="702"/>
      <c r="Q87" s="702"/>
      <c r="R87" s="702"/>
      <c r="S87" s="702"/>
      <c r="T87" s="702"/>
      <c r="U87" s="702"/>
      <c r="V87" s="702"/>
      <c r="W87" s="702"/>
      <c r="X87" s="702"/>
      <c r="Y87" s="702"/>
      <c r="Z87" s="702"/>
      <c r="AA87" s="702"/>
      <c r="AB87" s="702"/>
      <c r="AC87" s="702"/>
      <c r="AD87" s="702"/>
      <c r="AE87" s="702"/>
      <c r="AF87" s="702"/>
      <c r="AG87" s="702"/>
      <c r="AH87" s="702"/>
      <c r="AI87" s="702"/>
      <c r="AJ87" s="702"/>
      <c r="AK87" s="702"/>
    </row>
    <row r="88" spans="1:37" s="678" customFormat="1" x14ac:dyDescent="0.25">
      <c r="A88" s="702"/>
      <c r="B88" s="623">
        <v>0</v>
      </c>
      <c r="C88" s="761" t="s">
        <v>197</v>
      </c>
      <c r="D88" s="622">
        <f t="shared" ref="D88:D98" si="0">+B88/$B$99</f>
        <v>0</v>
      </c>
      <c r="E88" s="702"/>
      <c r="F88" s="710"/>
      <c r="G88" s="710"/>
      <c r="H88" s="710"/>
      <c r="I88" s="710"/>
      <c r="J88" s="710"/>
      <c r="K88" s="710"/>
      <c r="L88" s="710"/>
      <c r="M88" s="710"/>
      <c r="N88" s="710"/>
      <c r="O88" s="702"/>
      <c r="P88" s="702"/>
      <c r="Q88" s="702"/>
      <c r="R88" s="702"/>
      <c r="S88" s="702"/>
      <c r="T88" s="702"/>
      <c r="U88" s="702"/>
      <c r="V88" s="702"/>
      <c r="W88" s="702"/>
      <c r="X88" s="702"/>
      <c r="Y88" s="702"/>
      <c r="Z88" s="702"/>
      <c r="AA88" s="702"/>
      <c r="AB88" s="702"/>
      <c r="AC88" s="702"/>
      <c r="AD88" s="702"/>
      <c r="AE88" s="702"/>
      <c r="AF88" s="702"/>
      <c r="AG88" s="702"/>
      <c r="AH88" s="702"/>
      <c r="AI88" s="702"/>
      <c r="AJ88" s="702"/>
      <c r="AK88" s="702"/>
    </row>
    <row r="89" spans="1:37" s="678" customFormat="1" x14ac:dyDescent="0.25">
      <c r="A89" s="702"/>
      <c r="B89" s="623">
        <v>96096463.729705721</v>
      </c>
      <c r="C89" s="761" t="s">
        <v>198</v>
      </c>
      <c r="D89" s="622">
        <f t="shared" si="0"/>
        <v>1.0269978316360669E-2</v>
      </c>
      <c r="E89" s="702"/>
      <c r="F89" s="710"/>
      <c r="G89" s="710" t="str">
        <f>+C89</f>
        <v>CNY</v>
      </c>
      <c r="H89" s="711">
        <f>+D89</f>
        <v>1.0269978316360669E-2</v>
      </c>
      <c r="I89" s="710"/>
      <c r="J89" s="710"/>
      <c r="K89" s="710"/>
      <c r="L89" s="710"/>
      <c r="M89" s="710"/>
      <c r="N89" s="710"/>
      <c r="O89" s="702"/>
      <c r="P89" s="702"/>
      <c r="Q89" s="702"/>
      <c r="R89" s="702"/>
      <c r="S89" s="702"/>
      <c r="T89" s="702"/>
      <c r="U89" s="702"/>
      <c r="V89" s="702"/>
      <c r="W89" s="702"/>
      <c r="X89" s="702"/>
      <c r="Y89" s="702"/>
      <c r="Z89" s="702"/>
      <c r="AA89" s="702"/>
      <c r="AB89" s="702"/>
      <c r="AC89" s="702"/>
      <c r="AD89" s="702"/>
      <c r="AE89" s="702"/>
      <c r="AF89" s="702"/>
      <c r="AG89" s="702"/>
      <c r="AH89" s="702"/>
      <c r="AI89" s="702"/>
      <c r="AJ89" s="702"/>
      <c r="AK89" s="702"/>
    </row>
    <row r="90" spans="1:37" s="678" customFormat="1" x14ac:dyDescent="0.25">
      <c r="A90" s="702"/>
      <c r="B90" s="712">
        <v>532035738.00000006</v>
      </c>
      <c r="C90" s="761" t="s">
        <v>199</v>
      </c>
      <c r="D90" s="622">
        <f t="shared" si="0"/>
        <v>5.6859485570225979E-2</v>
      </c>
      <c r="E90" s="762" t="s">
        <v>200</v>
      </c>
      <c r="F90" s="710"/>
      <c r="G90" s="702" t="str">
        <f>+C94</f>
        <v>JPY</v>
      </c>
      <c r="H90" s="711">
        <f>+D94</f>
        <v>8.8275538776415446E-3</v>
      </c>
      <c r="I90" s="710"/>
      <c r="J90" s="710"/>
      <c r="K90" s="710"/>
      <c r="L90" s="710"/>
      <c r="M90" s="710"/>
      <c r="N90" s="710"/>
      <c r="O90" s="702"/>
      <c r="P90" s="702"/>
      <c r="Q90" s="702"/>
      <c r="R90" s="702"/>
      <c r="S90" s="702"/>
      <c r="T90" s="702"/>
      <c r="U90" s="702"/>
      <c r="V90" s="702"/>
      <c r="W90" s="702"/>
      <c r="X90" s="702"/>
      <c r="Y90" s="702"/>
      <c r="Z90" s="702"/>
      <c r="AA90" s="702"/>
      <c r="AB90" s="702"/>
      <c r="AC90" s="702"/>
      <c r="AD90" s="702"/>
      <c r="AE90" s="702"/>
      <c r="AF90" s="702"/>
      <c r="AG90" s="702"/>
      <c r="AH90" s="702"/>
      <c r="AI90" s="702"/>
      <c r="AJ90" s="702"/>
      <c r="AK90" s="702"/>
    </row>
    <row r="91" spans="1:37" s="678" customFormat="1" x14ac:dyDescent="0.25">
      <c r="A91" s="702"/>
      <c r="B91" s="712">
        <v>0</v>
      </c>
      <c r="C91" s="761" t="s">
        <v>201</v>
      </c>
      <c r="D91" s="622">
        <f t="shared" si="0"/>
        <v>0</v>
      </c>
      <c r="E91" s="702"/>
      <c r="F91" s="702"/>
      <c r="G91" s="711" t="str">
        <f>+E94</f>
        <v>Other currencies</v>
      </c>
      <c r="H91" s="711">
        <f>+F95</f>
        <v>7.4826001039347917E-2</v>
      </c>
      <c r="I91" s="701">
        <f>+H89+H90+H91</f>
        <v>9.3923533233350134E-2</v>
      </c>
      <c r="J91" s="702"/>
      <c r="K91" s="702"/>
      <c r="L91" s="702"/>
      <c r="M91" s="702"/>
      <c r="N91" s="702"/>
      <c r="O91" s="706"/>
      <c r="P91" s="702"/>
      <c r="Q91" s="702"/>
      <c r="R91" s="702"/>
      <c r="S91" s="702"/>
      <c r="T91" s="702"/>
      <c r="U91" s="702"/>
      <c r="V91" s="702"/>
      <c r="W91" s="702"/>
      <c r="X91" s="702"/>
      <c r="Y91" s="702"/>
      <c r="Z91" s="702"/>
      <c r="AA91" s="702"/>
      <c r="AB91" s="702"/>
      <c r="AC91" s="702"/>
      <c r="AD91" s="702"/>
      <c r="AE91" s="702"/>
      <c r="AF91" s="702"/>
      <c r="AG91" s="702"/>
      <c r="AH91" s="702"/>
      <c r="AI91" s="702"/>
      <c r="AJ91" s="702"/>
      <c r="AK91" s="702"/>
    </row>
    <row r="92" spans="1:37" s="678" customFormat="1" x14ac:dyDescent="0.25">
      <c r="A92" s="702"/>
      <c r="B92" s="623">
        <v>168113169.17556</v>
      </c>
      <c r="C92" s="761" t="s">
        <v>202</v>
      </c>
      <c r="D92" s="622">
        <f t="shared" si="0"/>
        <v>1.7966515469121948E-2</v>
      </c>
      <c r="E92" s="702"/>
      <c r="F92" s="711"/>
      <c r="G92" s="711" t="str">
        <f>+C98</f>
        <v>US$</v>
      </c>
      <c r="H92" s="711">
        <f>+D98</f>
        <v>0.90607646676664988</v>
      </c>
      <c r="I92" s="711"/>
      <c r="J92" s="711"/>
      <c r="K92" s="711"/>
      <c r="L92" s="711"/>
      <c r="M92" s="711"/>
      <c r="N92" s="711"/>
      <c r="O92" s="706"/>
      <c r="P92" s="702"/>
      <c r="Q92" s="702"/>
      <c r="R92" s="702"/>
      <c r="S92" s="702"/>
      <c r="T92" s="702"/>
      <c r="U92" s="702"/>
      <c r="V92" s="702"/>
      <c r="W92" s="702"/>
      <c r="X92" s="702"/>
      <c r="Y92" s="702"/>
      <c r="Z92" s="702"/>
      <c r="AA92" s="702"/>
      <c r="AB92" s="702"/>
      <c r="AC92" s="702"/>
      <c r="AD92" s="702"/>
      <c r="AE92" s="702"/>
      <c r="AF92" s="702"/>
      <c r="AG92" s="702"/>
      <c r="AH92" s="702"/>
      <c r="AI92" s="702"/>
      <c r="AJ92" s="702"/>
      <c r="AK92" s="702"/>
    </row>
    <row r="93" spans="1:37" s="678" customFormat="1" x14ac:dyDescent="0.25">
      <c r="A93" s="702"/>
      <c r="B93" s="712">
        <v>0</v>
      </c>
      <c r="C93" s="761" t="s">
        <v>203</v>
      </c>
      <c r="D93" s="622">
        <f t="shared" si="0"/>
        <v>0</v>
      </c>
      <c r="E93" s="702"/>
      <c r="F93" s="711"/>
      <c r="G93" s="711"/>
      <c r="H93" s="711">
        <f>SUM(H89:H92)</f>
        <v>1</v>
      </c>
      <c r="I93" s="711"/>
      <c r="J93" s="711"/>
      <c r="K93" s="711"/>
      <c r="L93" s="711"/>
      <c r="M93" s="711"/>
      <c r="N93" s="711"/>
      <c r="O93" s="706"/>
      <c r="P93" s="702"/>
      <c r="Q93" s="702"/>
      <c r="R93" s="702"/>
      <c r="S93" s="702"/>
      <c r="T93" s="702"/>
      <c r="U93" s="702"/>
      <c r="V93" s="702"/>
      <c r="W93" s="702"/>
      <c r="X93" s="702"/>
      <c r="Y93" s="702"/>
      <c r="Z93" s="702"/>
      <c r="AA93" s="702"/>
      <c r="AB93" s="702"/>
      <c r="AC93" s="702"/>
      <c r="AD93" s="702"/>
      <c r="AE93" s="702"/>
      <c r="AF93" s="702"/>
      <c r="AG93" s="702"/>
      <c r="AH93" s="702"/>
      <c r="AI93" s="702"/>
      <c r="AJ93" s="702"/>
      <c r="AK93" s="702"/>
    </row>
    <row r="94" spans="1:37" s="678" customFormat="1" x14ac:dyDescent="0.25">
      <c r="A94" s="702"/>
      <c r="B94" s="713">
        <v>82599659.404676452</v>
      </c>
      <c r="C94" s="761" t="s">
        <v>204</v>
      </c>
      <c r="D94" s="622">
        <f t="shared" si="0"/>
        <v>8.8275538776415446E-3</v>
      </c>
      <c r="E94" s="761" t="s">
        <v>205</v>
      </c>
      <c r="F94" s="711"/>
      <c r="G94" s="711"/>
      <c r="H94" s="711"/>
      <c r="I94" s="711"/>
      <c r="J94" s="711"/>
      <c r="K94" s="711"/>
      <c r="L94" s="711"/>
      <c r="M94" s="711"/>
      <c r="N94" s="711"/>
      <c r="O94" s="706"/>
      <c r="P94" s="702"/>
      <c r="Q94" s="702"/>
      <c r="R94" s="702"/>
      <c r="S94" s="621"/>
      <c r="T94" s="702"/>
      <c r="U94" s="702"/>
      <c r="V94" s="702"/>
      <c r="W94" s="702"/>
      <c r="X94" s="702"/>
      <c r="Y94" s="702"/>
      <c r="Z94" s="702"/>
      <c r="AA94" s="702"/>
      <c r="AB94" s="702"/>
      <c r="AC94" s="702"/>
      <c r="AD94" s="702"/>
      <c r="AE94" s="702"/>
      <c r="AF94" s="702"/>
      <c r="AG94" s="702"/>
      <c r="AH94" s="702"/>
      <c r="AI94" s="702"/>
      <c r="AJ94" s="702"/>
      <c r="AK94" s="702"/>
    </row>
    <row r="95" spans="1:37" x14ac:dyDescent="0.25">
      <c r="A95" s="621"/>
      <c r="B95" s="712">
        <v>0</v>
      </c>
      <c r="C95" s="761" t="s">
        <v>206</v>
      </c>
      <c r="D95" s="622">
        <f t="shared" si="0"/>
        <v>0</v>
      </c>
      <c r="E95" s="625">
        <f>+B88+B90+B91+B92+B93+B95+B96+B97</f>
        <v>700148907.17556</v>
      </c>
      <c r="F95" s="703">
        <f>+E95/B99</f>
        <v>7.4826001039347917E-2</v>
      </c>
      <c r="G95" s="621"/>
      <c r="H95" s="621"/>
      <c r="I95" s="621"/>
      <c r="J95" s="621"/>
      <c r="K95" s="621"/>
      <c r="L95" s="621"/>
      <c r="M95" s="621"/>
      <c r="N95" s="621"/>
      <c r="O95" s="623"/>
      <c r="P95" s="621"/>
      <c r="Q95" s="621"/>
      <c r="R95" s="621"/>
      <c r="S95" s="621"/>
      <c r="T95" s="621"/>
      <c r="U95" s="621"/>
      <c r="V95" s="621"/>
      <c r="W95" s="621"/>
      <c r="X95" s="621"/>
      <c r="Y95" s="621"/>
      <c r="Z95" s="621"/>
      <c r="AA95" s="621"/>
      <c r="AB95" s="621"/>
      <c r="AC95" s="621"/>
      <c r="AD95" s="621"/>
      <c r="AE95" s="621"/>
      <c r="AF95" s="621"/>
      <c r="AG95" s="621"/>
      <c r="AH95" s="621"/>
      <c r="AI95" s="621"/>
      <c r="AJ95" s="621"/>
      <c r="AK95" s="621"/>
    </row>
    <row r="96" spans="1:37" x14ac:dyDescent="0.25">
      <c r="A96" s="621"/>
      <c r="B96" s="712">
        <v>0</v>
      </c>
      <c r="C96" s="761" t="s">
        <v>207</v>
      </c>
      <c r="D96" s="622">
        <f t="shared" si="0"/>
        <v>0</v>
      </c>
      <c r="E96" s="621"/>
      <c r="F96" s="702"/>
      <c r="G96" s="621"/>
      <c r="H96" s="621"/>
      <c r="I96" s="621"/>
      <c r="J96" s="621"/>
      <c r="K96" s="621"/>
      <c r="L96" s="621"/>
      <c r="M96" s="621"/>
      <c r="N96" s="621"/>
      <c r="O96" s="623"/>
      <c r="P96" s="621"/>
      <c r="Q96" s="621"/>
      <c r="R96" s="621"/>
      <c r="S96" s="621"/>
      <c r="T96" s="621"/>
      <c r="U96" s="621"/>
      <c r="V96" s="621"/>
      <c r="W96" s="621"/>
      <c r="X96" s="621"/>
      <c r="Y96" s="621"/>
      <c r="Z96" s="621"/>
      <c r="AA96" s="621"/>
      <c r="AB96" s="621"/>
      <c r="AC96" s="621"/>
      <c r="AD96" s="621"/>
      <c r="AE96" s="621"/>
      <c r="AF96" s="621"/>
      <c r="AG96" s="621"/>
      <c r="AH96" s="621"/>
      <c r="AI96" s="621"/>
      <c r="AJ96" s="621"/>
      <c r="AK96" s="621"/>
    </row>
    <row r="97" spans="1:37" x14ac:dyDescent="0.25">
      <c r="A97" s="621"/>
      <c r="B97" s="712">
        <v>0</v>
      </c>
      <c r="C97" s="761" t="s">
        <v>208</v>
      </c>
      <c r="D97" s="622">
        <f t="shared" si="0"/>
        <v>0</v>
      </c>
      <c r="E97" s="702" t="s">
        <v>209</v>
      </c>
      <c r="F97" s="702"/>
      <c r="G97" s="621"/>
      <c r="H97" s="621"/>
      <c r="I97" s="621"/>
      <c r="J97" s="621"/>
      <c r="K97" s="621"/>
      <c r="L97" s="621"/>
      <c r="M97" s="621"/>
      <c r="N97" s="621"/>
      <c r="O97" s="623"/>
      <c r="P97" s="621"/>
      <c r="Q97" s="621"/>
      <c r="R97" s="621"/>
      <c r="S97" s="621"/>
      <c r="T97" s="621"/>
      <c r="U97" s="621"/>
      <c r="V97" s="621"/>
      <c r="W97" s="621"/>
      <c r="X97" s="621"/>
      <c r="Y97" s="621"/>
      <c r="Z97" s="621"/>
      <c r="AA97" s="621"/>
      <c r="AB97" s="621"/>
      <c r="AC97" s="621"/>
      <c r="AD97" s="621"/>
      <c r="AE97" s="621"/>
      <c r="AF97" s="621"/>
      <c r="AG97" s="621"/>
      <c r="AH97" s="621"/>
      <c r="AI97" s="621"/>
      <c r="AJ97" s="621"/>
      <c r="AK97" s="621"/>
    </row>
    <row r="98" spans="1:37" x14ac:dyDescent="0.25">
      <c r="A98" s="621"/>
      <c r="B98" s="623">
        <v>8478181904.8510113</v>
      </c>
      <c r="C98" s="761" t="s">
        <v>210</v>
      </c>
      <c r="D98" s="622">
        <f t="shared" si="0"/>
        <v>0.90607646676664988</v>
      </c>
      <c r="E98" s="711">
        <f>+D98+D97+D94+F95</f>
        <v>0.98973002168363933</v>
      </c>
      <c r="F98" s="702"/>
      <c r="G98" s="621"/>
      <c r="H98" s="621"/>
      <c r="I98" s="621"/>
      <c r="J98" s="621"/>
      <c r="K98" s="621"/>
      <c r="L98" s="621"/>
      <c r="M98" s="621"/>
      <c r="N98" s="621"/>
      <c r="O98" s="623"/>
      <c r="P98" s="621"/>
      <c r="Q98" s="621"/>
      <c r="R98" s="621"/>
      <c r="S98" s="621"/>
      <c r="T98" s="621"/>
      <c r="U98" s="621"/>
      <c r="V98" s="621"/>
      <c r="W98" s="621"/>
      <c r="X98" s="621"/>
      <c r="Y98" s="621"/>
      <c r="Z98" s="621"/>
      <c r="AA98" s="621"/>
      <c r="AB98" s="621"/>
      <c r="AC98" s="621"/>
      <c r="AD98" s="621"/>
      <c r="AE98" s="621"/>
      <c r="AF98" s="621"/>
      <c r="AG98" s="621"/>
      <c r="AH98" s="621"/>
      <c r="AI98" s="621"/>
      <c r="AJ98" s="621"/>
      <c r="AK98" s="621"/>
    </row>
    <row r="99" spans="1:37" x14ac:dyDescent="0.25">
      <c r="A99" s="621"/>
      <c r="B99" s="714">
        <f>SUM(B88:B98)</f>
        <v>9357026935.1609535</v>
      </c>
      <c r="C99" s="761" t="s">
        <v>211</v>
      </c>
      <c r="D99" s="622">
        <f t="shared" ref="D99" si="1">+B99/$B$99</f>
        <v>1</v>
      </c>
      <c r="E99" s="711">
        <f>+F95+D94+D97+0</f>
        <v>8.3653554916989462E-2</v>
      </c>
      <c r="F99" s="702"/>
      <c r="G99" s="621"/>
      <c r="H99" s="621"/>
      <c r="I99" s="621"/>
      <c r="J99" s="621"/>
      <c r="K99" s="621"/>
      <c r="L99" s="621"/>
      <c r="M99" s="621"/>
      <c r="N99" s="621"/>
      <c r="O99" s="623"/>
      <c r="P99" s="621"/>
      <c r="Q99" s="621"/>
      <c r="R99" s="621"/>
      <c r="S99" s="621"/>
      <c r="T99" s="621"/>
      <c r="U99" s="621"/>
      <c r="V99" s="621"/>
      <c r="W99" s="621"/>
      <c r="X99" s="621"/>
      <c r="Y99" s="621"/>
      <c r="Z99" s="621"/>
      <c r="AA99" s="621"/>
      <c r="AB99" s="621"/>
      <c r="AC99" s="621"/>
      <c r="AD99" s="621"/>
      <c r="AE99" s="621"/>
      <c r="AF99" s="621"/>
      <c r="AG99" s="621"/>
      <c r="AH99" s="621"/>
      <c r="AI99" s="621"/>
      <c r="AJ99" s="621"/>
      <c r="AK99" s="621"/>
    </row>
    <row r="100" spans="1:37" x14ac:dyDescent="0.25">
      <c r="A100" s="621"/>
      <c r="B100" s="715">
        <f>+'EXTERNAL DEBT USD'!AP7*1000000</f>
        <v>9357026935.2098694</v>
      </c>
      <c r="C100" s="702"/>
      <c r="D100" s="716"/>
      <c r="E100" s="702"/>
      <c r="F100" s="702"/>
      <c r="G100" s="621"/>
      <c r="H100" s="621"/>
      <c r="I100" s="621"/>
      <c r="J100" s="621"/>
      <c r="K100" s="621"/>
      <c r="L100" s="621"/>
      <c r="M100" s="621"/>
      <c r="N100" s="621"/>
      <c r="O100" s="623"/>
      <c r="P100" s="621"/>
      <c r="Q100" s="621"/>
      <c r="R100" s="621"/>
      <c r="S100" s="621"/>
      <c r="T100" s="621"/>
      <c r="U100" s="621"/>
      <c r="V100" s="621"/>
      <c r="W100" s="621"/>
      <c r="X100" s="621"/>
      <c r="Y100" s="621"/>
      <c r="Z100" s="621"/>
      <c r="AA100" s="621"/>
      <c r="AB100" s="621"/>
      <c r="AC100" s="621"/>
      <c r="AD100" s="621"/>
      <c r="AE100" s="621"/>
      <c r="AF100" s="621"/>
      <c r="AG100" s="621"/>
      <c r="AH100" s="621"/>
      <c r="AI100" s="621"/>
      <c r="AJ100" s="621"/>
      <c r="AK100" s="621"/>
    </row>
    <row r="101" spans="1:37" x14ac:dyDescent="0.25">
      <c r="A101" s="621"/>
      <c r="B101" s="715">
        <f>+B99-B100</f>
        <v>-4.8915863037109375E-2</v>
      </c>
      <c r="C101" s="702"/>
      <c r="D101" s="716"/>
      <c r="E101" s="702"/>
      <c r="F101" s="702"/>
      <c r="G101" s="621"/>
      <c r="H101" s="621"/>
      <c r="I101" s="621"/>
      <c r="J101" s="621"/>
      <c r="K101" s="621"/>
      <c r="L101" s="621"/>
      <c r="M101" s="621"/>
      <c r="N101" s="621"/>
      <c r="O101" s="623"/>
      <c r="P101" s="621"/>
      <c r="Q101" s="621"/>
      <c r="R101" s="621"/>
      <c r="S101" s="621"/>
      <c r="T101" s="621"/>
      <c r="U101" s="621"/>
      <c r="V101" s="621"/>
      <c r="W101" s="621"/>
      <c r="X101" s="621"/>
      <c r="Y101" s="621"/>
      <c r="Z101" s="621"/>
      <c r="AA101" s="621"/>
      <c r="AB101" s="621"/>
      <c r="AC101" s="621"/>
      <c r="AD101" s="621"/>
      <c r="AE101" s="621"/>
      <c r="AF101" s="621"/>
      <c r="AG101" s="621"/>
      <c r="AH101" s="621"/>
      <c r="AI101" s="621"/>
      <c r="AJ101" s="621"/>
      <c r="AK101" s="621"/>
    </row>
    <row r="102" spans="1:37" x14ac:dyDescent="0.25">
      <c r="A102" s="621"/>
      <c r="B102" s="702"/>
      <c r="C102" s="702"/>
      <c r="D102" s="702"/>
      <c r="E102" s="702"/>
      <c r="F102" s="702"/>
      <c r="G102" s="621"/>
      <c r="H102" s="621"/>
      <c r="I102" s="621"/>
      <c r="J102" s="621"/>
      <c r="K102" s="621"/>
      <c r="L102" s="621"/>
      <c r="M102" s="621"/>
      <c r="N102" s="621"/>
      <c r="O102" s="623"/>
      <c r="P102" s="621"/>
      <c r="Q102" s="621"/>
      <c r="R102" s="621"/>
      <c r="S102" s="621"/>
      <c r="T102" s="621"/>
      <c r="U102" s="621"/>
      <c r="V102" s="621"/>
      <c r="W102" s="621"/>
      <c r="X102" s="621"/>
      <c r="Y102" s="621"/>
      <c r="Z102" s="621"/>
      <c r="AA102" s="621"/>
      <c r="AB102" s="621"/>
      <c r="AC102" s="621"/>
      <c r="AD102" s="621"/>
      <c r="AE102" s="621"/>
      <c r="AF102" s="621"/>
      <c r="AG102" s="621"/>
      <c r="AH102" s="621"/>
      <c r="AI102" s="621"/>
      <c r="AJ102" s="621"/>
      <c r="AK102" s="621"/>
    </row>
    <row r="103" spans="1:37" s="585" customFormat="1" x14ac:dyDescent="0.25">
      <c r="A103" s="187"/>
      <c r="B103" s="187"/>
      <c r="C103" s="187"/>
      <c r="D103" s="187"/>
      <c r="E103" s="187"/>
      <c r="F103" s="187"/>
      <c r="G103" s="187"/>
      <c r="H103" s="187"/>
      <c r="I103" s="187"/>
      <c r="J103" s="187"/>
      <c r="K103" s="187"/>
      <c r="L103" s="187"/>
      <c r="M103" s="187"/>
      <c r="N103" s="187"/>
      <c r="O103" s="700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  <c r="AE103" s="187"/>
      <c r="AF103" s="187"/>
      <c r="AG103" s="187"/>
      <c r="AH103" s="187"/>
      <c r="AI103" s="187"/>
      <c r="AJ103" s="187"/>
      <c r="AK103" s="187"/>
    </row>
    <row r="104" spans="1:37" s="585" customFormat="1" x14ac:dyDescent="0.25">
      <c r="A104" s="187"/>
      <c r="B104" s="187"/>
      <c r="C104" s="187"/>
      <c r="D104" s="187"/>
      <c r="E104" s="187"/>
      <c r="F104" s="187"/>
      <c r="G104" s="187"/>
      <c r="H104" s="187"/>
      <c r="I104" s="187"/>
      <c r="J104" s="187"/>
      <c r="K104" s="187"/>
      <c r="L104" s="187"/>
      <c r="M104" s="187"/>
      <c r="N104" s="187"/>
      <c r="O104" s="700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  <c r="AG104" s="187"/>
      <c r="AH104" s="187"/>
      <c r="AI104" s="187"/>
      <c r="AJ104" s="187"/>
      <c r="AK104" s="187"/>
    </row>
    <row r="105" spans="1:37" s="585" customFormat="1" x14ac:dyDescent="0.25">
      <c r="A105" s="187"/>
      <c r="B105" s="187"/>
      <c r="C105" s="187"/>
      <c r="D105" s="187"/>
      <c r="E105" s="187"/>
      <c r="F105" s="187"/>
      <c r="G105" s="187"/>
      <c r="H105" s="187"/>
      <c r="I105" s="187"/>
      <c r="J105" s="187"/>
      <c r="K105" s="187"/>
      <c r="L105" s="187"/>
      <c r="M105" s="187"/>
      <c r="N105" s="187"/>
      <c r="O105" s="700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  <c r="AE105" s="187"/>
      <c r="AF105" s="187"/>
      <c r="AG105" s="187"/>
      <c r="AH105" s="187"/>
      <c r="AI105" s="187"/>
      <c r="AJ105" s="187"/>
      <c r="AK105" s="187"/>
    </row>
    <row r="106" spans="1:37" s="585" customFormat="1" x14ac:dyDescent="0.25">
      <c r="A106" s="187"/>
      <c r="B106" s="187"/>
      <c r="C106" s="187"/>
      <c r="D106" s="187"/>
      <c r="E106" s="187"/>
      <c r="F106" s="187"/>
      <c r="G106" s="187"/>
      <c r="H106" s="187"/>
      <c r="I106" s="187"/>
      <c r="J106" s="187"/>
      <c r="K106" s="187"/>
      <c r="L106" s="187"/>
      <c r="M106" s="187"/>
      <c r="N106" s="187"/>
      <c r="O106" s="700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  <c r="AE106" s="187"/>
      <c r="AF106" s="187"/>
      <c r="AG106" s="187"/>
      <c r="AH106" s="187"/>
      <c r="AI106" s="187"/>
      <c r="AJ106" s="187"/>
      <c r="AK106" s="187"/>
    </row>
    <row r="107" spans="1:37" s="585" customFormat="1" x14ac:dyDescent="0.25">
      <c r="A107" s="187"/>
      <c r="B107" s="187"/>
      <c r="C107" s="187"/>
      <c r="D107" s="187"/>
      <c r="E107" s="187"/>
      <c r="F107" s="187"/>
      <c r="G107" s="187"/>
      <c r="H107" s="187"/>
      <c r="I107" s="187"/>
      <c r="J107" s="187"/>
      <c r="K107" s="187"/>
      <c r="L107" s="187"/>
      <c r="M107" s="187"/>
      <c r="N107" s="187"/>
      <c r="O107" s="700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  <c r="AE107" s="187"/>
      <c r="AF107" s="187"/>
      <c r="AG107" s="187"/>
      <c r="AH107" s="187"/>
      <c r="AI107" s="187"/>
      <c r="AJ107" s="187"/>
      <c r="AK107" s="187"/>
    </row>
    <row r="108" spans="1:37" s="585" customFormat="1" x14ac:dyDescent="0.25">
      <c r="A108" s="187"/>
      <c r="B108" s="187"/>
      <c r="C108" s="187"/>
      <c r="D108" s="187"/>
      <c r="E108" s="187"/>
      <c r="F108" s="187"/>
      <c r="G108" s="187"/>
      <c r="H108" s="187"/>
      <c r="I108" s="187"/>
      <c r="J108" s="187"/>
      <c r="K108" s="187"/>
      <c r="L108" s="187"/>
      <c r="M108" s="187"/>
      <c r="N108" s="187"/>
      <c r="O108" s="700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  <c r="AH108" s="187"/>
      <c r="AI108" s="187"/>
      <c r="AJ108" s="187"/>
      <c r="AK108" s="187"/>
    </row>
    <row r="109" spans="1:37" s="585" customFormat="1" x14ac:dyDescent="0.25">
      <c r="A109" s="187"/>
      <c r="B109" s="187"/>
      <c r="C109" s="187"/>
      <c r="D109" s="187"/>
      <c r="E109" s="187"/>
      <c r="F109" s="187"/>
      <c r="G109" s="187"/>
      <c r="H109" s="187"/>
      <c r="I109" s="187"/>
      <c r="J109" s="187"/>
      <c r="K109" s="187"/>
      <c r="L109" s="187"/>
      <c r="M109" s="187"/>
      <c r="N109" s="187"/>
      <c r="O109" s="700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  <c r="AE109" s="187"/>
      <c r="AF109" s="187"/>
      <c r="AG109" s="187"/>
      <c r="AH109" s="187"/>
      <c r="AI109" s="187"/>
      <c r="AJ109" s="187"/>
      <c r="AK109" s="187"/>
    </row>
    <row r="110" spans="1:37" s="585" customFormat="1" ht="9" customHeight="1" x14ac:dyDescent="0.25">
      <c r="A110" s="187"/>
      <c r="B110" s="187"/>
      <c r="C110" s="187"/>
      <c r="D110" s="187"/>
      <c r="E110" s="187"/>
      <c r="F110" s="187"/>
      <c r="G110" s="187"/>
      <c r="H110" s="187"/>
      <c r="I110" s="187"/>
      <c r="J110" s="187"/>
      <c r="K110" s="187"/>
      <c r="L110" s="187"/>
      <c r="M110" s="187"/>
      <c r="N110" s="187"/>
      <c r="O110" s="700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  <c r="AE110" s="187"/>
      <c r="AF110" s="187"/>
      <c r="AG110" s="187"/>
      <c r="AH110" s="187"/>
      <c r="AI110" s="187"/>
      <c r="AJ110" s="187"/>
      <c r="AK110" s="187"/>
    </row>
    <row r="111" spans="1:37" s="585" customFormat="1" hidden="1" x14ac:dyDescent="0.25">
      <c r="A111" s="187"/>
      <c r="B111" s="187"/>
      <c r="C111" s="187"/>
      <c r="D111" s="187"/>
      <c r="E111" s="187"/>
      <c r="F111" s="187"/>
      <c r="G111" s="187"/>
      <c r="H111" s="187"/>
      <c r="I111" s="187"/>
      <c r="J111" s="187"/>
      <c r="K111" s="187"/>
      <c r="L111" s="187"/>
      <c r="M111" s="187"/>
      <c r="N111" s="187"/>
      <c r="O111" s="700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  <c r="AE111" s="187"/>
      <c r="AF111" s="187"/>
      <c r="AG111" s="187"/>
      <c r="AH111" s="187"/>
      <c r="AI111" s="187"/>
      <c r="AJ111" s="187"/>
      <c r="AK111" s="187"/>
    </row>
    <row r="112" spans="1:37" s="585" customFormat="1" hidden="1" x14ac:dyDescent="0.25">
      <c r="A112" s="187"/>
      <c r="B112" s="187"/>
      <c r="C112" s="187"/>
      <c r="D112" s="187"/>
      <c r="E112" s="187"/>
      <c r="F112" s="187"/>
      <c r="G112" s="187"/>
      <c r="H112" s="187"/>
      <c r="I112" s="187"/>
      <c r="J112" s="187"/>
      <c r="K112" s="187"/>
      <c r="L112" s="187"/>
      <c r="M112" s="187"/>
      <c r="N112" s="187"/>
      <c r="O112" s="700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  <c r="AE112" s="187"/>
      <c r="AF112" s="187"/>
      <c r="AG112" s="187"/>
      <c r="AH112" s="187"/>
      <c r="AI112" s="187"/>
      <c r="AJ112" s="187"/>
      <c r="AK112" s="187"/>
    </row>
    <row r="113" spans="1:37" s="585" customFormat="1" hidden="1" x14ac:dyDescent="0.25">
      <c r="A113" s="187"/>
      <c r="B113" s="187"/>
      <c r="C113" s="187"/>
      <c r="D113" s="187"/>
      <c r="E113" s="187"/>
      <c r="F113" s="187"/>
      <c r="G113" s="187"/>
      <c r="H113" s="187"/>
      <c r="I113" s="187"/>
      <c r="J113" s="187"/>
      <c r="K113" s="187"/>
      <c r="L113" s="187"/>
      <c r="M113" s="187"/>
      <c r="N113" s="187"/>
      <c r="O113" s="700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  <c r="AE113" s="187"/>
      <c r="AF113" s="187"/>
      <c r="AG113" s="187"/>
      <c r="AH113" s="187"/>
      <c r="AI113" s="187"/>
      <c r="AJ113" s="187"/>
      <c r="AK113" s="187"/>
    </row>
    <row r="114" spans="1:37" s="585" customFormat="1" hidden="1" x14ac:dyDescent="0.25">
      <c r="A114" s="187"/>
      <c r="B114" s="187"/>
      <c r="C114" s="187"/>
      <c r="D114" s="187"/>
      <c r="E114" s="187"/>
      <c r="F114" s="187"/>
      <c r="G114" s="187"/>
      <c r="H114" s="187"/>
      <c r="I114" s="187"/>
      <c r="J114" s="187"/>
      <c r="K114" s="187"/>
      <c r="L114" s="187"/>
      <c r="M114" s="187"/>
      <c r="N114" s="187"/>
      <c r="O114" s="700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  <c r="AE114" s="187"/>
      <c r="AF114" s="187"/>
      <c r="AG114" s="187"/>
      <c r="AH114" s="187"/>
      <c r="AI114" s="187"/>
      <c r="AJ114" s="187"/>
      <c r="AK114" s="187"/>
    </row>
    <row r="115" spans="1:37" s="585" customFormat="1" hidden="1" x14ac:dyDescent="0.25">
      <c r="A115" s="187"/>
      <c r="B115" s="187"/>
      <c r="C115" s="187"/>
      <c r="D115" s="187"/>
      <c r="E115" s="187"/>
      <c r="F115" s="187"/>
      <c r="G115" s="187"/>
      <c r="H115" s="187"/>
      <c r="I115" s="187"/>
      <c r="J115" s="187"/>
      <c r="K115" s="187"/>
      <c r="L115" s="187"/>
      <c r="M115" s="187"/>
      <c r="N115" s="187"/>
      <c r="O115" s="700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  <c r="AE115" s="187"/>
      <c r="AF115" s="187"/>
      <c r="AG115" s="187"/>
      <c r="AH115" s="187"/>
      <c r="AI115" s="187"/>
      <c r="AJ115" s="187"/>
      <c r="AK115" s="187"/>
    </row>
    <row r="116" spans="1:37" s="585" customFormat="1" hidden="1" x14ac:dyDescent="0.25">
      <c r="A116" s="187"/>
      <c r="B116" s="187"/>
      <c r="C116" s="187"/>
      <c r="D116" s="187"/>
      <c r="E116" s="187"/>
      <c r="F116" s="187"/>
      <c r="G116" s="187"/>
      <c r="H116" s="187"/>
      <c r="I116" s="187"/>
      <c r="J116" s="187"/>
      <c r="K116" s="187"/>
      <c r="L116" s="187"/>
      <c r="M116" s="187"/>
      <c r="N116" s="187"/>
      <c r="O116" s="700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  <c r="AE116" s="187"/>
      <c r="AF116" s="187"/>
      <c r="AG116" s="187"/>
      <c r="AH116" s="187"/>
      <c r="AI116" s="187"/>
      <c r="AJ116" s="187"/>
      <c r="AK116" s="187"/>
    </row>
    <row r="117" spans="1:37" s="585" customFormat="1" hidden="1" x14ac:dyDescent="0.25">
      <c r="A117" s="187"/>
      <c r="B117" s="187"/>
      <c r="C117" s="187"/>
      <c r="D117" s="187"/>
      <c r="E117" s="187"/>
      <c r="F117" s="187"/>
      <c r="G117" s="187"/>
      <c r="H117" s="187"/>
      <c r="I117" s="187"/>
      <c r="J117" s="187"/>
      <c r="K117" s="187"/>
      <c r="L117" s="187"/>
      <c r="M117" s="187"/>
      <c r="N117" s="187"/>
      <c r="O117" s="700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  <c r="AE117" s="187"/>
      <c r="AF117" s="187"/>
      <c r="AG117" s="187"/>
      <c r="AH117" s="187"/>
      <c r="AI117" s="187"/>
      <c r="AJ117" s="187"/>
      <c r="AK117" s="187"/>
    </row>
    <row r="118" spans="1:37" s="585" customFormat="1" hidden="1" x14ac:dyDescent="0.25">
      <c r="A118" s="187"/>
      <c r="B118" s="187"/>
      <c r="C118" s="187"/>
      <c r="D118" s="187"/>
      <c r="E118" s="187"/>
      <c r="F118" s="187"/>
      <c r="G118" s="187"/>
      <c r="H118" s="187"/>
      <c r="I118" s="187"/>
      <c r="J118" s="187"/>
      <c r="K118" s="187"/>
      <c r="L118" s="187"/>
      <c r="M118" s="187"/>
      <c r="N118" s="187"/>
      <c r="O118" s="700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  <c r="AE118" s="187"/>
      <c r="AF118" s="187"/>
      <c r="AG118" s="187"/>
      <c r="AH118" s="187"/>
      <c r="AI118" s="187"/>
      <c r="AJ118" s="187"/>
      <c r="AK118" s="187"/>
    </row>
    <row r="119" spans="1:37" s="585" customFormat="1" hidden="1" x14ac:dyDescent="0.25">
      <c r="A119" s="187"/>
      <c r="B119" s="187"/>
      <c r="C119" s="187"/>
      <c r="D119" s="187"/>
      <c r="E119" s="187"/>
      <c r="F119" s="187"/>
      <c r="G119" s="187"/>
      <c r="H119" s="187"/>
      <c r="I119" s="187"/>
      <c r="J119" s="187"/>
      <c r="K119" s="187"/>
      <c r="L119" s="187"/>
      <c r="M119" s="187"/>
      <c r="N119" s="187"/>
      <c r="O119" s="700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  <c r="AE119" s="187"/>
      <c r="AF119" s="187"/>
      <c r="AG119" s="187"/>
      <c r="AH119" s="187"/>
      <c r="AI119" s="187"/>
      <c r="AJ119" s="187"/>
      <c r="AK119" s="187"/>
    </row>
    <row r="120" spans="1:37" s="585" customFormat="1" hidden="1" x14ac:dyDescent="0.25">
      <c r="A120" s="187"/>
      <c r="B120" s="187"/>
      <c r="C120" s="187"/>
      <c r="D120" s="187"/>
      <c r="E120" s="187"/>
      <c r="F120" s="187"/>
      <c r="G120" s="187"/>
      <c r="H120" s="187"/>
      <c r="I120" s="187"/>
      <c r="J120" s="187"/>
      <c r="K120" s="187"/>
      <c r="L120" s="187"/>
      <c r="M120" s="187"/>
      <c r="N120" s="187"/>
      <c r="O120" s="700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  <c r="AE120" s="187"/>
      <c r="AF120" s="187"/>
      <c r="AG120" s="187"/>
      <c r="AH120" s="187"/>
      <c r="AI120" s="187"/>
      <c r="AJ120" s="187"/>
      <c r="AK120" s="187"/>
    </row>
    <row r="121" spans="1:37" s="585" customFormat="1" hidden="1" x14ac:dyDescent="0.25">
      <c r="A121" s="187"/>
      <c r="B121" s="187"/>
      <c r="C121" s="187"/>
      <c r="D121" s="187"/>
      <c r="E121" s="187"/>
      <c r="F121" s="187"/>
      <c r="G121" s="187"/>
      <c r="H121" s="187"/>
      <c r="I121" s="187"/>
      <c r="J121" s="187"/>
      <c r="K121" s="187"/>
      <c r="L121" s="187"/>
      <c r="M121" s="187"/>
      <c r="N121" s="187"/>
      <c r="O121" s="700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  <c r="AE121" s="187"/>
      <c r="AF121" s="187"/>
      <c r="AG121" s="187"/>
      <c r="AH121" s="187"/>
      <c r="AI121" s="187"/>
      <c r="AJ121" s="187"/>
      <c r="AK121" s="187"/>
    </row>
    <row r="122" spans="1:37" s="585" customFormat="1" hidden="1" x14ac:dyDescent="0.25">
      <c r="A122" s="187"/>
      <c r="B122" s="187"/>
      <c r="C122" s="187"/>
      <c r="D122" s="187"/>
      <c r="E122" s="187"/>
      <c r="F122" s="187"/>
      <c r="G122" s="187"/>
      <c r="H122" s="187"/>
      <c r="I122" s="187"/>
      <c r="J122" s="187"/>
      <c r="K122" s="187"/>
      <c r="L122" s="187"/>
      <c r="M122" s="187"/>
      <c r="N122" s="187"/>
      <c r="O122" s="700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  <c r="AE122" s="187"/>
      <c r="AF122" s="187"/>
      <c r="AG122" s="187"/>
      <c r="AH122" s="187"/>
      <c r="AI122" s="187"/>
      <c r="AJ122" s="187"/>
      <c r="AK122" s="187"/>
    </row>
    <row r="123" spans="1:37" s="585" customFormat="1" hidden="1" x14ac:dyDescent="0.25">
      <c r="A123" s="187"/>
      <c r="B123" s="187"/>
      <c r="C123" s="187"/>
      <c r="D123" s="187"/>
      <c r="E123" s="187"/>
      <c r="F123" s="187"/>
      <c r="G123" s="187"/>
      <c r="H123" s="187"/>
      <c r="I123" s="187"/>
      <c r="J123" s="187"/>
      <c r="K123" s="187"/>
      <c r="L123" s="187"/>
      <c r="M123" s="187"/>
      <c r="N123" s="187"/>
      <c r="O123" s="700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  <c r="AE123" s="187"/>
      <c r="AF123" s="187"/>
      <c r="AG123" s="187"/>
      <c r="AH123" s="187"/>
      <c r="AI123" s="187"/>
      <c r="AJ123" s="187"/>
      <c r="AK123" s="187"/>
    </row>
    <row r="124" spans="1:37" s="585" customFormat="1" hidden="1" x14ac:dyDescent="0.25">
      <c r="A124" s="187"/>
      <c r="B124" s="187"/>
      <c r="C124" s="187"/>
      <c r="D124" s="187"/>
      <c r="E124" s="187"/>
      <c r="F124" s="187"/>
      <c r="G124" s="187"/>
      <c r="H124" s="187"/>
      <c r="I124" s="187"/>
      <c r="J124" s="187"/>
      <c r="K124" s="187"/>
      <c r="L124" s="187"/>
      <c r="M124" s="187"/>
      <c r="N124" s="187"/>
      <c r="O124" s="700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  <c r="AE124" s="187"/>
      <c r="AF124" s="187"/>
      <c r="AG124" s="187"/>
      <c r="AH124" s="187"/>
      <c r="AI124" s="187"/>
      <c r="AJ124" s="187"/>
      <c r="AK124" s="187"/>
    </row>
    <row r="125" spans="1:37" s="585" customFormat="1" hidden="1" x14ac:dyDescent="0.25">
      <c r="A125" s="187"/>
      <c r="B125" s="187"/>
      <c r="C125" s="187"/>
      <c r="D125" s="187"/>
      <c r="E125" s="187"/>
      <c r="F125" s="187"/>
      <c r="G125" s="187"/>
      <c r="H125" s="187"/>
      <c r="I125" s="187"/>
      <c r="J125" s="187"/>
      <c r="K125" s="187"/>
      <c r="L125" s="187"/>
      <c r="M125" s="187"/>
      <c r="N125" s="187"/>
      <c r="O125" s="700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  <c r="AE125" s="187"/>
      <c r="AF125" s="187"/>
      <c r="AG125" s="187"/>
      <c r="AH125" s="187"/>
      <c r="AI125" s="187"/>
      <c r="AJ125" s="187"/>
      <c r="AK125" s="187"/>
    </row>
    <row r="126" spans="1:37" s="585" customFormat="1" hidden="1" x14ac:dyDescent="0.25">
      <c r="A126" s="187"/>
      <c r="B126" s="187"/>
      <c r="C126" s="187"/>
      <c r="D126" s="187"/>
      <c r="E126" s="187"/>
      <c r="F126" s="187"/>
      <c r="G126" s="187"/>
      <c r="H126" s="187"/>
      <c r="I126" s="187"/>
      <c r="J126" s="187"/>
      <c r="K126" s="187"/>
      <c r="L126" s="187"/>
      <c r="M126" s="187"/>
      <c r="N126" s="187"/>
      <c r="O126" s="700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  <c r="AE126" s="187"/>
      <c r="AF126" s="187"/>
      <c r="AG126" s="187"/>
      <c r="AH126" s="187"/>
      <c r="AI126" s="187"/>
      <c r="AJ126" s="187"/>
      <c r="AK126" s="187"/>
    </row>
    <row r="127" spans="1:37" s="585" customFormat="1" hidden="1" x14ac:dyDescent="0.25">
      <c r="A127" s="187"/>
      <c r="B127" s="187"/>
      <c r="C127" s="187"/>
      <c r="D127" s="187"/>
      <c r="E127" s="187"/>
      <c r="F127" s="187"/>
      <c r="G127" s="187"/>
      <c r="H127" s="187"/>
      <c r="I127" s="187"/>
      <c r="J127" s="187"/>
      <c r="K127" s="187"/>
      <c r="L127" s="187"/>
      <c r="M127" s="187"/>
      <c r="N127" s="187"/>
      <c r="O127" s="700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  <c r="AE127" s="187"/>
      <c r="AF127" s="187"/>
      <c r="AG127" s="187"/>
      <c r="AH127" s="187"/>
      <c r="AI127" s="187"/>
      <c r="AJ127" s="187"/>
      <c r="AK127" s="187"/>
    </row>
    <row r="128" spans="1:37" s="585" customFormat="1" hidden="1" x14ac:dyDescent="0.25">
      <c r="A128" s="187"/>
      <c r="B128" s="187"/>
      <c r="C128" s="187"/>
      <c r="D128" s="187"/>
      <c r="E128" s="187"/>
      <c r="F128" s="187"/>
      <c r="G128" s="187"/>
      <c r="H128" s="187"/>
      <c r="I128" s="187"/>
      <c r="J128" s="187"/>
      <c r="K128" s="187"/>
      <c r="L128" s="187"/>
      <c r="M128" s="187"/>
      <c r="N128" s="187"/>
      <c r="O128" s="700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  <c r="AE128" s="187"/>
      <c r="AF128" s="187"/>
      <c r="AG128" s="187"/>
      <c r="AH128" s="187"/>
      <c r="AI128" s="187"/>
      <c r="AJ128" s="187"/>
      <c r="AK128" s="187"/>
    </row>
    <row r="129" spans="1:37" s="585" customFormat="1" hidden="1" x14ac:dyDescent="0.25">
      <c r="A129" s="187"/>
      <c r="B129" s="187"/>
      <c r="C129" s="187"/>
      <c r="D129" s="187"/>
      <c r="E129" s="187"/>
      <c r="F129" s="187"/>
      <c r="G129" s="187"/>
      <c r="H129" s="187"/>
      <c r="I129" s="187"/>
      <c r="J129" s="187"/>
      <c r="K129" s="187"/>
      <c r="L129" s="187"/>
      <c r="M129" s="187"/>
      <c r="N129" s="187"/>
      <c r="O129" s="700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  <c r="AE129" s="187"/>
      <c r="AF129" s="187"/>
      <c r="AG129" s="187"/>
      <c r="AH129" s="187"/>
      <c r="AI129" s="187"/>
      <c r="AJ129" s="187"/>
      <c r="AK129" s="187"/>
    </row>
    <row r="130" spans="1:37" s="585" customFormat="1" hidden="1" x14ac:dyDescent="0.25">
      <c r="A130" s="187"/>
      <c r="B130" s="187"/>
      <c r="C130" s="187"/>
      <c r="D130" s="187"/>
      <c r="E130" s="187"/>
      <c r="F130" s="187"/>
      <c r="G130" s="187"/>
      <c r="H130" s="187"/>
      <c r="I130" s="187"/>
      <c r="J130" s="187"/>
      <c r="K130" s="187"/>
      <c r="L130" s="187"/>
      <c r="M130" s="187"/>
      <c r="N130" s="187"/>
      <c r="O130" s="700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  <c r="AE130" s="187"/>
      <c r="AF130" s="187"/>
      <c r="AG130" s="187"/>
      <c r="AH130" s="187"/>
      <c r="AI130" s="187"/>
      <c r="AJ130" s="187"/>
      <c r="AK130" s="187"/>
    </row>
    <row r="131" spans="1:37" s="585" customFormat="1" hidden="1" x14ac:dyDescent="0.25">
      <c r="A131" s="187"/>
      <c r="B131" s="187"/>
      <c r="C131" s="187"/>
      <c r="D131" s="187"/>
      <c r="E131" s="187"/>
      <c r="F131" s="187"/>
      <c r="G131" s="187"/>
      <c r="H131" s="187"/>
      <c r="I131" s="187"/>
      <c r="J131" s="187"/>
      <c r="K131" s="187"/>
      <c r="L131" s="187"/>
      <c r="M131" s="187"/>
      <c r="N131" s="187"/>
      <c r="O131" s="700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  <c r="AE131" s="187"/>
      <c r="AF131" s="187"/>
      <c r="AG131" s="187"/>
      <c r="AH131" s="187"/>
      <c r="AI131" s="187"/>
      <c r="AJ131" s="187"/>
      <c r="AK131" s="187"/>
    </row>
    <row r="132" spans="1:37" s="585" customFormat="1" hidden="1" x14ac:dyDescent="0.25">
      <c r="A132" s="187"/>
      <c r="B132" s="187"/>
      <c r="C132" s="187"/>
      <c r="D132" s="187"/>
      <c r="E132" s="187"/>
      <c r="F132" s="187"/>
      <c r="G132" s="187"/>
      <c r="H132" s="187"/>
      <c r="I132" s="187"/>
      <c r="J132" s="187"/>
      <c r="K132" s="187"/>
      <c r="L132" s="187"/>
      <c r="M132" s="187"/>
      <c r="N132" s="187"/>
      <c r="O132" s="700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  <c r="AE132" s="187"/>
      <c r="AF132" s="187"/>
      <c r="AG132" s="187"/>
      <c r="AH132" s="187"/>
      <c r="AI132" s="187"/>
      <c r="AJ132" s="187"/>
      <c r="AK132" s="187"/>
    </row>
    <row r="133" spans="1:37" s="585" customFormat="1" hidden="1" x14ac:dyDescent="0.25">
      <c r="A133" s="187"/>
      <c r="B133" s="187"/>
      <c r="C133" s="187"/>
      <c r="D133" s="187"/>
      <c r="E133" s="187"/>
      <c r="F133" s="187"/>
      <c r="G133" s="187"/>
      <c r="H133" s="187"/>
      <c r="I133" s="187"/>
      <c r="J133" s="187"/>
      <c r="K133" s="187"/>
      <c r="L133" s="187"/>
      <c r="M133" s="187"/>
      <c r="N133" s="187"/>
      <c r="O133" s="700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  <c r="AE133" s="187"/>
      <c r="AF133" s="187"/>
      <c r="AG133" s="187"/>
      <c r="AH133" s="187"/>
      <c r="AI133" s="187"/>
      <c r="AJ133" s="187"/>
      <c r="AK133" s="187"/>
    </row>
    <row r="134" spans="1:37" s="585" customFormat="1" x14ac:dyDescent="0.25">
      <c r="A134" s="187"/>
      <c r="B134" s="187"/>
      <c r="C134" s="187"/>
      <c r="D134" s="187"/>
      <c r="E134" s="187"/>
      <c r="F134" s="187"/>
      <c r="G134" s="187"/>
      <c r="H134" s="187"/>
      <c r="I134" s="187"/>
      <c r="J134" s="187"/>
      <c r="K134" s="187"/>
      <c r="L134" s="187"/>
      <c r="M134" s="187"/>
      <c r="N134" s="187"/>
      <c r="O134" s="700"/>
      <c r="P134" s="187"/>
      <c r="Q134" s="187"/>
      <c r="R134" s="187"/>
      <c r="S134" s="187"/>
      <c r="T134" s="187"/>
      <c r="U134" s="187"/>
      <c r="V134" s="187"/>
      <c r="W134" s="187"/>
      <c r="X134" s="187"/>
      <c r="Y134" s="187"/>
      <c r="Z134" s="187"/>
      <c r="AA134" s="187"/>
      <c r="AB134" s="187"/>
      <c r="AC134" s="187"/>
      <c r="AD134" s="187"/>
      <c r="AE134" s="187"/>
      <c r="AF134" s="187"/>
      <c r="AG134" s="187"/>
      <c r="AH134" s="187"/>
      <c r="AI134" s="187"/>
      <c r="AJ134" s="187"/>
      <c r="AK134" s="187"/>
    </row>
    <row r="135" spans="1:37" s="585" customFormat="1" x14ac:dyDescent="0.25">
      <c r="A135" s="187"/>
      <c r="B135" s="187"/>
      <c r="C135" s="187"/>
      <c r="D135" s="187"/>
      <c r="E135" s="187"/>
      <c r="F135" s="187"/>
      <c r="G135" s="187"/>
      <c r="H135" s="187"/>
      <c r="I135" s="187"/>
      <c r="J135" s="187"/>
      <c r="K135" s="187"/>
      <c r="L135" s="187"/>
      <c r="M135" s="187"/>
      <c r="N135" s="187"/>
      <c r="O135" s="700"/>
      <c r="P135" s="187"/>
      <c r="Q135" s="187"/>
      <c r="R135" s="187"/>
      <c r="S135" s="187"/>
      <c r="T135" s="187"/>
      <c r="U135" s="187"/>
      <c r="V135" s="187"/>
      <c r="W135" s="187"/>
      <c r="X135" s="187"/>
      <c r="Y135" s="187"/>
      <c r="Z135" s="187"/>
      <c r="AA135" s="187"/>
      <c r="AB135" s="187"/>
      <c r="AC135" s="187"/>
      <c r="AD135" s="187"/>
      <c r="AE135" s="187"/>
      <c r="AF135" s="187"/>
      <c r="AG135" s="187"/>
      <c r="AH135" s="187"/>
      <c r="AI135" s="187"/>
      <c r="AJ135" s="187"/>
      <c r="AK135" s="187"/>
    </row>
    <row r="136" spans="1:37" s="585" customFormat="1" x14ac:dyDescent="0.25">
      <c r="A136" s="187"/>
      <c r="B136" s="187"/>
      <c r="C136" s="187"/>
      <c r="D136" s="187"/>
      <c r="E136" s="187"/>
      <c r="F136" s="187"/>
      <c r="G136" s="187"/>
      <c r="H136" s="187"/>
      <c r="I136" s="187"/>
      <c r="J136" s="187"/>
      <c r="K136" s="187"/>
      <c r="L136" s="187"/>
      <c r="M136" s="187"/>
      <c r="N136" s="187"/>
      <c r="O136" s="700"/>
      <c r="P136" s="187"/>
      <c r="Q136" s="187"/>
      <c r="R136" s="187"/>
      <c r="S136" s="187"/>
      <c r="T136" s="187"/>
      <c r="U136" s="187"/>
      <c r="V136" s="187"/>
      <c r="W136" s="187"/>
      <c r="X136" s="187"/>
      <c r="Y136" s="187"/>
      <c r="Z136" s="187"/>
      <c r="AA136" s="187"/>
      <c r="AB136" s="187"/>
      <c r="AC136" s="187"/>
      <c r="AD136" s="187"/>
      <c r="AE136" s="187"/>
      <c r="AF136" s="187"/>
      <c r="AG136" s="187"/>
      <c r="AH136" s="187"/>
      <c r="AI136" s="187"/>
      <c r="AJ136" s="187"/>
      <c r="AK136" s="187"/>
    </row>
    <row r="137" spans="1:37" s="585" customFormat="1" x14ac:dyDescent="0.25">
      <c r="A137" s="187"/>
      <c r="B137" s="187"/>
      <c r="C137" s="187"/>
      <c r="D137" s="187"/>
      <c r="E137" s="187"/>
      <c r="F137" s="187"/>
      <c r="G137" s="187"/>
      <c r="H137" s="187"/>
      <c r="I137" s="187"/>
      <c r="J137" s="187"/>
      <c r="K137" s="187"/>
      <c r="L137" s="187"/>
      <c r="M137" s="187"/>
      <c r="N137" s="187"/>
      <c r="O137" s="700"/>
      <c r="P137" s="187"/>
      <c r="Q137" s="187"/>
      <c r="R137" s="187"/>
      <c r="S137" s="187"/>
      <c r="T137" s="187"/>
      <c r="U137" s="187"/>
      <c r="V137" s="187"/>
      <c r="W137" s="187"/>
      <c r="X137" s="187"/>
      <c r="Y137" s="187"/>
      <c r="Z137" s="187"/>
      <c r="AA137" s="187"/>
      <c r="AB137" s="187"/>
      <c r="AC137" s="187"/>
      <c r="AD137" s="187"/>
      <c r="AE137" s="187"/>
      <c r="AF137" s="187"/>
      <c r="AG137" s="187"/>
      <c r="AH137" s="187"/>
      <c r="AI137" s="187"/>
      <c r="AJ137" s="187"/>
      <c r="AK137" s="187"/>
    </row>
    <row r="138" spans="1:37" s="585" customFormat="1" x14ac:dyDescent="0.25">
      <c r="A138" s="187"/>
      <c r="B138" s="187"/>
      <c r="C138" s="187"/>
      <c r="D138" s="187"/>
      <c r="E138" s="187"/>
      <c r="F138" s="187"/>
      <c r="G138" s="187"/>
      <c r="H138" s="187"/>
      <c r="I138" s="187"/>
      <c r="J138" s="187"/>
      <c r="K138" s="187"/>
      <c r="L138" s="187"/>
      <c r="M138" s="187"/>
      <c r="N138" s="187"/>
      <c r="O138" s="700"/>
      <c r="P138" s="187"/>
      <c r="Q138" s="187"/>
      <c r="R138" s="187"/>
      <c r="S138" s="187"/>
      <c r="T138" s="187"/>
      <c r="U138" s="187"/>
      <c r="V138" s="187"/>
      <c r="W138" s="187"/>
      <c r="X138" s="187"/>
      <c r="Y138" s="187"/>
      <c r="Z138" s="187"/>
      <c r="AA138" s="187"/>
      <c r="AB138" s="187"/>
      <c r="AC138" s="187"/>
      <c r="AD138" s="187"/>
      <c r="AE138" s="187"/>
      <c r="AF138" s="187"/>
      <c r="AG138" s="187"/>
      <c r="AH138" s="187"/>
      <c r="AI138" s="187"/>
      <c r="AJ138" s="187"/>
      <c r="AK138" s="187"/>
    </row>
    <row r="139" spans="1:37" s="585" customFormat="1" x14ac:dyDescent="0.25">
      <c r="A139" s="187"/>
      <c r="B139" s="187"/>
      <c r="C139" s="187"/>
      <c r="D139" s="187"/>
      <c r="E139" s="187"/>
      <c r="F139" s="187"/>
      <c r="G139" s="187"/>
      <c r="H139" s="187"/>
      <c r="I139" s="187"/>
      <c r="J139" s="187"/>
      <c r="K139" s="187"/>
      <c r="L139" s="187"/>
      <c r="M139" s="187"/>
      <c r="N139" s="187"/>
      <c r="O139" s="700"/>
      <c r="P139" s="187"/>
      <c r="Q139" s="187"/>
      <c r="R139" s="187"/>
      <c r="S139" s="187"/>
      <c r="T139" s="187"/>
      <c r="U139" s="187"/>
      <c r="V139" s="187"/>
      <c r="W139" s="187"/>
      <c r="X139" s="187"/>
      <c r="Y139" s="187"/>
      <c r="Z139" s="187"/>
      <c r="AA139" s="187"/>
      <c r="AB139" s="187"/>
      <c r="AC139" s="187"/>
      <c r="AD139" s="187"/>
      <c r="AE139" s="187"/>
      <c r="AF139" s="187"/>
      <c r="AG139" s="187"/>
      <c r="AH139" s="187"/>
      <c r="AI139" s="187"/>
      <c r="AJ139" s="187"/>
      <c r="AK139" s="187"/>
    </row>
    <row r="140" spans="1:37" s="585" customFormat="1" x14ac:dyDescent="0.25">
      <c r="A140" s="187"/>
      <c r="B140" s="187"/>
      <c r="C140" s="187"/>
      <c r="D140" s="187"/>
      <c r="E140" s="187"/>
      <c r="F140" s="187"/>
      <c r="G140" s="187"/>
      <c r="H140" s="187"/>
      <c r="I140" s="187"/>
      <c r="J140" s="187"/>
      <c r="K140" s="187"/>
      <c r="L140" s="187"/>
      <c r="M140" s="187"/>
      <c r="N140" s="187"/>
      <c r="O140" s="700"/>
      <c r="P140" s="187"/>
      <c r="Q140" s="187"/>
      <c r="R140" s="187"/>
      <c r="S140" s="187"/>
      <c r="T140" s="187"/>
      <c r="U140" s="187"/>
      <c r="V140" s="187"/>
      <c r="W140" s="187"/>
      <c r="X140" s="187"/>
      <c r="Y140" s="187"/>
      <c r="Z140" s="187"/>
      <c r="AA140" s="187"/>
      <c r="AB140" s="187"/>
      <c r="AC140" s="187"/>
      <c r="AD140" s="187"/>
      <c r="AE140" s="187"/>
      <c r="AF140" s="187"/>
      <c r="AG140" s="187"/>
      <c r="AH140" s="187"/>
      <c r="AI140" s="187"/>
      <c r="AJ140" s="187"/>
      <c r="AK140" s="187"/>
    </row>
    <row r="141" spans="1:37" s="585" customFormat="1" x14ac:dyDescent="0.25">
      <c r="A141" s="187"/>
      <c r="B141" s="187"/>
      <c r="C141" s="187"/>
      <c r="D141" s="187"/>
      <c r="E141" s="187"/>
      <c r="F141" s="187"/>
      <c r="G141" s="187"/>
      <c r="H141" s="187"/>
      <c r="I141" s="187"/>
      <c r="J141" s="187"/>
      <c r="K141" s="187"/>
      <c r="L141" s="187"/>
      <c r="M141" s="187"/>
      <c r="N141" s="187"/>
      <c r="O141" s="700"/>
      <c r="P141" s="187"/>
      <c r="Q141" s="187"/>
      <c r="R141" s="187"/>
      <c r="S141" s="187"/>
      <c r="T141" s="187"/>
      <c r="U141" s="187"/>
      <c r="V141" s="187"/>
      <c r="W141" s="187"/>
      <c r="X141" s="187"/>
      <c r="Y141" s="187"/>
      <c r="Z141" s="187"/>
      <c r="AA141" s="187"/>
      <c r="AB141" s="187"/>
      <c r="AC141" s="187"/>
      <c r="AD141" s="187"/>
      <c r="AE141" s="187"/>
      <c r="AF141" s="187"/>
      <c r="AG141" s="187"/>
      <c r="AH141" s="187"/>
      <c r="AI141" s="187"/>
      <c r="AJ141" s="187"/>
      <c r="AK141" s="187"/>
    </row>
    <row r="142" spans="1:37" s="585" customFormat="1" x14ac:dyDescent="0.25">
      <c r="A142" s="187"/>
      <c r="B142" s="187"/>
      <c r="C142" s="187"/>
      <c r="D142" s="187"/>
      <c r="E142" s="187"/>
      <c r="F142" s="187"/>
      <c r="G142" s="187"/>
      <c r="H142" s="187"/>
      <c r="I142" s="187"/>
      <c r="J142" s="187"/>
      <c r="K142" s="187"/>
      <c r="L142" s="187"/>
      <c r="M142" s="187"/>
      <c r="N142" s="187"/>
      <c r="O142" s="700"/>
      <c r="P142" s="187"/>
      <c r="Q142" s="187"/>
      <c r="R142" s="187"/>
      <c r="S142" s="187"/>
      <c r="T142" s="187"/>
      <c r="U142" s="187"/>
      <c r="V142" s="187"/>
      <c r="W142" s="187"/>
      <c r="X142" s="187"/>
      <c r="Y142" s="187"/>
      <c r="Z142" s="187"/>
      <c r="AA142" s="187"/>
      <c r="AB142" s="187"/>
      <c r="AC142" s="187"/>
      <c r="AD142" s="187"/>
      <c r="AE142" s="187"/>
      <c r="AF142" s="187"/>
      <c r="AG142" s="187"/>
      <c r="AH142" s="187"/>
      <c r="AI142" s="187"/>
      <c r="AJ142" s="187"/>
      <c r="AK142" s="187"/>
    </row>
    <row r="143" spans="1:37" s="585" customFormat="1" x14ac:dyDescent="0.25">
      <c r="A143" s="187"/>
      <c r="B143" s="187"/>
      <c r="C143" s="187"/>
      <c r="D143" s="187"/>
      <c r="E143" s="187"/>
      <c r="F143" s="187"/>
      <c r="G143" s="187"/>
      <c r="H143" s="187"/>
      <c r="I143" s="187"/>
      <c r="J143" s="187"/>
      <c r="K143" s="187"/>
      <c r="L143" s="187"/>
      <c r="M143" s="187"/>
      <c r="N143" s="187"/>
      <c r="O143" s="700"/>
      <c r="P143" s="187"/>
      <c r="Q143" s="187"/>
      <c r="R143" s="187"/>
      <c r="S143" s="187"/>
      <c r="T143" s="187"/>
      <c r="U143" s="187"/>
      <c r="V143" s="187"/>
      <c r="W143" s="187"/>
      <c r="X143" s="187"/>
      <c r="Y143" s="187"/>
      <c r="Z143" s="187"/>
      <c r="AA143" s="187"/>
      <c r="AB143" s="187"/>
      <c r="AC143" s="187"/>
      <c r="AD143" s="187"/>
      <c r="AE143" s="187"/>
      <c r="AF143" s="187"/>
      <c r="AG143" s="187"/>
      <c r="AH143" s="187"/>
      <c r="AI143" s="187"/>
      <c r="AJ143" s="187"/>
      <c r="AK143" s="187"/>
    </row>
    <row r="144" spans="1:37" s="585" customFormat="1" x14ac:dyDescent="0.25">
      <c r="A144" s="187"/>
      <c r="B144" s="187"/>
      <c r="C144" s="187"/>
      <c r="D144" s="187"/>
      <c r="E144" s="187"/>
      <c r="F144" s="187"/>
      <c r="G144" s="187"/>
      <c r="H144" s="187"/>
      <c r="I144" s="187"/>
      <c r="J144" s="187"/>
      <c r="K144" s="187"/>
      <c r="L144" s="187"/>
      <c r="M144" s="187"/>
      <c r="N144" s="187"/>
      <c r="O144" s="700"/>
      <c r="P144" s="187"/>
      <c r="Q144" s="187"/>
      <c r="R144" s="187"/>
      <c r="S144" s="187"/>
      <c r="T144" s="187"/>
      <c r="U144" s="187"/>
      <c r="V144" s="187"/>
      <c r="W144" s="187"/>
      <c r="X144" s="187"/>
      <c r="Y144" s="187"/>
      <c r="Z144" s="187"/>
      <c r="AA144" s="187"/>
      <c r="AB144" s="187"/>
      <c r="AC144" s="187"/>
      <c r="AD144" s="187"/>
      <c r="AE144" s="187"/>
      <c r="AF144" s="187"/>
      <c r="AG144" s="187"/>
      <c r="AH144" s="187"/>
      <c r="AI144" s="187"/>
      <c r="AJ144" s="187"/>
      <c r="AK144" s="187"/>
    </row>
    <row r="145" spans="1:37" s="585" customFormat="1" x14ac:dyDescent="0.25">
      <c r="A145" s="187"/>
      <c r="B145" s="187"/>
      <c r="C145" s="187"/>
      <c r="D145" s="187"/>
      <c r="E145" s="187"/>
      <c r="F145" s="187"/>
      <c r="G145" s="187"/>
      <c r="H145" s="187"/>
      <c r="I145" s="187"/>
      <c r="J145" s="187"/>
      <c r="K145" s="187"/>
      <c r="L145" s="187"/>
      <c r="M145" s="187"/>
      <c r="N145" s="187"/>
      <c r="O145" s="700"/>
      <c r="P145" s="187"/>
      <c r="Q145" s="187"/>
      <c r="R145" s="187"/>
      <c r="S145" s="187"/>
      <c r="T145" s="187"/>
      <c r="U145" s="187"/>
      <c r="V145" s="187"/>
      <c r="W145" s="187"/>
      <c r="X145" s="187"/>
      <c r="Y145" s="187"/>
      <c r="Z145" s="187"/>
      <c r="AA145" s="187"/>
      <c r="AB145" s="187"/>
      <c r="AC145" s="187"/>
      <c r="AD145" s="187"/>
      <c r="AE145" s="187"/>
      <c r="AF145" s="187"/>
      <c r="AG145" s="187"/>
      <c r="AH145" s="187"/>
      <c r="AI145" s="187"/>
      <c r="AJ145" s="187"/>
      <c r="AK145" s="187"/>
    </row>
    <row r="146" spans="1:37" s="585" customFormat="1" x14ac:dyDescent="0.25">
      <c r="A146" s="187"/>
      <c r="B146" s="187"/>
      <c r="C146" s="187"/>
      <c r="D146" s="187"/>
      <c r="E146" s="187"/>
      <c r="F146" s="187"/>
      <c r="G146" s="187"/>
      <c r="H146" s="187"/>
      <c r="I146" s="187"/>
      <c r="J146" s="187"/>
      <c r="K146" s="187"/>
      <c r="L146" s="187"/>
      <c r="M146" s="187"/>
      <c r="N146" s="187"/>
      <c r="O146" s="700"/>
      <c r="P146" s="187"/>
      <c r="Q146" s="187"/>
      <c r="R146" s="187"/>
      <c r="S146" s="187"/>
      <c r="T146" s="187"/>
      <c r="U146" s="187"/>
      <c r="V146" s="187"/>
      <c r="W146" s="187"/>
      <c r="X146" s="187"/>
      <c r="Y146" s="187"/>
      <c r="Z146" s="187"/>
      <c r="AA146" s="187"/>
      <c r="AB146" s="187"/>
      <c r="AC146" s="187"/>
      <c r="AD146" s="187"/>
      <c r="AE146" s="187"/>
      <c r="AF146" s="187"/>
      <c r="AG146" s="187"/>
      <c r="AH146" s="187"/>
      <c r="AI146" s="187"/>
      <c r="AJ146" s="187"/>
      <c r="AK146" s="187"/>
    </row>
    <row r="147" spans="1:37" s="585" customFormat="1" x14ac:dyDescent="0.25">
      <c r="A147" s="187"/>
      <c r="B147" s="187"/>
      <c r="C147" s="187"/>
      <c r="D147" s="187"/>
      <c r="E147" s="187"/>
      <c r="F147" s="187"/>
      <c r="G147" s="187"/>
      <c r="H147" s="187"/>
      <c r="I147" s="187"/>
      <c r="J147" s="187"/>
      <c r="K147" s="187"/>
      <c r="L147" s="187"/>
      <c r="M147" s="187"/>
      <c r="N147" s="187"/>
      <c r="O147" s="700"/>
      <c r="P147" s="187"/>
      <c r="Q147" s="187"/>
      <c r="R147" s="187"/>
      <c r="S147" s="187"/>
      <c r="T147" s="187"/>
      <c r="U147" s="187"/>
      <c r="V147" s="187"/>
      <c r="W147" s="187"/>
      <c r="X147" s="187"/>
      <c r="Y147" s="187"/>
      <c r="Z147" s="187"/>
      <c r="AA147" s="187"/>
      <c r="AB147" s="187"/>
      <c r="AC147" s="187"/>
      <c r="AD147" s="187"/>
      <c r="AE147" s="187"/>
      <c r="AF147" s="187"/>
      <c r="AG147" s="187"/>
      <c r="AH147" s="187"/>
      <c r="AI147" s="187"/>
      <c r="AJ147" s="187"/>
      <c r="AK147" s="187"/>
    </row>
    <row r="148" spans="1:37" s="585" customFormat="1" x14ac:dyDescent="0.25">
      <c r="A148" s="187"/>
      <c r="B148" s="187"/>
      <c r="C148" s="187"/>
      <c r="D148" s="187"/>
      <c r="E148" s="187"/>
      <c r="F148" s="187"/>
      <c r="G148" s="187"/>
      <c r="H148" s="187"/>
      <c r="I148" s="187"/>
      <c r="J148" s="187"/>
      <c r="K148" s="187"/>
      <c r="L148" s="187"/>
      <c r="M148" s="187"/>
      <c r="N148" s="187"/>
      <c r="O148" s="700"/>
      <c r="P148" s="187"/>
      <c r="Q148" s="187"/>
      <c r="R148" s="187"/>
      <c r="S148" s="187"/>
      <c r="T148" s="187"/>
      <c r="U148" s="187"/>
      <c r="V148" s="187"/>
      <c r="W148" s="187"/>
      <c r="X148" s="187"/>
      <c r="Y148" s="187"/>
      <c r="Z148" s="187"/>
      <c r="AA148" s="187"/>
      <c r="AB148" s="187"/>
      <c r="AC148" s="187"/>
      <c r="AD148" s="187"/>
      <c r="AE148" s="187"/>
      <c r="AF148" s="187"/>
      <c r="AG148" s="187"/>
      <c r="AH148" s="187"/>
      <c r="AI148" s="187"/>
      <c r="AJ148" s="187"/>
      <c r="AK148" s="187"/>
    </row>
    <row r="149" spans="1:37" s="585" customFormat="1" x14ac:dyDescent="0.25">
      <c r="A149" s="187"/>
      <c r="B149" s="187"/>
      <c r="C149" s="187"/>
      <c r="D149" s="187"/>
      <c r="E149" s="187"/>
      <c r="F149" s="187"/>
      <c r="G149" s="187"/>
      <c r="H149" s="187"/>
      <c r="I149" s="187"/>
      <c r="J149" s="187"/>
      <c r="K149" s="187"/>
      <c r="L149" s="187"/>
      <c r="M149" s="187"/>
      <c r="N149" s="187"/>
      <c r="O149" s="700"/>
      <c r="P149" s="187"/>
      <c r="Q149" s="187"/>
      <c r="R149" s="187"/>
      <c r="S149" s="187"/>
      <c r="T149" s="187"/>
      <c r="U149" s="187"/>
      <c r="V149" s="187"/>
      <c r="W149" s="187"/>
      <c r="X149" s="187"/>
      <c r="Y149" s="187"/>
      <c r="Z149" s="187"/>
      <c r="AA149" s="187"/>
      <c r="AB149" s="187"/>
      <c r="AC149" s="187"/>
      <c r="AD149" s="187"/>
      <c r="AE149" s="187"/>
      <c r="AF149" s="187"/>
      <c r="AG149" s="187"/>
      <c r="AH149" s="187"/>
      <c r="AI149" s="187"/>
      <c r="AJ149" s="187"/>
      <c r="AK149" s="187"/>
    </row>
    <row r="150" spans="1:37" s="585" customFormat="1" x14ac:dyDescent="0.25">
      <c r="A150" s="187"/>
      <c r="B150" s="187"/>
      <c r="C150" s="187"/>
      <c r="D150" s="187"/>
      <c r="E150" s="187"/>
      <c r="F150" s="187"/>
      <c r="G150" s="187"/>
      <c r="H150" s="187"/>
      <c r="I150" s="187"/>
      <c r="J150" s="187"/>
      <c r="K150" s="187"/>
      <c r="L150" s="187"/>
      <c r="M150" s="187"/>
      <c r="N150" s="187"/>
      <c r="O150" s="700"/>
      <c r="P150" s="187"/>
      <c r="Q150" s="187"/>
      <c r="R150" s="187"/>
      <c r="S150" s="187"/>
      <c r="T150" s="187"/>
      <c r="U150" s="187"/>
      <c r="V150" s="187"/>
      <c r="W150" s="187"/>
      <c r="X150" s="187"/>
      <c r="Y150" s="187"/>
      <c r="Z150" s="187"/>
      <c r="AA150" s="187"/>
      <c r="AB150" s="187"/>
      <c r="AC150" s="187"/>
      <c r="AD150" s="187"/>
      <c r="AE150" s="187"/>
      <c r="AF150" s="187"/>
      <c r="AG150" s="187"/>
      <c r="AH150" s="187"/>
      <c r="AI150" s="187"/>
      <c r="AJ150" s="187"/>
      <c r="AK150" s="187"/>
    </row>
    <row r="151" spans="1:37" s="585" customFormat="1" x14ac:dyDescent="0.25">
      <c r="A151" s="187"/>
      <c r="B151" s="187"/>
      <c r="C151" s="187"/>
      <c r="D151" s="187"/>
      <c r="E151" s="187"/>
      <c r="F151" s="187"/>
      <c r="G151" s="187"/>
      <c r="H151" s="187"/>
      <c r="I151" s="187"/>
      <c r="J151" s="187"/>
      <c r="K151" s="187"/>
      <c r="L151" s="187"/>
      <c r="M151" s="187"/>
      <c r="N151" s="187"/>
      <c r="O151" s="700"/>
      <c r="P151" s="187"/>
      <c r="Q151" s="187"/>
      <c r="R151" s="187"/>
      <c r="S151" s="187"/>
      <c r="T151" s="187"/>
      <c r="U151" s="187"/>
      <c r="V151" s="187"/>
      <c r="W151" s="187"/>
      <c r="X151" s="187"/>
      <c r="Y151" s="187"/>
      <c r="Z151" s="187"/>
      <c r="AA151" s="187"/>
      <c r="AB151" s="187"/>
      <c r="AC151" s="187"/>
      <c r="AD151" s="187"/>
      <c r="AE151" s="187"/>
      <c r="AF151" s="187"/>
      <c r="AG151" s="187"/>
      <c r="AH151" s="187"/>
      <c r="AI151" s="187"/>
      <c r="AJ151" s="187"/>
      <c r="AK151" s="187"/>
    </row>
    <row r="152" spans="1:37" s="585" customFormat="1" x14ac:dyDescent="0.25">
      <c r="A152" s="187"/>
      <c r="B152" s="187"/>
      <c r="C152" s="187"/>
      <c r="D152" s="187"/>
      <c r="E152" s="187"/>
      <c r="F152" s="187"/>
      <c r="G152" s="187"/>
      <c r="H152" s="187"/>
      <c r="I152" s="187"/>
      <c r="J152" s="187"/>
      <c r="K152" s="187"/>
      <c r="L152" s="187"/>
      <c r="M152" s="187"/>
      <c r="N152" s="187"/>
      <c r="O152" s="700"/>
      <c r="P152" s="187"/>
      <c r="Q152" s="187"/>
      <c r="R152" s="187"/>
      <c r="S152" s="187"/>
      <c r="T152" s="187"/>
      <c r="U152" s="187"/>
      <c r="V152" s="187"/>
      <c r="W152" s="187"/>
      <c r="X152" s="187"/>
      <c r="Y152" s="187"/>
      <c r="Z152" s="187"/>
      <c r="AA152" s="187"/>
      <c r="AB152" s="187"/>
      <c r="AC152" s="187"/>
      <c r="AD152" s="187"/>
      <c r="AE152" s="187"/>
      <c r="AF152" s="187"/>
      <c r="AG152" s="187"/>
      <c r="AH152" s="187"/>
      <c r="AI152" s="187"/>
      <c r="AJ152" s="187"/>
      <c r="AK152" s="187"/>
    </row>
    <row r="153" spans="1:37" s="585" customFormat="1" x14ac:dyDescent="0.25">
      <c r="A153" s="187"/>
      <c r="B153" s="187"/>
      <c r="C153" s="187"/>
      <c r="D153" s="187"/>
      <c r="E153" s="187"/>
      <c r="F153" s="187"/>
      <c r="G153" s="187"/>
      <c r="H153" s="187"/>
      <c r="I153" s="187"/>
      <c r="J153" s="187"/>
      <c r="K153" s="187"/>
      <c r="L153" s="187"/>
      <c r="M153" s="187"/>
      <c r="N153" s="187"/>
      <c r="O153" s="700"/>
      <c r="P153" s="187"/>
      <c r="Q153" s="187"/>
      <c r="R153" s="187"/>
      <c r="S153" s="187"/>
      <c r="T153" s="187"/>
      <c r="U153" s="187"/>
      <c r="V153" s="187"/>
      <c r="W153" s="187"/>
      <c r="X153" s="187"/>
      <c r="Y153" s="187"/>
      <c r="Z153" s="187"/>
      <c r="AA153" s="187"/>
      <c r="AB153" s="187"/>
      <c r="AC153" s="187"/>
      <c r="AD153" s="187"/>
      <c r="AE153" s="187"/>
      <c r="AF153" s="187"/>
      <c r="AG153" s="187"/>
      <c r="AH153" s="187"/>
      <c r="AI153" s="187"/>
      <c r="AJ153" s="187"/>
      <c r="AK153" s="187"/>
    </row>
    <row r="154" spans="1:37" s="585" customFormat="1" x14ac:dyDescent="0.25">
      <c r="A154" s="187"/>
      <c r="B154" s="187"/>
      <c r="C154" s="187"/>
      <c r="D154" s="187"/>
      <c r="E154" s="187"/>
      <c r="F154" s="187"/>
      <c r="G154" s="187"/>
      <c r="H154" s="187"/>
      <c r="I154" s="187"/>
      <c r="J154" s="187"/>
      <c r="K154" s="187"/>
      <c r="L154" s="187"/>
      <c r="M154" s="187"/>
      <c r="N154" s="187"/>
      <c r="O154" s="700"/>
      <c r="P154" s="187"/>
      <c r="Q154" s="187"/>
      <c r="R154" s="187"/>
      <c r="S154" s="187"/>
      <c r="T154" s="187"/>
      <c r="U154" s="187"/>
      <c r="V154" s="187"/>
      <c r="W154" s="187"/>
      <c r="X154" s="187"/>
      <c r="Y154" s="187"/>
      <c r="Z154" s="187"/>
      <c r="AA154" s="187"/>
      <c r="AB154" s="187"/>
      <c r="AC154" s="187"/>
      <c r="AD154" s="187"/>
      <c r="AE154" s="187"/>
      <c r="AF154" s="187"/>
      <c r="AG154" s="187"/>
      <c r="AH154" s="187"/>
      <c r="AI154" s="187"/>
      <c r="AJ154" s="187"/>
      <c r="AK154" s="187"/>
    </row>
    <row r="155" spans="1:37" s="585" customFormat="1" x14ac:dyDescent="0.25">
      <c r="A155" s="187"/>
      <c r="B155" s="187"/>
      <c r="C155" s="187"/>
      <c r="D155" s="187"/>
      <c r="E155" s="187"/>
      <c r="F155" s="187"/>
      <c r="G155" s="187"/>
      <c r="H155" s="187"/>
      <c r="I155" s="187"/>
      <c r="J155" s="187"/>
      <c r="K155" s="187"/>
      <c r="L155" s="187"/>
      <c r="M155" s="187"/>
      <c r="N155" s="187"/>
      <c r="O155" s="700"/>
      <c r="P155" s="187"/>
      <c r="Q155" s="187"/>
      <c r="R155" s="187"/>
      <c r="S155" s="187"/>
      <c r="T155" s="187"/>
      <c r="U155" s="187"/>
      <c r="V155" s="187"/>
      <c r="W155" s="187"/>
      <c r="X155" s="187"/>
      <c r="Y155" s="187"/>
      <c r="Z155" s="187"/>
      <c r="AA155" s="187"/>
      <c r="AB155" s="187"/>
      <c r="AC155" s="187"/>
      <c r="AD155" s="187"/>
      <c r="AE155" s="187"/>
      <c r="AF155" s="187"/>
      <c r="AG155" s="187"/>
      <c r="AH155" s="187"/>
      <c r="AI155" s="187"/>
      <c r="AJ155" s="187"/>
      <c r="AK155" s="187"/>
    </row>
    <row r="156" spans="1:37" s="585" customFormat="1" x14ac:dyDescent="0.25">
      <c r="A156" s="187"/>
      <c r="B156" s="187"/>
      <c r="C156" s="187"/>
      <c r="D156" s="187"/>
      <c r="E156" s="187"/>
      <c r="F156" s="187"/>
      <c r="G156" s="187"/>
      <c r="H156" s="187"/>
      <c r="I156" s="187"/>
      <c r="J156" s="187"/>
      <c r="K156" s="187"/>
      <c r="L156" s="187"/>
      <c r="M156" s="187"/>
      <c r="N156" s="187"/>
      <c r="O156" s="700"/>
      <c r="P156" s="187"/>
      <c r="Q156" s="187"/>
      <c r="R156" s="187"/>
      <c r="S156" s="187"/>
      <c r="T156" s="187"/>
      <c r="U156" s="187"/>
      <c r="V156" s="187"/>
      <c r="W156" s="187"/>
      <c r="X156" s="187"/>
      <c r="Y156" s="187"/>
      <c r="Z156" s="187"/>
      <c r="AA156" s="187"/>
      <c r="AB156" s="187"/>
      <c r="AC156" s="187"/>
      <c r="AD156" s="187"/>
      <c r="AE156" s="187"/>
      <c r="AF156" s="187"/>
      <c r="AG156" s="187"/>
      <c r="AH156" s="187"/>
      <c r="AI156" s="187"/>
      <c r="AJ156" s="187"/>
      <c r="AK156" s="187"/>
    </row>
    <row r="157" spans="1:37" s="585" customFormat="1" x14ac:dyDescent="0.25">
      <c r="A157" s="187"/>
      <c r="B157" s="187"/>
      <c r="C157" s="187"/>
      <c r="D157" s="187"/>
      <c r="E157" s="187"/>
      <c r="F157" s="187"/>
      <c r="G157" s="187"/>
      <c r="H157" s="187"/>
      <c r="I157" s="187"/>
      <c r="J157" s="187"/>
      <c r="K157" s="187"/>
      <c r="L157" s="187"/>
      <c r="M157" s="187"/>
      <c r="N157" s="187"/>
      <c r="O157" s="700"/>
      <c r="P157" s="187"/>
      <c r="Q157" s="187"/>
      <c r="R157" s="187"/>
      <c r="S157" s="187"/>
      <c r="T157" s="187"/>
      <c r="U157" s="187"/>
      <c r="V157" s="187"/>
      <c r="W157" s="187"/>
      <c r="X157" s="187"/>
      <c r="Y157" s="187"/>
      <c r="Z157" s="187"/>
      <c r="AA157" s="187"/>
      <c r="AB157" s="187"/>
      <c r="AC157" s="187"/>
      <c r="AD157" s="187"/>
      <c r="AE157" s="187"/>
      <c r="AF157" s="187"/>
      <c r="AG157" s="187"/>
      <c r="AH157" s="187"/>
      <c r="AI157" s="187"/>
      <c r="AJ157" s="187"/>
      <c r="AK157" s="187"/>
    </row>
    <row r="158" spans="1:37" s="585" customFormat="1" x14ac:dyDescent="0.25">
      <c r="A158" s="187"/>
      <c r="B158" s="187"/>
      <c r="C158" s="187"/>
      <c r="D158" s="187"/>
      <c r="E158" s="187"/>
      <c r="F158" s="187"/>
      <c r="G158" s="187"/>
      <c r="H158" s="187"/>
      <c r="I158" s="187"/>
      <c r="J158" s="187"/>
      <c r="K158" s="187"/>
      <c r="L158" s="187"/>
      <c r="M158" s="187"/>
      <c r="N158" s="187"/>
      <c r="O158" s="700"/>
      <c r="P158" s="187"/>
      <c r="Q158" s="187"/>
      <c r="R158" s="187"/>
      <c r="S158" s="187"/>
      <c r="T158" s="187"/>
      <c r="U158" s="187"/>
      <c r="V158" s="187"/>
      <c r="W158" s="187"/>
      <c r="X158" s="187"/>
      <c r="Y158" s="187"/>
      <c r="Z158" s="187"/>
      <c r="AA158" s="187"/>
      <c r="AB158" s="187"/>
      <c r="AC158" s="187"/>
      <c r="AD158" s="187"/>
      <c r="AE158" s="187"/>
      <c r="AF158" s="187"/>
      <c r="AG158" s="187"/>
      <c r="AH158" s="187"/>
      <c r="AI158" s="187"/>
      <c r="AJ158" s="187"/>
      <c r="AK158" s="187"/>
    </row>
    <row r="159" spans="1:37" s="585" customFormat="1" x14ac:dyDescent="0.25">
      <c r="A159" s="187"/>
      <c r="B159" s="187"/>
      <c r="C159" s="187"/>
      <c r="D159" s="187"/>
      <c r="E159" s="187"/>
      <c r="F159" s="187"/>
      <c r="G159" s="187"/>
      <c r="H159" s="187"/>
      <c r="I159" s="187"/>
      <c r="J159" s="187"/>
      <c r="K159" s="187"/>
      <c r="L159" s="187"/>
      <c r="M159" s="187"/>
      <c r="N159" s="187"/>
      <c r="O159" s="700"/>
      <c r="P159" s="187"/>
      <c r="Q159" s="187"/>
      <c r="R159" s="187"/>
      <c r="S159" s="187"/>
      <c r="T159" s="187"/>
      <c r="U159" s="187"/>
      <c r="V159" s="187"/>
      <c r="W159" s="187"/>
      <c r="X159" s="187"/>
      <c r="Y159" s="187"/>
      <c r="Z159" s="187"/>
      <c r="AA159" s="187"/>
      <c r="AB159" s="187"/>
      <c r="AC159" s="187"/>
      <c r="AD159" s="187"/>
      <c r="AE159" s="187"/>
      <c r="AF159" s="187"/>
      <c r="AG159" s="187"/>
      <c r="AH159" s="187"/>
      <c r="AI159" s="187"/>
      <c r="AJ159" s="187"/>
      <c r="AK159" s="187"/>
    </row>
    <row r="160" spans="1:37" s="585" customFormat="1" x14ac:dyDescent="0.25">
      <c r="A160" s="187"/>
      <c r="B160" s="187"/>
      <c r="C160" s="187"/>
      <c r="D160" s="187"/>
      <c r="E160" s="187"/>
      <c r="F160" s="187"/>
      <c r="G160" s="187"/>
      <c r="H160" s="187"/>
      <c r="I160" s="187"/>
      <c r="J160" s="187"/>
      <c r="K160" s="187"/>
      <c r="L160" s="187"/>
      <c r="M160" s="187"/>
      <c r="N160" s="187"/>
      <c r="O160" s="700"/>
      <c r="P160" s="187"/>
      <c r="Q160" s="187"/>
      <c r="R160" s="187"/>
      <c r="S160" s="187"/>
      <c r="T160" s="187"/>
      <c r="U160" s="187"/>
      <c r="V160" s="187"/>
      <c r="W160" s="187"/>
      <c r="X160" s="187"/>
      <c r="Y160" s="187"/>
      <c r="Z160" s="187"/>
      <c r="AA160" s="187"/>
      <c r="AB160" s="187"/>
      <c r="AC160" s="187"/>
      <c r="AD160" s="187"/>
      <c r="AE160" s="187"/>
      <c r="AF160" s="187"/>
      <c r="AG160" s="187"/>
      <c r="AH160" s="187"/>
      <c r="AI160" s="187"/>
      <c r="AJ160" s="187"/>
      <c r="AK160" s="187"/>
    </row>
    <row r="161" spans="1:37" s="585" customFormat="1" x14ac:dyDescent="0.25">
      <c r="A161" s="187"/>
      <c r="B161" s="187"/>
      <c r="C161" s="187"/>
      <c r="D161" s="187"/>
      <c r="E161" s="187"/>
      <c r="F161" s="187"/>
      <c r="G161" s="187"/>
      <c r="H161" s="187"/>
      <c r="I161" s="187"/>
      <c r="J161" s="187"/>
      <c r="K161" s="187"/>
      <c r="L161" s="187"/>
      <c r="M161" s="187"/>
      <c r="N161" s="187"/>
      <c r="O161" s="700"/>
      <c r="P161" s="187"/>
      <c r="Q161" s="187"/>
      <c r="R161" s="187"/>
      <c r="S161" s="187"/>
      <c r="T161" s="187"/>
      <c r="U161" s="187"/>
      <c r="V161" s="187"/>
      <c r="W161" s="187"/>
      <c r="X161" s="187"/>
      <c r="Y161" s="187"/>
      <c r="Z161" s="187"/>
      <c r="AA161" s="187"/>
      <c r="AB161" s="187"/>
      <c r="AC161" s="187"/>
      <c r="AD161" s="187"/>
      <c r="AE161" s="187"/>
      <c r="AF161" s="187"/>
      <c r="AG161" s="187"/>
      <c r="AH161" s="187"/>
      <c r="AI161" s="187"/>
      <c r="AJ161" s="187"/>
      <c r="AK161" s="187"/>
    </row>
    <row r="162" spans="1:37" s="585" customFormat="1" x14ac:dyDescent="0.25">
      <c r="A162" s="187"/>
      <c r="B162" s="187"/>
      <c r="C162" s="187"/>
      <c r="D162" s="187"/>
      <c r="E162" s="187"/>
      <c r="F162" s="187"/>
      <c r="G162" s="187"/>
      <c r="H162" s="187"/>
      <c r="I162" s="187"/>
      <c r="J162" s="187"/>
      <c r="K162" s="187"/>
      <c r="L162" s="187"/>
      <c r="M162" s="187"/>
      <c r="N162" s="187"/>
      <c r="O162" s="700"/>
      <c r="P162" s="187"/>
      <c r="Q162" s="187"/>
      <c r="R162" s="187"/>
      <c r="S162" s="187"/>
      <c r="T162" s="187"/>
      <c r="U162" s="187"/>
      <c r="V162" s="187"/>
      <c r="W162" s="187"/>
      <c r="X162" s="187"/>
      <c r="Y162" s="187"/>
      <c r="Z162" s="187"/>
      <c r="AA162" s="187"/>
      <c r="AB162" s="187"/>
      <c r="AC162" s="187"/>
      <c r="AD162" s="187"/>
      <c r="AE162" s="187"/>
      <c r="AF162" s="187"/>
      <c r="AG162" s="187"/>
      <c r="AH162" s="187"/>
      <c r="AI162" s="187"/>
      <c r="AJ162" s="187"/>
      <c r="AK162" s="187"/>
    </row>
    <row r="163" spans="1:37" s="585" customFormat="1" x14ac:dyDescent="0.25">
      <c r="A163" s="187"/>
      <c r="B163" s="187"/>
      <c r="C163" s="187"/>
      <c r="D163" s="187"/>
      <c r="E163" s="187"/>
      <c r="F163" s="187"/>
      <c r="G163" s="187"/>
      <c r="H163" s="187"/>
      <c r="I163" s="187"/>
      <c r="J163" s="187"/>
      <c r="K163" s="187"/>
      <c r="L163" s="187"/>
      <c r="M163" s="187"/>
      <c r="N163" s="187"/>
      <c r="O163" s="700"/>
      <c r="P163" s="187"/>
      <c r="Q163" s="187"/>
      <c r="R163" s="187"/>
      <c r="S163" s="187"/>
      <c r="T163" s="187"/>
      <c r="U163" s="187"/>
      <c r="V163" s="187"/>
      <c r="W163" s="187"/>
      <c r="X163" s="187"/>
      <c r="Y163" s="187"/>
      <c r="Z163" s="187"/>
      <c r="AA163" s="187"/>
      <c r="AB163" s="187"/>
      <c r="AC163" s="187"/>
      <c r="AD163" s="187"/>
      <c r="AE163" s="187"/>
      <c r="AF163" s="187"/>
      <c r="AG163" s="187"/>
      <c r="AH163" s="187"/>
      <c r="AI163" s="187"/>
      <c r="AJ163" s="187"/>
      <c r="AK163" s="187"/>
    </row>
    <row r="164" spans="1:37" s="585" customFormat="1" x14ac:dyDescent="0.25">
      <c r="A164" s="187"/>
      <c r="B164" s="187"/>
      <c r="C164" s="187"/>
      <c r="D164" s="187"/>
      <c r="E164" s="187"/>
      <c r="F164" s="187"/>
      <c r="G164" s="187"/>
      <c r="H164" s="187"/>
      <c r="I164" s="187"/>
      <c r="J164" s="187"/>
      <c r="K164" s="187"/>
      <c r="L164" s="187"/>
      <c r="M164" s="187"/>
      <c r="N164" s="187"/>
      <c r="O164" s="700"/>
      <c r="P164" s="187"/>
      <c r="Q164" s="187"/>
      <c r="R164" s="187"/>
      <c r="S164" s="187"/>
      <c r="T164" s="187"/>
      <c r="U164" s="187"/>
      <c r="V164" s="187"/>
      <c r="W164" s="187"/>
      <c r="X164" s="187"/>
      <c r="Y164" s="187"/>
      <c r="Z164" s="187"/>
      <c r="AA164" s="187"/>
      <c r="AB164" s="187"/>
      <c r="AC164" s="187"/>
      <c r="AD164" s="187"/>
      <c r="AE164" s="187"/>
      <c r="AF164" s="187"/>
      <c r="AG164" s="187"/>
      <c r="AH164" s="187"/>
      <c r="AI164" s="187"/>
      <c r="AJ164" s="187"/>
      <c r="AK164" s="187"/>
    </row>
    <row r="165" spans="1:37" s="585" customFormat="1" x14ac:dyDescent="0.25">
      <c r="A165" s="187"/>
      <c r="B165" s="187"/>
      <c r="C165" s="187"/>
      <c r="D165" s="187"/>
      <c r="E165" s="187"/>
      <c r="F165" s="187"/>
      <c r="G165" s="187"/>
      <c r="H165" s="187"/>
      <c r="I165" s="187"/>
      <c r="J165" s="187"/>
      <c r="K165" s="187"/>
      <c r="L165" s="187"/>
      <c r="M165" s="187"/>
      <c r="N165" s="187"/>
      <c r="O165" s="700"/>
      <c r="P165" s="187"/>
      <c r="Q165" s="187"/>
      <c r="R165" s="187"/>
      <c r="S165" s="187"/>
      <c r="T165" s="187"/>
      <c r="U165" s="187"/>
      <c r="V165" s="187"/>
      <c r="W165" s="187"/>
      <c r="X165" s="187"/>
      <c r="Y165" s="187"/>
      <c r="Z165" s="187"/>
      <c r="AA165" s="187"/>
      <c r="AB165" s="187"/>
      <c r="AC165" s="187"/>
      <c r="AD165" s="187"/>
      <c r="AE165" s="187"/>
      <c r="AF165" s="187"/>
      <c r="AG165" s="187"/>
      <c r="AH165" s="187"/>
      <c r="AI165" s="187"/>
      <c r="AJ165" s="187"/>
      <c r="AK165" s="187"/>
    </row>
    <row r="166" spans="1:37" s="585" customFormat="1" x14ac:dyDescent="0.25">
      <c r="A166" s="187"/>
      <c r="B166" s="187"/>
      <c r="C166" s="187"/>
      <c r="D166" s="187"/>
      <c r="E166" s="187"/>
      <c r="F166" s="187"/>
      <c r="G166" s="187"/>
      <c r="H166" s="187"/>
      <c r="I166" s="187"/>
      <c r="J166" s="187"/>
      <c r="K166" s="187"/>
      <c r="L166" s="187"/>
      <c r="M166" s="187"/>
      <c r="N166" s="187"/>
      <c r="O166" s="700"/>
      <c r="P166" s="187"/>
      <c r="Q166" s="187"/>
      <c r="R166" s="187"/>
      <c r="S166" s="187"/>
      <c r="T166" s="187"/>
      <c r="U166" s="187"/>
      <c r="V166" s="187"/>
      <c r="W166" s="187"/>
      <c r="X166" s="187"/>
      <c r="Y166" s="187"/>
      <c r="Z166" s="187"/>
      <c r="AA166" s="187"/>
      <c r="AB166" s="187"/>
      <c r="AC166" s="187"/>
      <c r="AD166" s="187"/>
      <c r="AE166" s="187"/>
      <c r="AF166" s="187"/>
      <c r="AG166" s="187"/>
      <c r="AH166" s="187"/>
      <c r="AI166" s="187"/>
      <c r="AJ166" s="187"/>
      <c r="AK166" s="187"/>
    </row>
    <row r="167" spans="1:37" s="585" customFormat="1" x14ac:dyDescent="0.25">
      <c r="A167" s="187"/>
      <c r="B167" s="187"/>
      <c r="C167" s="187"/>
      <c r="D167" s="187"/>
      <c r="E167" s="187"/>
      <c r="F167" s="187"/>
      <c r="G167" s="187"/>
      <c r="H167" s="187"/>
      <c r="I167" s="187"/>
      <c r="J167" s="187"/>
      <c r="K167" s="187"/>
      <c r="L167" s="187"/>
      <c r="M167" s="187"/>
      <c r="N167" s="187"/>
      <c r="O167" s="700"/>
      <c r="P167" s="187"/>
      <c r="Q167" s="187"/>
      <c r="R167" s="187"/>
      <c r="S167" s="187"/>
      <c r="T167" s="187"/>
      <c r="U167" s="187"/>
      <c r="V167" s="187"/>
      <c r="W167" s="187"/>
      <c r="X167" s="187"/>
      <c r="Y167" s="187"/>
      <c r="Z167" s="187"/>
      <c r="AA167" s="187"/>
      <c r="AB167" s="187"/>
      <c r="AC167" s="187"/>
      <c r="AD167" s="187"/>
      <c r="AE167" s="187"/>
      <c r="AF167" s="187"/>
      <c r="AG167" s="187"/>
      <c r="AH167" s="187"/>
      <c r="AI167" s="187"/>
      <c r="AJ167" s="187"/>
      <c r="AK167" s="187"/>
    </row>
    <row r="168" spans="1:37" s="585" customFormat="1" x14ac:dyDescent="0.25">
      <c r="A168" s="187"/>
      <c r="B168" s="187"/>
      <c r="C168" s="187"/>
      <c r="D168" s="187"/>
      <c r="E168" s="187"/>
      <c r="F168" s="187"/>
      <c r="G168" s="187"/>
      <c r="H168" s="187"/>
      <c r="I168" s="187"/>
      <c r="J168" s="187"/>
      <c r="K168" s="187"/>
      <c r="L168" s="187"/>
      <c r="M168" s="187"/>
      <c r="N168" s="187"/>
      <c r="O168" s="700"/>
      <c r="P168" s="187"/>
      <c r="Q168" s="187"/>
      <c r="R168" s="187"/>
      <c r="S168" s="187"/>
      <c r="T168" s="187"/>
      <c r="U168" s="187"/>
      <c r="V168" s="187"/>
      <c r="W168" s="187"/>
      <c r="X168" s="187"/>
      <c r="Y168" s="187"/>
      <c r="Z168" s="187"/>
      <c r="AA168" s="187"/>
      <c r="AB168" s="187"/>
      <c r="AC168" s="187"/>
      <c r="AD168" s="187"/>
      <c r="AE168" s="187"/>
      <c r="AF168" s="187"/>
      <c r="AG168" s="187"/>
      <c r="AH168" s="187"/>
      <c r="AI168" s="187"/>
      <c r="AJ168" s="187"/>
      <c r="AK168" s="187"/>
    </row>
    <row r="169" spans="1:37" s="585" customFormat="1" x14ac:dyDescent="0.25">
      <c r="A169" s="187"/>
      <c r="B169" s="187"/>
      <c r="C169" s="187"/>
      <c r="D169" s="187"/>
      <c r="E169" s="187"/>
      <c r="F169" s="187"/>
      <c r="G169" s="187"/>
      <c r="H169" s="187"/>
      <c r="I169" s="187"/>
      <c r="J169" s="187"/>
      <c r="K169" s="187"/>
      <c r="L169" s="187"/>
      <c r="M169" s="187"/>
      <c r="N169" s="187"/>
      <c r="O169" s="700"/>
      <c r="P169" s="187"/>
      <c r="Q169" s="187"/>
      <c r="R169" s="187"/>
      <c r="S169" s="187"/>
      <c r="T169" s="187"/>
      <c r="U169" s="187"/>
      <c r="V169" s="187"/>
      <c r="W169" s="187"/>
      <c r="X169" s="187"/>
      <c r="Y169" s="187"/>
      <c r="Z169" s="187"/>
      <c r="AA169" s="187"/>
      <c r="AB169" s="187"/>
      <c r="AC169" s="187"/>
      <c r="AD169" s="187"/>
      <c r="AE169" s="187"/>
      <c r="AF169" s="187"/>
      <c r="AG169" s="187"/>
      <c r="AH169" s="187"/>
      <c r="AI169" s="187"/>
      <c r="AJ169" s="187"/>
      <c r="AK169" s="187"/>
    </row>
    <row r="170" spans="1:37" s="585" customFormat="1" x14ac:dyDescent="0.25">
      <c r="A170" s="187"/>
      <c r="B170" s="187"/>
      <c r="C170" s="187"/>
      <c r="D170" s="187"/>
      <c r="E170" s="187"/>
      <c r="F170" s="187"/>
      <c r="G170" s="187"/>
      <c r="H170" s="187"/>
      <c r="I170" s="187"/>
      <c r="J170" s="187"/>
      <c r="K170" s="187"/>
      <c r="L170" s="187"/>
      <c r="M170" s="187"/>
      <c r="N170" s="187"/>
      <c r="O170" s="700"/>
      <c r="P170" s="187"/>
      <c r="Q170" s="187"/>
      <c r="R170" s="187"/>
      <c r="S170" s="187"/>
      <c r="T170" s="187"/>
      <c r="U170" s="187"/>
      <c r="V170" s="187"/>
      <c r="W170" s="187"/>
      <c r="X170" s="187"/>
      <c r="Y170" s="187"/>
      <c r="Z170" s="187"/>
      <c r="AA170" s="187"/>
      <c r="AB170" s="187"/>
      <c r="AC170" s="187"/>
      <c r="AD170" s="187"/>
      <c r="AE170" s="187"/>
      <c r="AF170" s="187"/>
      <c r="AG170" s="187"/>
      <c r="AH170" s="187"/>
      <c r="AI170" s="187"/>
      <c r="AJ170" s="187"/>
      <c r="AK170" s="187"/>
    </row>
    <row r="171" spans="1:37" s="585" customFormat="1" x14ac:dyDescent="0.25">
      <c r="A171" s="187"/>
      <c r="B171" s="187"/>
      <c r="C171" s="187"/>
      <c r="D171" s="187"/>
      <c r="E171" s="187"/>
      <c r="F171" s="187"/>
      <c r="G171" s="187"/>
      <c r="H171" s="187"/>
      <c r="I171" s="187"/>
      <c r="J171" s="187"/>
      <c r="K171" s="187"/>
      <c r="L171" s="187"/>
      <c r="M171" s="187"/>
      <c r="N171" s="187"/>
      <c r="O171" s="700"/>
      <c r="P171" s="187"/>
      <c r="Q171" s="187"/>
      <c r="R171" s="187"/>
      <c r="S171" s="187"/>
      <c r="T171" s="187"/>
      <c r="U171" s="187"/>
      <c r="V171" s="187"/>
      <c r="W171" s="187"/>
      <c r="X171" s="187"/>
      <c r="Y171" s="187"/>
      <c r="Z171" s="187"/>
      <c r="AA171" s="187"/>
      <c r="AB171" s="187"/>
      <c r="AC171" s="187"/>
      <c r="AD171" s="187"/>
      <c r="AE171" s="187"/>
      <c r="AF171" s="187"/>
      <c r="AG171" s="187"/>
      <c r="AH171" s="187"/>
      <c r="AI171" s="187"/>
      <c r="AJ171" s="187"/>
      <c r="AK171" s="187"/>
    </row>
    <row r="172" spans="1:37" s="585" customFormat="1" x14ac:dyDescent="0.25">
      <c r="A172" s="187"/>
      <c r="B172" s="187"/>
      <c r="C172" s="187"/>
      <c r="D172" s="187"/>
      <c r="E172" s="187"/>
      <c r="F172" s="187"/>
      <c r="G172" s="187"/>
      <c r="H172" s="187"/>
      <c r="I172" s="187"/>
      <c r="J172" s="187"/>
      <c r="K172" s="187"/>
      <c r="L172" s="187"/>
      <c r="M172" s="187"/>
      <c r="N172" s="187"/>
      <c r="O172" s="700"/>
      <c r="P172" s="187"/>
      <c r="Q172" s="187"/>
      <c r="R172" s="187"/>
      <c r="S172" s="187"/>
      <c r="T172" s="187"/>
      <c r="U172" s="187"/>
      <c r="V172" s="187"/>
      <c r="W172" s="187"/>
      <c r="X172" s="187"/>
      <c r="Y172" s="187"/>
      <c r="Z172" s="187"/>
      <c r="AA172" s="187"/>
      <c r="AB172" s="187"/>
      <c r="AC172" s="187"/>
      <c r="AD172" s="187"/>
      <c r="AE172" s="187"/>
      <c r="AF172" s="187"/>
      <c r="AG172" s="187"/>
      <c r="AH172" s="187"/>
      <c r="AI172" s="187"/>
      <c r="AJ172" s="187"/>
      <c r="AK172" s="187"/>
    </row>
    <row r="173" spans="1:37" s="585" customFormat="1" x14ac:dyDescent="0.25">
      <c r="A173" s="187"/>
      <c r="B173" s="187"/>
      <c r="C173" s="187"/>
      <c r="D173" s="187"/>
      <c r="E173" s="187"/>
      <c r="F173" s="187"/>
      <c r="G173" s="187"/>
      <c r="H173" s="187"/>
      <c r="I173" s="187"/>
      <c r="J173" s="187"/>
      <c r="K173" s="187"/>
      <c r="L173" s="187"/>
      <c r="M173" s="187"/>
      <c r="N173" s="187"/>
      <c r="O173" s="700"/>
      <c r="P173" s="187"/>
      <c r="Q173" s="187"/>
      <c r="R173" s="187"/>
      <c r="S173" s="187"/>
      <c r="T173" s="187"/>
      <c r="U173" s="187"/>
      <c r="V173" s="187"/>
      <c r="W173" s="187"/>
      <c r="X173" s="187"/>
      <c r="Y173" s="187"/>
      <c r="Z173" s="187"/>
      <c r="AA173" s="187"/>
      <c r="AB173" s="187"/>
      <c r="AC173" s="187"/>
      <c r="AD173" s="187"/>
      <c r="AE173" s="187"/>
      <c r="AF173" s="187"/>
      <c r="AG173" s="187"/>
      <c r="AH173" s="187"/>
      <c r="AI173" s="187"/>
      <c r="AJ173" s="187"/>
      <c r="AK173" s="187"/>
    </row>
    <row r="174" spans="1:37" s="585" customFormat="1" x14ac:dyDescent="0.25">
      <c r="A174" s="187"/>
      <c r="B174" s="187"/>
      <c r="C174" s="187"/>
      <c r="D174" s="187"/>
      <c r="E174" s="187"/>
      <c r="F174" s="187"/>
      <c r="G174" s="187"/>
      <c r="H174" s="187"/>
      <c r="I174" s="187"/>
      <c r="J174" s="187"/>
      <c r="K174" s="187"/>
      <c r="L174" s="187"/>
      <c r="M174" s="187"/>
      <c r="N174" s="187"/>
      <c r="O174" s="700"/>
      <c r="P174" s="187"/>
      <c r="Q174" s="187"/>
      <c r="R174" s="187"/>
      <c r="S174" s="187"/>
      <c r="T174" s="187"/>
      <c r="U174" s="187"/>
      <c r="V174" s="187"/>
      <c r="W174" s="187"/>
      <c r="X174" s="187"/>
      <c r="Y174" s="187"/>
      <c r="Z174" s="187"/>
      <c r="AA174" s="187"/>
      <c r="AB174" s="187"/>
      <c r="AC174" s="187"/>
      <c r="AD174" s="187"/>
      <c r="AE174" s="187"/>
      <c r="AF174" s="187"/>
      <c r="AG174" s="187"/>
      <c r="AH174" s="187"/>
      <c r="AI174" s="187"/>
      <c r="AJ174" s="187"/>
      <c r="AK174" s="187"/>
    </row>
    <row r="175" spans="1:37" s="585" customFormat="1" x14ac:dyDescent="0.25">
      <c r="A175" s="187"/>
      <c r="B175" s="187"/>
      <c r="C175" s="187"/>
      <c r="D175" s="187"/>
      <c r="E175" s="187"/>
      <c r="F175" s="187"/>
      <c r="G175" s="187"/>
      <c r="H175" s="187"/>
      <c r="I175" s="187"/>
      <c r="J175" s="187"/>
      <c r="K175" s="187"/>
      <c r="L175" s="187"/>
      <c r="M175" s="187"/>
      <c r="N175" s="187"/>
      <c r="O175" s="700"/>
      <c r="P175" s="187"/>
      <c r="Q175" s="187"/>
      <c r="R175" s="187"/>
      <c r="S175" s="187"/>
      <c r="T175" s="187"/>
      <c r="U175" s="187"/>
      <c r="V175" s="187"/>
      <c r="W175" s="187"/>
      <c r="X175" s="187"/>
      <c r="Y175" s="187"/>
      <c r="Z175" s="187"/>
      <c r="AA175" s="187"/>
      <c r="AB175" s="187"/>
      <c r="AC175" s="187"/>
      <c r="AD175" s="187"/>
      <c r="AE175" s="187"/>
      <c r="AF175" s="187"/>
      <c r="AG175" s="187"/>
      <c r="AH175" s="187"/>
      <c r="AI175" s="187"/>
      <c r="AJ175" s="187"/>
      <c r="AK175" s="187"/>
    </row>
    <row r="176" spans="1:37" s="585" customFormat="1" x14ac:dyDescent="0.25">
      <c r="A176" s="187"/>
      <c r="B176" s="187"/>
      <c r="C176" s="187"/>
      <c r="D176" s="187"/>
      <c r="E176" s="187"/>
      <c r="F176" s="187"/>
      <c r="G176" s="187"/>
      <c r="H176" s="187"/>
      <c r="I176" s="187"/>
      <c r="J176" s="187"/>
      <c r="K176" s="187"/>
      <c r="L176" s="187"/>
      <c r="M176" s="187"/>
      <c r="N176" s="187"/>
      <c r="O176" s="700"/>
      <c r="P176" s="187"/>
      <c r="Q176" s="187"/>
      <c r="R176" s="187"/>
      <c r="S176" s="187"/>
      <c r="T176" s="187"/>
      <c r="U176" s="187"/>
      <c r="V176" s="187"/>
      <c r="W176" s="187"/>
      <c r="X176" s="187"/>
      <c r="Y176" s="187"/>
      <c r="Z176" s="187"/>
      <c r="AA176" s="187"/>
      <c r="AB176" s="187"/>
      <c r="AC176" s="187"/>
      <c r="AD176" s="187"/>
      <c r="AE176" s="187"/>
      <c r="AF176" s="187"/>
      <c r="AG176" s="187"/>
      <c r="AH176" s="187"/>
      <c r="AI176" s="187"/>
      <c r="AJ176" s="187"/>
      <c r="AK176" s="187"/>
    </row>
    <row r="177" spans="1:37" s="585" customFormat="1" x14ac:dyDescent="0.25">
      <c r="A177" s="187"/>
      <c r="B177" s="187"/>
      <c r="C177" s="187"/>
      <c r="D177" s="187"/>
      <c r="E177" s="187"/>
      <c r="F177" s="187"/>
      <c r="G177" s="187"/>
      <c r="H177" s="187"/>
      <c r="I177" s="187"/>
      <c r="J177" s="187"/>
      <c r="K177" s="187"/>
      <c r="L177" s="187"/>
      <c r="M177" s="187"/>
      <c r="N177" s="187"/>
      <c r="O177" s="700"/>
      <c r="P177" s="187"/>
      <c r="Q177" s="187"/>
      <c r="R177" s="187"/>
      <c r="S177" s="187"/>
      <c r="T177" s="187"/>
      <c r="U177" s="187"/>
      <c r="V177" s="187"/>
      <c r="W177" s="187"/>
      <c r="X177" s="187"/>
      <c r="Y177" s="187"/>
      <c r="Z177" s="187"/>
      <c r="AA177" s="187"/>
      <c r="AB177" s="187"/>
      <c r="AC177" s="187"/>
      <c r="AD177" s="187"/>
      <c r="AE177" s="187"/>
      <c r="AF177" s="187"/>
      <c r="AG177" s="187"/>
      <c r="AH177" s="187"/>
      <c r="AI177" s="187"/>
      <c r="AJ177" s="187"/>
      <c r="AK177" s="187"/>
    </row>
    <row r="178" spans="1:37" s="585" customFormat="1" x14ac:dyDescent="0.25">
      <c r="A178" s="187"/>
      <c r="B178" s="187"/>
      <c r="C178" s="187"/>
      <c r="D178" s="187"/>
      <c r="E178" s="187"/>
      <c r="F178" s="187"/>
      <c r="G178" s="187"/>
      <c r="H178" s="187"/>
      <c r="I178" s="187"/>
      <c r="J178" s="187"/>
      <c r="K178" s="187"/>
      <c r="L178" s="187"/>
      <c r="M178" s="187"/>
      <c r="N178" s="187"/>
      <c r="O178" s="700"/>
      <c r="P178" s="187"/>
      <c r="Q178" s="187"/>
      <c r="R178" s="187"/>
      <c r="S178" s="187"/>
      <c r="T178" s="187"/>
      <c r="U178" s="187"/>
      <c r="V178" s="187"/>
      <c r="W178" s="187"/>
      <c r="X178" s="187"/>
      <c r="Y178" s="187"/>
      <c r="Z178" s="187"/>
      <c r="AA178" s="187"/>
      <c r="AB178" s="187"/>
      <c r="AC178" s="187"/>
      <c r="AD178" s="187"/>
      <c r="AE178" s="187"/>
      <c r="AF178" s="187"/>
      <c r="AG178" s="187"/>
      <c r="AH178" s="187"/>
      <c r="AI178" s="187"/>
      <c r="AJ178" s="187"/>
      <c r="AK178" s="187"/>
    </row>
    <row r="179" spans="1:37" s="585" customFormat="1" x14ac:dyDescent="0.25">
      <c r="A179" s="187"/>
      <c r="B179" s="187"/>
      <c r="C179" s="187"/>
      <c r="D179" s="187"/>
      <c r="E179" s="187"/>
      <c r="F179" s="187"/>
      <c r="G179" s="187"/>
      <c r="H179" s="187"/>
      <c r="I179" s="187"/>
      <c r="J179" s="187"/>
      <c r="K179" s="187"/>
      <c r="L179" s="187"/>
      <c r="M179" s="187"/>
      <c r="N179" s="187"/>
      <c r="O179" s="700"/>
      <c r="P179" s="187"/>
      <c r="Q179" s="187"/>
      <c r="R179" s="187"/>
      <c r="S179" s="187"/>
      <c r="T179" s="187"/>
      <c r="U179" s="187"/>
      <c r="V179" s="187"/>
      <c r="W179" s="187"/>
      <c r="X179" s="187"/>
      <c r="Y179" s="187"/>
      <c r="Z179" s="187"/>
      <c r="AA179" s="187"/>
      <c r="AB179" s="187"/>
      <c r="AC179" s="187"/>
      <c r="AD179" s="187"/>
      <c r="AE179" s="187"/>
      <c r="AF179" s="187"/>
      <c r="AG179" s="187"/>
      <c r="AH179" s="187"/>
      <c r="AI179" s="187"/>
      <c r="AJ179" s="187"/>
      <c r="AK179" s="187"/>
    </row>
    <row r="180" spans="1:37" s="585" customFormat="1" x14ac:dyDescent="0.25">
      <c r="A180" s="187"/>
      <c r="B180" s="187"/>
      <c r="C180" s="187"/>
      <c r="D180" s="187"/>
      <c r="E180" s="187"/>
      <c r="F180" s="187"/>
      <c r="G180" s="187"/>
      <c r="H180" s="187"/>
      <c r="I180" s="187"/>
      <c r="J180" s="187"/>
      <c r="K180" s="187"/>
      <c r="L180" s="187"/>
      <c r="M180" s="187"/>
      <c r="N180" s="187"/>
      <c r="O180" s="700"/>
      <c r="P180" s="187"/>
      <c r="Q180" s="187"/>
      <c r="R180" s="187"/>
      <c r="S180" s="187"/>
      <c r="T180" s="187"/>
      <c r="U180" s="187"/>
      <c r="V180" s="187"/>
      <c r="W180" s="187"/>
      <c r="X180" s="187"/>
      <c r="Y180" s="187"/>
      <c r="Z180" s="187"/>
      <c r="AA180" s="187"/>
      <c r="AB180" s="187"/>
      <c r="AC180" s="187"/>
      <c r="AD180" s="187"/>
      <c r="AE180" s="187"/>
      <c r="AF180" s="187"/>
      <c r="AG180" s="187"/>
      <c r="AH180" s="187"/>
      <c r="AI180" s="187"/>
      <c r="AJ180" s="187"/>
      <c r="AK180" s="187"/>
    </row>
    <row r="181" spans="1:37" s="585" customFormat="1" x14ac:dyDescent="0.25">
      <c r="A181" s="187"/>
      <c r="B181" s="187"/>
      <c r="C181" s="187"/>
      <c r="D181" s="187"/>
      <c r="E181" s="187"/>
      <c r="F181" s="187"/>
      <c r="G181" s="187"/>
      <c r="H181" s="187"/>
      <c r="I181" s="187"/>
      <c r="J181" s="187"/>
      <c r="K181" s="187"/>
      <c r="L181" s="187"/>
      <c r="M181" s="187"/>
      <c r="N181" s="187"/>
      <c r="O181" s="700"/>
      <c r="P181" s="187"/>
      <c r="Q181" s="187"/>
      <c r="R181" s="187"/>
      <c r="S181" s="187"/>
      <c r="T181" s="187"/>
      <c r="U181" s="187"/>
      <c r="V181" s="187"/>
      <c r="W181" s="187"/>
      <c r="X181" s="187"/>
      <c r="Y181" s="187"/>
      <c r="Z181" s="187"/>
      <c r="AA181" s="187"/>
      <c r="AB181" s="187"/>
      <c r="AC181" s="187"/>
      <c r="AD181" s="187"/>
      <c r="AE181" s="187"/>
      <c r="AF181" s="187"/>
      <c r="AG181" s="187"/>
      <c r="AH181" s="187"/>
      <c r="AI181" s="187"/>
      <c r="AJ181" s="187"/>
      <c r="AK181" s="187"/>
    </row>
    <row r="182" spans="1:37" s="585" customFormat="1" x14ac:dyDescent="0.25">
      <c r="A182" s="187"/>
      <c r="B182" s="187"/>
      <c r="C182" s="187"/>
      <c r="D182" s="187"/>
      <c r="E182" s="187"/>
      <c r="F182" s="187"/>
      <c r="G182" s="187"/>
      <c r="H182" s="187"/>
      <c r="I182" s="187"/>
      <c r="J182" s="187"/>
      <c r="K182" s="187"/>
      <c r="L182" s="187"/>
      <c r="M182" s="187"/>
      <c r="N182" s="187"/>
      <c r="O182" s="700"/>
      <c r="P182" s="187"/>
      <c r="Q182" s="187"/>
      <c r="R182" s="187"/>
      <c r="S182" s="187"/>
      <c r="T182" s="187"/>
      <c r="U182" s="187"/>
      <c r="V182" s="187"/>
      <c r="W182" s="187"/>
      <c r="X182" s="187"/>
      <c r="Y182" s="187"/>
      <c r="Z182" s="187"/>
      <c r="AA182" s="187"/>
      <c r="AB182" s="187"/>
      <c r="AC182" s="187"/>
      <c r="AD182" s="187"/>
      <c r="AE182" s="187"/>
      <c r="AF182" s="187"/>
      <c r="AG182" s="187"/>
      <c r="AH182" s="187"/>
      <c r="AI182" s="187"/>
      <c r="AJ182" s="187"/>
      <c r="AK182" s="187"/>
    </row>
    <row r="183" spans="1:37" s="585" customFormat="1" x14ac:dyDescent="0.25">
      <c r="A183" s="187"/>
      <c r="B183" s="187"/>
      <c r="C183" s="187"/>
      <c r="D183" s="187"/>
      <c r="E183" s="187"/>
      <c r="F183" s="187"/>
      <c r="G183" s="187"/>
      <c r="H183" s="187"/>
      <c r="I183" s="187"/>
      <c r="J183" s="187"/>
      <c r="K183" s="187"/>
      <c r="L183" s="187"/>
      <c r="M183" s="187"/>
      <c r="N183" s="187"/>
      <c r="O183" s="700"/>
      <c r="P183" s="187"/>
      <c r="Q183" s="187"/>
      <c r="R183" s="187"/>
      <c r="S183" s="187"/>
      <c r="T183" s="187"/>
      <c r="U183" s="187"/>
      <c r="V183" s="187"/>
      <c r="W183" s="187"/>
      <c r="X183" s="187"/>
      <c r="Y183" s="187"/>
      <c r="Z183" s="187"/>
      <c r="AA183" s="187"/>
      <c r="AB183" s="187"/>
      <c r="AC183" s="187"/>
      <c r="AD183" s="187"/>
      <c r="AE183" s="187"/>
      <c r="AF183" s="187"/>
      <c r="AG183" s="187"/>
      <c r="AH183" s="187"/>
      <c r="AI183" s="187"/>
      <c r="AJ183" s="187"/>
      <c r="AK183" s="187"/>
    </row>
    <row r="184" spans="1:37" s="585" customFormat="1" x14ac:dyDescent="0.25">
      <c r="A184" s="187"/>
      <c r="B184" s="187"/>
      <c r="C184" s="187"/>
      <c r="D184" s="187"/>
      <c r="E184" s="187"/>
      <c r="F184" s="187"/>
      <c r="G184" s="187"/>
      <c r="H184" s="187"/>
      <c r="I184" s="187"/>
      <c r="J184" s="187"/>
      <c r="K184" s="187"/>
      <c r="L184" s="187"/>
      <c r="M184" s="187"/>
      <c r="N184" s="187"/>
      <c r="O184" s="700"/>
      <c r="P184" s="187"/>
      <c r="Q184" s="187"/>
      <c r="R184" s="187"/>
      <c r="S184" s="187"/>
      <c r="T184" s="187"/>
      <c r="U184" s="187"/>
      <c r="V184" s="187"/>
      <c r="W184" s="187"/>
      <c r="X184" s="187"/>
      <c r="Y184" s="187"/>
      <c r="Z184" s="187"/>
      <c r="AA184" s="187"/>
      <c r="AB184" s="187"/>
      <c r="AC184" s="187"/>
      <c r="AD184" s="187"/>
      <c r="AE184" s="187"/>
      <c r="AF184" s="187"/>
      <c r="AG184" s="187"/>
      <c r="AH184" s="187"/>
      <c r="AI184" s="187"/>
      <c r="AJ184" s="187"/>
      <c r="AK184" s="187"/>
    </row>
    <row r="185" spans="1:37" s="585" customFormat="1" x14ac:dyDescent="0.25">
      <c r="A185" s="187"/>
      <c r="B185" s="187"/>
      <c r="C185" s="187"/>
      <c r="D185" s="187"/>
      <c r="E185" s="187"/>
      <c r="F185" s="187"/>
      <c r="G185" s="187"/>
      <c r="H185" s="187"/>
      <c r="I185" s="187"/>
      <c r="J185" s="187"/>
      <c r="K185" s="187"/>
      <c r="L185" s="187"/>
      <c r="M185" s="187"/>
      <c r="N185" s="187"/>
      <c r="O185" s="700"/>
      <c r="P185" s="187"/>
      <c r="Q185" s="187"/>
      <c r="R185" s="187"/>
      <c r="S185" s="187"/>
      <c r="T185" s="187"/>
      <c r="U185" s="187"/>
      <c r="V185" s="187"/>
      <c r="W185" s="187"/>
      <c r="X185" s="187"/>
      <c r="Y185" s="187"/>
      <c r="Z185" s="187"/>
      <c r="AA185" s="187"/>
      <c r="AB185" s="187"/>
      <c r="AC185" s="187"/>
      <c r="AD185" s="187"/>
      <c r="AE185" s="187"/>
      <c r="AF185" s="187"/>
      <c r="AG185" s="187"/>
      <c r="AH185" s="187"/>
      <c r="AI185" s="187"/>
      <c r="AJ185" s="187"/>
      <c r="AK185" s="187"/>
    </row>
    <row r="186" spans="1:37" s="585" customFormat="1" x14ac:dyDescent="0.25">
      <c r="A186" s="187"/>
      <c r="B186" s="187"/>
      <c r="C186" s="187"/>
      <c r="D186" s="187"/>
      <c r="E186" s="187"/>
      <c r="F186" s="187"/>
      <c r="G186" s="187"/>
      <c r="H186" s="187"/>
      <c r="I186" s="187"/>
      <c r="J186" s="187"/>
      <c r="K186" s="187"/>
      <c r="L186" s="187"/>
      <c r="M186" s="187"/>
      <c r="N186" s="187"/>
      <c r="O186" s="700"/>
      <c r="P186" s="187"/>
      <c r="Q186" s="187"/>
      <c r="R186" s="187"/>
      <c r="S186" s="187"/>
      <c r="T186" s="187"/>
      <c r="U186" s="187"/>
      <c r="V186" s="187"/>
      <c r="W186" s="187"/>
      <c r="X186" s="187"/>
      <c r="Y186" s="187"/>
      <c r="Z186" s="187"/>
      <c r="AA186" s="187"/>
      <c r="AB186" s="187"/>
      <c r="AC186" s="187"/>
      <c r="AD186" s="187"/>
      <c r="AE186" s="187"/>
      <c r="AF186" s="187"/>
      <c r="AG186" s="187"/>
      <c r="AH186" s="187"/>
      <c r="AI186" s="187"/>
      <c r="AJ186" s="187"/>
      <c r="AK186" s="187"/>
    </row>
    <row r="187" spans="1:37" s="585" customFormat="1" x14ac:dyDescent="0.25">
      <c r="A187" s="187"/>
      <c r="B187" s="187"/>
      <c r="C187" s="187"/>
      <c r="D187" s="187"/>
      <c r="E187" s="187"/>
      <c r="F187" s="187"/>
      <c r="G187" s="187"/>
      <c r="H187" s="187"/>
      <c r="I187" s="187"/>
      <c r="J187" s="187"/>
      <c r="K187" s="187"/>
      <c r="L187" s="187"/>
      <c r="M187" s="187"/>
      <c r="N187" s="187"/>
      <c r="O187" s="700"/>
      <c r="P187" s="187"/>
      <c r="Q187" s="187"/>
      <c r="R187" s="187"/>
      <c r="S187" s="187"/>
      <c r="T187" s="187"/>
      <c r="U187" s="187"/>
      <c r="V187" s="187"/>
      <c r="W187" s="187"/>
      <c r="X187" s="187"/>
      <c r="Y187" s="187"/>
      <c r="Z187" s="187"/>
      <c r="AA187" s="187"/>
      <c r="AB187" s="187"/>
      <c r="AC187" s="187"/>
      <c r="AD187" s="187"/>
      <c r="AE187" s="187"/>
      <c r="AF187" s="187"/>
      <c r="AG187" s="187"/>
      <c r="AH187" s="187"/>
      <c r="AI187" s="187"/>
      <c r="AJ187" s="187"/>
      <c r="AK187" s="187"/>
    </row>
    <row r="188" spans="1:37" s="585" customFormat="1" x14ac:dyDescent="0.25">
      <c r="A188" s="187"/>
      <c r="B188" s="187"/>
      <c r="C188" s="187"/>
      <c r="D188" s="187"/>
      <c r="E188" s="187"/>
      <c r="F188" s="187"/>
      <c r="G188" s="187"/>
      <c r="H188" s="187"/>
      <c r="I188" s="187"/>
      <c r="J188" s="187"/>
      <c r="K188" s="187"/>
      <c r="L188" s="187"/>
      <c r="M188" s="187"/>
      <c r="N188" s="187"/>
      <c r="O188" s="700"/>
      <c r="P188" s="187"/>
      <c r="Q188" s="187"/>
      <c r="R188" s="187"/>
      <c r="S188" s="187"/>
      <c r="T188" s="187"/>
      <c r="U188" s="187"/>
      <c r="V188" s="187"/>
      <c r="W188" s="187"/>
      <c r="X188" s="187"/>
      <c r="Y188" s="187"/>
      <c r="Z188" s="187"/>
      <c r="AA188" s="187"/>
      <c r="AB188" s="187"/>
      <c r="AC188" s="187"/>
      <c r="AD188" s="187"/>
      <c r="AE188" s="187"/>
      <c r="AF188" s="187"/>
      <c r="AG188" s="187"/>
      <c r="AH188" s="187"/>
      <c r="AI188" s="187"/>
      <c r="AJ188" s="187"/>
      <c r="AK188" s="187"/>
    </row>
    <row r="189" spans="1:37" s="585" customFormat="1" x14ac:dyDescent="0.25">
      <c r="A189" s="187"/>
      <c r="B189" s="187"/>
      <c r="C189" s="187"/>
      <c r="D189" s="187"/>
      <c r="E189" s="187"/>
      <c r="F189" s="187"/>
      <c r="G189" s="187"/>
      <c r="H189" s="187"/>
      <c r="I189" s="187"/>
      <c r="J189" s="187"/>
      <c r="K189" s="187"/>
      <c r="L189" s="187"/>
      <c r="M189" s="187"/>
      <c r="N189" s="187"/>
      <c r="O189" s="700"/>
      <c r="P189" s="187"/>
      <c r="Q189" s="187"/>
      <c r="R189" s="187"/>
      <c r="S189" s="187"/>
      <c r="T189" s="187"/>
      <c r="U189" s="187"/>
      <c r="V189" s="187"/>
      <c r="W189" s="187"/>
      <c r="X189" s="187"/>
      <c r="Y189" s="187"/>
      <c r="Z189" s="187"/>
      <c r="AA189" s="187"/>
      <c r="AB189" s="187"/>
      <c r="AC189" s="187"/>
      <c r="AD189" s="187"/>
      <c r="AE189" s="187"/>
      <c r="AF189" s="187"/>
      <c r="AG189" s="187"/>
      <c r="AH189" s="187"/>
      <c r="AI189" s="187"/>
      <c r="AJ189" s="187"/>
      <c r="AK189" s="187"/>
    </row>
    <row r="190" spans="1:37" s="585" customFormat="1" x14ac:dyDescent="0.25">
      <c r="A190" s="187"/>
      <c r="B190" s="187"/>
      <c r="C190" s="187"/>
      <c r="D190" s="187"/>
      <c r="E190" s="187"/>
      <c r="F190" s="187"/>
      <c r="G190" s="187"/>
      <c r="H190" s="187"/>
      <c r="I190" s="187"/>
      <c r="J190" s="187"/>
      <c r="K190" s="187"/>
      <c r="L190" s="187"/>
      <c r="M190" s="187"/>
      <c r="N190" s="187"/>
      <c r="O190" s="700"/>
      <c r="P190" s="187"/>
      <c r="Q190" s="187"/>
      <c r="R190" s="187"/>
      <c r="S190" s="187"/>
      <c r="T190" s="187"/>
      <c r="U190" s="187"/>
      <c r="V190" s="187"/>
      <c r="W190" s="187"/>
      <c r="X190" s="187"/>
      <c r="Y190" s="187"/>
      <c r="Z190" s="187"/>
      <c r="AA190" s="187"/>
      <c r="AB190" s="187"/>
      <c r="AC190" s="187"/>
      <c r="AD190" s="187"/>
      <c r="AE190" s="187"/>
      <c r="AF190" s="187"/>
      <c r="AG190" s="187"/>
      <c r="AH190" s="187"/>
      <c r="AI190" s="187"/>
      <c r="AJ190" s="187"/>
      <c r="AK190" s="187"/>
    </row>
    <row r="191" spans="1:37" s="585" customFormat="1" x14ac:dyDescent="0.25">
      <c r="A191" s="187"/>
      <c r="B191" s="187"/>
      <c r="C191" s="187"/>
      <c r="D191" s="187"/>
      <c r="E191" s="187"/>
      <c r="F191" s="187"/>
      <c r="G191" s="187"/>
      <c r="H191" s="187"/>
      <c r="I191" s="187"/>
      <c r="J191" s="187"/>
      <c r="K191" s="187"/>
      <c r="L191" s="187"/>
      <c r="M191" s="187"/>
      <c r="N191" s="187"/>
      <c r="O191" s="700"/>
      <c r="P191" s="187"/>
      <c r="Q191" s="187"/>
      <c r="R191" s="187"/>
      <c r="S191" s="187"/>
      <c r="T191" s="187"/>
      <c r="U191" s="187"/>
      <c r="V191" s="187"/>
      <c r="W191" s="187"/>
      <c r="X191" s="187"/>
      <c r="Y191" s="187"/>
      <c r="Z191" s="187"/>
      <c r="AA191" s="187"/>
      <c r="AB191" s="187"/>
      <c r="AC191" s="187"/>
      <c r="AD191" s="187"/>
      <c r="AE191" s="187"/>
      <c r="AF191" s="187"/>
      <c r="AG191" s="187"/>
      <c r="AH191" s="187"/>
      <c r="AI191" s="187"/>
      <c r="AJ191" s="187"/>
      <c r="AK191" s="187"/>
    </row>
    <row r="192" spans="1:37" s="585" customFormat="1" x14ac:dyDescent="0.25">
      <c r="A192" s="187"/>
      <c r="B192" s="187"/>
      <c r="C192" s="187"/>
      <c r="D192" s="187"/>
      <c r="E192" s="187"/>
      <c r="F192" s="187"/>
      <c r="G192" s="187"/>
      <c r="H192" s="187"/>
      <c r="I192" s="187"/>
      <c r="J192" s="187"/>
      <c r="K192" s="187"/>
      <c r="L192" s="187"/>
      <c r="M192" s="187"/>
      <c r="N192" s="187"/>
      <c r="O192" s="700"/>
      <c r="P192" s="187"/>
      <c r="Q192" s="187"/>
      <c r="R192" s="187"/>
      <c r="S192" s="187"/>
      <c r="T192" s="187"/>
      <c r="U192" s="187"/>
      <c r="V192" s="187"/>
      <c r="W192" s="187"/>
      <c r="X192" s="187"/>
      <c r="Y192" s="187"/>
      <c r="Z192" s="187"/>
      <c r="AA192" s="187"/>
      <c r="AB192" s="187"/>
      <c r="AC192" s="187"/>
      <c r="AD192" s="187"/>
      <c r="AE192" s="187"/>
      <c r="AF192" s="187"/>
      <c r="AG192" s="187"/>
      <c r="AH192" s="187"/>
      <c r="AI192" s="187"/>
      <c r="AJ192" s="187"/>
      <c r="AK192" s="187"/>
    </row>
    <row r="193" spans="1:37" s="585" customFormat="1" x14ac:dyDescent="0.25">
      <c r="A193" s="187"/>
      <c r="B193" s="187"/>
      <c r="C193" s="187"/>
      <c r="D193" s="187"/>
      <c r="E193" s="187"/>
      <c r="F193" s="187"/>
      <c r="G193" s="187"/>
      <c r="H193" s="187"/>
      <c r="I193" s="187"/>
      <c r="J193" s="187"/>
      <c r="K193" s="187"/>
      <c r="L193" s="187"/>
      <c r="M193" s="187"/>
      <c r="N193" s="187"/>
      <c r="O193" s="700"/>
      <c r="P193" s="187"/>
      <c r="Q193" s="187"/>
      <c r="R193" s="187"/>
      <c r="S193" s="187"/>
      <c r="T193" s="187"/>
      <c r="U193" s="187"/>
      <c r="V193" s="187"/>
      <c r="W193" s="187"/>
      <c r="X193" s="187"/>
      <c r="Y193" s="187"/>
      <c r="Z193" s="187"/>
      <c r="AA193" s="187"/>
      <c r="AB193" s="187"/>
      <c r="AC193" s="187"/>
      <c r="AD193" s="187"/>
      <c r="AE193" s="187"/>
      <c r="AF193" s="187"/>
      <c r="AG193" s="187"/>
      <c r="AH193" s="187"/>
      <c r="AI193" s="187"/>
      <c r="AJ193" s="187"/>
      <c r="AK193" s="187"/>
    </row>
    <row r="194" spans="1:37" s="585" customFormat="1" x14ac:dyDescent="0.25">
      <c r="A194" s="187"/>
      <c r="B194" s="187"/>
      <c r="C194" s="187"/>
      <c r="D194" s="187"/>
      <c r="E194" s="187"/>
      <c r="F194" s="187"/>
      <c r="G194" s="187"/>
      <c r="H194" s="187"/>
      <c r="I194" s="187"/>
      <c r="J194" s="187"/>
      <c r="K194" s="187"/>
      <c r="L194" s="187"/>
      <c r="M194" s="187"/>
      <c r="N194" s="187"/>
      <c r="O194" s="700"/>
      <c r="P194" s="187"/>
      <c r="Q194" s="187"/>
      <c r="R194" s="187"/>
      <c r="S194" s="187"/>
      <c r="T194" s="187"/>
      <c r="U194" s="187"/>
      <c r="V194" s="187"/>
      <c r="W194" s="187"/>
      <c r="X194" s="187"/>
      <c r="Y194" s="187"/>
      <c r="Z194" s="187"/>
      <c r="AA194" s="187"/>
      <c r="AB194" s="187"/>
      <c r="AC194" s="187"/>
      <c r="AD194" s="187"/>
      <c r="AE194" s="187"/>
      <c r="AF194" s="187"/>
      <c r="AG194" s="187"/>
      <c r="AH194" s="187"/>
      <c r="AI194" s="187"/>
      <c r="AJ194" s="187"/>
      <c r="AK194" s="187"/>
    </row>
    <row r="195" spans="1:37" s="585" customFormat="1" x14ac:dyDescent="0.25">
      <c r="A195" s="187"/>
      <c r="B195" s="187"/>
      <c r="C195" s="187"/>
      <c r="D195" s="187"/>
      <c r="E195" s="187"/>
      <c r="F195" s="187"/>
      <c r="G195" s="187"/>
      <c r="H195" s="187"/>
      <c r="I195" s="187"/>
      <c r="J195" s="187"/>
      <c r="K195" s="187"/>
      <c r="L195" s="187"/>
      <c r="M195" s="187"/>
      <c r="N195" s="187"/>
      <c r="O195" s="700"/>
      <c r="P195" s="187"/>
      <c r="Q195" s="187"/>
      <c r="R195" s="187"/>
      <c r="S195" s="187"/>
      <c r="T195" s="187"/>
      <c r="U195" s="187"/>
      <c r="V195" s="187"/>
      <c r="W195" s="187"/>
      <c r="X195" s="187"/>
      <c r="Y195" s="187"/>
      <c r="Z195" s="187"/>
      <c r="AA195" s="187"/>
      <c r="AB195" s="187"/>
      <c r="AC195" s="187"/>
      <c r="AD195" s="187"/>
      <c r="AE195" s="187"/>
      <c r="AF195" s="187"/>
      <c r="AG195" s="187"/>
      <c r="AH195" s="187"/>
      <c r="AI195" s="187"/>
      <c r="AJ195" s="187"/>
      <c r="AK195" s="187"/>
    </row>
    <row r="196" spans="1:37" s="585" customFormat="1" x14ac:dyDescent="0.25">
      <c r="A196" s="187"/>
      <c r="B196" s="187"/>
      <c r="C196" s="187"/>
      <c r="D196" s="187"/>
      <c r="E196" s="187"/>
      <c r="F196" s="187"/>
      <c r="G196" s="187"/>
      <c r="H196" s="187"/>
      <c r="I196" s="187"/>
      <c r="J196" s="187"/>
      <c r="K196" s="187"/>
      <c r="L196" s="187"/>
      <c r="M196" s="187"/>
      <c r="N196" s="187"/>
      <c r="O196" s="700"/>
      <c r="P196" s="187"/>
      <c r="Q196" s="187"/>
      <c r="R196" s="187"/>
      <c r="S196" s="187"/>
      <c r="T196" s="187"/>
      <c r="U196" s="187"/>
      <c r="V196" s="187"/>
      <c r="W196" s="187"/>
      <c r="X196" s="187"/>
      <c r="Y196" s="187"/>
      <c r="Z196" s="187"/>
      <c r="AA196" s="187"/>
      <c r="AB196" s="187"/>
      <c r="AC196" s="187"/>
      <c r="AD196" s="187"/>
      <c r="AE196" s="187"/>
      <c r="AF196" s="187"/>
      <c r="AG196" s="187"/>
      <c r="AH196" s="187"/>
      <c r="AI196" s="187"/>
      <c r="AJ196" s="187"/>
      <c r="AK196" s="187"/>
    </row>
    <row r="197" spans="1:37" s="585" customFormat="1" x14ac:dyDescent="0.25">
      <c r="A197" s="187"/>
      <c r="B197" s="187"/>
      <c r="C197" s="187"/>
      <c r="D197" s="187"/>
      <c r="E197" s="187"/>
      <c r="F197" s="187"/>
      <c r="G197" s="187"/>
      <c r="H197" s="187"/>
      <c r="I197" s="187"/>
      <c r="J197" s="187"/>
      <c r="K197" s="187"/>
      <c r="L197" s="187"/>
      <c r="M197" s="187"/>
      <c r="N197" s="187"/>
      <c r="O197" s="700"/>
      <c r="P197" s="187"/>
      <c r="Q197" s="187"/>
      <c r="R197" s="187"/>
      <c r="S197" s="187"/>
      <c r="T197" s="187"/>
      <c r="U197" s="187"/>
      <c r="V197" s="187"/>
      <c r="W197" s="187"/>
      <c r="X197" s="187"/>
      <c r="Y197" s="187"/>
      <c r="Z197" s="187"/>
      <c r="AA197" s="187"/>
      <c r="AB197" s="187"/>
      <c r="AC197" s="187"/>
      <c r="AD197" s="187"/>
      <c r="AE197" s="187"/>
      <c r="AF197" s="187"/>
      <c r="AG197" s="187"/>
      <c r="AH197" s="187"/>
      <c r="AI197" s="187"/>
      <c r="AJ197" s="187"/>
      <c r="AK197" s="187"/>
    </row>
    <row r="198" spans="1:37" s="585" customFormat="1" x14ac:dyDescent="0.25">
      <c r="A198" s="187"/>
      <c r="B198" s="187"/>
      <c r="C198" s="187"/>
      <c r="D198" s="187"/>
      <c r="E198" s="187"/>
      <c r="F198" s="187"/>
      <c r="G198" s="187"/>
      <c r="H198" s="187"/>
      <c r="I198" s="187"/>
      <c r="J198" s="187"/>
      <c r="K198" s="187"/>
      <c r="L198" s="187"/>
      <c r="M198" s="187"/>
      <c r="N198" s="187"/>
      <c r="O198" s="700"/>
      <c r="P198" s="187"/>
      <c r="Q198" s="187"/>
      <c r="R198" s="187"/>
      <c r="S198" s="187"/>
      <c r="T198" s="187"/>
      <c r="U198" s="187"/>
      <c r="V198" s="187"/>
      <c r="W198" s="187"/>
      <c r="X198" s="187"/>
      <c r="Y198" s="187"/>
      <c r="Z198" s="187"/>
      <c r="AA198" s="187"/>
      <c r="AB198" s="187"/>
      <c r="AC198" s="187"/>
      <c r="AD198" s="187"/>
      <c r="AE198" s="187"/>
      <c r="AF198" s="187"/>
      <c r="AG198" s="187"/>
      <c r="AH198" s="187"/>
      <c r="AI198" s="187"/>
      <c r="AJ198" s="187"/>
      <c r="AK198" s="187"/>
    </row>
    <row r="199" spans="1:37" s="585" customFormat="1" x14ac:dyDescent="0.25">
      <c r="A199" s="187"/>
      <c r="B199" s="187"/>
      <c r="C199" s="187"/>
      <c r="D199" s="187"/>
      <c r="E199" s="187"/>
      <c r="F199" s="187"/>
      <c r="G199" s="187"/>
      <c r="H199" s="187"/>
      <c r="I199" s="187"/>
      <c r="J199" s="187"/>
      <c r="K199" s="187"/>
      <c r="L199" s="187"/>
      <c r="M199" s="187"/>
      <c r="N199" s="187"/>
      <c r="O199" s="700"/>
      <c r="P199" s="187"/>
      <c r="Q199" s="187"/>
      <c r="R199" s="187"/>
      <c r="S199" s="187"/>
      <c r="T199" s="187"/>
      <c r="U199" s="187"/>
      <c r="V199" s="187"/>
      <c r="W199" s="187"/>
      <c r="X199" s="187"/>
      <c r="Y199" s="187"/>
      <c r="Z199" s="187"/>
      <c r="AA199" s="187"/>
      <c r="AB199" s="187"/>
      <c r="AC199" s="187"/>
      <c r="AD199" s="187"/>
      <c r="AE199" s="187"/>
      <c r="AF199" s="187"/>
      <c r="AG199" s="187"/>
      <c r="AH199" s="187"/>
      <c r="AI199" s="187"/>
      <c r="AJ199" s="187"/>
      <c r="AK199" s="187"/>
    </row>
    <row r="200" spans="1:37" s="585" customFormat="1" x14ac:dyDescent="0.25">
      <c r="A200" s="187"/>
      <c r="B200" s="187"/>
      <c r="C200" s="187"/>
      <c r="D200" s="187"/>
      <c r="E200" s="187"/>
      <c r="F200" s="187"/>
      <c r="G200" s="187"/>
      <c r="H200" s="187"/>
      <c r="I200" s="187"/>
      <c r="J200" s="187"/>
      <c r="K200" s="187"/>
      <c r="L200" s="187"/>
      <c r="M200" s="187"/>
      <c r="N200" s="187"/>
      <c r="O200" s="700"/>
      <c r="P200" s="187"/>
      <c r="Q200" s="187"/>
      <c r="R200" s="187"/>
      <c r="S200" s="187"/>
      <c r="T200" s="187"/>
      <c r="U200" s="187"/>
      <c r="V200" s="187"/>
      <c r="W200" s="187"/>
      <c r="X200" s="187"/>
      <c r="Y200" s="187"/>
      <c r="Z200" s="187"/>
      <c r="AA200" s="187"/>
      <c r="AB200" s="187"/>
      <c r="AC200" s="187"/>
      <c r="AD200" s="187"/>
      <c r="AE200" s="187"/>
      <c r="AF200" s="187"/>
      <c r="AG200" s="187"/>
      <c r="AH200" s="187"/>
      <c r="AI200" s="187"/>
      <c r="AJ200" s="187"/>
      <c r="AK200" s="187"/>
    </row>
    <row r="201" spans="1:37" s="585" customFormat="1" x14ac:dyDescent="0.25">
      <c r="A201" s="187"/>
      <c r="B201" s="187"/>
      <c r="C201" s="187"/>
      <c r="D201" s="187"/>
      <c r="E201" s="187"/>
      <c r="F201" s="187"/>
      <c r="G201" s="187"/>
      <c r="H201" s="187"/>
      <c r="I201" s="187"/>
      <c r="J201" s="187"/>
      <c r="K201" s="187"/>
      <c r="L201" s="187"/>
      <c r="M201" s="187"/>
      <c r="N201" s="187"/>
      <c r="O201" s="700"/>
      <c r="P201" s="187"/>
      <c r="Q201" s="187"/>
      <c r="R201" s="187"/>
      <c r="S201" s="187"/>
      <c r="T201" s="187"/>
      <c r="U201" s="187"/>
      <c r="V201" s="187"/>
      <c r="W201" s="187"/>
      <c r="X201" s="187"/>
      <c r="Y201" s="187"/>
      <c r="Z201" s="187"/>
      <c r="AA201" s="187"/>
      <c r="AB201" s="187"/>
      <c r="AC201" s="187"/>
      <c r="AD201" s="187"/>
      <c r="AE201" s="187"/>
      <c r="AF201" s="187"/>
      <c r="AG201" s="187"/>
      <c r="AH201" s="187"/>
      <c r="AI201" s="187"/>
      <c r="AJ201" s="187"/>
      <c r="AK201" s="187"/>
    </row>
    <row r="202" spans="1:37" s="585" customFormat="1" x14ac:dyDescent="0.25">
      <c r="A202" s="187"/>
      <c r="B202" s="187"/>
      <c r="C202" s="187"/>
      <c r="D202" s="187"/>
      <c r="E202" s="187"/>
      <c r="F202" s="187"/>
      <c r="G202" s="187"/>
      <c r="H202" s="187"/>
      <c r="I202" s="187"/>
      <c r="J202" s="187"/>
      <c r="K202" s="187"/>
      <c r="L202" s="187"/>
      <c r="M202" s="187"/>
      <c r="N202" s="187"/>
      <c r="O202" s="700"/>
      <c r="P202" s="187"/>
      <c r="Q202" s="187"/>
      <c r="R202" s="187"/>
      <c r="S202" s="187"/>
      <c r="T202" s="187"/>
      <c r="U202" s="187"/>
      <c r="V202" s="187"/>
      <c r="W202" s="187"/>
      <c r="X202" s="187"/>
      <c r="Y202" s="187"/>
      <c r="Z202" s="187"/>
      <c r="AA202" s="187"/>
      <c r="AB202" s="187"/>
      <c r="AC202" s="187"/>
      <c r="AD202" s="187"/>
      <c r="AE202" s="187"/>
      <c r="AF202" s="187"/>
      <c r="AG202" s="187"/>
      <c r="AH202" s="187"/>
      <c r="AI202" s="187"/>
      <c r="AJ202" s="187"/>
      <c r="AK202" s="187"/>
    </row>
    <row r="203" spans="1:37" s="585" customFormat="1" x14ac:dyDescent="0.25">
      <c r="A203" s="187"/>
      <c r="B203" s="187"/>
      <c r="C203" s="187"/>
      <c r="D203" s="187"/>
      <c r="E203" s="187"/>
      <c r="F203" s="187"/>
      <c r="G203" s="187"/>
      <c r="H203" s="187"/>
      <c r="I203" s="187"/>
      <c r="J203" s="187"/>
      <c r="K203" s="187"/>
      <c r="L203" s="187"/>
      <c r="M203" s="187"/>
      <c r="N203" s="187"/>
      <c r="O203" s="700"/>
      <c r="P203" s="187"/>
      <c r="Q203" s="187"/>
      <c r="R203" s="187"/>
      <c r="S203" s="187"/>
      <c r="T203" s="187"/>
      <c r="U203" s="187"/>
      <c r="V203" s="187"/>
      <c r="W203" s="187"/>
      <c r="X203" s="187"/>
      <c r="Y203" s="187"/>
      <c r="Z203" s="187"/>
      <c r="AA203" s="187"/>
      <c r="AB203" s="187"/>
      <c r="AC203" s="187"/>
      <c r="AD203" s="187"/>
      <c r="AE203" s="187"/>
      <c r="AF203" s="187"/>
      <c r="AG203" s="187"/>
      <c r="AH203" s="187"/>
      <c r="AI203" s="187"/>
      <c r="AJ203" s="187"/>
      <c r="AK203" s="187"/>
    </row>
    <row r="204" spans="1:37" s="585" customFormat="1" x14ac:dyDescent="0.25">
      <c r="A204" s="187"/>
      <c r="B204" s="187"/>
      <c r="C204" s="187"/>
      <c r="D204" s="187"/>
      <c r="E204" s="187"/>
      <c r="F204" s="187"/>
      <c r="G204" s="187"/>
      <c r="H204" s="187"/>
      <c r="I204" s="187"/>
      <c r="J204" s="187"/>
      <c r="K204" s="187"/>
      <c r="L204" s="187"/>
      <c r="M204" s="187"/>
      <c r="N204" s="187"/>
      <c r="O204" s="700"/>
      <c r="P204" s="187"/>
      <c r="Q204" s="187"/>
      <c r="R204" s="187"/>
      <c r="S204" s="187"/>
      <c r="T204" s="187"/>
      <c r="U204" s="187"/>
      <c r="V204" s="187"/>
      <c r="W204" s="187"/>
      <c r="X204" s="187"/>
      <c r="Y204" s="187"/>
      <c r="Z204" s="187"/>
      <c r="AA204" s="187"/>
      <c r="AB204" s="187"/>
      <c r="AC204" s="187"/>
      <c r="AD204" s="187"/>
      <c r="AE204" s="187"/>
      <c r="AF204" s="187"/>
      <c r="AG204" s="187"/>
      <c r="AH204" s="187"/>
      <c r="AI204" s="187"/>
      <c r="AJ204" s="187"/>
      <c r="AK204" s="187"/>
    </row>
    <row r="205" spans="1:37" s="585" customFormat="1" x14ac:dyDescent="0.25">
      <c r="A205" s="187"/>
      <c r="B205" s="187"/>
      <c r="C205" s="187"/>
      <c r="D205" s="187"/>
      <c r="E205" s="187"/>
      <c r="F205" s="187"/>
      <c r="G205" s="187"/>
      <c r="H205" s="187"/>
      <c r="I205" s="187"/>
      <c r="J205" s="187"/>
      <c r="K205" s="187"/>
      <c r="L205" s="187"/>
      <c r="M205" s="187"/>
      <c r="N205" s="187"/>
      <c r="O205" s="700"/>
      <c r="P205" s="187"/>
      <c r="Q205" s="187"/>
      <c r="R205" s="187"/>
      <c r="S205" s="187"/>
      <c r="T205" s="187"/>
      <c r="U205" s="187"/>
      <c r="V205" s="187"/>
      <c r="W205" s="187"/>
      <c r="X205" s="187"/>
      <c r="Y205" s="187"/>
      <c r="Z205" s="187"/>
      <c r="AA205" s="187"/>
      <c r="AB205" s="187"/>
      <c r="AC205" s="187"/>
      <c r="AD205" s="187"/>
      <c r="AE205" s="187"/>
      <c r="AF205" s="187"/>
      <c r="AG205" s="187"/>
      <c r="AH205" s="187"/>
      <c r="AI205" s="187"/>
      <c r="AJ205" s="187"/>
      <c r="AK205" s="187"/>
    </row>
    <row r="206" spans="1:37" s="585" customFormat="1" x14ac:dyDescent="0.25">
      <c r="A206" s="187"/>
      <c r="B206" s="187"/>
      <c r="C206" s="187"/>
      <c r="D206" s="187"/>
      <c r="E206" s="187"/>
      <c r="F206" s="187"/>
      <c r="G206" s="187"/>
      <c r="H206" s="187"/>
      <c r="I206" s="187"/>
      <c r="J206" s="187"/>
      <c r="K206" s="187"/>
      <c r="L206" s="187"/>
      <c r="M206" s="187"/>
      <c r="N206" s="187"/>
      <c r="O206" s="700"/>
      <c r="P206" s="187"/>
      <c r="Q206" s="187"/>
      <c r="R206" s="187"/>
      <c r="S206" s="187"/>
      <c r="T206" s="187"/>
      <c r="U206" s="187"/>
      <c r="V206" s="187"/>
      <c r="W206" s="187"/>
      <c r="X206" s="187"/>
      <c r="Y206" s="187"/>
      <c r="Z206" s="187"/>
      <c r="AA206" s="187"/>
      <c r="AB206" s="187"/>
      <c r="AC206" s="187"/>
      <c r="AD206" s="187"/>
      <c r="AE206" s="187"/>
      <c r="AF206" s="187"/>
      <c r="AG206" s="187"/>
      <c r="AH206" s="187"/>
      <c r="AI206" s="187"/>
      <c r="AJ206" s="187"/>
      <c r="AK206" s="187"/>
    </row>
    <row r="207" spans="1:37" s="585" customFormat="1" x14ac:dyDescent="0.25">
      <c r="A207" s="187"/>
      <c r="B207" s="187"/>
      <c r="C207" s="187"/>
      <c r="D207" s="187"/>
      <c r="E207" s="187"/>
      <c r="F207" s="187"/>
      <c r="G207" s="187"/>
      <c r="H207" s="187"/>
      <c r="I207" s="187"/>
      <c r="J207" s="187"/>
      <c r="K207" s="187"/>
      <c r="L207" s="187"/>
      <c r="M207" s="187"/>
      <c r="N207" s="187"/>
      <c r="O207" s="700"/>
      <c r="P207" s="187"/>
      <c r="Q207" s="187"/>
      <c r="R207" s="187"/>
      <c r="S207" s="187"/>
      <c r="T207" s="187"/>
      <c r="U207" s="187"/>
      <c r="V207" s="187"/>
      <c r="W207" s="187"/>
      <c r="X207" s="187"/>
      <c r="Y207" s="187"/>
      <c r="Z207" s="187"/>
      <c r="AA207" s="187"/>
      <c r="AB207" s="187"/>
      <c r="AC207" s="187"/>
      <c r="AD207" s="187"/>
      <c r="AE207" s="187"/>
      <c r="AF207" s="187"/>
      <c r="AG207" s="187"/>
      <c r="AH207" s="187"/>
      <c r="AI207" s="187"/>
      <c r="AJ207" s="187"/>
      <c r="AK207" s="187"/>
    </row>
    <row r="208" spans="1:37" s="585" customFormat="1" x14ac:dyDescent="0.25">
      <c r="A208" s="187"/>
      <c r="B208" s="187"/>
      <c r="C208" s="187"/>
      <c r="D208" s="187"/>
      <c r="E208" s="187"/>
      <c r="F208" s="187"/>
      <c r="G208" s="187"/>
      <c r="H208" s="187"/>
      <c r="I208" s="187"/>
      <c r="J208" s="187"/>
      <c r="K208" s="187"/>
      <c r="L208" s="187"/>
      <c r="M208" s="187"/>
      <c r="N208" s="187"/>
      <c r="O208" s="700"/>
      <c r="P208" s="187"/>
      <c r="Q208" s="187"/>
      <c r="R208" s="187"/>
      <c r="S208" s="187"/>
      <c r="T208" s="187"/>
      <c r="U208" s="187"/>
      <c r="V208" s="187"/>
      <c r="W208" s="187"/>
      <c r="X208" s="187"/>
      <c r="Y208" s="187"/>
      <c r="Z208" s="187"/>
      <c r="AA208" s="187"/>
      <c r="AB208" s="187"/>
      <c r="AC208" s="187"/>
      <c r="AD208" s="187"/>
      <c r="AE208" s="187"/>
      <c r="AF208" s="187"/>
      <c r="AG208" s="187"/>
      <c r="AH208" s="187"/>
      <c r="AI208" s="187"/>
      <c r="AJ208" s="187"/>
      <c r="AK208" s="187"/>
    </row>
    <row r="209" spans="1:37" s="585" customFormat="1" x14ac:dyDescent="0.25">
      <c r="A209" s="187"/>
      <c r="B209" s="187"/>
      <c r="C209" s="187"/>
      <c r="D209" s="187"/>
      <c r="E209" s="187"/>
      <c r="F209" s="187"/>
      <c r="G209" s="187"/>
      <c r="H209" s="187"/>
      <c r="I209" s="187"/>
      <c r="J209" s="187"/>
      <c r="K209" s="187"/>
      <c r="L209" s="187"/>
      <c r="M209" s="187"/>
      <c r="N209" s="187"/>
      <c r="O209" s="700"/>
      <c r="P209" s="187"/>
      <c r="Q209" s="187"/>
      <c r="R209" s="187"/>
      <c r="S209" s="187"/>
      <c r="T209" s="187"/>
      <c r="U209" s="187"/>
      <c r="V209" s="187"/>
      <c r="W209" s="187"/>
      <c r="X209" s="187"/>
      <c r="Y209" s="187"/>
      <c r="Z209" s="187"/>
      <c r="AA209" s="187"/>
      <c r="AB209" s="187"/>
      <c r="AC209" s="187"/>
      <c r="AD209" s="187"/>
      <c r="AE209" s="187"/>
      <c r="AF209" s="187"/>
      <c r="AG209" s="187"/>
      <c r="AH209" s="187"/>
      <c r="AI209" s="187"/>
      <c r="AJ209" s="187"/>
      <c r="AK209" s="187"/>
    </row>
    <row r="210" spans="1:37" s="585" customFormat="1" x14ac:dyDescent="0.25">
      <c r="A210" s="187"/>
      <c r="B210" s="187"/>
      <c r="C210" s="187"/>
      <c r="D210" s="187"/>
      <c r="E210" s="187"/>
      <c r="F210" s="187"/>
      <c r="G210" s="187"/>
      <c r="H210" s="187"/>
      <c r="I210" s="187"/>
      <c r="J210" s="187"/>
      <c r="K210" s="187"/>
      <c r="L210" s="187"/>
      <c r="M210" s="187"/>
      <c r="N210" s="187"/>
      <c r="O210" s="700"/>
      <c r="P210" s="187"/>
      <c r="Q210" s="187"/>
      <c r="R210" s="187"/>
      <c r="S210" s="187"/>
      <c r="T210" s="187"/>
      <c r="U210" s="187"/>
      <c r="V210" s="187"/>
      <c r="W210" s="187"/>
      <c r="X210" s="187"/>
      <c r="Y210" s="187"/>
      <c r="Z210" s="187"/>
      <c r="AA210" s="187"/>
      <c r="AB210" s="187"/>
      <c r="AC210" s="187"/>
      <c r="AD210" s="187"/>
      <c r="AE210" s="187"/>
      <c r="AF210" s="187"/>
      <c r="AG210" s="187"/>
      <c r="AH210" s="187"/>
      <c r="AI210" s="187"/>
      <c r="AJ210" s="187"/>
      <c r="AK210" s="187"/>
    </row>
    <row r="211" spans="1:37" s="585" customFormat="1" x14ac:dyDescent="0.25">
      <c r="A211" s="187"/>
      <c r="B211" s="187"/>
      <c r="C211" s="187"/>
      <c r="D211" s="187"/>
      <c r="E211" s="187"/>
      <c r="F211" s="187"/>
      <c r="G211" s="187"/>
      <c r="H211" s="187"/>
      <c r="I211" s="187"/>
      <c r="J211" s="187"/>
      <c r="K211" s="187"/>
      <c r="L211" s="187"/>
      <c r="M211" s="187"/>
      <c r="N211" s="187"/>
      <c r="O211" s="700"/>
      <c r="P211" s="187"/>
      <c r="Q211" s="187"/>
      <c r="R211" s="187"/>
      <c r="S211" s="187"/>
      <c r="T211" s="187"/>
      <c r="U211" s="187"/>
      <c r="V211" s="187"/>
      <c r="W211" s="187"/>
      <c r="X211" s="187"/>
      <c r="Y211" s="187"/>
      <c r="Z211" s="187"/>
      <c r="AA211" s="187"/>
      <c r="AB211" s="187"/>
      <c r="AC211" s="187"/>
      <c r="AD211" s="187"/>
      <c r="AE211" s="187"/>
      <c r="AF211" s="187"/>
      <c r="AG211" s="187"/>
      <c r="AH211" s="187"/>
      <c r="AI211" s="187"/>
      <c r="AJ211" s="187"/>
      <c r="AK211" s="187"/>
    </row>
    <row r="212" spans="1:37" s="585" customFormat="1" x14ac:dyDescent="0.25">
      <c r="A212" s="187"/>
      <c r="B212" s="187"/>
      <c r="C212" s="187"/>
      <c r="D212" s="187"/>
      <c r="E212" s="187"/>
      <c r="F212" s="187"/>
      <c r="G212" s="187"/>
      <c r="H212" s="187"/>
      <c r="I212" s="187"/>
      <c r="J212" s="187"/>
      <c r="K212" s="187"/>
      <c r="L212" s="187"/>
      <c r="M212" s="187"/>
      <c r="N212" s="187"/>
      <c r="O212" s="700"/>
      <c r="P212" s="187"/>
      <c r="Q212" s="187"/>
      <c r="R212" s="187"/>
      <c r="S212" s="187"/>
      <c r="T212" s="187"/>
      <c r="U212" s="187"/>
      <c r="V212" s="187"/>
      <c r="W212" s="187"/>
      <c r="X212" s="187"/>
      <c r="Y212" s="187"/>
      <c r="Z212" s="187"/>
      <c r="AA212" s="187"/>
      <c r="AB212" s="187"/>
      <c r="AC212" s="187"/>
      <c r="AD212" s="187"/>
      <c r="AE212" s="187"/>
      <c r="AF212" s="187"/>
      <c r="AG212" s="187"/>
      <c r="AH212" s="187"/>
      <c r="AI212" s="187"/>
      <c r="AJ212" s="187"/>
      <c r="AK212" s="187"/>
    </row>
    <row r="213" spans="1:37" s="585" customFormat="1" x14ac:dyDescent="0.25">
      <c r="A213" s="187"/>
      <c r="B213" s="187"/>
      <c r="C213" s="187"/>
      <c r="D213" s="187"/>
      <c r="E213" s="187"/>
      <c r="F213" s="187"/>
      <c r="G213" s="187"/>
      <c r="H213" s="187"/>
      <c r="I213" s="187"/>
      <c r="J213" s="187"/>
      <c r="K213" s="187"/>
      <c r="L213" s="187"/>
      <c r="M213" s="187"/>
      <c r="N213" s="187"/>
      <c r="O213" s="700"/>
      <c r="P213" s="187"/>
      <c r="Q213" s="187"/>
      <c r="R213" s="187"/>
      <c r="S213" s="187"/>
      <c r="T213" s="187"/>
      <c r="U213" s="187"/>
      <c r="V213" s="187"/>
      <c r="W213" s="187"/>
      <c r="X213" s="187"/>
      <c r="Y213" s="187"/>
      <c r="Z213" s="187"/>
      <c r="AA213" s="187"/>
      <c r="AB213" s="187"/>
      <c r="AC213" s="187"/>
      <c r="AD213" s="187"/>
      <c r="AE213" s="187"/>
      <c r="AF213" s="187"/>
      <c r="AG213" s="187"/>
      <c r="AH213" s="187"/>
      <c r="AI213" s="187"/>
      <c r="AJ213" s="187"/>
      <c r="AK213" s="187"/>
    </row>
    <row r="214" spans="1:37" s="585" customFormat="1" x14ac:dyDescent="0.25">
      <c r="A214" s="187"/>
      <c r="B214" s="187"/>
      <c r="C214" s="187"/>
      <c r="D214" s="187"/>
      <c r="E214" s="187"/>
      <c r="F214" s="187"/>
      <c r="G214" s="187"/>
      <c r="H214" s="187"/>
      <c r="I214" s="187"/>
      <c r="J214" s="187"/>
      <c r="K214" s="187"/>
      <c r="L214" s="187"/>
      <c r="M214" s="187"/>
      <c r="N214" s="187"/>
      <c r="O214" s="700"/>
      <c r="P214" s="187"/>
      <c r="Q214" s="187"/>
      <c r="R214" s="187"/>
      <c r="S214" s="187"/>
      <c r="T214" s="187"/>
      <c r="U214" s="187"/>
      <c r="V214" s="187"/>
      <c r="W214" s="187"/>
      <c r="X214" s="187"/>
      <c r="Y214" s="187"/>
      <c r="Z214" s="187"/>
      <c r="AA214" s="187"/>
      <c r="AB214" s="187"/>
      <c r="AC214" s="187"/>
      <c r="AD214" s="187"/>
      <c r="AE214" s="187"/>
      <c r="AF214" s="187"/>
      <c r="AG214" s="187"/>
      <c r="AH214" s="187"/>
      <c r="AI214" s="187"/>
      <c r="AJ214" s="187"/>
      <c r="AK214" s="187"/>
    </row>
    <row r="215" spans="1:37" s="585" customFormat="1" x14ac:dyDescent="0.25">
      <c r="A215" s="187"/>
      <c r="B215" s="187"/>
      <c r="C215" s="187"/>
      <c r="D215" s="187"/>
      <c r="E215" s="187"/>
      <c r="F215" s="187"/>
      <c r="G215" s="187"/>
      <c r="H215" s="187"/>
      <c r="I215" s="187"/>
      <c r="J215" s="187"/>
      <c r="K215" s="187"/>
      <c r="L215" s="187"/>
      <c r="M215" s="187"/>
      <c r="N215" s="187"/>
      <c r="O215" s="700"/>
      <c r="P215" s="187"/>
      <c r="Q215" s="187"/>
      <c r="R215" s="187"/>
      <c r="S215" s="187"/>
      <c r="T215" s="187"/>
      <c r="U215" s="187"/>
      <c r="V215" s="187"/>
      <c r="W215" s="187"/>
      <c r="X215" s="187"/>
      <c r="Y215" s="187"/>
      <c r="Z215" s="187"/>
      <c r="AA215" s="187"/>
      <c r="AB215" s="187"/>
      <c r="AC215" s="187"/>
      <c r="AD215" s="187"/>
      <c r="AE215" s="187"/>
      <c r="AF215" s="187"/>
      <c r="AG215" s="187"/>
      <c r="AH215" s="187"/>
      <c r="AI215" s="187"/>
      <c r="AJ215" s="187"/>
      <c r="AK215" s="187"/>
    </row>
    <row r="216" spans="1:37" s="585" customFormat="1" x14ac:dyDescent="0.25">
      <c r="A216" s="187"/>
      <c r="B216" s="187"/>
      <c r="C216" s="187"/>
      <c r="D216" s="187"/>
      <c r="E216" s="187"/>
      <c r="F216" s="187"/>
      <c r="G216" s="187"/>
      <c r="H216" s="187"/>
      <c r="I216" s="187"/>
      <c r="J216" s="187"/>
      <c r="K216" s="187"/>
      <c r="L216" s="187"/>
      <c r="M216" s="187"/>
      <c r="N216" s="187"/>
      <c r="O216" s="700"/>
      <c r="P216" s="187"/>
      <c r="Q216" s="187"/>
      <c r="R216" s="187"/>
      <c r="S216" s="187"/>
      <c r="T216" s="187"/>
      <c r="U216" s="187"/>
      <c r="V216" s="187"/>
      <c r="W216" s="187"/>
      <c r="X216" s="187"/>
      <c r="Y216" s="187"/>
      <c r="Z216" s="187"/>
      <c r="AA216" s="187"/>
      <c r="AB216" s="187"/>
      <c r="AC216" s="187"/>
      <c r="AD216" s="187"/>
      <c r="AE216" s="187"/>
      <c r="AF216" s="187"/>
      <c r="AG216" s="187"/>
      <c r="AH216" s="187"/>
      <c r="AI216" s="187"/>
      <c r="AJ216" s="187"/>
      <c r="AK216" s="187"/>
    </row>
    <row r="217" spans="1:37" s="585" customFormat="1" x14ac:dyDescent="0.25">
      <c r="A217" s="187"/>
      <c r="B217" s="187"/>
      <c r="C217" s="187"/>
      <c r="D217" s="187"/>
      <c r="E217" s="187"/>
      <c r="F217" s="187"/>
      <c r="G217" s="187"/>
      <c r="H217" s="187"/>
      <c r="I217" s="187"/>
      <c r="J217" s="187"/>
      <c r="K217" s="187"/>
      <c r="L217" s="187"/>
      <c r="M217" s="187"/>
      <c r="N217" s="187"/>
      <c r="O217" s="700"/>
      <c r="P217" s="187"/>
      <c r="Q217" s="187"/>
      <c r="R217" s="187"/>
      <c r="S217" s="187"/>
      <c r="T217" s="187"/>
      <c r="U217" s="187"/>
      <c r="V217" s="187"/>
      <c r="W217" s="187"/>
      <c r="X217" s="187"/>
      <c r="Y217" s="187"/>
      <c r="Z217" s="187"/>
      <c r="AA217" s="187"/>
      <c r="AB217" s="187"/>
      <c r="AC217" s="187"/>
      <c r="AD217" s="187"/>
      <c r="AE217" s="187"/>
      <c r="AF217" s="187"/>
      <c r="AG217" s="187"/>
      <c r="AH217" s="187"/>
      <c r="AI217" s="187"/>
      <c r="AJ217" s="187"/>
      <c r="AK217" s="187"/>
    </row>
    <row r="218" spans="1:37" s="585" customFormat="1" x14ac:dyDescent="0.25">
      <c r="A218" s="187"/>
      <c r="B218" s="187"/>
      <c r="C218" s="187"/>
      <c r="D218" s="187"/>
      <c r="E218" s="187"/>
      <c r="F218" s="187"/>
      <c r="G218" s="187"/>
      <c r="H218" s="187"/>
      <c r="I218" s="187"/>
      <c r="J218" s="187"/>
      <c r="K218" s="187"/>
      <c r="L218" s="187"/>
      <c r="M218" s="187"/>
      <c r="N218" s="187"/>
      <c r="O218" s="700"/>
      <c r="P218" s="187"/>
      <c r="Q218" s="187"/>
      <c r="R218" s="187"/>
      <c r="S218" s="187"/>
      <c r="T218" s="187"/>
      <c r="U218" s="187"/>
      <c r="V218" s="187"/>
      <c r="W218" s="187"/>
      <c r="X218" s="187"/>
      <c r="Y218" s="187"/>
      <c r="Z218" s="187"/>
      <c r="AA218" s="187"/>
      <c r="AB218" s="187"/>
      <c r="AC218" s="187"/>
      <c r="AD218" s="187"/>
      <c r="AE218" s="187"/>
      <c r="AF218" s="187"/>
      <c r="AG218" s="187"/>
      <c r="AH218" s="187"/>
      <c r="AI218" s="187"/>
      <c r="AJ218" s="187"/>
      <c r="AK218" s="187"/>
    </row>
    <row r="219" spans="1:37" s="585" customFormat="1" x14ac:dyDescent="0.25">
      <c r="A219" s="187"/>
      <c r="B219" s="187"/>
      <c r="C219" s="187"/>
      <c r="D219" s="187"/>
      <c r="E219" s="187"/>
      <c r="F219" s="187"/>
      <c r="G219" s="187"/>
      <c r="H219" s="187"/>
      <c r="I219" s="187"/>
      <c r="J219" s="187"/>
      <c r="K219" s="187"/>
      <c r="L219" s="187"/>
      <c r="M219" s="187"/>
      <c r="N219" s="187"/>
      <c r="O219" s="700"/>
      <c r="P219" s="187"/>
      <c r="Q219" s="187"/>
      <c r="R219" s="187"/>
      <c r="S219" s="187"/>
      <c r="T219" s="187"/>
      <c r="U219" s="187"/>
      <c r="V219" s="187"/>
      <c r="W219" s="187"/>
      <c r="X219" s="187"/>
      <c r="Y219" s="187"/>
      <c r="Z219" s="187"/>
      <c r="AA219" s="187"/>
      <c r="AB219" s="187"/>
      <c r="AC219" s="187"/>
      <c r="AD219" s="187"/>
      <c r="AE219" s="187"/>
      <c r="AF219" s="187"/>
      <c r="AG219" s="187"/>
      <c r="AH219" s="187"/>
      <c r="AI219" s="187"/>
      <c r="AJ219" s="187"/>
      <c r="AK219" s="187"/>
    </row>
    <row r="220" spans="1:37" s="585" customFormat="1" x14ac:dyDescent="0.25">
      <c r="A220" s="187"/>
      <c r="B220" s="187"/>
      <c r="C220" s="187"/>
      <c r="D220" s="187"/>
      <c r="E220" s="187"/>
      <c r="F220" s="187"/>
      <c r="G220" s="187"/>
      <c r="H220" s="187"/>
      <c r="I220" s="187"/>
      <c r="J220" s="187"/>
      <c r="K220" s="187"/>
      <c r="L220" s="187"/>
      <c r="M220" s="187"/>
      <c r="N220" s="187"/>
      <c r="O220" s="700"/>
      <c r="P220" s="187"/>
      <c r="Q220" s="187"/>
      <c r="R220" s="187"/>
      <c r="S220" s="187"/>
      <c r="T220" s="187"/>
      <c r="U220" s="187"/>
      <c r="V220" s="187"/>
      <c r="W220" s="187"/>
      <c r="X220" s="187"/>
      <c r="Y220" s="187"/>
      <c r="Z220" s="187"/>
      <c r="AA220" s="187"/>
      <c r="AB220" s="187"/>
      <c r="AC220" s="187"/>
      <c r="AD220" s="187"/>
      <c r="AE220" s="187"/>
      <c r="AF220" s="187"/>
      <c r="AG220" s="187"/>
      <c r="AH220" s="187"/>
      <c r="AI220" s="187"/>
      <c r="AJ220" s="187"/>
      <c r="AK220" s="187"/>
    </row>
    <row r="221" spans="1:37" s="585" customFormat="1" x14ac:dyDescent="0.25">
      <c r="A221" s="187"/>
      <c r="B221" s="187"/>
      <c r="C221" s="187"/>
      <c r="D221" s="187"/>
      <c r="E221" s="187"/>
      <c r="F221" s="187"/>
      <c r="G221" s="187"/>
      <c r="H221" s="187"/>
      <c r="I221" s="187"/>
      <c r="J221" s="187"/>
      <c r="K221" s="187"/>
      <c r="L221" s="187"/>
      <c r="M221" s="187"/>
      <c r="N221" s="187"/>
      <c r="O221" s="700"/>
      <c r="P221" s="187"/>
      <c r="Q221" s="187"/>
      <c r="R221" s="187"/>
      <c r="S221" s="187"/>
      <c r="T221" s="187"/>
      <c r="U221" s="187"/>
      <c r="V221" s="187"/>
      <c r="W221" s="187"/>
      <c r="X221" s="187"/>
      <c r="Y221" s="187"/>
      <c r="Z221" s="187"/>
      <c r="AA221" s="187"/>
      <c r="AB221" s="187"/>
      <c r="AC221" s="187"/>
      <c r="AD221" s="187"/>
      <c r="AE221" s="187"/>
      <c r="AF221" s="187"/>
      <c r="AG221" s="187"/>
      <c r="AH221" s="187"/>
      <c r="AI221" s="187"/>
      <c r="AJ221" s="187"/>
      <c r="AK221" s="187"/>
    </row>
    <row r="222" spans="1:37" s="585" customFormat="1" x14ac:dyDescent="0.25">
      <c r="A222" s="187"/>
      <c r="B222" s="187"/>
      <c r="C222" s="187"/>
      <c r="D222" s="187"/>
      <c r="E222" s="187"/>
      <c r="F222" s="187"/>
      <c r="G222" s="187"/>
      <c r="H222" s="187"/>
      <c r="I222" s="187"/>
      <c r="J222" s="187"/>
      <c r="K222" s="187"/>
      <c r="L222" s="187"/>
      <c r="M222" s="187"/>
      <c r="N222" s="187"/>
      <c r="O222" s="700"/>
      <c r="P222" s="187"/>
      <c r="Q222" s="187"/>
      <c r="R222" s="187"/>
      <c r="S222" s="187"/>
      <c r="T222" s="187"/>
      <c r="U222" s="187"/>
      <c r="V222" s="187"/>
      <c r="W222" s="187"/>
      <c r="X222" s="187"/>
      <c r="Y222" s="187"/>
      <c r="Z222" s="187"/>
      <c r="AA222" s="187"/>
      <c r="AB222" s="187"/>
      <c r="AC222" s="187"/>
      <c r="AD222" s="187"/>
      <c r="AE222" s="187"/>
      <c r="AF222" s="187"/>
      <c r="AG222" s="187"/>
      <c r="AH222" s="187"/>
      <c r="AI222" s="187"/>
      <c r="AJ222" s="187"/>
      <c r="AK222" s="187"/>
    </row>
    <row r="223" spans="1:37" s="585" customFormat="1" x14ac:dyDescent="0.25">
      <c r="A223" s="187"/>
      <c r="B223" s="187"/>
      <c r="C223" s="187"/>
      <c r="D223" s="187"/>
      <c r="E223" s="187"/>
      <c r="F223" s="187"/>
      <c r="G223" s="187"/>
      <c r="H223" s="187"/>
      <c r="I223" s="187"/>
      <c r="J223" s="187"/>
      <c r="K223" s="187"/>
      <c r="L223" s="187"/>
      <c r="M223" s="187"/>
      <c r="N223" s="187"/>
      <c r="O223" s="700"/>
      <c r="P223" s="187"/>
      <c r="Q223" s="187"/>
      <c r="R223" s="187"/>
      <c r="S223" s="187"/>
      <c r="T223" s="187"/>
      <c r="U223" s="187"/>
      <c r="V223" s="187"/>
      <c r="W223" s="187"/>
      <c r="X223" s="187"/>
      <c r="Y223" s="187"/>
      <c r="Z223" s="187"/>
      <c r="AA223" s="187"/>
      <c r="AB223" s="187"/>
      <c r="AC223" s="187"/>
      <c r="AD223" s="187"/>
      <c r="AE223" s="187"/>
      <c r="AF223" s="187"/>
      <c r="AG223" s="187"/>
      <c r="AH223" s="187"/>
      <c r="AI223" s="187"/>
      <c r="AJ223" s="187"/>
      <c r="AK223" s="187"/>
    </row>
    <row r="224" spans="1:37" s="585" customFormat="1" x14ac:dyDescent="0.25">
      <c r="A224" s="187"/>
      <c r="B224" s="187"/>
      <c r="C224" s="187"/>
      <c r="D224" s="187"/>
      <c r="E224" s="187"/>
      <c r="F224" s="187"/>
      <c r="G224" s="187"/>
      <c r="H224" s="187"/>
      <c r="I224" s="187"/>
      <c r="J224" s="187"/>
      <c r="K224" s="187"/>
      <c r="L224" s="187"/>
      <c r="M224" s="187"/>
      <c r="N224" s="187"/>
      <c r="O224" s="700"/>
      <c r="P224" s="187"/>
      <c r="Q224" s="187"/>
      <c r="R224" s="187"/>
      <c r="S224" s="187"/>
      <c r="T224" s="187"/>
      <c r="U224" s="187"/>
      <c r="V224" s="187"/>
      <c r="W224" s="187"/>
      <c r="X224" s="187"/>
      <c r="Y224" s="187"/>
      <c r="Z224" s="187"/>
      <c r="AA224" s="187"/>
      <c r="AB224" s="187"/>
      <c r="AC224" s="187"/>
      <c r="AD224" s="187"/>
      <c r="AE224" s="187"/>
      <c r="AF224" s="187"/>
      <c r="AG224" s="187"/>
      <c r="AH224" s="187"/>
      <c r="AI224" s="187"/>
      <c r="AJ224" s="187"/>
      <c r="AK224" s="187"/>
    </row>
    <row r="225" spans="1:37" s="585" customFormat="1" x14ac:dyDescent="0.25">
      <c r="A225" s="187"/>
      <c r="B225" s="187"/>
      <c r="C225" s="187"/>
      <c r="D225" s="187"/>
      <c r="E225" s="187"/>
      <c r="F225" s="187"/>
      <c r="G225" s="187"/>
      <c r="H225" s="187"/>
      <c r="I225" s="187"/>
      <c r="J225" s="187"/>
      <c r="K225" s="187"/>
      <c r="L225" s="187"/>
      <c r="M225" s="187"/>
      <c r="N225" s="187"/>
      <c r="O225" s="700"/>
      <c r="P225" s="187"/>
      <c r="Q225" s="187"/>
      <c r="R225" s="187"/>
      <c r="S225" s="187"/>
      <c r="T225" s="187"/>
      <c r="U225" s="187"/>
      <c r="V225" s="187"/>
      <c r="W225" s="187"/>
      <c r="X225" s="187"/>
      <c r="Y225" s="187"/>
      <c r="Z225" s="187"/>
      <c r="AA225" s="187"/>
      <c r="AB225" s="187"/>
      <c r="AC225" s="187"/>
      <c r="AD225" s="187"/>
      <c r="AE225" s="187"/>
      <c r="AF225" s="187"/>
      <c r="AG225" s="187"/>
      <c r="AH225" s="187"/>
      <c r="AI225" s="187"/>
      <c r="AJ225" s="187"/>
      <c r="AK225" s="187"/>
    </row>
    <row r="226" spans="1:37" s="585" customFormat="1" x14ac:dyDescent="0.25">
      <c r="A226" s="187"/>
      <c r="B226" s="187"/>
      <c r="C226" s="187"/>
      <c r="D226" s="187"/>
      <c r="E226" s="187"/>
      <c r="F226" s="187"/>
      <c r="G226" s="187"/>
      <c r="H226" s="187"/>
      <c r="I226" s="187"/>
      <c r="J226" s="187"/>
      <c r="K226" s="187"/>
      <c r="L226" s="187"/>
      <c r="M226" s="187"/>
      <c r="N226" s="187"/>
      <c r="O226" s="700"/>
      <c r="P226" s="187"/>
      <c r="Q226" s="187"/>
      <c r="R226" s="187"/>
      <c r="S226" s="187"/>
      <c r="T226" s="187"/>
      <c r="U226" s="187"/>
      <c r="V226" s="187"/>
      <c r="W226" s="187"/>
      <c r="X226" s="187"/>
      <c r="Y226" s="187"/>
      <c r="Z226" s="187"/>
      <c r="AA226" s="187"/>
      <c r="AB226" s="187"/>
      <c r="AC226" s="187"/>
      <c r="AD226" s="187"/>
      <c r="AE226" s="187"/>
      <c r="AF226" s="187"/>
      <c r="AG226" s="187"/>
      <c r="AH226" s="187"/>
      <c r="AI226" s="187"/>
      <c r="AJ226" s="187"/>
      <c r="AK226" s="187"/>
    </row>
    <row r="227" spans="1:37" s="585" customFormat="1" x14ac:dyDescent="0.25">
      <c r="A227" s="187"/>
      <c r="B227" s="187"/>
      <c r="C227" s="187"/>
      <c r="D227" s="187"/>
      <c r="E227" s="187"/>
      <c r="F227" s="187"/>
      <c r="G227" s="187"/>
      <c r="H227" s="187"/>
      <c r="I227" s="187"/>
      <c r="J227" s="187"/>
      <c r="K227" s="187"/>
      <c r="L227" s="187"/>
      <c r="M227" s="187"/>
      <c r="N227" s="187"/>
      <c r="O227" s="700"/>
      <c r="P227" s="187"/>
      <c r="Q227" s="187"/>
      <c r="R227" s="187"/>
      <c r="S227" s="187"/>
      <c r="T227" s="187"/>
      <c r="U227" s="187"/>
      <c r="V227" s="187"/>
      <c r="W227" s="187"/>
      <c r="X227" s="187"/>
      <c r="Y227" s="187"/>
      <c r="Z227" s="187"/>
      <c r="AA227" s="187"/>
      <c r="AB227" s="187"/>
      <c r="AC227" s="187"/>
      <c r="AD227" s="187"/>
      <c r="AE227" s="187"/>
      <c r="AF227" s="187"/>
      <c r="AG227" s="187"/>
      <c r="AH227" s="187"/>
      <c r="AI227" s="187"/>
      <c r="AJ227" s="187"/>
      <c r="AK227" s="187"/>
    </row>
    <row r="228" spans="1:37" s="585" customFormat="1" x14ac:dyDescent="0.25">
      <c r="A228" s="187"/>
      <c r="B228" s="187"/>
      <c r="C228" s="187"/>
      <c r="D228" s="187"/>
      <c r="E228" s="187"/>
      <c r="F228" s="187"/>
      <c r="G228" s="187"/>
      <c r="H228" s="187"/>
      <c r="I228" s="187"/>
      <c r="J228" s="187"/>
      <c r="K228" s="187"/>
      <c r="L228" s="187"/>
      <c r="M228" s="187"/>
      <c r="N228" s="187"/>
      <c r="O228" s="700"/>
      <c r="P228" s="187"/>
      <c r="Q228" s="187"/>
      <c r="R228" s="187"/>
      <c r="S228" s="187"/>
      <c r="T228" s="187"/>
      <c r="U228" s="187"/>
      <c r="V228" s="187"/>
      <c r="W228" s="187"/>
      <c r="X228" s="187"/>
      <c r="Y228" s="187"/>
      <c r="Z228" s="187"/>
      <c r="AA228" s="187"/>
      <c r="AB228" s="187"/>
      <c r="AC228" s="187"/>
      <c r="AD228" s="187"/>
      <c r="AE228" s="187"/>
      <c r="AF228" s="187"/>
      <c r="AG228" s="187"/>
      <c r="AH228" s="187"/>
      <c r="AI228" s="187"/>
      <c r="AJ228" s="187"/>
      <c r="AK228" s="187"/>
    </row>
    <row r="229" spans="1:37" s="585" customFormat="1" x14ac:dyDescent="0.25">
      <c r="A229" s="187"/>
      <c r="B229" s="187"/>
      <c r="C229" s="187"/>
      <c r="D229" s="187"/>
      <c r="E229" s="187"/>
      <c r="F229" s="187"/>
      <c r="G229" s="187"/>
      <c r="H229" s="187"/>
      <c r="I229" s="187"/>
      <c r="J229" s="187"/>
      <c r="K229" s="187"/>
      <c r="L229" s="187"/>
      <c r="M229" s="187"/>
      <c r="N229" s="187"/>
      <c r="O229" s="700"/>
      <c r="P229" s="187"/>
      <c r="Q229" s="187"/>
      <c r="R229" s="187"/>
      <c r="S229" s="187"/>
      <c r="T229" s="187"/>
      <c r="U229" s="187"/>
      <c r="V229" s="187"/>
      <c r="W229" s="187"/>
      <c r="X229" s="187"/>
      <c r="Y229" s="187"/>
      <c r="Z229" s="187"/>
      <c r="AA229" s="187"/>
      <c r="AB229" s="187"/>
      <c r="AC229" s="187"/>
      <c r="AD229" s="187"/>
      <c r="AE229" s="187"/>
      <c r="AF229" s="187"/>
      <c r="AG229" s="187"/>
      <c r="AH229" s="187"/>
      <c r="AI229" s="187"/>
      <c r="AJ229" s="187"/>
      <c r="AK229" s="187"/>
    </row>
    <row r="230" spans="1:37" s="585" customFormat="1" x14ac:dyDescent="0.25">
      <c r="A230" s="187"/>
      <c r="B230" s="187"/>
      <c r="C230" s="187"/>
      <c r="D230" s="187"/>
      <c r="E230" s="187"/>
      <c r="F230" s="187"/>
      <c r="G230" s="187"/>
      <c r="H230" s="187"/>
      <c r="I230" s="187"/>
      <c r="J230" s="187"/>
      <c r="K230" s="187"/>
      <c r="L230" s="187"/>
      <c r="M230" s="187"/>
      <c r="N230" s="187"/>
      <c r="O230" s="700"/>
      <c r="P230" s="187"/>
      <c r="Q230" s="187"/>
      <c r="R230" s="187"/>
      <c r="S230" s="187"/>
      <c r="T230" s="187"/>
      <c r="U230" s="187"/>
      <c r="V230" s="187"/>
      <c r="W230" s="187"/>
      <c r="X230" s="187"/>
      <c r="Y230" s="187"/>
      <c r="Z230" s="187"/>
      <c r="AA230" s="187"/>
      <c r="AB230" s="187"/>
      <c r="AC230" s="187"/>
      <c r="AD230" s="187"/>
      <c r="AE230" s="187"/>
      <c r="AF230" s="187"/>
      <c r="AG230" s="187"/>
      <c r="AH230" s="187"/>
      <c r="AI230" s="187"/>
      <c r="AJ230" s="187"/>
      <c r="AK230" s="187"/>
    </row>
    <row r="231" spans="1:37" s="585" customFormat="1" x14ac:dyDescent="0.25">
      <c r="A231" s="187"/>
      <c r="B231" s="187"/>
      <c r="C231" s="187"/>
      <c r="D231" s="187"/>
      <c r="E231" s="187"/>
      <c r="F231" s="187"/>
      <c r="G231" s="187"/>
      <c r="H231" s="187"/>
      <c r="I231" s="187"/>
      <c r="J231" s="187"/>
      <c r="K231" s="187"/>
      <c r="L231" s="187"/>
      <c r="M231" s="187"/>
      <c r="N231" s="187"/>
      <c r="O231" s="700"/>
      <c r="P231" s="187"/>
      <c r="Q231" s="187"/>
      <c r="R231" s="187"/>
      <c r="S231" s="187"/>
      <c r="T231" s="187"/>
      <c r="U231" s="187"/>
      <c r="V231" s="187"/>
      <c r="W231" s="187"/>
      <c r="X231" s="187"/>
      <c r="Y231" s="187"/>
      <c r="Z231" s="187"/>
      <c r="AA231" s="187"/>
      <c r="AB231" s="187"/>
      <c r="AC231" s="187"/>
      <c r="AD231" s="187"/>
      <c r="AE231" s="187"/>
      <c r="AF231" s="187"/>
      <c r="AG231" s="187"/>
      <c r="AH231" s="187"/>
      <c r="AI231" s="187"/>
      <c r="AJ231" s="187"/>
      <c r="AK231" s="187"/>
    </row>
    <row r="232" spans="1:37" s="585" customFormat="1" x14ac:dyDescent="0.25">
      <c r="A232" s="187"/>
      <c r="B232" s="187"/>
      <c r="C232" s="187"/>
      <c r="D232" s="187"/>
      <c r="E232" s="187"/>
      <c r="F232" s="187"/>
      <c r="G232" s="187"/>
      <c r="H232" s="187"/>
      <c r="I232" s="187"/>
      <c r="J232" s="187"/>
      <c r="K232" s="187"/>
      <c r="L232" s="187"/>
      <c r="M232" s="187"/>
      <c r="N232" s="187"/>
      <c r="O232" s="700"/>
      <c r="P232" s="187"/>
      <c r="Q232" s="187"/>
      <c r="R232" s="187"/>
      <c r="S232" s="187"/>
      <c r="T232" s="187"/>
      <c r="U232" s="187"/>
      <c r="V232" s="187"/>
      <c r="W232" s="187"/>
      <c r="X232" s="187"/>
      <c r="Y232" s="187"/>
      <c r="Z232" s="187"/>
      <c r="AA232" s="187"/>
      <c r="AB232" s="187"/>
      <c r="AC232" s="187"/>
      <c r="AD232" s="187"/>
      <c r="AE232" s="187"/>
      <c r="AF232" s="187"/>
      <c r="AG232" s="187"/>
      <c r="AH232" s="187"/>
      <c r="AI232" s="187"/>
      <c r="AJ232" s="187"/>
      <c r="AK232" s="187"/>
    </row>
    <row r="233" spans="1:37" s="585" customFormat="1" x14ac:dyDescent="0.25">
      <c r="A233" s="187"/>
      <c r="B233" s="187"/>
      <c r="C233" s="187"/>
      <c r="D233" s="187"/>
      <c r="E233" s="187"/>
      <c r="F233" s="187"/>
      <c r="G233" s="187"/>
      <c r="H233" s="187"/>
      <c r="I233" s="187"/>
      <c r="J233" s="187"/>
      <c r="K233" s="187"/>
      <c r="L233" s="187"/>
      <c r="M233" s="187"/>
      <c r="N233" s="187"/>
      <c r="O233" s="700"/>
      <c r="P233" s="187"/>
      <c r="Q233" s="187"/>
      <c r="R233" s="187"/>
      <c r="S233" s="187"/>
      <c r="T233" s="187"/>
      <c r="U233" s="187"/>
      <c r="V233" s="187"/>
      <c r="W233" s="187"/>
      <c r="X233" s="187"/>
      <c r="Y233" s="187"/>
      <c r="Z233" s="187"/>
      <c r="AA233" s="187"/>
      <c r="AB233" s="187"/>
      <c r="AC233" s="187"/>
      <c r="AD233" s="187"/>
      <c r="AE233" s="187"/>
      <c r="AF233" s="187"/>
      <c r="AG233" s="187"/>
      <c r="AH233" s="187"/>
      <c r="AI233" s="187"/>
      <c r="AJ233" s="187"/>
      <c r="AK233" s="187"/>
    </row>
    <row r="234" spans="1:37" s="585" customFormat="1" x14ac:dyDescent="0.25">
      <c r="A234" s="187"/>
      <c r="B234" s="187"/>
      <c r="C234" s="187"/>
      <c r="D234" s="187"/>
      <c r="E234" s="187"/>
      <c r="F234" s="187"/>
      <c r="G234" s="187"/>
      <c r="H234" s="187"/>
      <c r="I234" s="187"/>
      <c r="J234" s="187"/>
      <c r="K234" s="187"/>
      <c r="L234" s="187"/>
      <c r="M234" s="187"/>
      <c r="N234" s="187"/>
      <c r="O234" s="700"/>
      <c r="P234" s="187"/>
      <c r="Q234" s="187"/>
      <c r="R234" s="187"/>
      <c r="S234" s="187"/>
      <c r="T234" s="187"/>
      <c r="U234" s="187"/>
      <c r="V234" s="187"/>
      <c r="W234" s="187"/>
      <c r="X234" s="187"/>
      <c r="Y234" s="187"/>
      <c r="Z234" s="187"/>
      <c r="AA234" s="187"/>
      <c r="AB234" s="187"/>
      <c r="AC234" s="187"/>
      <c r="AD234" s="187"/>
      <c r="AE234" s="187"/>
      <c r="AF234" s="187"/>
      <c r="AG234" s="187"/>
      <c r="AH234" s="187"/>
      <c r="AI234" s="187"/>
      <c r="AJ234" s="187"/>
      <c r="AK234" s="187"/>
    </row>
    <row r="235" spans="1:37" s="585" customFormat="1" x14ac:dyDescent="0.25">
      <c r="A235" s="187"/>
      <c r="B235" s="187"/>
      <c r="C235" s="187"/>
      <c r="D235" s="187"/>
      <c r="E235" s="187"/>
      <c r="F235" s="187"/>
      <c r="G235" s="187"/>
      <c r="H235" s="187"/>
      <c r="I235" s="187"/>
      <c r="J235" s="187"/>
      <c r="K235" s="187"/>
      <c r="L235" s="187"/>
      <c r="M235" s="187"/>
      <c r="N235" s="187"/>
      <c r="O235" s="700"/>
      <c r="P235" s="187"/>
      <c r="Q235" s="187"/>
      <c r="R235" s="187"/>
      <c r="S235" s="187"/>
      <c r="T235" s="187"/>
      <c r="U235" s="187"/>
      <c r="V235" s="187"/>
      <c r="W235" s="187"/>
      <c r="X235" s="187"/>
      <c r="Y235" s="187"/>
      <c r="Z235" s="187"/>
      <c r="AA235" s="187"/>
      <c r="AB235" s="187"/>
      <c r="AC235" s="187"/>
      <c r="AD235" s="187"/>
      <c r="AE235" s="187"/>
      <c r="AF235" s="187"/>
      <c r="AG235" s="187"/>
      <c r="AH235" s="187"/>
      <c r="AI235" s="187"/>
      <c r="AJ235" s="187"/>
      <c r="AK235" s="187"/>
    </row>
    <row r="236" spans="1:37" s="585" customFormat="1" x14ac:dyDescent="0.25">
      <c r="A236" s="187"/>
      <c r="B236" s="187"/>
      <c r="C236" s="187"/>
      <c r="D236" s="187"/>
      <c r="E236" s="187"/>
      <c r="F236" s="187"/>
      <c r="G236" s="187"/>
      <c r="H236" s="187"/>
      <c r="I236" s="187"/>
      <c r="J236" s="187"/>
      <c r="K236" s="187"/>
      <c r="L236" s="187"/>
      <c r="M236" s="187"/>
      <c r="N236" s="187"/>
      <c r="O236" s="700"/>
      <c r="P236" s="187"/>
      <c r="Q236" s="187"/>
      <c r="R236" s="187"/>
      <c r="S236" s="187"/>
      <c r="T236" s="187"/>
      <c r="U236" s="187"/>
      <c r="V236" s="187"/>
      <c r="W236" s="187"/>
      <c r="X236" s="187"/>
      <c r="Y236" s="187"/>
      <c r="Z236" s="187"/>
      <c r="AA236" s="187"/>
      <c r="AB236" s="187"/>
      <c r="AC236" s="187"/>
      <c r="AD236" s="187"/>
      <c r="AE236" s="187"/>
      <c r="AF236" s="187"/>
      <c r="AG236" s="187"/>
      <c r="AH236" s="187"/>
      <c r="AI236" s="187"/>
      <c r="AJ236" s="187"/>
      <c r="AK236" s="187"/>
    </row>
    <row r="237" spans="1:37" s="585" customFormat="1" x14ac:dyDescent="0.25">
      <c r="A237" s="187"/>
      <c r="B237" s="187"/>
      <c r="C237" s="187"/>
      <c r="D237" s="187"/>
      <c r="E237" s="187"/>
      <c r="F237" s="187"/>
      <c r="G237" s="187"/>
      <c r="H237" s="187"/>
      <c r="I237" s="187"/>
      <c r="J237" s="187"/>
      <c r="K237" s="187"/>
      <c r="L237" s="187"/>
      <c r="M237" s="187"/>
      <c r="N237" s="187"/>
      <c r="O237" s="700"/>
      <c r="P237" s="187"/>
      <c r="Q237" s="187"/>
      <c r="R237" s="187"/>
      <c r="S237" s="187"/>
      <c r="T237" s="187"/>
      <c r="U237" s="187"/>
      <c r="V237" s="187"/>
      <c r="W237" s="187"/>
      <c r="X237" s="187"/>
      <c r="Y237" s="187"/>
      <c r="Z237" s="187"/>
      <c r="AA237" s="187"/>
      <c r="AB237" s="187"/>
      <c r="AC237" s="187"/>
      <c r="AD237" s="187"/>
      <c r="AE237" s="187"/>
      <c r="AF237" s="187"/>
      <c r="AG237" s="187"/>
      <c r="AH237" s="187"/>
      <c r="AI237" s="187"/>
      <c r="AJ237" s="187"/>
      <c r="AK237" s="187"/>
    </row>
    <row r="238" spans="1:37" s="585" customFormat="1" x14ac:dyDescent="0.25">
      <c r="A238" s="187"/>
      <c r="B238" s="187"/>
      <c r="C238" s="187"/>
      <c r="D238" s="187"/>
      <c r="E238" s="187"/>
      <c r="F238" s="187"/>
      <c r="G238" s="187"/>
      <c r="H238" s="187"/>
      <c r="I238" s="187"/>
      <c r="J238" s="187"/>
      <c r="K238" s="187"/>
      <c r="L238" s="187"/>
      <c r="M238" s="187"/>
      <c r="N238" s="187"/>
      <c r="O238" s="700"/>
      <c r="P238" s="187"/>
      <c r="Q238" s="187"/>
      <c r="R238" s="187"/>
      <c r="S238" s="187"/>
      <c r="T238" s="187"/>
      <c r="U238" s="187"/>
      <c r="V238" s="187"/>
      <c r="W238" s="187"/>
      <c r="X238" s="187"/>
      <c r="Y238" s="187"/>
      <c r="Z238" s="187"/>
      <c r="AA238" s="187"/>
      <c r="AB238" s="187"/>
      <c r="AC238" s="187"/>
      <c r="AD238" s="187"/>
      <c r="AE238" s="187"/>
      <c r="AF238" s="187"/>
      <c r="AG238" s="187"/>
      <c r="AH238" s="187"/>
      <c r="AI238" s="187"/>
      <c r="AJ238" s="187"/>
      <c r="AK238" s="187"/>
    </row>
    <row r="239" spans="1:37" s="585" customFormat="1" x14ac:dyDescent="0.25">
      <c r="A239" s="187"/>
      <c r="B239" s="187"/>
      <c r="C239" s="187"/>
      <c r="D239" s="187"/>
      <c r="E239" s="187"/>
      <c r="F239" s="187"/>
      <c r="G239" s="187"/>
      <c r="H239" s="187"/>
      <c r="I239" s="187"/>
      <c r="J239" s="187"/>
      <c r="K239" s="187"/>
      <c r="L239" s="187"/>
      <c r="M239" s="187"/>
      <c r="N239" s="187"/>
      <c r="O239" s="700"/>
      <c r="P239" s="187"/>
      <c r="Q239" s="187"/>
      <c r="R239" s="187"/>
      <c r="S239" s="187"/>
      <c r="T239" s="187"/>
      <c r="U239" s="187"/>
      <c r="V239" s="187"/>
      <c r="W239" s="187"/>
      <c r="X239" s="187"/>
      <c r="Y239" s="187"/>
      <c r="Z239" s="187"/>
      <c r="AA239" s="187"/>
      <c r="AB239" s="187"/>
      <c r="AC239" s="187"/>
      <c r="AD239" s="187"/>
      <c r="AE239" s="187"/>
      <c r="AF239" s="187"/>
      <c r="AG239" s="187"/>
      <c r="AH239" s="187"/>
      <c r="AI239" s="187"/>
      <c r="AJ239" s="187"/>
      <c r="AK239" s="187"/>
    </row>
    <row r="240" spans="1:37" s="585" customFormat="1" x14ac:dyDescent="0.25">
      <c r="A240" s="187"/>
      <c r="B240" s="187"/>
      <c r="C240" s="187"/>
      <c r="D240" s="187"/>
      <c r="E240" s="187"/>
      <c r="F240" s="187"/>
      <c r="G240" s="187"/>
      <c r="H240" s="187"/>
      <c r="I240" s="187"/>
      <c r="J240" s="187"/>
      <c r="K240" s="187"/>
      <c r="L240" s="187"/>
      <c r="M240" s="187"/>
      <c r="N240" s="187"/>
      <c r="O240" s="700"/>
      <c r="P240" s="187"/>
      <c r="Q240" s="187"/>
      <c r="R240" s="187"/>
      <c r="S240" s="187"/>
      <c r="T240" s="187"/>
      <c r="U240" s="187"/>
      <c r="V240" s="187"/>
      <c r="W240" s="187"/>
      <c r="X240" s="187"/>
      <c r="Y240" s="187"/>
      <c r="Z240" s="187"/>
      <c r="AA240" s="187"/>
      <c r="AB240" s="187"/>
      <c r="AC240" s="187"/>
      <c r="AD240" s="187"/>
      <c r="AE240" s="187"/>
      <c r="AF240" s="187"/>
      <c r="AG240" s="187"/>
      <c r="AH240" s="187"/>
      <c r="AI240" s="187"/>
      <c r="AJ240" s="187"/>
      <c r="AK240" s="187"/>
    </row>
    <row r="241" spans="1:37" s="585" customFormat="1" x14ac:dyDescent="0.25">
      <c r="A241" s="187"/>
      <c r="B241" s="187"/>
      <c r="C241" s="187"/>
      <c r="D241" s="187"/>
      <c r="E241" s="187"/>
      <c r="F241" s="187"/>
      <c r="G241" s="187"/>
      <c r="H241" s="187"/>
      <c r="I241" s="187"/>
      <c r="J241" s="187"/>
      <c r="K241" s="187"/>
      <c r="L241" s="187"/>
      <c r="M241" s="187"/>
      <c r="N241" s="187"/>
      <c r="O241" s="700"/>
      <c r="P241" s="187"/>
      <c r="Q241" s="187"/>
      <c r="R241" s="187"/>
      <c r="S241" s="187"/>
      <c r="T241" s="187"/>
      <c r="U241" s="187"/>
      <c r="V241" s="187"/>
      <c r="W241" s="187"/>
      <c r="X241" s="187"/>
      <c r="Y241" s="187"/>
      <c r="Z241" s="187"/>
      <c r="AA241" s="187"/>
      <c r="AB241" s="187"/>
      <c r="AC241" s="187"/>
      <c r="AD241" s="187"/>
      <c r="AE241" s="187"/>
      <c r="AF241" s="187"/>
      <c r="AG241" s="187"/>
      <c r="AH241" s="187"/>
      <c r="AI241" s="187"/>
      <c r="AJ241" s="187"/>
      <c r="AK241" s="187"/>
    </row>
    <row r="242" spans="1:37" s="585" customFormat="1" x14ac:dyDescent="0.25">
      <c r="A242" s="187"/>
      <c r="B242" s="187"/>
      <c r="C242" s="187"/>
      <c r="D242" s="187"/>
      <c r="E242" s="187"/>
      <c r="F242" s="187"/>
      <c r="G242" s="187"/>
      <c r="H242" s="187"/>
      <c r="I242" s="187"/>
      <c r="J242" s="187"/>
      <c r="K242" s="187"/>
      <c r="L242" s="187"/>
      <c r="M242" s="187"/>
      <c r="N242" s="187"/>
      <c r="O242" s="700"/>
      <c r="P242" s="187"/>
      <c r="Q242" s="187"/>
      <c r="R242" s="187"/>
      <c r="S242" s="187"/>
      <c r="T242" s="187"/>
      <c r="U242" s="187"/>
      <c r="V242" s="187"/>
      <c r="W242" s="187"/>
      <c r="X242" s="187"/>
      <c r="Y242" s="187"/>
      <c r="Z242" s="187"/>
      <c r="AA242" s="187"/>
      <c r="AB242" s="187"/>
      <c r="AC242" s="187"/>
      <c r="AD242" s="187"/>
      <c r="AE242" s="187"/>
      <c r="AF242" s="187"/>
      <c r="AG242" s="187"/>
      <c r="AH242" s="187"/>
      <c r="AI242" s="187"/>
      <c r="AJ242" s="187"/>
      <c r="AK242" s="187"/>
    </row>
    <row r="243" spans="1:37" s="585" customFormat="1" x14ac:dyDescent="0.25">
      <c r="A243" s="187"/>
      <c r="B243" s="187"/>
      <c r="C243" s="187"/>
      <c r="D243" s="187"/>
      <c r="E243" s="187"/>
      <c r="F243" s="187"/>
      <c r="G243" s="187"/>
      <c r="H243" s="187"/>
      <c r="I243" s="187"/>
      <c r="J243" s="187"/>
      <c r="K243" s="187"/>
      <c r="L243" s="187"/>
      <c r="M243" s="187"/>
      <c r="N243" s="187"/>
      <c r="O243" s="700"/>
      <c r="P243" s="187"/>
      <c r="Q243" s="187"/>
      <c r="R243" s="187"/>
      <c r="S243" s="187"/>
      <c r="T243" s="187"/>
      <c r="U243" s="187"/>
      <c r="V243" s="187"/>
      <c r="W243" s="187"/>
      <c r="X243" s="187"/>
      <c r="Y243" s="187"/>
      <c r="Z243" s="187"/>
      <c r="AA243" s="187"/>
      <c r="AB243" s="187"/>
      <c r="AC243" s="187"/>
      <c r="AD243" s="187"/>
      <c r="AE243" s="187"/>
      <c r="AF243" s="187"/>
      <c r="AG243" s="187"/>
      <c r="AH243" s="187"/>
      <c r="AI243" s="187"/>
      <c r="AJ243" s="187"/>
      <c r="AK243" s="187"/>
    </row>
    <row r="244" spans="1:37" s="585" customFormat="1" x14ac:dyDescent="0.25">
      <c r="A244" s="187"/>
      <c r="B244" s="187"/>
      <c r="C244" s="187"/>
      <c r="D244" s="187"/>
      <c r="E244" s="187"/>
      <c r="F244" s="187"/>
      <c r="G244" s="187"/>
      <c r="H244" s="187"/>
      <c r="I244" s="187"/>
      <c r="J244" s="187"/>
      <c r="K244" s="187"/>
      <c r="L244" s="187"/>
      <c r="M244" s="187"/>
      <c r="N244" s="187"/>
      <c r="O244" s="700"/>
      <c r="P244" s="187"/>
      <c r="Q244" s="187"/>
      <c r="R244" s="187"/>
      <c r="S244" s="187"/>
      <c r="T244" s="187"/>
      <c r="U244" s="187"/>
      <c r="V244" s="187"/>
      <c r="W244" s="187"/>
      <c r="X244" s="187"/>
      <c r="Y244" s="187"/>
      <c r="Z244" s="187"/>
      <c r="AA244" s="187"/>
      <c r="AB244" s="187"/>
      <c r="AC244" s="187"/>
      <c r="AD244" s="187"/>
      <c r="AE244" s="187"/>
      <c r="AF244" s="187"/>
      <c r="AG244" s="187"/>
      <c r="AH244" s="187"/>
      <c r="AI244" s="187"/>
      <c r="AJ244" s="187"/>
      <c r="AK244" s="187"/>
    </row>
    <row r="245" spans="1:37" s="585" customFormat="1" x14ac:dyDescent="0.25">
      <c r="A245" s="187"/>
      <c r="B245" s="187"/>
      <c r="C245" s="187"/>
      <c r="D245" s="187"/>
      <c r="E245" s="187"/>
      <c r="F245" s="187"/>
      <c r="G245" s="187"/>
      <c r="H245" s="187"/>
      <c r="I245" s="187"/>
      <c r="J245" s="187"/>
      <c r="K245" s="187"/>
      <c r="L245" s="187"/>
      <c r="M245" s="187"/>
      <c r="N245" s="187"/>
      <c r="O245" s="700"/>
      <c r="P245" s="187"/>
      <c r="Q245" s="187"/>
      <c r="R245" s="187"/>
      <c r="S245" s="187"/>
      <c r="T245" s="187"/>
      <c r="U245" s="187"/>
      <c r="V245" s="187"/>
      <c r="W245" s="187"/>
      <c r="X245" s="187"/>
      <c r="Y245" s="187"/>
      <c r="Z245" s="187"/>
      <c r="AA245" s="187"/>
      <c r="AB245" s="187"/>
      <c r="AC245" s="187"/>
      <c r="AD245" s="187"/>
      <c r="AE245" s="187"/>
      <c r="AF245" s="187"/>
      <c r="AG245" s="187"/>
      <c r="AH245" s="187"/>
      <c r="AI245" s="187"/>
      <c r="AJ245" s="187"/>
      <c r="AK245" s="187"/>
    </row>
    <row r="246" spans="1:37" s="585" customFormat="1" x14ac:dyDescent="0.25">
      <c r="A246" s="187"/>
      <c r="B246" s="187"/>
      <c r="C246" s="187"/>
      <c r="D246" s="187"/>
      <c r="E246" s="187"/>
      <c r="F246" s="187"/>
      <c r="G246" s="187"/>
      <c r="H246" s="187"/>
      <c r="I246" s="187"/>
      <c r="J246" s="187"/>
      <c r="K246" s="187"/>
      <c r="L246" s="187"/>
      <c r="M246" s="187"/>
      <c r="N246" s="187"/>
      <c r="O246" s="700"/>
      <c r="P246" s="187"/>
      <c r="Q246" s="187"/>
      <c r="R246" s="187"/>
      <c r="S246" s="187"/>
      <c r="T246" s="187"/>
      <c r="U246" s="187"/>
      <c r="V246" s="187"/>
      <c r="W246" s="187"/>
      <c r="X246" s="187"/>
      <c r="Y246" s="187"/>
      <c r="Z246" s="187"/>
      <c r="AA246" s="187"/>
      <c r="AB246" s="187"/>
      <c r="AC246" s="187"/>
      <c r="AD246" s="187"/>
      <c r="AE246" s="187"/>
      <c r="AF246" s="187"/>
      <c r="AG246" s="187"/>
      <c r="AH246" s="187"/>
      <c r="AI246" s="187"/>
      <c r="AJ246" s="187"/>
      <c r="AK246" s="187"/>
    </row>
    <row r="247" spans="1:37" s="585" customFormat="1" x14ac:dyDescent="0.25">
      <c r="A247" s="187"/>
      <c r="B247" s="187"/>
      <c r="C247" s="187"/>
      <c r="D247" s="187"/>
      <c r="E247" s="187"/>
      <c r="F247" s="187"/>
      <c r="G247" s="187"/>
      <c r="H247" s="187"/>
      <c r="I247" s="187"/>
      <c r="J247" s="187"/>
      <c r="K247" s="187"/>
      <c r="L247" s="187"/>
      <c r="M247" s="187"/>
      <c r="N247" s="187"/>
      <c r="O247" s="700"/>
      <c r="P247" s="187"/>
      <c r="Q247" s="187"/>
      <c r="R247" s="187"/>
      <c r="S247" s="187"/>
      <c r="T247" s="187"/>
      <c r="U247" s="187"/>
      <c r="V247" s="187"/>
      <c r="W247" s="187"/>
      <c r="X247" s="187"/>
      <c r="Y247" s="187"/>
      <c r="Z247" s="187"/>
      <c r="AA247" s="187"/>
      <c r="AB247" s="187"/>
      <c r="AC247" s="187"/>
      <c r="AD247" s="187"/>
      <c r="AE247" s="187"/>
      <c r="AF247" s="187"/>
      <c r="AG247" s="187"/>
      <c r="AH247" s="187"/>
      <c r="AI247" s="187"/>
      <c r="AJ247" s="187"/>
      <c r="AK247" s="187"/>
    </row>
    <row r="248" spans="1:37" s="585" customFormat="1" x14ac:dyDescent="0.25">
      <c r="A248" s="187"/>
      <c r="B248" s="187"/>
      <c r="C248" s="187"/>
      <c r="D248" s="187"/>
      <c r="E248" s="187"/>
      <c r="F248" s="187"/>
      <c r="G248" s="187"/>
      <c r="H248" s="187"/>
      <c r="I248" s="187"/>
      <c r="J248" s="187"/>
      <c r="K248" s="187"/>
      <c r="L248" s="187"/>
      <c r="M248" s="187"/>
      <c r="N248" s="187"/>
      <c r="O248" s="700"/>
      <c r="P248" s="187"/>
      <c r="Q248" s="187"/>
      <c r="R248" s="187"/>
      <c r="S248" s="187"/>
      <c r="T248" s="187"/>
      <c r="U248" s="187"/>
      <c r="V248" s="187"/>
      <c r="W248" s="187"/>
      <c r="X248" s="187"/>
      <c r="Y248" s="187"/>
      <c r="Z248" s="187"/>
      <c r="AA248" s="187"/>
      <c r="AB248" s="187"/>
      <c r="AC248" s="187"/>
      <c r="AD248" s="187"/>
      <c r="AE248" s="187"/>
      <c r="AF248" s="187"/>
      <c r="AG248" s="187"/>
      <c r="AH248" s="187"/>
      <c r="AI248" s="187"/>
      <c r="AJ248" s="187"/>
      <c r="AK248" s="187"/>
    </row>
    <row r="249" spans="1:37" s="585" customFormat="1" x14ac:dyDescent="0.25">
      <c r="A249" s="187"/>
      <c r="B249" s="187"/>
      <c r="C249" s="187"/>
      <c r="D249" s="187"/>
      <c r="E249" s="187"/>
      <c r="F249" s="187"/>
      <c r="G249" s="187"/>
      <c r="H249" s="187"/>
      <c r="I249" s="187"/>
      <c r="J249" s="187"/>
      <c r="K249" s="187"/>
      <c r="L249" s="187"/>
      <c r="M249" s="187"/>
      <c r="N249" s="187"/>
      <c r="O249" s="700"/>
      <c r="P249" s="187"/>
      <c r="Q249" s="187"/>
      <c r="R249" s="187"/>
      <c r="S249" s="187"/>
      <c r="T249" s="187"/>
      <c r="U249" s="187"/>
      <c r="V249" s="187"/>
      <c r="W249" s="187"/>
      <c r="X249" s="187"/>
      <c r="Y249" s="187"/>
      <c r="Z249" s="187"/>
      <c r="AA249" s="187"/>
      <c r="AB249" s="187"/>
      <c r="AC249" s="187"/>
      <c r="AD249" s="187"/>
      <c r="AE249" s="187"/>
      <c r="AF249" s="187"/>
      <c r="AG249" s="187"/>
      <c r="AH249" s="187"/>
      <c r="AI249" s="187"/>
      <c r="AJ249" s="187"/>
      <c r="AK249" s="187"/>
    </row>
    <row r="250" spans="1:37" s="585" customFormat="1" x14ac:dyDescent="0.25">
      <c r="A250" s="187"/>
      <c r="B250" s="187"/>
      <c r="C250" s="187"/>
      <c r="D250" s="187"/>
      <c r="E250" s="187"/>
      <c r="F250" s="187"/>
      <c r="G250" s="187"/>
      <c r="H250" s="187"/>
      <c r="I250" s="187"/>
      <c r="J250" s="187"/>
      <c r="K250" s="187"/>
      <c r="L250" s="187"/>
      <c r="M250" s="187"/>
      <c r="N250" s="187"/>
      <c r="O250" s="700"/>
      <c r="P250" s="187"/>
      <c r="Q250" s="187"/>
      <c r="R250" s="187"/>
      <c r="S250" s="187"/>
      <c r="T250" s="187"/>
      <c r="U250" s="187"/>
      <c r="V250" s="187"/>
      <c r="W250" s="187"/>
      <c r="X250" s="187"/>
      <c r="Y250" s="187"/>
      <c r="Z250" s="187"/>
      <c r="AA250" s="187"/>
      <c r="AB250" s="187"/>
      <c r="AC250" s="187"/>
      <c r="AD250" s="187"/>
      <c r="AE250" s="187"/>
      <c r="AF250" s="187"/>
      <c r="AG250" s="187"/>
      <c r="AH250" s="187"/>
      <c r="AI250" s="187"/>
      <c r="AJ250" s="187"/>
      <c r="AK250" s="187"/>
    </row>
    <row r="251" spans="1:37" s="585" customFormat="1" x14ac:dyDescent="0.25">
      <c r="A251" s="187"/>
      <c r="B251" s="187"/>
      <c r="C251" s="187"/>
      <c r="D251" s="187"/>
      <c r="E251" s="187"/>
      <c r="F251" s="187"/>
      <c r="G251" s="187"/>
      <c r="H251" s="187"/>
      <c r="I251" s="187"/>
      <c r="J251" s="187"/>
      <c r="K251" s="187"/>
      <c r="L251" s="187"/>
      <c r="M251" s="187"/>
      <c r="N251" s="187"/>
      <c r="O251" s="700"/>
      <c r="P251" s="187"/>
      <c r="Q251" s="187"/>
      <c r="R251" s="187"/>
      <c r="S251" s="187"/>
      <c r="T251" s="187"/>
      <c r="U251" s="187"/>
      <c r="V251" s="187"/>
      <c r="W251" s="187"/>
      <c r="X251" s="187"/>
      <c r="Y251" s="187"/>
      <c r="Z251" s="187"/>
      <c r="AA251" s="187"/>
      <c r="AB251" s="187"/>
      <c r="AC251" s="187"/>
      <c r="AD251" s="187"/>
      <c r="AE251" s="187"/>
      <c r="AF251" s="187"/>
      <c r="AG251" s="187"/>
      <c r="AH251" s="187"/>
      <c r="AI251" s="187"/>
      <c r="AJ251" s="187"/>
      <c r="AK251" s="187"/>
    </row>
    <row r="252" spans="1:37" s="585" customFormat="1" x14ac:dyDescent="0.25">
      <c r="A252" s="187"/>
      <c r="B252" s="187"/>
      <c r="C252" s="187"/>
      <c r="D252" s="187"/>
      <c r="E252" s="187"/>
      <c r="F252" s="187"/>
      <c r="G252" s="187"/>
      <c r="H252" s="187"/>
      <c r="I252" s="187"/>
      <c r="J252" s="187"/>
      <c r="K252" s="187"/>
      <c r="L252" s="187"/>
      <c r="M252" s="187"/>
      <c r="N252" s="187"/>
      <c r="O252" s="700"/>
      <c r="P252" s="187"/>
      <c r="Q252" s="187"/>
      <c r="R252" s="187"/>
      <c r="S252" s="187"/>
      <c r="T252" s="187"/>
      <c r="U252" s="187"/>
      <c r="V252" s="187"/>
      <c r="W252" s="187"/>
      <c r="X252" s="187"/>
      <c r="Y252" s="187"/>
      <c r="Z252" s="187"/>
      <c r="AA252" s="187"/>
      <c r="AB252" s="187"/>
      <c r="AC252" s="187"/>
      <c r="AD252" s="187"/>
      <c r="AE252" s="187"/>
      <c r="AF252" s="187"/>
      <c r="AG252" s="187"/>
      <c r="AH252" s="187"/>
      <c r="AI252" s="187"/>
      <c r="AJ252" s="187"/>
      <c r="AK252" s="187"/>
    </row>
    <row r="253" spans="1:37" s="585" customFormat="1" x14ac:dyDescent="0.25">
      <c r="A253" s="187"/>
      <c r="B253" s="187"/>
      <c r="C253" s="187"/>
      <c r="D253" s="187"/>
      <c r="E253" s="187"/>
      <c r="F253" s="187"/>
      <c r="G253" s="187"/>
      <c r="H253" s="187"/>
      <c r="I253" s="187"/>
      <c r="J253" s="187"/>
      <c r="K253" s="187"/>
      <c r="L253" s="187"/>
      <c r="M253" s="187"/>
      <c r="N253" s="187"/>
      <c r="O253" s="700"/>
      <c r="P253" s="187"/>
      <c r="Q253" s="187"/>
      <c r="R253" s="187"/>
      <c r="S253" s="187"/>
      <c r="T253" s="187"/>
      <c r="U253" s="187"/>
      <c r="V253" s="187"/>
      <c r="W253" s="187"/>
      <c r="X253" s="187"/>
      <c r="Y253" s="187"/>
      <c r="Z253" s="187"/>
      <c r="AA253" s="187"/>
      <c r="AB253" s="187"/>
      <c r="AC253" s="187"/>
      <c r="AD253" s="187"/>
      <c r="AE253" s="187"/>
      <c r="AF253" s="187"/>
      <c r="AG253" s="187"/>
      <c r="AH253" s="187"/>
      <c r="AI253" s="187"/>
      <c r="AJ253" s="187"/>
      <c r="AK253" s="187"/>
    </row>
    <row r="254" spans="1:37" s="585" customFormat="1" x14ac:dyDescent="0.25">
      <c r="A254" s="187"/>
      <c r="B254" s="187"/>
      <c r="C254" s="187"/>
      <c r="D254" s="187"/>
      <c r="E254" s="187"/>
      <c r="F254" s="187"/>
      <c r="G254" s="187"/>
      <c r="H254" s="187"/>
      <c r="I254" s="187"/>
      <c r="J254" s="187"/>
      <c r="K254" s="187"/>
      <c r="L254" s="187"/>
      <c r="M254" s="187"/>
      <c r="N254" s="187"/>
      <c r="O254" s="700"/>
      <c r="P254" s="187"/>
      <c r="Q254" s="187"/>
      <c r="R254" s="187"/>
      <c r="S254" s="187"/>
      <c r="T254" s="187"/>
      <c r="U254" s="187"/>
      <c r="V254" s="187"/>
      <c r="W254" s="187"/>
      <c r="X254" s="187"/>
      <c r="Y254" s="187"/>
      <c r="Z254" s="187"/>
      <c r="AA254" s="187"/>
      <c r="AB254" s="187"/>
      <c r="AC254" s="187"/>
      <c r="AD254" s="187"/>
      <c r="AE254" s="187"/>
      <c r="AF254" s="187"/>
      <c r="AG254" s="187"/>
      <c r="AH254" s="187"/>
      <c r="AI254" s="187"/>
      <c r="AJ254" s="187"/>
      <c r="AK254" s="187"/>
    </row>
    <row r="255" spans="1:37" s="585" customFormat="1" x14ac:dyDescent="0.25">
      <c r="A255" s="187"/>
      <c r="B255" s="187"/>
      <c r="C255" s="187"/>
      <c r="D255" s="187"/>
      <c r="E255" s="187"/>
      <c r="F255" s="187"/>
      <c r="G255" s="187"/>
      <c r="H255" s="187"/>
      <c r="I255" s="187"/>
      <c r="J255" s="187"/>
      <c r="K255" s="187"/>
      <c r="L255" s="187"/>
      <c r="M255" s="187"/>
      <c r="N255" s="187"/>
      <c r="O255" s="700"/>
      <c r="P255" s="187"/>
      <c r="Q255" s="187"/>
      <c r="R255" s="187"/>
      <c r="S255" s="187"/>
      <c r="T255" s="187"/>
      <c r="U255" s="187"/>
      <c r="V255" s="187"/>
      <c r="W255" s="187"/>
      <c r="X255" s="187"/>
      <c r="Y255" s="187"/>
      <c r="Z255" s="187"/>
      <c r="AA255" s="187"/>
      <c r="AB255" s="187"/>
      <c r="AC255" s="187"/>
      <c r="AD255" s="187"/>
      <c r="AE255" s="187"/>
      <c r="AF255" s="187"/>
      <c r="AG255" s="187"/>
      <c r="AH255" s="187"/>
      <c r="AI255" s="187"/>
      <c r="AJ255" s="187"/>
      <c r="AK255" s="187"/>
    </row>
    <row r="256" spans="1:37" s="585" customFormat="1" x14ac:dyDescent="0.25">
      <c r="A256" s="187"/>
      <c r="B256" s="187"/>
      <c r="C256" s="187"/>
      <c r="D256" s="187"/>
      <c r="E256" s="187"/>
      <c r="F256" s="187"/>
      <c r="G256" s="187"/>
      <c r="H256" s="187"/>
      <c r="I256" s="187"/>
      <c r="J256" s="187"/>
      <c r="K256" s="187"/>
      <c r="L256" s="187"/>
      <c r="M256" s="187"/>
      <c r="N256" s="187"/>
      <c r="O256" s="700"/>
      <c r="P256" s="187"/>
      <c r="Q256" s="187"/>
      <c r="R256" s="187"/>
      <c r="S256" s="187"/>
      <c r="T256" s="187"/>
      <c r="U256" s="187"/>
      <c r="V256" s="187"/>
      <c r="W256" s="187"/>
      <c r="X256" s="187"/>
      <c r="Y256" s="187"/>
      <c r="Z256" s="187"/>
      <c r="AA256" s="187"/>
      <c r="AB256" s="187"/>
      <c r="AC256" s="187"/>
      <c r="AD256" s="187"/>
      <c r="AE256" s="187"/>
      <c r="AF256" s="187"/>
      <c r="AG256" s="187"/>
      <c r="AH256" s="187"/>
      <c r="AI256" s="187"/>
      <c r="AJ256" s="187"/>
      <c r="AK256" s="187"/>
    </row>
    <row r="257" spans="1:37" s="585" customFormat="1" x14ac:dyDescent="0.25">
      <c r="A257" s="187"/>
      <c r="B257" s="187"/>
      <c r="C257" s="187"/>
      <c r="D257" s="187"/>
      <c r="E257" s="187"/>
      <c r="F257" s="187"/>
      <c r="G257" s="187"/>
      <c r="H257" s="187"/>
      <c r="I257" s="187"/>
      <c r="J257" s="187"/>
      <c r="K257" s="187"/>
      <c r="L257" s="187"/>
      <c r="M257" s="187"/>
      <c r="N257" s="187"/>
      <c r="O257" s="700"/>
      <c r="P257" s="187"/>
      <c r="Q257" s="187"/>
      <c r="R257" s="187"/>
      <c r="S257" s="187"/>
      <c r="T257" s="187"/>
      <c r="U257" s="187"/>
      <c r="V257" s="187"/>
      <c r="W257" s="187"/>
      <c r="X257" s="187"/>
      <c r="Y257" s="187"/>
      <c r="Z257" s="187"/>
      <c r="AA257" s="187"/>
      <c r="AB257" s="187"/>
      <c r="AC257" s="187"/>
      <c r="AD257" s="187"/>
      <c r="AE257" s="187"/>
      <c r="AF257" s="187"/>
      <c r="AG257" s="187"/>
      <c r="AH257" s="187"/>
      <c r="AI257" s="187"/>
      <c r="AJ257" s="187"/>
      <c r="AK257" s="187"/>
    </row>
    <row r="258" spans="1:37" s="585" customFormat="1" x14ac:dyDescent="0.25">
      <c r="A258" s="187"/>
      <c r="B258" s="187"/>
      <c r="C258" s="187"/>
      <c r="D258" s="187"/>
      <c r="E258" s="187"/>
      <c r="F258" s="187"/>
      <c r="G258" s="187"/>
      <c r="H258" s="187"/>
      <c r="I258" s="187"/>
      <c r="J258" s="187"/>
      <c r="K258" s="187"/>
      <c r="L258" s="187"/>
      <c r="M258" s="187"/>
      <c r="N258" s="187"/>
      <c r="O258" s="700"/>
      <c r="P258" s="187"/>
      <c r="Q258" s="187"/>
      <c r="R258" s="187"/>
      <c r="S258" s="187"/>
      <c r="T258" s="187"/>
      <c r="U258" s="187"/>
      <c r="V258" s="187"/>
      <c r="W258" s="187"/>
      <c r="X258" s="187"/>
      <c r="Y258" s="187"/>
      <c r="Z258" s="187"/>
      <c r="AA258" s="187"/>
      <c r="AB258" s="187"/>
      <c r="AC258" s="187"/>
      <c r="AD258" s="187"/>
      <c r="AE258" s="187"/>
      <c r="AF258" s="187"/>
      <c r="AG258" s="187"/>
      <c r="AH258" s="187"/>
      <c r="AI258" s="187"/>
      <c r="AJ258" s="187"/>
      <c r="AK258" s="187"/>
    </row>
    <row r="259" spans="1:37" s="585" customFormat="1" x14ac:dyDescent="0.25">
      <c r="A259" s="187"/>
      <c r="B259" s="187"/>
      <c r="C259" s="187"/>
      <c r="D259" s="187"/>
      <c r="E259" s="187"/>
      <c r="F259" s="187"/>
      <c r="G259" s="187"/>
      <c r="H259" s="187"/>
      <c r="I259" s="187"/>
      <c r="J259" s="187"/>
      <c r="K259" s="187"/>
      <c r="L259" s="187"/>
      <c r="M259" s="187"/>
      <c r="N259" s="187"/>
      <c r="O259" s="700"/>
      <c r="P259" s="187"/>
      <c r="Q259" s="187"/>
      <c r="R259" s="187"/>
      <c r="S259" s="187"/>
      <c r="T259" s="187"/>
      <c r="U259" s="187"/>
      <c r="V259" s="187"/>
      <c r="W259" s="187"/>
      <c r="X259" s="187"/>
      <c r="Y259" s="187"/>
      <c r="Z259" s="187"/>
      <c r="AA259" s="187"/>
      <c r="AB259" s="187"/>
      <c r="AC259" s="187"/>
      <c r="AD259" s="187"/>
      <c r="AE259" s="187"/>
      <c r="AF259" s="187"/>
      <c r="AG259" s="187"/>
      <c r="AH259" s="187"/>
      <c r="AI259" s="187"/>
      <c r="AJ259" s="187"/>
      <c r="AK259" s="187"/>
    </row>
    <row r="260" spans="1:37" s="585" customFormat="1" x14ac:dyDescent="0.25">
      <c r="A260" s="187"/>
      <c r="B260" s="187"/>
      <c r="C260" s="187"/>
      <c r="D260" s="187"/>
      <c r="E260" s="187"/>
      <c r="F260" s="187"/>
      <c r="G260" s="187"/>
      <c r="H260" s="187"/>
      <c r="I260" s="187"/>
      <c r="J260" s="187"/>
      <c r="K260" s="187"/>
      <c r="L260" s="187"/>
      <c r="M260" s="187"/>
      <c r="N260" s="187"/>
      <c r="O260" s="700"/>
      <c r="P260" s="187"/>
      <c r="Q260" s="187"/>
      <c r="R260" s="187"/>
      <c r="S260" s="187"/>
      <c r="T260" s="187"/>
      <c r="U260" s="187"/>
      <c r="V260" s="187"/>
      <c r="W260" s="187"/>
      <c r="X260" s="187"/>
      <c r="Y260" s="187"/>
      <c r="Z260" s="187"/>
      <c r="AA260" s="187"/>
      <c r="AB260" s="187"/>
      <c r="AC260" s="187"/>
      <c r="AD260" s="187"/>
      <c r="AE260" s="187"/>
      <c r="AF260" s="187"/>
      <c r="AG260" s="187"/>
      <c r="AH260" s="187"/>
      <c r="AI260" s="187"/>
      <c r="AJ260" s="187"/>
      <c r="AK260" s="187"/>
    </row>
    <row r="261" spans="1:37" s="585" customFormat="1" x14ac:dyDescent="0.25">
      <c r="A261" s="187"/>
      <c r="B261" s="187"/>
      <c r="C261" s="187"/>
      <c r="D261" s="187"/>
      <c r="E261" s="187"/>
      <c r="F261" s="187"/>
      <c r="G261" s="187"/>
      <c r="H261" s="187"/>
      <c r="I261" s="187"/>
      <c r="J261" s="187"/>
      <c r="K261" s="187"/>
      <c r="L261" s="187"/>
      <c r="M261" s="187"/>
      <c r="N261" s="187"/>
      <c r="O261" s="700"/>
      <c r="P261" s="187"/>
      <c r="Q261" s="187"/>
      <c r="R261" s="187"/>
      <c r="S261" s="187"/>
      <c r="T261" s="187"/>
      <c r="U261" s="187"/>
      <c r="V261" s="187"/>
      <c r="W261" s="187"/>
      <c r="X261" s="187"/>
      <c r="Y261" s="187"/>
      <c r="Z261" s="187"/>
      <c r="AA261" s="187"/>
      <c r="AB261" s="187"/>
      <c r="AC261" s="187"/>
      <c r="AD261" s="187"/>
      <c r="AE261" s="187"/>
      <c r="AF261" s="187"/>
      <c r="AG261" s="187"/>
      <c r="AH261" s="187"/>
      <c r="AI261" s="187"/>
      <c r="AJ261" s="187"/>
      <c r="AK261" s="187"/>
    </row>
    <row r="262" spans="1:37" s="585" customFormat="1" x14ac:dyDescent="0.25">
      <c r="A262" s="187"/>
      <c r="B262" s="187"/>
      <c r="C262" s="187"/>
      <c r="D262" s="187"/>
      <c r="E262" s="187"/>
      <c r="F262" s="187"/>
      <c r="G262" s="187"/>
      <c r="H262" s="187"/>
      <c r="I262" s="187"/>
      <c r="J262" s="187"/>
      <c r="K262" s="187"/>
      <c r="L262" s="187"/>
      <c r="M262" s="187"/>
      <c r="N262" s="187"/>
      <c r="O262" s="700"/>
      <c r="P262" s="187"/>
      <c r="Q262" s="187"/>
      <c r="R262" s="187"/>
      <c r="S262" s="187"/>
      <c r="T262" s="187"/>
      <c r="U262" s="187"/>
      <c r="V262" s="187"/>
      <c r="W262" s="187"/>
      <c r="X262" s="187"/>
      <c r="Y262" s="187"/>
      <c r="Z262" s="187"/>
      <c r="AA262" s="187"/>
      <c r="AB262" s="187"/>
      <c r="AC262" s="187"/>
      <c r="AD262" s="187"/>
      <c r="AE262" s="187"/>
      <c r="AF262" s="187"/>
      <c r="AG262" s="187"/>
      <c r="AH262" s="187"/>
      <c r="AI262" s="187"/>
      <c r="AJ262" s="187"/>
      <c r="AK262" s="187"/>
    </row>
    <row r="263" spans="1:37" s="585" customFormat="1" x14ac:dyDescent="0.25">
      <c r="A263" s="187"/>
      <c r="B263" s="187"/>
      <c r="C263" s="187"/>
      <c r="D263" s="187"/>
      <c r="E263" s="187"/>
      <c r="F263" s="187"/>
      <c r="G263" s="187"/>
      <c r="H263" s="187"/>
      <c r="I263" s="187"/>
      <c r="J263" s="187"/>
      <c r="K263" s="187"/>
      <c r="L263" s="187"/>
      <c r="M263" s="187"/>
      <c r="N263" s="187"/>
      <c r="O263" s="700"/>
      <c r="P263" s="187"/>
      <c r="Q263" s="187"/>
      <c r="R263" s="187"/>
      <c r="S263" s="187"/>
      <c r="T263" s="187"/>
      <c r="U263" s="187"/>
      <c r="V263" s="187"/>
      <c r="W263" s="187"/>
      <c r="X263" s="187"/>
      <c r="Y263" s="187"/>
      <c r="Z263" s="187"/>
      <c r="AA263" s="187"/>
      <c r="AB263" s="187"/>
      <c r="AC263" s="187"/>
      <c r="AD263" s="187"/>
      <c r="AE263" s="187"/>
      <c r="AF263" s="187"/>
      <c r="AG263" s="187"/>
      <c r="AH263" s="187"/>
      <c r="AI263" s="187"/>
      <c r="AJ263" s="187"/>
      <c r="AK263" s="187"/>
    </row>
    <row r="264" spans="1:37" s="585" customFormat="1" x14ac:dyDescent="0.25">
      <c r="A264" s="187"/>
      <c r="B264" s="187"/>
      <c r="C264" s="187"/>
      <c r="D264" s="187"/>
      <c r="E264" s="187"/>
      <c r="F264" s="187"/>
      <c r="G264" s="187"/>
      <c r="H264" s="187"/>
      <c r="I264" s="187"/>
      <c r="J264" s="187"/>
      <c r="K264" s="187"/>
      <c r="L264" s="187"/>
      <c r="M264" s="187"/>
      <c r="N264" s="187"/>
      <c r="O264" s="700"/>
      <c r="P264" s="187"/>
      <c r="Q264" s="187"/>
      <c r="R264" s="187"/>
      <c r="S264" s="187"/>
      <c r="T264" s="187"/>
      <c r="U264" s="187"/>
      <c r="V264" s="187"/>
      <c r="W264" s="187"/>
      <c r="X264" s="187"/>
      <c r="Y264" s="187"/>
      <c r="Z264" s="187"/>
      <c r="AA264" s="187"/>
      <c r="AB264" s="187"/>
      <c r="AC264" s="187"/>
      <c r="AD264" s="187"/>
      <c r="AE264" s="187"/>
      <c r="AF264" s="187"/>
      <c r="AG264" s="187"/>
      <c r="AH264" s="187"/>
      <c r="AI264" s="187"/>
      <c r="AJ264" s="187"/>
      <c r="AK264" s="187"/>
    </row>
    <row r="265" spans="1:37" s="585" customFormat="1" x14ac:dyDescent="0.25">
      <c r="A265" s="187"/>
      <c r="B265" s="187"/>
      <c r="C265" s="187"/>
      <c r="D265" s="187"/>
      <c r="E265" s="187"/>
      <c r="F265" s="187"/>
      <c r="G265" s="187"/>
      <c r="H265" s="187"/>
      <c r="I265" s="187"/>
      <c r="J265" s="187"/>
      <c r="K265" s="187"/>
      <c r="L265" s="187"/>
      <c r="M265" s="187"/>
      <c r="N265" s="187"/>
      <c r="O265" s="700"/>
      <c r="P265" s="187"/>
      <c r="Q265" s="187"/>
      <c r="R265" s="187"/>
      <c r="S265" s="187"/>
      <c r="T265" s="187"/>
      <c r="U265" s="187"/>
      <c r="V265" s="187"/>
      <c r="W265" s="187"/>
      <c r="X265" s="187"/>
      <c r="Y265" s="187"/>
      <c r="Z265" s="187"/>
      <c r="AA265" s="187"/>
      <c r="AB265" s="187"/>
      <c r="AC265" s="187"/>
      <c r="AD265" s="187"/>
      <c r="AE265" s="187"/>
      <c r="AF265" s="187"/>
      <c r="AG265" s="187"/>
      <c r="AH265" s="187"/>
      <c r="AI265" s="187"/>
      <c r="AJ265" s="187"/>
      <c r="AK265" s="187"/>
    </row>
    <row r="266" spans="1:37" s="585" customFormat="1" x14ac:dyDescent="0.25">
      <c r="A266" s="187"/>
      <c r="B266" s="187"/>
      <c r="C266" s="187"/>
      <c r="D266" s="187"/>
      <c r="E266" s="187"/>
      <c r="F266" s="187"/>
      <c r="G266" s="187"/>
      <c r="H266" s="187"/>
      <c r="I266" s="187"/>
      <c r="J266" s="187"/>
      <c r="K266" s="187"/>
      <c r="L266" s="187"/>
      <c r="M266" s="187"/>
      <c r="N266" s="187"/>
      <c r="O266" s="700"/>
      <c r="P266" s="187"/>
      <c r="Q266" s="187"/>
      <c r="R266" s="187"/>
      <c r="S266" s="187"/>
      <c r="T266" s="187"/>
      <c r="U266" s="187"/>
      <c r="V266" s="187"/>
      <c r="W266" s="187"/>
      <c r="X266" s="187"/>
      <c r="Y266" s="187"/>
      <c r="Z266" s="187"/>
      <c r="AA266" s="187"/>
      <c r="AB266" s="187"/>
      <c r="AC266" s="187"/>
      <c r="AD266" s="187"/>
      <c r="AE266" s="187"/>
      <c r="AF266" s="187"/>
      <c r="AG266" s="187"/>
      <c r="AH266" s="187"/>
      <c r="AI266" s="187"/>
      <c r="AJ266" s="187"/>
      <c r="AK266" s="187"/>
    </row>
    <row r="267" spans="1:37" s="585" customFormat="1" x14ac:dyDescent="0.25">
      <c r="A267" s="187"/>
      <c r="B267" s="187"/>
      <c r="C267" s="187"/>
      <c r="D267" s="187"/>
      <c r="E267" s="187"/>
      <c r="F267" s="187"/>
      <c r="G267" s="187"/>
      <c r="H267" s="187"/>
      <c r="I267" s="187"/>
      <c r="J267" s="187"/>
      <c r="K267" s="187"/>
      <c r="L267" s="187"/>
      <c r="M267" s="187"/>
      <c r="N267" s="187"/>
      <c r="O267" s="700"/>
      <c r="P267" s="187"/>
      <c r="Q267" s="187"/>
      <c r="R267" s="187"/>
      <c r="S267" s="187"/>
      <c r="T267" s="187"/>
      <c r="U267" s="187"/>
      <c r="V267" s="187"/>
      <c r="W267" s="187"/>
      <c r="X267" s="187"/>
      <c r="Y267" s="187"/>
      <c r="Z267" s="187"/>
      <c r="AA267" s="187"/>
      <c r="AB267" s="187"/>
      <c r="AC267" s="187"/>
      <c r="AD267" s="187"/>
      <c r="AE267" s="187"/>
      <c r="AF267" s="187"/>
      <c r="AG267" s="187"/>
      <c r="AH267" s="187"/>
      <c r="AI267" s="187"/>
      <c r="AJ267" s="187"/>
      <c r="AK267" s="187"/>
    </row>
    <row r="268" spans="1:37" s="585" customFormat="1" x14ac:dyDescent="0.25">
      <c r="A268" s="187"/>
      <c r="B268" s="187"/>
      <c r="C268" s="187"/>
      <c r="D268" s="187"/>
      <c r="E268" s="187"/>
      <c r="F268" s="187"/>
      <c r="G268" s="187"/>
      <c r="H268" s="187"/>
      <c r="I268" s="187"/>
      <c r="J268" s="187"/>
      <c r="K268" s="187"/>
      <c r="L268" s="187"/>
      <c r="M268" s="187"/>
      <c r="N268" s="187"/>
      <c r="O268" s="700"/>
      <c r="P268" s="187"/>
      <c r="Q268" s="187"/>
      <c r="R268" s="187"/>
      <c r="S268" s="187"/>
      <c r="T268" s="187"/>
      <c r="U268" s="187"/>
      <c r="V268" s="187"/>
      <c r="W268" s="187"/>
      <c r="X268" s="187"/>
      <c r="Y268" s="187"/>
      <c r="Z268" s="187"/>
      <c r="AA268" s="187"/>
      <c r="AB268" s="187"/>
      <c r="AC268" s="187"/>
      <c r="AD268" s="187"/>
      <c r="AE268" s="187"/>
      <c r="AF268" s="187"/>
      <c r="AG268" s="187"/>
      <c r="AH268" s="187"/>
      <c r="AI268" s="187"/>
      <c r="AJ268" s="187"/>
      <c r="AK268" s="187"/>
    </row>
    <row r="269" spans="1:37" s="585" customFormat="1" x14ac:dyDescent="0.25">
      <c r="A269" s="187"/>
      <c r="B269" s="187"/>
      <c r="C269" s="187"/>
      <c r="D269" s="187"/>
      <c r="E269" s="187"/>
      <c r="F269" s="187"/>
      <c r="G269" s="187"/>
      <c r="H269" s="187"/>
      <c r="I269" s="187"/>
      <c r="J269" s="187"/>
      <c r="K269" s="187"/>
      <c r="L269" s="187"/>
      <c r="M269" s="187"/>
      <c r="N269" s="187"/>
      <c r="O269" s="700"/>
      <c r="P269" s="187"/>
      <c r="Q269" s="187"/>
      <c r="R269" s="187"/>
      <c r="S269" s="187"/>
      <c r="T269" s="187"/>
      <c r="U269" s="187"/>
      <c r="V269" s="187"/>
      <c r="W269" s="187"/>
      <c r="X269" s="187"/>
      <c r="Y269" s="187"/>
      <c r="Z269" s="187"/>
      <c r="AA269" s="187"/>
      <c r="AB269" s="187"/>
      <c r="AC269" s="187"/>
      <c r="AD269" s="187"/>
      <c r="AE269" s="187"/>
      <c r="AF269" s="187"/>
      <c r="AG269" s="187"/>
      <c r="AH269" s="187"/>
      <c r="AI269" s="187"/>
      <c r="AJ269" s="187"/>
      <c r="AK269" s="187"/>
    </row>
    <row r="270" spans="1:37" s="585" customFormat="1" x14ac:dyDescent="0.25">
      <c r="A270" s="187"/>
      <c r="B270" s="187"/>
      <c r="C270" s="187"/>
      <c r="D270" s="187"/>
      <c r="E270" s="187"/>
      <c r="F270" s="187"/>
      <c r="G270" s="187"/>
      <c r="H270" s="187"/>
      <c r="I270" s="187"/>
      <c r="J270" s="187"/>
      <c r="K270" s="187"/>
      <c r="L270" s="187"/>
      <c r="M270" s="187"/>
      <c r="N270" s="187"/>
      <c r="O270" s="700"/>
      <c r="P270" s="187"/>
      <c r="Q270" s="187"/>
      <c r="R270" s="187"/>
      <c r="S270" s="187"/>
      <c r="T270" s="187"/>
      <c r="U270" s="187"/>
      <c r="V270" s="187"/>
      <c r="W270" s="187"/>
      <c r="X270" s="187"/>
      <c r="Y270" s="187"/>
      <c r="Z270" s="187"/>
      <c r="AA270" s="187"/>
      <c r="AB270" s="187"/>
      <c r="AC270" s="187"/>
      <c r="AD270" s="187"/>
      <c r="AE270" s="187"/>
      <c r="AF270" s="187"/>
      <c r="AG270" s="187"/>
      <c r="AH270" s="187"/>
      <c r="AI270" s="187"/>
      <c r="AJ270" s="187"/>
      <c r="AK270" s="187"/>
    </row>
    <row r="271" spans="1:37" s="585" customFormat="1" x14ac:dyDescent="0.25">
      <c r="A271" s="187"/>
      <c r="B271" s="187"/>
      <c r="C271" s="187"/>
      <c r="D271" s="187"/>
      <c r="E271" s="187"/>
      <c r="F271" s="187"/>
      <c r="G271" s="187"/>
      <c r="H271" s="187"/>
      <c r="I271" s="187"/>
      <c r="J271" s="187"/>
      <c r="K271" s="187"/>
      <c r="L271" s="187"/>
      <c r="M271" s="187"/>
      <c r="N271" s="187"/>
      <c r="O271" s="700"/>
      <c r="P271" s="187"/>
      <c r="Q271" s="187"/>
      <c r="R271" s="187"/>
      <c r="S271" s="187"/>
      <c r="T271" s="187"/>
      <c r="U271" s="187"/>
      <c r="V271" s="187"/>
      <c r="W271" s="187"/>
      <c r="X271" s="187"/>
      <c r="Y271" s="187"/>
      <c r="Z271" s="187"/>
      <c r="AA271" s="187"/>
      <c r="AB271" s="187"/>
      <c r="AC271" s="187"/>
      <c r="AD271" s="187"/>
      <c r="AE271" s="187"/>
      <c r="AF271" s="187"/>
      <c r="AG271" s="187"/>
      <c r="AH271" s="187"/>
      <c r="AI271" s="187"/>
      <c r="AJ271" s="187"/>
      <c r="AK271" s="187"/>
    </row>
    <row r="272" spans="1:37" s="585" customFormat="1" x14ac:dyDescent="0.25">
      <c r="A272" s="187"/>
      <c r="B272" s="187"/>
      <c r="C272" s="187"/>
      <c r="D272" s="187"/>
      <c r="E272" s="187"/>
      <c r="F272" s="187"/>
      <c r="G272" s="187"/>
      <c r="H272" s="187"/>
      <c r="I272" s="187"/>
      <c r="J272" s="187"/>
      <c r="K272" s="187"/>
      <c r="L272" s="187"/>
      <c r="M272" s="187"/>
      <c r="N272" s="187"/>
      <c r="O272" s="700"/>
      <c r="P272" s="187"/>
      <c r="Q272" s="187"/>
      <c r="R272" s="187"/>
      <c r="S272" s="187"/>
      <c r="T272" s="187"/>
      <c r="U272" s="187"/>
      <c r="V272" s="187"/>
      <c r="W272" s="187"/>
      <c r="X272" s="187"/>
      <c r="Y272" s="187"/>
      <c r="Z272" s="187"/>
      <c r="AA272" s="187"/>
      <c r="AB272" s="187"/>
      <c r="AC272" s="187"/>
      <c r="AD272" s="187"/>
      <c r="AE272" s="187"/>
      <c r="AF272" s="187"/>
      <c r="AG272" s="187"/>
      <c r="AH272" s="187"/>
      <c r="AI272" s="187"/>
      <c r="AJ272" s="187"/>
      <c r="AK272" s="187"/>
    </row>
    <row r="273" spans="1:37" s="585" customFormat="1" x14ac:dyDescent="0.25">
      <c r="A273" s="187"/>
      <c r="B273" s="187"/>
      <c r="C273" s="187"/>
      <c r="D273" s="187"/>
      <c r="E273" s="187"/>
      <c r="F273" s="187"/>
      <c r="G273" s="187"/>
      <c r="H273" s="187"/>
      <c r="I273" s="187"/>
      <c r="J273" s="187"/>
      <c r="K273" s="187"/>
      <c r="L273" s="187"/>
      <c r="M273" s="187"/>
      <c r="N273" s="187"/>
      <c r="O273" s="700"/>
      <c r="P273" s="187"/>
      <c r="Q273" s="187"/>
      <c r="R273" s="187"/>
      <c r="S273" s="187"/>
      <c r="T273" s="187"/>
      <c r="U273" s="187"/>
      <c r="V273" s="187"/>
      <c r="W273" s="187"/>
      <c r="X273" s="187"/>
      <c r="Y273" s="187"/>
      <c r="Z273" s="187"/>
      <c r="AA273" s="187"/>
      <c r="AB273" s="187"/>
      <c r="AC273" s="187"/>
      <c r="AD273" s="187"/>
      <c r="AE273" s="187"/>
      <c r="AF273" s="187"/>
      <c r="AG273" s="187"/>
      <c r="AH273" s="187"/>
      <c r="AI273" s="187"/>
      <c r="AJ273" s="187"/>
      <c r="AK273" s="187"/>
    </row>
    <row r="274" spans="1:37" s="585" customFormat="1" x14ac:dyDescent="0.25">
      <c r="A274" s="187"/>
      <c r="B274" s="187"/>
      <c r="C274" s="187"/>
      <c r="D274" s="187"/>
      <c r="E274" s="187"/>
      <c r="F274" s="187"/>
      <c r="G274" s="187"/>
      <c r="H274" s="187"/>
      <c r="I274" s="187"/>
      <c r="J274" s="187"/>
      <c r="K274" s="187"/>
      <c r="L274" s="187"/>
      <c r="M274" s="187"/>
      <c r="N274" s="187"/>
      <c r="O274" s="700"/>
      <c r="P274" s="187"/>
      <c r="Q274" s="187"/>
      <c r="R274" s="187"/>
      <c r="S274" s="187"/>
      <c r="T274" s="187"/>
      <c r="U274" s="187"/>
      <c r="V274" s="187"/>
      <c r="W274" s="187"/>
      <c r="X274" s="187"/>
      <c r="Y274" s="187"/>
      <c r="Z274" s="187"/>
      <c r="AA274" s="187"/>
      <c r="AB274" s="187"/>
      <c r="AC274" s="187"/>
      <c r="AD274" s="187"/>
      <c r="AE274" s="187"/>
      <c r="AF274" s="187"/>
      <c r="AG274" s="187"/>
      <c r="AH274" s="187"/>
      <c r="AI274" s="187"/>
      <c r="AJ274" s="187"/>
      <c r="AK274" s="187"/>
    </row>
    <row r="275" spans="1:37" s="585" customFormat="1" x14ac:dyDescent="0.25">
      <c r="A275" s="187"/>
      <c r="B275" s="187"/>
      <c r="C275" s="187"/>
      <c r="D275" s="187"/>
      <c r="E275" s="187"/>
      <c r="F275" s="187"/>
      <c r="G275" s="187"/>
      <c r="H275" s="187"/>
      <c r="I275" s="187"/>
      <c r="J275" s="187"/>
      <c r="K275" s="187"/>
      <c r="L275" s="187"/>
      <c r="M275" s="187"/>
      <c r="N275" s="187"/>
      <c r="O275" s="700"/>
      <c r="P275" s="187"/>
      <c r="Q275" s="187"/>
      <c r="R275" s="187"/>
      <c r="S275" s="187"/>
      <c r="T275" s="187"/>
      <c r="U275" s="187"/>
      <c r="V275" s="187"/>
      <c r="W275" s="187"/>
      <c r="X275" s="187"/>
      <c r="Y275" s="187"/>
      <c r="Z275" s="187"/>
      <c r="AA275" s="187"/>
      <c r="AB275" s="187"/>
      <c r="AC275" s="187"/>
      <c r="AD275" s="187"/>
      <c r="AE275" s="187"/>
      <c r="AF275" s="187"/>
      <c r="AG275" s="187"/>
      <c r="AH275" s="187"/>
      <c r="AI275" s="187"/>
      <c r="AJ275" s="187"/>
      <c r="AK275" s="187"/>
    </row>
    <row r="276" spans="1:37" s="585" customFormat="1" x14ac:dyDescent="0.25">
      <c r="A276" s="187"/>
      <c r="B276" s="187"/>
      <c r="C276" s="187"/>
      <c r="D276" s="187"/>
      <c r="E276" s="187"/>
      <c r="F276" s="187"/>
      <c r="G276" s="187"/>
      <c r="H276" s="187"/>
      <c r="I276" s="187"/>
      <c r="J276" s="187"/>
      <c r="K276" s="187"/>
      <c r="L276" s="187"/>
      <c r="M276" s="187"/>
      <c r="N276" s="187"/>
      <c r="O276" s="700"/>
      <c r="P276" s="187"/>
      <c r="Q276" s="187"/>
      <c r="R276" s="187"/>
      <c r="S276" s="187"/>
      <c r="T276" s="187"/>
      <c r="U276" s="187"/>
      <c r="V276" s="187"/>
      <c r="W276" s="187"/>
      <c r="X276" s="187"/>
      <c r="Y276" s="187"/>
      <c r="Z276" s="187"/>
      <c r="AA276" s="187"/>
      <c r="AB276" s="187"/>
      <c r="AC276" s="187"/>
      <c r="AD276" s="187"/>
      <c r="AE276" s="187"/>
      <c r="AF276" s="187"/>
      <c r="AG276" s="187"/>
      <c r="AH276" s="187"/>
      <c r="AI276" s="187"/>
      <c r="AJ276" s="187"/>
      <c r="AK276" s="187"/>
    </row>
    <row r="277" spans="1:37" s="585" customFormat="1" x14ac:dyDescent="0.25">
      <c r="A277" s="187"/>
      <c r="B277" s="187"/>
      <c r="C277" s="187"/>
      <c r="D277" s="187"/>
      <c r="E277" s="187"/>
      <c r="F277" s="187"/>
      <c r="G277" s="187"/>
      <c r="H277" s="187"/>
      <c r="I277" s="187"/>
      <c r="J277" s="187"/>
      <c r="K277" s="187"/>
      <c r="L277" s="187"/>
      <c r="M277" s="187"/>
      <c r="N277" s="187"/>
      <c r="O277" s="700"/>
      <c r="P277" s="187"/>
      <c r="Q277" s="187"/>
      <c r="R277" s="187"/>
      <c r="S277" s="187"/>
      <c r="T277" s="187"/>
      <c r="U277" s="187"/>
      <c r="V277" s="187"/>
      <c r="W277" s="187"/>
      <c r="X277" s="187"/>
      <c r="Y277" s="187"/>
      <c r="Z277" s="187"/>
      <c r="AA277" s="187"/>
      <c r="AB277" s="187"/>
      <c r="AC277" s="187"/>
      <c r="AD277" s="187"/>
      <c r="AE277" s="187"/>
      <c r="AF277" s="187"/>
      <c r="AG277" s="187"/>
      <c r="AH277" s="187"/>
      <c r="AI277" s="187"/>
      <c r="AJ277" s="187"/>
      <c r="AK277" s="187"/>
    </row>
    <row r="278" spans="1:37" s="585" customFormat="1" x14ac:dyDescent="0.25">
      <c r="A278" s="187"/>
      <c r="B278" s="187"/>
      <c r="C278" s="187"/>
      <c r="D278" s="187"/>
      <c r="E278" s="187"/>
      <c r="F278" s="187"/>
      <c r="G278" s="187"/>
      <c r="H278" s="187"/>
      <c r="I278" s="187"/>
      <c r="J278" s="187"/>
      <c r="K278" s="187"/>
      <c r="L278" s="187"/>
      <c r="M278" s="187"/>
      <c r="N278" s="187"/>
      <c r="O278" s="700"/>
      <c r="P278" s="187"/>
      <c r="Q278" s="187"/>
      <c r="R278" s="187"/>
      <c r="S278" s="187"/>
      <c r="T278" s="187"/>
      <c r="U278" s="187"/>
      <c r="V278" s="187"/>
      <c r="W278" s="187"/>
      <c r="X278" s="187"/>
      <c r="Y278" s="187"/>
      <c r="Z278" s="187"/>
      <c r="AA278" s="187"/>
      <c r="AB278" s="187"/>
      <c r="AC278" s="187"/>
      <c r="AD278" s="187"/>
      <c r="AE278" s="187"/>
      <c r="AF278" s="187"/>
      <c r="AG278" s="187"/>
      <c r="AH278" s="187"/>
      <c r="AI278" s="187"/>
      <c r="AJ278" s="187"/>
      <c r="AK278" s="187"/>
    </row>
    <row r="279" spans="1:37" s="585" customFormat="1" x14ac:dyDescent="0.25">
      <c r="A279" s="187"/>
      <c r="B279" s="187"/>
      <c r="C279" s="187"/>
      <c r="D279" s="187"/>
      <c r="E279" s="187"/>
      <c r="F279" s="187"/>
      <c r="G279" s="187"/>
      <c r="H279" s="187"/>
      <c r="I279" s="187"/>
      <c r="J279" s="187"/>
      <c r="K279" s="187"/>
      <c r="L279" s="187"/>
      <c r="M279" s="187"/>
      <c r="N279" s="187"/>
      <c r="O279" s="700"/>
      <c r="P279" s="187"/>
      <c r="Q279" s="187"/>
      <c r="R279" s="187"/>
      <c r="S279" s="187"/>
      <c r="T279" s="187"/>
      <c r="U279" s="187"/>
      <c r="V279" s="187"/>
      <c r="W279" s="187"/>
      <c r="X279" s="187"/>
      <c r="Y279" s="187"/>
      <c r="Z279" s="187"/>
      <c r="AA279" s="187"/>
      <c r="AB279" s="187"/>
      <c r="AC279" s="187"/>
      <c r="AD279" s="187"/>
      <c r="AE279" s="187"/>
      <c r="AF279" s="187"/>
      <c r="AG279" s="187"/>
      <c r="AH279" s="187"/>
      <c r="AI279" s="187"/>
      <c r="AJ279" s="187"/>
      <c r="AK279" s="187"/>
    </row>
    <row r="280" spans="1:37" s="585" customFormat="1" x14ac:dyDescent="0.25">
      <c r="A280" s="187"/>
      <c r="B280" s="187"/>
      <c r="C280" s="187"/>
      <c r="D280" s="187"/>
      <c r="E280" s="187"/>
      <c r="F280" s="187"/>
      <c r="G280" s="187"/>
      <c r="H280" s="187"/>
      <c r="I280" s="187"/>
      <c r="J280" s="187"/>
      <c r="K280" s="187"/>
      <c r="L280" s="187"/>
      <c r="M280" s="187"/>
      <c r="N280" s="187"/>
      <c r="O280" s="700"/>
      <c r="P280" s="187"/>
      <c r="Q280" s="187"/>
      <c r="R280" s="187"/>
      <c r="S280" s="187"/>
      <c r="T280" s="187"/>
      <c r="U280" s="187"/>
      <c r="V280" s="187"/>
      <c r="W280" s="187"/>
      <c r="X280" s="187"/>
      <c r="Y280" s="187"/>
      <c r="Z280" s="187"/>
      <c r="AA280" s="187"/>
      <c r="AB280" s="187"/>
      <c r="AC280" s="187"/>
      <c r="AD280" s="187"/>
      <c r="AE280" s="187"/>
      <c r="AF280" s="187"/>
      <c r="AG280" s="187"/>
      <c r="AH280" s="187"/>
      <c r="AI280" s="187"/>
      <c r="AJ280" s="187"/>
      <c r="AK280" s="187"/>
    </row>
    <row r="281" spans="1:37" s="585" customFormat="1" x14ac:dyDescent="0.25">
      <c r="A281" s="187"/>
      <c r="B281" s="187"/>
      <c r="C281" s="187"/>
      <c r="D281" s="187"/>
      <c r="E281" s="187"/>
      <c r="F281" s="187"/>
      <c r="G281" s="187"/>
      <c r="H281" s="187"/>
      <c r="I281" s="187"/>
      <c r="J281" s="187"/>
      <c r="K281" s="187"/>
      <c r="L281" s="187"/>
      <c r="M281" s="187"/>
      <c r="N281" s="187"/>
      <c r="O281" s="700"/>
      <c r="P281" s="187"/>
      <c r="Q281" s="187"/>
      <c r="R281" s="187"/>
      <c r="S281" s="187"/>
      <c r="T281" s="187"/>
      <c r="U281" s="187"/>
      <c r="V281" s="187"/>
      <c r="W281" s="187"/>
      <c r="X281" s="187"/>
      <c r="Y281" s="187"/>
      <c r="Z281" s="187"/>
      <c r="AA281" s="187"/>
      <c r="AB281" s="187"/>
      <c r="AC281" s="187"/>
      <c r="AD281" s="187"/>
      <c r="AE281" s="187"/>
      <c r="AF281" s="187"/>
      <c r="AG281" s="187"/>
      <c r="AH281" s="187"/>
      <c r="AI281" s="187"/>
      <c r="AJ281" s="187"/>
      <c r="AK281" s="187"/>
    </row>
    <row r="282" spans="1:37" s="585" customFormat="1" x14ac:dyDescent="0.25">
      <c r="A282" s="187"/>
      <c r="B282" s="187"/>
      <c r="C282" s="187"/>
      <c r="D282" s="187"/>
      <c r="E282" s="187"/>
      <c r="F282" s="187"/>
      <c r="G282" s="187"/>
      <c r="H282" s="187"/>
      <c r="I282" s="187"/>
      <c r="J282" s="187"/>
      <c r="K282" s="187"/>
      <c r="L282" s="187"/>
      <c r="M282" s="187"/>
      <c r="N282" s="187"/>
      <c r="O282" s="700"/>
      <c r="P282" s="187"/>
      <c r="Q282" s="187"/>
      <c r="R282" s="187"/>
      <c r="S282" s="187"/>
      <c r="T282" s="187"/>
      <c r="U282" s="187"/>
      <c r="V282" s="187"/>
      <c r="W282" s="187"/>
      <c r="X282" s="187"/>
      <c r="Y282" s="187"/>
      <c r="Z282" s="187"/>
      <c r="AA282" s="187"/>
      <c r="AB282" s="187"/>
      <c r="AC282" s="187"/>
      <c r="AD282" s="187"/>
      <c r="AE282" s="187"/>
      <c r="AF282" s="187"/>
      <c r="AG282" s="187"/>
      <c r="AH282" s="187"/>
      <c r="AI282" s="187"/>
      <c r="AJ282" s="187"/>
      <c r="AK282" s="187"/>
    </row>
    <row r="283" spans="1:37" s="585" customFormat="1" x14ac:dyDescent="0.25">
      <c r="A283" s="187"/>
      <c r="B283" s="187"/>
      <c r="C283" s="187"/>
      <c r="D283" s="187"/>
      <c r="E283" s="187"/>
      <c r="F283" s="187"/>
      <c r="G283" s="187"/>
      <c r="H283" s="187"/>
      <c r="I283" s="187"/>
      <c r="J283" s="187"/>
      <c r="K283" s="187"/>
      <c r="L283" s="187"/>
      <c r="M283" s="187"/>
      <c r="N283" s="187"/>
      <c r="O283" s="700"/>
      <c r="P283" s="187"/>
      <c r="Q283" s="187"/>
      <c r="R283" s="187"/>
      <c r="S283" s="187"/>
      <c r="T283" s="187"/>
      <c r="U283" s="187"/>
      <c r="V283" s="187"/>
      <c r="W283" s="187"/>
      <c r="X283" s="187"/>
      <c r="Y283" s="187"/>
      <c r="Z283" s="187"/>
      <c r="AA283" s="187"/>
      <c r="AB283" s="187"/>
      <c r="AC283" s="187"/>
      <c r="AD283" s="187"/>
      <c r="AE283" s="187"/>
      <c r="AF283" s="187"/>
      <c r="AG283" s="187"/>
      <c r="AH283" s="187"/>
      <c r="AI283" s="187"/>
      <c r="AJ283" s="187"/>
      <c r="AK283" s="187"/>
    </row>
    <row r="284" spans="1:37" s="585" customFormat="1" x14ac:dyDescent="0.25">
      <c r="A284" s="187"/>
      <c r="B284" s="187"/>
      <c r="C284" s="187"/>
      <c r="D284" s="187"/>
      <c r="E284" s="187"/>
      <c r="F284" s="187"/>
      <c r="G284" s="187"/>
      <c r="H284" s="187"/>
      <c r="I284" s="187"/>
      <c r="J284" s="187"/>
      <c r="K284" s="187"/>
      <c r="L284" s="187"/>
      <c r="M284" s="187"/>
      <c r="N284" s="187"/>
      <c r="O284" s="700"/>
      <c r="P284" s="187"/>
      <c r="Q284" s="187"/>
      <c r="R284" s="187"/>
      <c r="S284" s="187"/>
      <c r="T284" s="187"/>
      <c r="U284" s="187"/>
      <c r="V284" s="187"/>
      <c r="W284" s="187"/>
      <c r="X284" s="187"/>
      <c r="Y284" s="187"/>
      <c r="Z284" s="187"/>
      <c r="AA284" s="187"/>
      <c r="AB284" s="187"/>
      <c r="AC284" s="187"/>
      <c r="AD284" s="187"/>
      <c r="AE284" s="187"/>
      <c r="AF284" s="187"/>
      <c r="AG284" s="187"/>
      <c r="AH284" s="187"/>
      <c r="AI284" s="187"/>
      <c r="AJ284" s="187"/>
      <c r="AK284" s="187"/>
    </row>
    <row r="285" spans="1:37" s="585" customFormat="1" x14ac:dyDescent="0.25">
      <c r="A285" s="187"/>
      <c r="B285" s="187"/>
      <c r="C285" s="187"/>
      <c r="D285" s="187"/>
      <c r="E285" s="187"/>
      <c r="F285" s="187"/>
      <c r="G285" s="187"/>
      <c r="H285" s="187"/>
      <c r="I285" s="187"/>
      <c r="J285" s="187"/>
      <c r="K285" s="187"/>
      <c r="L285" s="187"/>
      <c r="M285" s="187"/>
      <c r="N285" s="187"/>
      <c r="O285" s="700"/>
      <c r="P285" s="187"/>
      <c r="Q285" s="187"/>
      <c r="R285" s="187"/>
      <c r="S285" s="187"/>
      <c r="T285" s="187"/>
      <c r="U285" s="187"/>
      <c r="V285" s="187"/>
      <c r="W285" s="187"/>
      <c r="X285" s="187"/>
      <c r="Y285" s="187"/>
      <c r="Z285" s="187"/>
      <c r="AA285" s="187"/>
      <c r="AB285" s="187"/>
      <c r="AC285" s="187"/>
      <c r="AD285" s="187"/>
      <c r="AE285" s="187"/>
      <c r="AF285" s="187"/>
      <c r="AG285" s="187"/>
      <c r="AH285" s="187"/>
      <c r="AI285" s="187"/>
      <c r="AJ285" s="187"/>
      <c r="AK285" s="187"/>
    </row>
    <row r="286" spans="1:37" s="585" customFormat="1" x14ac:dyDescent="0.25">
      <c r="A286" s="187"/>
      <c r="B286" s="187"/>
      <c r="C286" s="187"/>
      <c r="D286" s="187"/>
      <c r="E286" s="187"/>
      <c r="F286" s="187"/>
      <c r="G286" s="187"/>
      <c r="H286" s="187"/>
      <c r="I286" s="187"/>
      <c r="J286" s="187"/>
      <c r="K286" s="187"/>
      <c r="L286" s="187"/>
      <c r="M286" s="187"/>
      <c r="N286" s="187"/>
      <c r="O286" s="700"/>
      <c r="P286" s="187"/>
      <c r="Q286" s="187"/>
      <c r="R286" s="187"/>
      <c r="S286" s="187"/>
      <c r="T286" s="187"/>
      <c r="U286" s="187"/>
      <c r="V286" s="187"/>
      <c r="W286" s="187"/>
      <c r="X286" s="187"/>
      <c r="Y286" s="187"/>
      <c r="Z286" s="187"/>
      <c r="AA286" s="187"/>
      <c r="AB286" s="187"/>
      <c r="AC286" s="187"/>
      <c r="AD286" s="187"/>
      <c r="AE286" s="187"/>
      <c r="AF286" s="187"/>
      <c r="AG286" s="187"/>
      <c r="AH286" s="187"/>
      <c r="AI286" s="187"/>
      <c r="AJ286" s="187"/>
      <c r="AK286" s="187"/>
    </row>
    <row r="287" spans="1:37" s="585" customFormat="1" x14ac:dyDescent="0.25">
      <c r="A287" s="187"/>
      <c r="B287" s="187"/>
      <c r="C287" s="187"/>
      <c r="D287" s="187"/>
      <c r="E287" s="187"/>
      <c r="F287" s="187"/>
      <c r="G287" s="187"/>
      <c r="H287" s="187"/>
      <c r="I287" s="187"/>
      <c r="J287" s="187"/>
      <c r="K287" s="187"/>
      <c r="L287" s="187"/>
      <c r="M287" s="187"/>
      <c r="N287" s="187"/>
      <c r="O287" s="700"/>
      <c r="P287" s="187"/>
      <c r="Q287" s="187"/>
      <c r="R287" s="187"/>
      <c r="S287" s="187"/>
      <c r="T287" s="187"/>
      <c r="U287" s="187"/>
      <c r="V287" s="187"/>
      <c r="W287" s="187"/>
      <c r="X287" s="187"/>
      <c r="Y287" s="187"/>
      <c r="Z287" s="187"/>
      <c r="AA287" s="187"/>
      <c r="AB287" s="187"/>
      <c r="AC287" s="187"/>
      <c r="AD287" s="187"/>
      <c r="AE287" s="187"/>
      <c r="AF287" s="187"/>
      <c r="AG287" s="187"/>
      <c r="AH287" s="187"/>
      <c r="AI287" s="187"/>
      <c r="AJ287" s="187"/>
      <c r="AK287" s="187"/>
    </row>
    <row r="288" spans="1:37" s="585" customFormat="1" x14ac:dyDescent="0.25">
      <c r="A288" s="187"/>
      <c r="B288" s="187"/>
      <c r="C288" s="187"/>
      <c r="D288" s="187"/>
      <c r="E288" s="187"/>
      <c r="F288" s="187"/>
      <c r="G288" s="187"/>
      <c r="H288" s="187"/>
      <c r="I288" s="187"/>
      <c r="J288" s="187"/>
      <c r="K288" s="187"/>
      <c r="L288" s="187"/>
      <c r="M288" s="187"/>
      <c r="N288" s="187"/>
      <c r="O288" s="700"/>
      <c r="P288" s="187"/>
      <c r="Q288" s="187"/>
      <c r="R288" s="187"/>
      <c r="S288" s="187"/>
      <c r="T288" s="187"/>
      <c r="U288" s="187"/>
      <c r="V288" s="187"/>
      <c r="W288" s="187"/>
      <c r="X288" s="187"/>
      <c r="Y288" s="187"/>
      <c r="Z288" s="187"/>
      <c r="AA288" s="187"/>
      <c r="AB288" s="187"/>
      <c r="AC288" s="187"/>
      <c r="AD288" s="187"/>
      <c r="AE288" s="187"/>
      <c r="AF288" s="187"/>
      <c r="AG288" s="187"/>
      <c r="AH288" s="187"/>
      <c r="AI288" s="187"/>
      <c r="AJ288" s="187"/>
      <c r="AK288" s="187"/>
    </row>
    <row r="289" spans="1:37" s="585" customFormat="1" x14ac:dyDescent="0.25">
      <c r="A289" s="187"/>
      <c r="B289" s="187"/>
      <c r="C289" s="187"/>
      <c r="D289" s="187"/>
      <c r="E289" s="187"/>
      <c r="F289" s="187"/>
      <c r="G289" s="187"/>
      <c r="H289" s="187"/>
      <c r="I289" s="187"/>
      <c r="J289" s="187"/>
      <c r="K289" s="187"/>
      <c r="L289" s="187"/>
      <c r="M289" s="187"/>
      <c r="N289" s="187"/>
      <c r="O289" s="700"/>
      <c r="P289" s="187"/>
      <c r="Q289" s="187"/>
      <c r="R289" s="187"/>
      <c r="S289" s="187"/>
      <c r="T289" s="187"/>
      <c r="U289" s="187"/>
      <c r="V289" s="187"/>
      <c r="W289" s="187"/>
      <c r="X289" s="187"/>
      <c r="Y289" s="187"/>
      <c r="Z289" s="187"/>
      <c r="AA289" s="187"/>
      <c r="AB289" s="187"/>
      <c r="AC289" s="187"/>
      <c r="AD289" s="187"/>
      <c r="AE289" s="187"/>
      <c r="AF289" s="187"/>
      <c r="AG289" s="187"/>
      <c r="AH289" s="187"/>
      <c r="AI289" s="187"/>
      <c r="AJ289" s="187"/>
      <c r="AK289" s="187"/>
    </row>
    <row r="290" spans="1:37" s="585" customFormat="1" x14ac:dyDescent="0.25">
      <c r="A290" s="187"/>
      <c r="B290" s="187"/>
      <c r="C290" s="187"/>
      <c r="D290" s="187"/>
      <c r="E290" s="187"/>
      <c r="F290" s="187"/>
      <c r="G290" s="187"/>
      <c r="H290" s="187"/>
      <c r="I290" s="187"/>
      <c r="J290" s="187"/>
      <c r="K290" s="187"/>
      <c r="L290" s="187"/>
      <c r="M290" s="187"/>
      <c r="N290" s="187"/>
      <c r="O290" s="700"/>
      <c r="P290" s="187"/>
      <c r="Q290" s="187"/>
      <c r="R290" s="187"/>
      <c r="S290" s="187"/>
      <c r="T290" s="187"/>
      <c r="U290" s="187"/>
      <c r="V290" s="187"/>
      <c r="W290" s="187"/>
      <c r="X290" s="187"/>
      <c r="Y290" s="187"/>
      <c r="Z290" s="187"/>
      <c r="AA290" s="187"/>
      <c r="AB290" s="187"/>
      <c r="AC290" s="187"/>
      <c r="AD290" s="187"/>
      <c r="AE290" s="187"/>
      <c r="AF290" s="187"/>
      <c r="AG290" s="187"/>
      <c r="AH290" s="187"/>
      <c r="AI290" s="187"/>
      <c r="AJ290" s="187"/>
      <c r="AK290" s="187"/>
    </row>
    <row r="291" spans="1:37" s="585" customFormat="1" x14ac:dyDescent="0.25">
      <c r="A291" s="187"/>
      <c r="B291" s="187"/>
      <c r="C291" s="187"/>
      <c r="D291" s="187"/>
      <c r="E291" s="187"/>
      <c r="F291" s="187"/>
      <c r="G291" s="187"/>
      <c r="H291" s="187"/>
      <c r="I291" s="187"/>
      <c r="J291" s="187"/>
      <c r="K291" s="187"/>
      <c r="L291" s="187"/>
      <c r="M291" s="187"/>
      <c r="N291" s="187"/>
      <c r="O291" s="700"/>
      <c r="P291" s="187"/>
      <c r="Q291" s="187"/>
      <c r="R291" s="187"/>
      <c r="S291" s="187"/>
      <c r="T291" s="187"/>
      <c r="U291" s="187"/>
      <c r="V291" s="187"/>
      <c r="W291" s="187"/>
      <c r="X291" s="187"/>
      <c r="Y291" s="187"/>
      <c r="Z291" s="187"/>
      <c r="AA291" s="187"/>
      <c r="AB291" s="187"/>
      <c r="AC291" s="187"/>
      <c r="AD291" s="187"/>
      <c r="AE291" s="187"/>
      <c r="AF291" s="187"/>
      <c r="AG291" s="187"/>
      <c r="AH291" s="187"/>
      <c r="AI291" s="187"/>
      <c r="AJ291" s="187"/>
      <c r="AK291" s="187"/>
    </row>
    <row r="292" spans="1:37" s="585" customFormat="1" x14ac:dyDescent="0.25">
      <c r="A292" s="187"/>
      <c r="B292" s="187"/>
      <c r="C292" s="187"/>
      <c r="D292" s="187"/>
      <c r="E292" s="187"/>
      <c r="F292" s="187"/>
      <c r="G292" s="187"/>
      <c r="H292" s="187"/>
      <c r="I292" s="187"/>
      <c r="J292" s="187"/>
      <c r="K292" s="187"/>
      <c r="L292" s="187"/>
      <c r="M292" s="187"/>
      <c r="N292" s="187"/>
      <c r="O292" s="700"/>
      <c r="P292" s="187"/>
      <c r="Q292" s="187"/>
      <c r="R292" s="187"/>
      <c r="S292" s="187"/>
      <c r="T292" s="187"/>
      <c r="U292" s="187"/>
      <c r="V292" s="187"/>
      <c r="W292" s="187"/>
      <c r="X292" s="187"/>
      <c r="Y292" s="187"/>
      <c r="Z292" s="187"/>
      <c r="AA292" s="187"/>
      <c r="AB292" s="187"/>
      <c r="AC292" s="187"/>
      <c r="AD292" s="187"/>
      <c r="AE292" s="187"/>
      <c r="AF292" s="187"/>
      <c r="AG292" s="187"/>
      <c r="AH292" s="187"/>
      <c r="AI292" s="187"/>
      <c r="AJ292" s="187"/>
      <c r="AK292" s="187"/>
    </row>
    <row r="293" spans="1:37" s="585" customFormat="1" x14ac:dyDescent="0.25">
      <c r="A293" s="187"/>
      <c r="B293" s="187"/>
      <c r="C293" s="187"/>
      <c r="D293" s="187"/>
      <c r="E293" s="187"/>
      <c r="F293" s="187"/>
      <c r="G293" s="187"/>
      <c r="H293" s="187"/>
      <c r="I293" s="187"/>
      <c r="J293" s="187"/>
      <c r="K293" s="187"/>
      <c r="L293" s="187"/>
      <c r="M293" s="187"/>
      <c r="N293" s="187"/>
      <c r="O293" s="700"/>
      <c r="P293" s="187"/>
      <c r="Q293" s="187"/>
      <c r="R293" s="187"/>
      <c r="S293" s="187"/>
      <c r="T293" s="187"/>
      <c r="U293" s="187"/>
      <c r="V293" s="187"/>
      <c r="W293" s="187"/>
      <c r="X293" s="187"/>
      <c r="Y293" s="187"/>
      <c r="Z293" s="187"/>
      <c r="AA293" s="187"/>
      <c r="AB293" s="187"/>
      <c r="AC293" s="187"/>
      <c r="AD293" s="187"/>
      <c r="AE293" s="187"/>
      <c r="AF293" s="187"/>
      <c r="AG293" s="187"/>
      <c r="AH293" s="187"/>
      <c r="AI293" s="187"/>
      <c r="AJ293" s="187"/>
      <c r="AK293" s="187"/>
    </row>
    <row r="294" spans="1:37" s="585" customFormat="1" x14ac:dyDescent="0.25">
      <c r="A294" s="187"/>
      <c r="B294" s="187"/>
      <c r="C294" s="187"/>
      <c r="D294" s="187"/>
      <c r="E294" s="187"/>
      <c r="F294" s="187"/>
      <c r="G294" s="187"/>
      <c r="H294" s="187"/>
      <c r="I294" s="187"/>
      <c r="J294" s="187"/>
      <c r="K294" s="187"/>
      <c r="L294" s="187"/>
      <c r="M294" s="187"/>
      <c r="N294" s="187"/>
      <c r="O294" s="700"/>
      <c r="P294" s="187"/>
      <c r="Q294" s="187"/>
      <c r="R294" s="187"/>
      <c r="S294" s="187"/>
      <c r="T294" s="187"/>
      <c r="U294" s="187"/>
      <c r="V294" s="187"/>
      <c r="W294" s="187"/>
      <c r="X294" s="187"/>
      <c r="Y294" s="187"/>
      <c r="Z294" s="187"/>
      <c r="AA294" s="187"/>
      <c r="AB294" s="187"/>
      <c r="AC294" s="187"/>
      <c r="AD294" s="187"/>
      <c r="AE294" s="187"/>
      <c r="AF294" s="187"/>
      <c r="AG294" s="187"/>
      <c r="AH294" s="187"/>
      <c r="AI294" s="187"/>
      <c r="AJ294" s="187"/>
      <c r="AK294" s="187"/>
    </row>
    <row r="295" spans="1:37" s="585" customFormat="1" x14ac:dyDescent="0.25">
      <c r="A295" s="187"/>
      <c r="B295" s="187"/>
      <c r="C295" s="187"/>
      <c r="D295" s="187"/>
      <c r="E295" s="187"/>
      <c r="F295" s="187"/>
      <c r="G295" s="187"/>
      <c r="H295" s="187"/>
      <c r="I295" s="187"/>
      <c r="J295" s="187"/>
      <c r="K295" s="187"/>
      <c r="L295" s="187"/>
      <c r="M295" s="187"/>
      <c r="N295" s="187"/>
      <c r="O295" s="700"/>
      <c r="P295" s="187"/>
      <c r="Q295" s="187"/>
      <c r="R295" s="187"/>
      <c r="S295" s="187"/>
      <c r="T295" s="187"/>
      <c r="U295" s="187"/>
      <c r="V295" s="187"/>
      <c r="W295" s="187"/>
      <c r="X295" s="187"/>
      <c r="Y295" s="187"/>
      <c r="Z295" s="187"/>
      <c r="AA295" s="187"/>
      <c r="AB295" s="187"/>
      <c r="AC295" s="187"/>
      <c r="AD295" s="187"/>
      <c r="AE295" s="187"/>
      <c r="AF295" s="187"/>
      <c r="AG295" s="187"/>
      <c r="AH295" s="187"/>
      <c r="AI295" s="187"/>
      <c r="AJ295" s="187"/>
      <c r="AK295" s="187"/>
    </row>
    <row r="296" spans="1:37" s="585" customFormat="1" x14ac:dyDescent="0.25">
      <c r="A296" s="187"/>
      <c r="B296" s="187"/>
      <c r="C296" s="187"/>
      <c r="D296" s="187"/>
      <c r="E296" s="187"/>
      <c r="F296" s="187"/>
      <c r="G296" s="187"/>
      <c r="H296" s="187"/>
      <c r="I296" s="187"/>
      <c r="J296" s="187"/>
      <c r="K296" s="187"/>
      <c r="L296" s="187"/>
      <c r="M296" s="187"/>
      <c r="N296" s="187"/>
      <c r="O296" s="700"/>
      <c r="P296" s="187"/>
      <c r="Q296" s="187"/>
      <c r="R296" s="187"/>
      <c r="S296" s="187"/>
      <c r="T296" s="187"/>
      <c r="U296" s="187"/>
      <c r="V296" s="187"/>
      <c r="W296" s="187"/>
      <c r="X296" s="187"/>
      <c r="Y296" s="187"/>
      <c r="Z296" s="187"/>
      <c r="AA296" s="187"/>
      <c r="AB296" s="187"/>
      <c r="AC296" s="187"/>
      <c r="AD296" s="187"/>
      <c r="AE296" s="187"/>
      <c r="AF296" s="187"/>
      <c r="AG296" s="187"/>
      <c r="AH296" s="187"/>
      <c r="AI296" s="187"/>
      <c r="AJ296" s="187"/>
      <c r="AK296" s="187"/>
    </row>
    <row r="297" spans="1:37" s="585" customFormat="1" x14ac:dyDescent="0.25">
      <c r="A297" s="187"/>
      <c r="B297" s="187"/>
      <c r="C297" s="187"/>
      <c r="D297" s="187"/>
      <c r="E297" s="187"/>
      <c r="F297" s="187"/>
      <c r="G297" s="187"/>
      <c r="H297" s="187"/>
      <c r="I297" s="187"/>
      <c r="J297" s="187"/>
      <c r="K297" s="187"/>
      <c r="L297" s="187"/>
      <c r="M297" s="187"/>
      <c r="N297" s="187"/>
      <c r="O297" s="700"/>
      <c r="P297" s="187"/>
      <c r="Q297" s="187"/>
      <c r="R297" s="187"/>
      <c r="S297" s="187"/>
      <c r="T297" s="187"/>
      <c r="U297" s="187"/>
      <c r="V297" s="187"/>
      <c r="W297" s="187"/>
      <c r="X297" s="187"/>
      <c r="Y297" s="187"/>
      <c r="Z297" s="187"/>
      <c r="AA297" s="187"/>
      <c r="AB297" s="187"/>
      <c r="AC297" s="187"/>
      <c r="AD297" s="187"/>
      <c r="AE297" s="187"/>
      <c r="AF297" s="187"/>
      <c r="AG297" s="187"/>
      <c r="AH297" s="187"/>
      <c r="AI297" s="187"/>
      <c r="AJ297" s="187"/>
      <c r="AK297" s="187"/>
    </row>
    <row r="298" spans="1:37" s="585" customFormat="1" x14ac:dyDescent="0.25">
      <c r="A298" s="187"/>
      <c r="B298" s="187"/>
      <c r="C298" s="187"/>
      <c r="D298" s="187"/>
      <c r="E298" s="187"/>
      <c r="F298" s="187"/>
      <c r="G298" s="187"/>
      <c r="H298" s="187"/>
      <c r="I298" s="187"/>
      <c r="J298" s="187"/>
      <c r="K298" s="187"/>
      <c r="L298" s="187"/>
      <c r="M298" s="187"/>
      <c r="N298" s="187"/>
      <c r="O298" s="700"/>
      <c r="P298" s="187"/>
      <c r="Q298" s="187"/>
      <c r="R298" s="187"/>
      <c r="S298" s="187"/>
      <c r="T298" s="187"/>
      <c r="U298" s="187"/>
      <c r="V298" s="187"/>
      <c r="W298" s="187"/>
      <c r="X298" s="187"/>
      <c r="Y298" s="187"/>
      <c r="Z298" s="187"/>
      <c r="AA298" s="187"/>
      <c r="AB298" s="187"/>
      <c r="AC298" s="187"/>
      <c r="AD298" s="187"/>
      <c r="AE298" s="187"/>
      <c r="AF298" s="187"/>
      <c r="AG298" s="187"/>
      <c r="AH298" s="187"/>
      <c r="AI298" s="187"/>
      <c r="AJ298" s="187"/>
      <c r="AK298" s="187"/>
    </row>
    <row r="299" spans="1:37" s="585" customFormat="1" x14ac:dyDescent="0.25">
      <c r="A299" s="187"/>
      <c r="B299" s="187"/>
      <c r="C299" s="187"/>
      <c r="D299" s="187"/>
      <c r="E299" s="187"/>
      <c r="F299" s="187"/>
      <c r="G299" s="187"/>
      <c r="H299" s="187"/>
      <c r="I299" s="187"/>
      <c r="J299" s="187"/>
      <c r="K299" s="187"/>
      <c r="L299" s="187"/>
      <c r="M299" s="187"/>
      <c r="N299" s="187"/>
      <c r="O299" s="700"/>
      <c r="P299" s="187"/>
      <c r="Q299" s="187"/>
      <c r="R299" s="187"/>
      <c r="S299" s="187"/>
      <c r="T299" s="187"/>
      <c r="U299" s="187"/>
      <c r="V299" s="187"/>
      <c r="W299" s="187"/>
      <c r="X299" s="187"/>
      <c r="Y299" s="187"/>
      <c r="Z299" s="187"/>
      <c r="AA299" s="187"/>
      <c r="AB299" s="187"/>
      <c r="AC299" s="187"/>
      <c r="AD299" s="187"/>
      <c r="AE299" s="187"/>
      <c r="AF299" s="187"/>
      <c r="AG299" s="187"/>
      <c r="AH299" s="187"/>
      <c r="AI299" s="187"/>
      <c r="AJ299" s="187"/>
      <c r="AK299" s="187"/>
    </row>
    <row r="300" spans="1:37" s="585" customFormat="1" x14ac:dyDescent="0.25">
      <c r="A300" s="187"/>
      <c r="B300" s="187"/>
      <c r="C300" s="187"/>
      <c r="D300" s="187"/>
      <c r="E300" s="187"/>
      <c r="F300" s="187"/>
      <c r="G300" s="187"/>
      <c r="H300" s="187"/>
      <c r="I300" s="187"/>
      <c r="J300" s="187"/>
      <c r="K300" s="187"/>
      <c r="L300" s="187"/>
      <c r="M300" s="187"/>
      <c r="N300" s="187"/>
      <c r="O300" s="700"/>
      <c r="P300" s="187"/>
      <c r="Q300" s="187"/>
      <c r="R300" s="187"/>
      <c r="S300" s="187"/>
      <c r="T300" s="187"/>
      <c r="U300" s="187"/>
      <c r="V300" s="187"/>
      <c r="W300" s="187"/>
      <c r="X300" s="187"/>
      <c r="Y300" s="187"/>
      <c r="Z300" s="187"/>
      <c r="AA300" s="187"/>
      <c r="AB300" s="187"/>
      <c r="AC300" s="187"/>
      <c r="AD300" s="187"/>
      <c r="AE300" s="187"/>
      <c r="AF300" s="187"/>
      <c r="AG300" s="187"/>
      <c r="AH300" s="187"/>
      <c r="AI300" s="187"/>
      <c r="AJ300" s="187"/>
      <c r="AK300" s="187"/>
    </row>
    <row r="301" spans="1:37" s="585" customFormat="1" x14ac:dyDescent="0.25">
      <c r="A301" s="187"/>
      <c r="B301" s="187"/>
      <c r="C301" s="187"/>
      <c r="D301" s="187"/>
      <c r="E301" s="187"/>
      <c r="F301" s="187"/>
      <c r="G301" s="187"/>
      <c r="H301" s="187"/>
      <c r="I301" s="187"/>
      <c r="J301" s="187"/>
      <c r="K301" s="187"/>
      <c r="L301" s="187"/>
      <c r="M301" s="187"/>
      <c r="N301" s="187"/>
      <c r="O301" s="700"/>
      <c r="P301" s="187"/>
      <c r="Q301" s="187"/>
      <c r="R301" s="187"/>
      <c r="S301" s="187"/>
      <c r="T301" s="187"/>
      <c r="U301" s="187"/>
      <c r="V301" s="187"/>
      <c r="W301" s="187"/>
      <c r="X301" s="187"/>
      <c r="Y301" s="187"/>
      <c r="Z301" s="187"/>
      <c r="AA301" s="187"/>
      <c r="AB301" s="187"/>
      <c r="AC301" s="187"/>
      <c r="AD301" s="187"/>
      <c r="AE301" s="187"/>
      <c r="AF301" s="187"/>
      <c r="AG301" s="187"/>
      <c r="AH301" s="187"/>
      <c r="AI301" s="187"/>
      <c r="AJ301" s="187"/>
      <c r="AK301" s="187"/>
    </row>
    <row r="302" spans="1:37" s="585" customFormat="1" x14ac:dyDescent="0.25">
      <c r="A302" s="187"/>
      <c r="B302" s="187"/>
      <c r="C302" s="187"/>
      <c r="D302" s="187"/>
      <c r="E302" s="187"/>
      <c r="F302" s="187"/>
      <c r="G302" s="187"/>
      <c r="H302" s="187"/>
      <c r="I302" s="187"/>
      <c r="J302" s="187"/>
      <c r="K302" s="187"/>
      <c r="L302" s="187"/>
      <c r="M302" s="187"/>
      <c r="N302" s="187"/>
      <c r="O302" s="700"/>
      <c r="P302" s="187"/>
      <c r="Q302" s="187"/>
      <c r="R302" s="187"/>
      <c r="S302" s="187"/>
      <c r="T302" s="187"/>
      <c r="U302" s="187"/>
      <c r="V302" s="187"/>
      <c r="W302" s="187"/>
      <c r="X302" s="187"/>
      <c r="Y302" s="187"/>
      <c r="Z302" s="187"/>
      <c r="AA302" s="187"/>
      <c r="AB302" s="187"/>
      <c r="AC302" s="187"/>
      <c r="AD302" s="187"/>
      <c r="AE302" s="187"/>
      <c r="AF302" s="187"/>
      <c r="AG302" s="187"/>
      <c r="AH302" s="187"/>
      <c r="AI302" s="187"/>
      <c r="AJ302" s="187"/>
      <c r="AK302" s="187"/>
    </row>
    <row r="303" spans="1:37" s="585" customFormat="1" x14ac:dyDescent="0.25">
      <c r="A303" s="187"/>
      <c r="B303" s="187"/>
      <c r="C303" s="187"/>
      <c r="D303" s="187"/>
      <c r="E303" s="187"/>
      <c r="F303" s="187"/>
      <c r="G303" s="187"/>
      <c r="H303" s="187"/>
      <c r="I303" s="187"/>
      <c r="J303" s="187"/>
      <c r="K303" s="187"/>
      <c r="L303" s="187"/>
      <c r="M303" s="187"/>
      <c r="N303" s="187"/>
      <c r="O303" s="700"/>
      <c r="P303" s="187"/>
      <c r="Q303" s="187"/>
      <c r="R303" s="187"/>
      <c r="S303" s="187"/>
      <c r="T303" s="187"/>
      <c r="U303" s="187"/>
      <c r="V303" s="187"/>
      <c r="W303" s="187"/>
      <c r="X303" s="187"/>
      <c r="Y303" s="187"/>
      <c r="Z303" s="187"/>
      <c r="AA303" s="187"/>
      <c r="AB303" s="187"/>
      <c r="AC303" s="187"/>
      <c r="AD303" s="187"/>
      <c r="AE303" s="187"/>
      <c r="AF303" s="187"/>
      <c r="AG303" s="187"/>
      <c r="AH303" s="187"/>
      <c r="AI303" s="187"/>
      <c r="AJ303" s="187"/>
      <c r="AK303" s="187"/>
    </row>
    <row r="304" spans="1:37" s="585" customFormat="1" x14ac:dyDescent="0.25">
      <c r="A304" s="187"/>
      <c r="B304" s="187"/>
      <c r="C304" s="187"/>
      <c r="D304" s="187"/>
      <c r="E304" s="187"/>
      <c r="F304" s="187"/>
      <c r="G304" s="187"/>
      <c r="H304" s="187"/>
      <c r="I304" s="187"/>
      <c r="J304" s="187"/>
      <c r="K304" s="187"/>
      <c r="L304" s="187"/>
      <c r="M304" s="187"/>
      <c r="N304" s="187"/>
      <c r="O304" s="700"/>
      <c r="P304" s="187"/>
      <c r="Q304" s="187"/>
      <c r="R304" s="187"/>
      <c r="S304" s="187"/>
      <c r="T304" s="187"/>
      <c r="U304" s="187"/>
      <c r="V304" s="187"/>
      <c r="W304" s="187"/>
      <c r="X304" s="187"/>
      <c r="Y304" s="187"/>
      <c r="Z304" s="187"/>
      <c r="AA304" s="187"/>
      <c r="AB304" s="187"/>
      <c r="AC304" s="187"/>
      <c r="AD304" s="187"/>
      <c r="AE304" s="187"/>
      <c r="AF304" s="187"/>
      <c r="AG304" s="187"/>
      <c r="AH304" s="187"/>
      <c r="AI304" s="187"/>
      <c r="AJ304" s="187"/>
      <c r="AK304" s="187"/>
    </row>
    <row r="305" spans="1:37" s="585" customFormat="1" x14ac:dyDescent="0.25">
      <c r="A305" s="187"/>
      <c r="B305" s="187"/>
      <c r="C305" s="187"/>
      <c r="D305" s="187"/>
      <c r="E305" s="187"/>
      <c r="F305" s="187"/>
      <c r="G305" s="187"/>
      <c r="H305" s="187"/>
      <c r="I305" s="187"/>
      <c r="J305" s="187"/>
      <c r="K305" s="187"/>
      <c r="L305" s="187"/>
      <c r="M305" s="187"/>
      <c r="N305" s="187"/>
      <c r="O305" s="700"/>
      <c r="P305" s="187"/>
      <c r="Q305" s="187"/>
      <c r="R305" s="187"/>
      <c r="S305" s="187"/>
      <c r="T305" s="187"/>
      <c r="U305" s="187"/>
      <c r="V305" s="187"/>
      <c r="W305" s="187"/>
      <c r="X305" s="187"/>
      <c r="Y305" s="187"/>
      <c r="Z305" s="187"/>
      <c r="AA305" s="187"/>
      <c r="AB305" s="187"/>
      <c r="AC305" s="187"/>
      <c r="AD305" s="187"/>
      <c r="AE305" s="187"/>
      <c r="AF305" s="187"/>
      <c r="AG305" s="187"/>
      <c r="AH305" s="187"/>
      <c r="AI305" s="187"/>
      <c r="AJ305" s="187"/>
      <c r="AK305" s="187"/>
    </row>
    <row r="306" spans="1:37" s="585" customFormat="1" x14ac:dyDescent="0.25">
      <c r="A306" s="187"/>
      <c r="B306" s="187"/>
      <c r="C306" s="187"/>
      <c r="D306" s="187"/>
      <c r="E306" s="187"/>
      <c r="F306" s="187"/>
      <c r="G306" s="187"/>
      <c r="H306" s="187"/>
      <c r="I306" s="187"/>
      <c r="J306" s="187"/>
      <c r="K306" s="187"/>
      <c r="L306" s="187"/>
      <c r="M306" s="187"/>
      <c r="N306" s="187"/>
      <c r="O306" s="700"/>
      <c r="P306" s="187"/>
      <c r="Q306" s="187"/>
      <c r="R306" s="187"/>
      <c r="S306" s="187"/>
      <c r="T306" s="187"/>
      <c r="U306" s="187"/>
      <c r="V306" s="187"/>
      <c r="W306" s="187"/>
      <c r="X306" s="187"/>
      <c r="Y306" s="187"/>
      <c r="Z306" s="187"/>
      <c r="AA306" s="187"/>
      <c r="AB306" s="187"/>
      <c r="AC306" s="187"/>
      <c r="AD306" s="187"/>
      <c r="AE306" s="187"/>
      <c r="AF306" s="187"/>
      <c r="AG306" s="187"/>
      <c r="AH306" s="187"/>
      <c r="AI306" s="187"/>
      <c r="AJ306" s="187"/>
      <c r="AK306" s="187"/>
    </row>
    <row r="307" spans="1:37" s="585" customFormat="1" x14ac:dyDescent="0.25">
      <c r="A307" s="187"/>
      <c r="B307" s="187"/>
      <c r="C307" s="187"/>
      <c r="D307" s="187"/>
      <c r="E307" s="187"/>
      <c r="F307" s="187"/>
      <c r="G307" s="187"/>
      <c r="H307" s="187"/>
      <c r="I307" s="187"/>
      <c r="J307" s="187"/>
      <c r="K307" s="187"/>
      <c r="L307" s="187"/>
      <c r="M307" s="187"/>
      <c r="N307" s="187"/>
      <c r="O307" s="700"/>
      <c r="P307" s="187"/>
      <c r="Q307" s="187"/>
      <c r="R307" s="187"/>
      <c r="S307" s="187"/>
      <c r="T307" s="187"/>
      <c r="U307" s="187"/>
      <c r="V307" s="187"/>
      <c r="W307" s="187"/>
      <c r="X307" s="187"/>
      <c r="Y307" s="187"/>
      <c r="Z307" s="187"/>
      <c r="AA307" s="187"/>
      <c r="AB307" s="187"/>
      <c r="AC307" s="187"/>
      <c r="AD307" s="187"/>
      <c r="AE307" s="187"/>
      <c r="AF307" s="187"/>
      <c r="AG307" s="187"/>
      <c r="AH307" s="187"/>
      <c r="AI307" s="187"/>
      <c r="AJ307" s="187"/>
      <c r="AK307" s="187"/>
    </row>
    <row r="308" spans="1:37" s="585" customFormat="1" x14ac:dyDescent="0.25">
      <c r="A308" s="187"/>
      <c r="B308" s="187"/>
      <c r="C308" s="187"/>
      <c r="D308" s="187"/>
      <c r="E308" s="187"/>
      <c r="F308" s="187"/>
      <c r="G308" s="187"/>
      <c r="H308" s="187"/>
      <c r="I308" s="187"/>
      <c r="J308" s="187"/>
      <c r="K308" s="187"/>
      <c r="L308" s="187"/>
      <c r="M308" s="187"/>
      <c r="N308" s="187"/>
      <c r="O308" s="700"/>
      <c r="P308" s="187"/>
      <c r="Q308" s="187"/>
      <c r="R308" s="187"/>
      <c r="S308" s="187"/>
      <c r="T308" s="187"/>
      <c r="U308" s="187"/>
      <c r="V308" s="187"/>
      <c r="W308" s="187"/>
      <c r="X308" s="187"/>
      <c r="Y308" s="187"/>
      <c r="Z308" s="187"/>
      <c r="AA308" s="187"/>
      <c r="AB308" s="187"/>
      <c r="AC308" s="187"/>
      <c r="AD308" s="187"/>
      <c r="AE308" s="187"/>
      <c r="AF308" s="187"/>
      <c r="AG308" s="187"/>
      <c r="AH308" s="187"/>
      <c r="AI308" s="187"/>
      <c r="AJ308" s="187"/>
      <c r="AK308" s="187"/>
    </row>
    <row r="309" spans="1:37" s="585" customFormat="1" x14ac:dyDescent="0.25">
      <c r="A309" s="187"/>
      <c r="B309" s="187"/>
      <c r="C309" s="187"/>
      <c r="D309" s="187"/>
      <c r="E309" s="187"/>
      <c r="F309" s="187"/>
      <c r="G309" s="187"/>
      <c r="H309" s="187"/>
      <c r="I309" s="187"/>
      <c r="J309" s="187"/>
      <c r="K309" s="187"/>
      <c r="L309" s="187"/>
      <c r="M309" s="187"/>
      <c r="N309" s="187"/>
      <c r="O309" s="700"/>
      <c r="P309" s="187"/>
      <c r="Q309" s="187"/>
      <c r="R309" s="187"/>
      <c r="S309" s="187"/>
      <c r="T309" s="187"/>
      <c r="U309" s="187"/>
      <c r="V309" s="187"/>
      <c r="W309" s="187"/>
      <c r="X309" s="187"/>
      <c r="Y309" s="187"/>
      <c r="Z309" s="187"/>
      <c r="AA309" s="187"/>
      <c r="AB309" s="187"/>
      <c r="AC309" s="187"/>
      <c r="AD309" s="187"/>
      <c r="AE309" s="187"/>
      <c r="AF309" s="187"/>
      <c r="AG309" s="187"/>
      <c r="AH309" s="187"/>
      <c r="AI309" s="187"/>
      <c r="AJ309" s="187"/>
      <c r="AK309" s="187"/>
    </row>
    <row r="310" spans="1:37" s="585" customFormat="1" x14ac:dyDescent="0.25">
      <c r="A310" s="187"/>
      <c r="B310" s="187"/>
      <c r="C310" s="187"/>
      <c r="D310" s="187"/>
      <c r="E310" s="187"/>
      <c r="F310" s="187"/>
      <c r="G310" s="187"/>
      <c r="H310" s="187"/>
      <c r="I310" s="187"/>
      <c r="J310" s="187"/>
      <c r="K310" s="187"/>
      <c r="L310" s="187"/>
      <c r="M310" s="187"/>
      <c r="N310" s="187"/>
      <c r="O310" s="700"/>
      <c r="P310" s="187"/>
      <c r="Q310" s="187"/>
      <c r="R310" s="187"/>
      <c r="S310" s="187"/>
      <c r="T310" s="187"/>
      <c r="U310" s="187"/>
      <c r="V310" s="187"/>
      <c r="W310" s="187"/>
      <c r="X310" s="187"/>
      <c r="Y310" s="187"/>
      <c r="Z310" s="187"/>
      <c r="AA310" s="187"/>
      <c r="AB310" s="187"/>
      <c r="AC310" s="187"/>
      <c r="AD310" s="187"/>
      <c r="AE310" s="187"/>
      <c r="AF310" s="187"/>
      <c r="AG310" s="187"/>
      <c r="AH310" s="187"/>
      <c r="AI310" s="187"/>
      <c r="AJ310" s="187"/>
      <c r="AK310" s="187"/>
    </row>
    <row r="311" spans="1:37" s="585" customFormat="1" x14ac:dyDescent="0.25">
      <c r="A311" s="187"/>
      <c r="B311" s="187"/>
      <c r="C311" s="187"/>
      <c r="D311" s="187"/>
      <c r="E311" s="187"/>
      <c r="F311" s="187"/>
      <c r="G311" s="187"/>
      <c r="H311" s="187"/>
      <c r="I311" s="187"/>
      <c r="J311" s="187"/>
      <c r="K311" s="187"/>
      <c r="L311" s="187"/>
      <c r="M311" s="187"/>
      <c r="N311" s="187"/>
      <c r="O311" s="700"/>
      <c r="P311" s="187"/>
      <c r="Q311" s="187"/>
      <c r="R311" s="187"/>
      <c r="S311" s="187"/>
      <c r="T311" s="187"/>
      <c r="U311" s="187"/>
      <c r="V311" s="187"/>
      <c r="W311" s="187"/>
      <c r="X311" s="187"/>
      <c r="Y311" s="187"/>
      <c r="Z311" s="187"/>
      <c r="AA311" s="187"/>
      <c r="AB311" s="187"/>
      <c r="AC311" s="187"/>
      <c r="AD311" s="187"/>
      <c r="AE311" s="187"/>
      <c r="AF311" s="187"/>
      <c r="AG311" s="187"/>
      <c r="AH311" s="187"/>
      <c r="AI311" s="187"/>
      <c r="AJ311" s="187"/>
      <c r="AK311" s="187"/>
    </row>
    <row r="312" spans="1:37" s="585" customFormat="1" x14ac:dyDescent="0.25">
      <c r="O312" s="313"/>
    </row>
    <row r="313" spans="1:37" s="585" customFormat="1" x14ac:dyDescent="0.25">
      <c r="O313" s="313"/>
    </row>
    <row r="314" spans="1:37" s="585" customFormat="1" x14ac:dyDescent="0.25">
      <c r="O314" s="313"/>
    </row>
    <row r="315" spans="1:37" s="585" customFormat="1" x14ac:dyDescent="0.25">
      <c r="O315" s="313"/>
    </row>
    <row r="316" spans="1:37" s="585" customFormat="1" x14ac:dyDescent="0.25">
      <c r="O316" s="313"/>
    </row>
  </sheetData>
  <mergeCells count="22">
    <mergeCell ref="B23:F23"/>
    <mergeCell ref="H23:M23"/>
    <mergeCell ref="D43:J43"/>
    <mergeCell ref="D44:J44"/>
    <mergeCell ref="D45:J45"/>
    <mergeCell ref="D46:J46"/>
    <mergeCell ref="D47:J47"/>
    <mergeCell ref="B24:F24"/>
    <mergeCell ref="H24:L24"/>
    <mergeCell ref="B25:F25"/>
    <mergeCell ref="H25:L25"/>
    <mergeCell ref="B26:F26"/>
    <mergeCell ref="H26:L26"/>
    <mergeCell ref="B2:L2"/>
    <mergeCell ref="B6:F6"/>
    <mergeCell ref="B7:F7"/>
    <mergeCell ref="B8:F8"/>
    <mergeCell ref="H6:L6"/>
    <mergeCell ref="H7:L7"/>
    <mergeCell ref="H8:L8"/>
    <mergeCell ref="B5:F5"/>
    <mergeCell ref="H5:L5"/>
  </mergeCells>
  <phoneticPr fontId="0" type="noConversion"/>
  <hyperlinks>
    <hyperlink ref="M2" location="CONTENTS!B22" display="Å CONTENTS" xr:uid="{00000000-0004-0000-0700-000000000000}"/>
    <hyperlink ref="G69" location="CONTENTS!B22" display="Å CONTENTS" xr:uid="{00000000-0004-0000-0700-000001000000}"/>
  </hyperlinks>
  <printOptions horizontalCentered="1" verticalCentered="1"/>
  <pageMargins left="0.39370078740157483" right="0.43307086614173229" top="3.937007874015748E-2" bottom="3.937007874015748E-2" header="0" footer="0"/>
  <pageSetup scale="65" orientation="landscape" horizontalDpi="300" verticalDpi="300" r:id="rId1"/>
  <headerFooter alignWithMargins="0"/>
  <rowBreaks count="1" manualBreakCount="1">
    <brk id="75" min="1" max="13" man="1"/>
  </rowBreaks>
  <colBreaks count="1" manualBreakCount="1">
    <brk id="14" max="79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39997558519241921"/>
  </sheetPr>
  <dimension ref="A1:AN171"/>
  <sheetViews>
    <sheetView showGridLines="0" zoomScaleNormal="100" workbookViewId="0">
      <selection activeCell="AG148" sqref="AG148"/>
    </sheetView>
  </sheetViews>
  <sheetFormatPr baseColWidth="10" defaultColWidth="11.44140625" defaultRowHeight="13.2" x14ac:dyDescent="0.25"/>
  <cols>
    <col min="1" max="1" width="4.44140625" style="376" customWidth="1"/>
    <col min="2" max="2" width="11.44140625" style="376"/>
    <col min="3" max="6" width="11.5546875" style="376" bestFit="1" customWidth="1"/>
    <col min="7" max="7" width="9.88671875" style="376" bestFit="1" customWidth="1"/>
    <col min="8" max="12" width="11.5546875" style="376" bestFit="1" customWidth="1"/>
    <col min="13" max="13" width="10" style="376" bestFit="1" customWidth="1"/>
    <col min="14" max="14" width="13.33203125" style="376" customWidth="1"/>
    <col min="15" max="15" width="13.109375" style="376" customWidth="1"/>
    <col min="16" max="16" width="13.33203125" style="376" customWidth="1"/>
    <col min="17" max="18" width="11.5546875" style="376" bestFit="1" customWidth="1"/>
    <col min="19" max="19" width="11.88671875" style="376" customWidth="1"/>
    <col min="20" max="31" width="11.5546875" style="376" bestFit="1" customWidth="1"/>
    <col min="32" max="35" width="11.5546875" style="376" customWidth="1"/>
    <col min="36" max="36" width="11.5546875" style="376" bestFit="1" customWidth="1"/>
    <col min="37" max="37" width="15.109375" style="376" customWidth="1"/>
    <col min="38" max="38" width="11.44140625" style="376"/>
    <col min="39" max="39" width="12.44140625" style="376" bestFit="1" customWidth="1"/>
    <col min="40" max="16384" width="11.44140625" style="376"/>
  </cols>
  <sheetData>
    <row r="1" spans="2:40" s="184" customFormat="1" ht="12" x14ac:dyDescent="0.25">
      <c r="B1" s="582"/>
      <c r="C1" s="582"/>
      <c r="D1" s="582"/>
      <c r="E1" s="582"/>
      <c r="F1" s="582"/>
      <c r="G1" s="582"/>
      <c r="H1" s="582"/>
      <c r="I1" s="582"/>
      <c r="J1" s="582"/>
      <c r="K1" s="582"/>
      <c r="L1" s="582"/>
      <c r="M1" s="582"/>
      <c r="N1" s="582"/>
      <c r="O1" s="582"/>
      <c r="P1" s="582"/>
      <c r="Q1" s="317"/>
      <c r="R1" s="317"/>
      <c r="S1" s="582"/>
      <c r="T1" s="583"/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  <c r="AF1" s="186"/>
      <c r="AG1" s="186"/>
      <c r="AH1" s="186"/>
      <c r="AI1" s="186"/>
      <c r="AJ1" s="186"/>
      <c r="AK1" s="186"/>
      <c r="AL1" s="186"/>
      <c r="AM1" s="582"/>
      <c r="AN1" s="582"/>
    </row>
    <row r="2" spans="2:40" s="184" customFormat="1" ht="31.5" customHeight="1" x14ac:dyDescent="0.25">
      <c r="B2" s="813" t="s">
        <v>212</v>
      </c>
      <c r="C2" s="813"/>
      <c r="D2" s="813"/>
      <c r="E2" s="813"/>
      <c r="F2" s="813"/>
      <c r="G2" s="813"/>
      <c r="H2" s="813"/>
      <c r="I2" s="813"/>
      <c r="J2" s="813"/>
      <c r="K2" s="813"/>
      <c r="L2" s="813"/>
      <c r="M2" s="813"/>
      <c r="N2" s="813"/>
      <c r="O2" s="813"/>
      <c r="P2" s="813"/>
      <c r="Q2" s="813"/>
      <c r="R2" s="805"/>
      <c r="S2" s="316" t="s">
        <v>43</v>
      </c>
      <c r="T2" s="583"/>
      <c r="U2" s="186"/>
      <c r="V2" s="186"/>
      <c r="W2" s="186"/>
      <c r="X2" s="186"/>
      <c r="Y2" s="186"/>
      <c r="Z2" s="186"/>
      <c r="AA2" s="186"/>
      <c r="AB2" s="186"/>
      <c r="AC2" s="186"/>
      <c r="AD2" s="186"/>
      <c r="AE2" s="186"/>
      <c r="AF2" s="186"/>
      <c r="AG2" s="186"/>
      <c r="AH2" s="186"/>
      <c r="AI2" s="186"/>
      <c r="AJ2" s="186"/>
      <c r="AK2" s="186"/>
      <c r="AL2" s="186"/>
      <c r="AM2" s="582"/>
      <c r="AN2" s="582"/>
    </row>
    <row r="3" spans="2:40" s="184" customFormat="1" ht="15.6" x14ac:dyDescent="0.25">
      <c r="B3" s="758"/>
      <c r="C3" s="758"/>
      <c r="D3" s="758"/>
      <c r="E3" s="758"/>
      <c r="F3" s="758"/>
      <c r="G3" s="758"/>
      <c r="H3" s="758"/>
      <c r="I3" s="758"/>
      <c r="J3" s="758"/>
      <c r="K3" s="758"/>
      <c r="L3" s="758"/>
      <c r="M3" s="758"/>
      <c r="N3" s="758"/>
      <c r="O3" s="758"/>
      <c r="P3" s="758"/>
      <c r="Q3" s="755"/>
      <c r="R3" s="375"/>
      <c r="S3" s="582"/>
      <c r="T3" s="583"/>
      <c r="U3" s="186"/>
      <c r="V3" s="186"/>
      <c r="W3" s="186"/>
      <c r="X3" s="186"/>
      <c r="Y3" s="186"/>
      <c r="Z3" s="186"/>
      <c r="AA3" s="186"/>
      <c r="AB3" s="186"/>
      <c r="AC3" s="186"/>
      <c r="AD3" s="186"/>
      <c r="AE3" s="186"/>
      <c r="AF3" s="186"/>
      <c r="AG3" s="186"/>
      <c r="AH3" s="186"/>
      <c r="AI3" s="186"/>
      <c r="AJ3" s="186"/>
      <c r="AK3" s="186"/>
      <c r="AL3" s="186"/>
      <c r="AM3" s="582"/>
      <c r="AN3" s="582"/>
    </row>
    <row r="5" spans="2:40" ht="12.75" customHeight="1" x14ac:dyDescent="0.25">
      <c r="B5" s="794" t="s">
        <v>136</v>
      </c>
      <c r="C5" s="794"/>
      <c r="D5" s="794"/>
      <c r="E5" s="794"/>
      <c r="F5" s="794"/>
      <c r="G5" s="582"/>
      <c r="H5" s="794" t="s">
        <v>136</v>
      </c>
      <c r="I5" s="794"/>
      <c r="J5" s="794"/>
      <c r="K5" s="794"/>
      <c r="L5" s="794"/>
      <c r="M5" s="582"/>
      <c r="N5" s="794" t="s">
        <v>136</v>
      </c>
      <c r="O5" s="794"/>
      <c r="P5" s="794"/>
      <c r="Q5" s="794"/>
      <c r="R5" s="794"/>
      <c r="T5" s="583"/>
      <c r="U5" s="186"/>
      <c r="V5" s="186"/>
      <c r="W5" s="186"/>
      <c r="X5" s="186"/>
      <c r="Y5" s="186"/>
      <c r="Z5" s="186"/>
      <c r="AA5" s="186"/>
      <c r="AB5" s="186"/>
      <c r="AC5" s="186"/>
      <c r="AD5" s="186"/>
      <c r="AE5" s="186"/>
      <c r="AF5" s="186"/>
      <c r="AG5" s="186"/>
      <c r="AH5" s="186"/>
      <c r="AI5" s="186"/>
      <c r="AJ5" s="186"/>
      <c r="AK5" s="186"/>
      <c r="AL5" s="186"/>
      <c r="AM5" s="582"/>
      <c r="AN5" s="582"/>
    </row>
    <row r="6" spans="2:40" s="378" customFormat="1" ht="15" customHeight="1" x14ac:dyDescent="0.25">
      <c r="B6" s="794" t="s">
        <v>213</v>
      </c>
      <c r="C6" s="794"/>
      <c r="D6" s="794"/>
      <c r="E6" s="794"/>
      <c r="F6" s="794"/>
      <c r="G6" s="751"/>
      <c r="H6" s="794" t="s">
        <v>213</v>
      </c>
      <c r="I6" s="794"/>
      <c r="J6" s="794"/>
      <c r="K6" s="794"/>
      <c r="L6" s="794"/>
      <c r="M6" s="751"/>
      <c r="N6" s="794" t="s">
        <v>26</v>
      </c>
      <c r="O6" s="794"/>
      <c r="P6" s="794"/>
      <c r="Q6" s="794"/>
      <c r="R6" s="794"/>
    </row>
    <row r="7" spans="2:40" ht="12.75" customHeight="1" x14ac:dyDescent="0.25">
      <c r="B7" s="797">
        <f>+C107</f>
        <v>2021</v>
      </c>
      <c r="C7" s="797"/>
      <c r="D7" s="797"/>
      <c r="E7" s="797"/>
      <c r="F7" s="797"/>
      <c r="G7" s="317"/>
      <c r="H7" s="797">
        <f>+B7</f>
        <v>2021</v>
      </c>
      <c r="I7" s="797"/>
      <c r="J7" s="797"/>
      <c r="K7" s="797"/>
      <c r="L7" s="797"/>
      <c r="M7" s="317"/>
      <c r="N7" s="797">
        <f>+B7</f>
        <v>2021</v>
      </c>
      <c r="O7" s="797"/>
      <c r="P7" s="797"/>
      <c r="Q7" s="797"/>
      <c r="R7" s="797"/>
    </row>
    <row r="8" spans="2:40" ht="15.6" x14ac:dyDescent="0.25">
      <c r="B8" s="799" t="s">
        <v>157</v>
      </c>
      <c r="C8" s="797"/>
      <c r="D8" s="797"/>
      <c r="E8" s="797"/>
      <c r="F8" s="797"/>
      <c r="G8" s="582"/>
      <c r="H8" s="799" t="str">
        <f>+B8</f>
        <v>December 31st  2020</v>
      </c>
      <c r="I8" s="797"/>
      <c r="J8" s="797"/>
      <c r="K8" s="797"/>
      <c r="L8" s="797"/>
      <c r="M8" s="582"/>
      <c r="N8" s="797" t="str">
        <f>+B8</f>
        <v>December 31st  2020</v>
      </c>
      <c r="O8" s="797"/>
      <c r="P8" s="797"/>
      <c r="Q8" s="797"/>
      <c r="R8" s="797"/>
    </row>
    <row r="9" spans="2:40" x14ac:dyDescent="0.25">
      <c r="B9" s="797" t="s">
        <v>44</v>
      </c>
      <c r="C9" s="797"/>
      <c r="D9" s="797"/>
      <c r="E9" s="797"/>
      <c r="F9" s="797"/>
      <c r="G9" s="582"/>
      <c r="H9" s="803" t="s">
        <v>123</v>
      </c>
      <c r="I9" s="803"/>
      <c r="J9" s="803"/>
      <c r="K9" s="803"/>
      <c r="L9" s="803"/>
      <c r="M9" s="582"/>
      <c r="N9" s="753"/>
      <c r="O9" s="753"/>
      <c r="P9" s="753"/>
      <c r="Q9" s="753"/>
      <c r="R9" s="753"/>
    </row>
    <row r="10" spans="2:40" x14ac:dyDescent="0.25">
      <c r="B10" s="582"/>
      <c r="C10" s="582"/>
      <c r="D10" s="582"/>
      <c r="E10" s="582"/>
      <c r="F10" s="582"/>
    </row>
    <row r="11" spans="2:40" x14ac:dyDescent="0.25">
      <c r="B11" s="582"/>
      <c r="C11" s="582"/>
      <c r="D11" s="582"/>
      <c r="E11" s="582"/>
      <c r="F11" s="582"/>
    </row>
    <row r="12" spans="2:40" x14ac:dyDescent="0.25">
      <c r="B12" s="582"/>
      <c r="C12" s="582"/>
      <c r="D12" s="582"/>
      <c r="E12" s="582"/>
      <c r="F12" s="582"/>
    </row>
    <row r="13" spans="2:40" x14ac:dyDescent="0.25">
      <c r="B13" s="582"/>
      <c r="C13" s="582"/>
      <c r="D13" s="582"/>
      <c r="E13" s="582"/>
      <c r="F13" s="582"/>
    </row>
    <row r="14" spans="2:40" x14ac:dyDescent="0.25">
      <c r="B14" s="582"/>
      <c r="C14" s="582"/>
      <c r="D14" s="582"/>
      <c r="E14" s="582"/>
      <c r="F14" s="582"/>
    </row>
    <row r="15" spans="2:40" x14ac:dyDescent="0.25">
      <c r="B15" s="582"/>
      <c r="C15" s="582"/>
      <c r="D15" s="582"/>
      <c r="E15" s="582"/>
      <c r="F15" s="582"/>
    </row>
    <row r="16" spans="2:40" x14ac:dyDescent="0.25">
      <c r="B16" s="582"/>
      <c r="C16" s="582"/>
      <c r="D16" s="582"/>
      <c r="E16" s="582"/>
      <c r="F16" s="582"/>
    </row>
    <row r="17" spans="2:18" x14ac:dyDescent="0.25">
      <c r="B17" s="582"/>
      <c r="C17" s="582"/>
      <c r="D17" s="582"/>
      <c r="E17" s="582"/>
      <c r="F17" s="582"/>
    </row>
    <row r="18" spans="2:18" x14ac:dyDescent="0.25">
      <c r="B18" s="582"/>
      <c r="C18" s="582"/>
      <c r="D18" s="582"/>
      <c r="E18" s="582"/>
      <c r="F18" s="582"/>
    </row>
    <row r="19" spans="2:18" x14ac:dyDescent="0.25">
      <c r="B19" s="582"/>
      <c r="C19" s="582"/>
      <c r="D19" s="582"/>
      <c r="E19" s="582"/>
      <c r="F19" s="582"/>
    </row>
    <row r="20" spans="2:18" x14ac:dyDescent="0.25">
      <c r="B20" s="322"/>
      <c r="C20" s="582"/>
      <c r="D20" s="582"/>
      <c r="E20" s="582"/>
      <c r="F20" s="582"/>
    </row>
    <row r="21" spans="2:18" x14ac:dyDescent="0.25">
      <c r="B21" s="582"/>
      <c r="C21" s="582"/>
      <c r="D21" s="582"/>
      <c r="E21" s="582"/>
      <c r="F21" s="582"/>
    </row>
    <row r="23" spans="2:18" ht="12.75" customHeight="1" x14ac:dyDescent="0.25">
      <c r="B23" s="794" t="str">
        <f>+B5</f>
        <v>Central Goverment of Costa Rica</v>
      </c>
      <c r="C23" s="794"/>
      <c r="D23" s="794"/>
      <c r="E23" s="794"/>
      <c r="F23" s="794"/>
      <c r="G23" s="582"/>
      <c r="H23" s="794" t="str">
        <f>+H5</f>
        <v>Central Goverment of Costa Rica</v>
      </c>
      <c r="I23" s="794"/>
      <c r="J23" s="794"/>
      <c r="K23" s="794"/>
      <c r="L23" s="794"/>
      <c r="M23" s="582"/>
      <c r="N23" s="794" t="str">
        <f>+N5</f>
        <v>Central Goverment of Costa Rica</v>
      </c>
      <c r="O23" s="794"/>
      <c r="P23" s="794"/>
      <c r="Q23" s="794"/>
      <c r="R23" s="794"/>
    </row>
    <row r="24" spans="2:18" ht="12.75" customHeight="1" x14ac:dyDescent="0.25">
      <c r="B24" s="794" t="str">
        <f>+B6</f>
        <v>Maturity Profile External Public Debt</v>
      </c>
      <c r="C24" s="794"/>
      <c r="D24" s="794"/>
      <c r="E24" s="794"/>
      <c r="F24" s="794"/>
      <c r="G24" s="377"/>
      <c r="H24" s="794" t="str">
        <f>+H6</f>
        <v>Maturity Profile External Public Debt</v>
      </c>
      <c r="I24" s="794"/>
      <c r="J24" s="794"/>
      <c r="K24" s="794"/>
      <c r="L24" s="794"/>
      <c r="M24" s="377"/>
      <c r="N24" s="794" t="str">
        <f>+N6</f>
        <v>Maturity Profile External Public Debt as percentage by Total Debt</v>
      </c>
      <c r="O24" s="794"/>
      <c r="P24" s="794"/>
      <c r="Q24" s="794"/>
      <c r="R24" s="794"/>
    </row>
    <row r="25" spans="2:18" x14ac:dyDescent="0.25">
      <c r="B25" s="797">
        <f>+D107</f>
        <v>2022</v>
      </c>
      <c r="C25" s="797"/>
      <c r="D25" s="797"/>
      <c r="E25" s="797"/>
      <c r="F25" s="797"/>
      <c r="G25" s="317"/>
      <c r="H25" s="797">
        <f>+B25</f>
        <v>2022</v>
      </c>
      <c r="I25" s="797"/>
      <c r="J25" s="797"/>
      <c r="K25" s="797"/>
      <c r="L25" s="797"/>
      <c r="M25" s="317"/>
      <c r="N25" s="797">
        <f>+H25</f>
        <v>2022</v>
      </c>
      <c r="O25" s="797"/>
      <c r="P25" s="797"/>
      <c r="Q25" s="797"/>
      <c r="R25" s="797"/>
    </row>
    <row r="26" spans="2:18" x14ac:dyDescent="0.25">
      <c r="B26" s="799" t="str">
        <f>+B8</f>
        <v>December 31st  2020</v>
      </c>
      <c r="C26" s="797"/>
      <c r="D26" s="797"/>
      <c r="E26" s="797"/>
      <c r="F26" s="797"/>
      <c r="G26" s="582"/>
      <c r="H26" s="799" t="str">
        <f>+B26</f>
        <v>December 31st  2020</v>
      </c>
      <c r="I26" s="797"/>
      <c r="J26" s="797"/>
      <c r="K26" s="797"/>
      <c r="L26" s="797"/>
      <c r="M26" s="582"/>
      <c r="N26" s="797" t="str">
        <f>+N8</f>
        <v>December 31st  2020</v>
      </c>
      <c r="O26" s="797"/>
      <c r="P26" s="797"/>
      <c r="Q26" s="797"/>
      <c r="R26" s="797"/>
    </row>
    <row r="27" spans="2:18" x14ac:dyDescent="0.25">
      <c r="B27" s="797" t="str">
        <f>+B9</f>
        <v>(Millions of colones)</v>
      </c>
      <c r="C27" s="797"/>
      <c r="D27" s="797"/>
      <c r="E27" s="797"/>
      <c r="F27" s="797"/>
      <c r="G27" s="582"/>
      <c r="H27" s="800" t="str">
        <f>+H9</f>
        <v>(USD million)</v>
      </c>
      <c r="I27" s="800"/>
      <c r="J27" s="800"/>
      <c r="K27" s="800"/>
      <c r="L27" s="800"/>
      <c r="M27" s="582"/>
      <c r="N27" s="799"/>
      <c r="O27" s="797"/>
      <c r="P27" s="797"/>
      <c r="Q27" s="797"/>
      <c r="R27" s="797"/>
    </row>
    <row r="28" spans="2:18" x14ac:dyDescent="0.25">
      <c r="B28" s="582"/>
      <c r="C28" s="582"/>
      <c r="D28" s="582"/>
      <c r="E28" s="582"/>
      <c r="F28" s="582"/>
    </row>
    <row r="29" spans="2:18" x14ac:dyDescent="0.25">
      <c r="B29" s="582"/>
      <c r="C29" s="582"/>
      <c r="D29" s="582"/>
      <c r="E29" s="582"/>
      <c r="F29" s="582"/>
    </row>
    <row r="30" spans="2:18" x14ac:dyDescent="0.25">
      <c r="B30" s="582"/>
      <c r="C30" s="582"/>
      <c r="D30" s="582"/>
      <c r="E30" s="582"/>
      <c r="F30" s="582"/>
    </row>
    <row r="31" spans="2:18" x14ac:dyDescent="0.25">
      <c r="B31" s="582"/>
      <c r="C31" s="582"/>
      <c r="D31" s="582"/>
      <c r="E31" s="582"/>
      <c r="F31" s="582"/>
    </row>
    <row r="32" spans="2:18" x14ac:dyDescent="0.25">
      <c r="B32" s="582"/>
      <c r="C32" s="582"/>
      <c r="D32" s="582"/>
      <c r="E32" s="582"/>
      <c r="F32" s="582"/>
    </row>
    <row r="33" spans="1:19" x14ac:dyDescent="0.25">
      <c r="B33" s="582"/>
      <c r="C33" s="582"/>
      <c r="D33" s="582"/>
      <c r="E33" s="582"/>
      <c r="F33" s="582"/>
    </row>
    <row r="34" spans="1:19" x14ac:dyDescent="0.25">
      <c r="B34" s="582"/>
      <c r="C34" s="582"/>
      <c r="D34" s="582"/>
      <c r="E34" s="582"/>
      <c r="F34" s="582"/>
    </row>
    <row r="35" spans="1:19" x14ac:dyDescent="0.25">
      <c r="B35" s="582"/>
      <c r="C35" s="582"/>
      <c r="D35" s="582"/>
      <c r="E35" s="582"/>
      <c r="F35" s="582"/>
    </row>
    <row r="36" spans="1:19" x14ac:dyDescent="0.25">
      <c r="B36" s="582"/>
      <c r="C36" s="582"/>
      <c r="D36" s="582"/>
      <c r="E36" s="582"/>
      <c r="F36" s="582"/>
    </row>
    <row r="37" spans="1:19" x14ac:dyDescent="0.25">
      <c r="B37" s="582"/>
      <c r="C37" s="582"/>
      <c r="D37" s="582"/>
      <c r="E37" s="582"/>
      <c r="F37" s="582"/>
    </row>
    <row r="38" spans="1:19" x14ac:dyDescent="0.25">
      <c r="B38" s="322"/>
      <c r="C38" s="582"/>
      <c r="D38" s="582"/>
      <c r="E38" s="582"/>
      <c r="F38" s="582"/>
    </row>
    <row r="39" spans="1:19" x14ac:dyDescent="0.25">
      <c r="B39" s="582"/>
      <c r="C39" s="582"/>
      <c r="D39" s="582"/>
      <c r="E39" s="582"/>
      <c r="F39" s="582"/>
    </row>
    <row r="41" spans="1:19" ht="12.75" customHeight="1" x14ac:dyDescent="0.25">
      <c r="B41" s="794" t="str">
        <f>+B5</f>
        <v>Central Goverment of Costa Rica</v>
      </c>
      <c r="C41" s="794"/>
      <c r="D41" s="794"/>
      <c r="E41" s="794"/>
      <c r="F41" s="794"/>
      <c r="G41" s="582"/>
      <c r="H41" s="794" t="str">
        <f>+H5</f>
        <v>Central Goverment of Costa Rica</v>
      </c>
      <c r="I41" s="794"/>
      <c r="J41" s="794"/>
      <c r="K41" s="794"/>
      <c r="L41" s="794"/>
      <c r="M41" s="582"/>
      <c r="N41" s="794" t="str">
        <f>+N23</f>
        <v>Central Goverment of Costa Rica</v>
      </c>
      <c r="O41" s="794"/>
      <c r="P41" s="794"/>
      <c r="Q41" s="794"/>
      <c r="R41" s="794"/>
    </row>
    <row r="42" spans="1:19" ht="12.75" customHeight="1" x14ac:dyDescent="0.25">
      <c r="A42" s="582"/>
      <c r="B42" s="794" t="str">
        <f>+B6</f>
        <v>Maturity Profile External Public Debt</v>
      </c>
      <c r="C42" s="794"/>
      <c r="D42" s="794"/>
      <c r="E42" s="794"/>
      <c r="F42" s="794"/>
      <c r="G42" s="377"/>
      <c r="H42" s="794" t="str">
        <f>+H6</f>
        <v>Maturity Profile External Public Debt</v>
      </c>
      <c r="I42" s="794"/>
      <c r="J42" s="794"/>
      <c r="K42" s="794"/>
      <c r="L42" s="794"/>
      <c r="M42" s="377"/>
      <c r="N42" s="794" t="str">
        <f>+N24</f>
        <v>Maturity Profile External Public Debt as percentage by Total Debt</v>
      </c>
      <c r="O42" s="794"/>
      <c r="P42" s="794"/>
      <c r="Q42" s="794"/>
      <c r="R42" s="794"/>
      <c r="S42" s="186"/>
    </row>
    <row r="43" spans="1:19" x14ac:dyDescent="0.25">
      <c r="A43" s="582"/>
      <c r="B43" s="797">
        <f>+E107</f>
        <v>2023</v>
      </c>
      <c r="C43" s="797"/>
      <c r="D43" s="797"/>
      <c r="E43" s="797"/>
      <c r="F43" s="797"/>
      <c r="G43" s="317"/>
      <c r="H43" s="797">
        <f>+B43</f>
        <v>2023</v>
      </c>
      <c r="I43" s="797"/>
      <c r="J43" s="797"/>
      <c r="K43" s="797"/>
      <c r="L43" s="797"/>
      <c r="M43" s="317"/>
      <c r="N43" s="797">
        <f>+H43</f>
        <v>2023</v>
      </c>
      <c r="O43" s="797"/>
      <c r="P43" s="797"/>
      <c r="Q43" s="797"/>
      <c r="R43" s="797"/>
    </row>
    <row r="44" spans="1:19" x14ac:dyDescent="0.25">
      <c r="A44" s="322"/>
      <c r="B44" s="799" t="str">
        <f>+B26</f>
        <v>December 31st  2020</v>
      </c>
      <c r="C44" s="797"/>
      <c r="D44" s="797"/>
      <c r="E44" s="797"/>
      <c r="F44" s="797"/>
      <c r="G44" s="582"/>
      <c r="H44" s="799" t="str">
        <f>+B44</f>
        <v>December 31st  2020</v>
      </c>
      <c r="I44" s="797"/>
      <c r="J44" s="797"/>
      <c r="K44" s="797"/>
      <c r="L44" s="797"/>
      <c r="M44" s="582"/>
      <c r="N44" s="799" t="str">
        <f>+H44</f>
        <v>December 31st  2020</v>
      </c>
      <c r="O44" s="797"/>
      <c r="P44" s="797"/>
      <c r="Q44" s="797"/>
      <c r="R44" s="797"/>
    </row>
    <row r="45" spans="1:19" x14ac:dyDescent="0.25">
      <c r="A45" s="582"/>
      <c r="B45" s="797" t="str">
        <f>+B9</f>
        <v>(Millions of colones)</v>
      </c>
      <c r="C45" s="797"/>
      <c r="D45" s="797"/>
      <c r="E45" s="797"/>
      <c r="F45" s="797"/>
      <c r="G45" s="582"/>
      <c r="H45" s="800" t="str">
        <f>+H9</f>
        <v>(USD million)</v>
      </c>
      <c r="I45" s="800"/>
      <c r="J45" s="800"/>
      <c r="K45" s="800"/>
      <c r="L45" s="800"/>
      <c r="M45" s="582"/>
      <c r="N45" s="799"/>
      <c r="O45" s="797"/>
      <c r="P45" s="797"/>
      <c r="Q45" s="797"/>
      <c r="R45" s="797"/>
    </row>
    <row r="46" spans="1:19" x14ac:dyDescent="0.25">
      <c r="A46" s="582"/>
      <c r="B46" s="582"/>
      <c r="C46" s="582"/>
      <c r="D46" s="582"/>
      <c r="E46" s="582"/>
      <c r="F46" s="582"/>
    </row>
    <row r="47" spans="1:19" x14ac:dyDescent="0.25">
      <c r="A47" s="582"/>
      <c r="B47" s="582"/>
      <c r="C47" s="582"/>
      <c r="D47" s="582"/>
      <c r="E47" s="582"/>
      <c r="F47" s="582"/>
    </row>
    <row r="48" spans="1:19" x14ac:dyDescent="0.25">
      <c r="A48" s="582"/>
      <c r="B48" s="582"/>
      <c r="C48" s="582"/>
      <c r="D48" s="582"/>
      <c r="E48" s="582"/>
      <c r="F48" s="582"/>
    </row>
    <row r="49" spans="1:38" x14ac:dyDescent="0.25">
      <c r="A49" s="582"/>
      <c r="B49" s="582"/>
      <c r="C49" s="582"/>
      <c r="D49" s="582"/>
      <c r="E49" s="582"/>
      <c r="F49" s="582"/>
    </row>
    <row r="50" spans="1:38" x14ac:dyDescent="0.25">
      <c r="A50" s="582"/>
      <c r="B50" s="582"/>
      <c r="C50" s="582"/>
      <c r="D50" s="582"/>
      <c r="E50" s="582"/>
      <c r="F50" s="582"/>
    </row>
    <row r="51" spans="1:38" x14ac:dyDescent="0.25">
      <c r="A51" s="582"/>
      <c r="B51" s="582"/>
      <c r="C51" s="582"/>
      <c r="D51" s="582"/>
      <c r="E51" s="582"/>
      <c r="F51" s="582"/>
    </row>
    <row r="52" spans="1:38" x14ac:dyDescent="0.25">
      <c r="A52" s="582"/>
      <c r="B52" s="582"/>
      <c r="C52" s="582"/>
      <c r="D52" s="582"/>
      <c r="E52" s="582"/>
      <c r="F52" s="582"/>
    </row>
    <row r="53" spans="1:38" x14ac:dyDescent="0.25">
      <c r="A53" s="582"/>
      <c r="B53" s="582"/>
      <c r="C53" s="582"/>
      <c r="D53" s="582"/>
      <c r="E53" s="582"/>
      <c r="F53" s="582"/>
    </row>
    <row r="54" spans="1:38" x14ac:dyDescent="0.25">
      <c r="A54" s="582"/>
      <c r="B54" s="582"/>
      <c r="C54" s="582"/>
      <c r="D54" s="582"/>
      <c r="E54" s="582"/>
      <c r="F54" s="582"/>
    </row>
    <row r="55" spans="1:38" x14ac:dyDescent="0.25">
      <c r="A55" s="582"/>
      <c r="B55" s="582"/>
      <c r="C55" s="582"/>
      <c r="D55" s="582"/>
      <c r="E55" s="582"/>
      <c r="F55" s="582"/>
    </row>
    <row r="56" spans="1:38" x14ac:dyDescent="0.25">
      <c r="A56" s="582"/>
      <c r="B56" s="322"/>
      <c r="C56" s="582"/>
      <c r="D56" s="582"/>
      <c r="E56" s="582"/>
      <c r="F56" s="582"/>
    </row>
    <row r="57" spans="1:38" x14ac:dyDescent="0.25">
      <c r="A57" s="582"/>
      <c r="B57" s="582"/>
      <c r="C57" s="582"/>
      <c r="D57" s="582"/>
      <c r="E57" s="582"/>
      <c r="F57" s="582"/>
    </row>
    <row r="58" spans="1:38" x14ac:dyDescent="0.25">
      <c r="A58" s="582"/>
      <c r="B58" s="582"/>
      <c r="C58" s="582"/>
      <c r="D58" s="582"/>
      <c r="E58" s="582"/>
      <c r="F58" s="582"/>
      <c r="G58" s="582"/>
      <c r="H58" s="582"/>
      <c r="I58" s="582"/>
      <c r="J58" s="582"/>
      <c r="K58" s="582"/>
      <c r="L58" s="582"/>
      <c r="M58" s="582"/>
      <c r="N58" s="582"/>
      <c r="O58" s="582"/>
      <c r="P58" s="582"/>
    </row>
    <row r="59" spans="1:38" x14ac:dyDescent="0.25">
      <c r="A59" s="582"/>
      <c r="B59" s="582"/>
      <c r="C59" s="582"/>
      <c r="D59" s="582"/>
      <c r="E59" s="582"/>
      <c r="F59" s="582"/>
      <c r="G59" s="582"/>
      <c r="H59" s="582"/>
      <c r="I59" s="582"/>
      <c r="J59" s="582"/>
      <c r="K59" s="582"/>
      <c r="L59" s="582"/>
      <c r="M59" s="582"/>
      <c r="N59" s="582"/>
      <c r="O59" s="582"/>
      <c r="P59" s="582"/>
    </row>
    <row r="60" spans="1:38" s="184" customFormat="1" ht="12" x14ac:dyDescent="0.25">
      <c r="A60" s="582"/>
      <c r="B60" s="582"/>
      <c r="C60" s="582"/>
      <c r="D60" s="582"/>
      <c r="E60" s="582"/>
      <c r="F60" s="582"/>
      <c r="G60" s="582"/>
      <c r="H60" s="582"/>
      <c r="I60" s="582"/>
      <c r="J60" s="582"/>
      <c r="K60" s="582"/>
      <c r="L60" s="582"/>
      <c r="M60" s="582"/>
      <c r="N60" s="582"/>
      <c r="O60" s="582"/>
      <c r="P60" s="582"/>
      <c r="Q60" s="317"/>
      <c r="R60" s="317"/>
      <c r="S60" s="582"/>
      <c r="T60" s="583"/>
      <c r="U60" s="186"/>
      <c r="V60" s="186"/>
      <c r="W60" s="186"/>
      <c r="X60" s="186"/>
      <c r="Y60" s="186"/>
      <c r="Z60" s="186"/>
      <c r="AA60" s="186"/>
      <c r="AB60" s="186"/>
      <c r="AC60" s="186"/>
      <c r="AD60" s="186"/>
      <c r="AE60" s="186"/>
      <c r="AF60" s="186"/>
      <c r="AG60" s="186"/>
      <c r="AH60" s="186"/>
      <c r="AI60" s="186"/>
      <c r="AJ60" s="186"/>
      <c r="AK60" s="186"/>
      <c r="AL60" s="186"/>
    </row>
    <row r="61" spans="1:38" s="184" customFormat="1" ht="26.25" customHeight="1" x14ac:dyDescent="0.25">
      <c r="A61" s="582"/>
      <c r="B61" s="814" t="str">
        <f>+B2</f>
        <v>Graphics Maturity Profile External Public Debt Central Goverment of Costa Rica</v>
      </c>
      <c r="C61" s="814"/>
      <c r="D61" s="814"/>
      <c r="E61" s="814"/>
      <c r="F61" s="814"/>
      <c r="G61" s="814"/>
      <c r="H61" s="814"/>
      <c r="I61" s="814"/>
      <c r="J61" s="814"/>
      <c r="K61" s="814"/>
      <c r="L61" s="814"/>
      <c r="M61" s="814"/>
      <c r="N61" s="814"/>
      <c r="O61" s="814"/>
      <c r="P61" s="814"/>
      <c r="Q61" s="814"/>
      <c r="R61" s="815"/>
      <c r="S61" s="316" t="s">
        <v>43</v>
      </c>
      <c r="T61" s="583"/>
      <c r="U61" s="186"/>
      <c r="V61" s="186"/>
      <c r="W61" s="186"/>
      <c r="X61" s="186"/>
      <c r="Y61" s="186"/>
      <c r="Z61" s="186"/>
      <c r="AA61" s="186"/>
      <c r="AB61" s="186"/>
      <c r="AC61" s="186"/>
      <c r="AD61" s="186"/>
      <c r="AE61" s="186"/>
      <c r="AF61" s="186"/>
      <c r="AG61" s="186"/>
      <c r="AH61" s="186"/>
      <c r="AI61" s="186"/>
      <c r="AJ61" s="186"/>
      <c r="AK61" s="186"/>
      <c r="AL61" s="186"/>
    </row>
    <row r="62" spans="1:38" x14ac:dyDescent="0.25">
      <c r="A62" s="582"/>
      <c r="B62" s="582"/>
      <c r="C62" s="582"/>
      <c r="D62" s="582"/>
      <c r="E62" s="582"/>
      <c r="F62" s="582"/>
      <c r="G62" s="582"/>
      <c r="H62" s="582"/>
      <c r="I62" s="582"/>
      <c r="J62" s="582"/>
      <c r="K62" s="582"/>
      <c r="L62" s="582"/>
      <c r="M62" s="582"/>
      <c r="N62" s="582"/>
      <c r="O62" s="582"/>
      <c r="P62" s="582"/>
    </row>
    <row r="63" spans="1:38" ht="12.75" customHeight="1" x14ac:dyDescent="0.25">
      <c r="A63" s="582"/>
      <c r="B63" s="794" t="str">
        <f>+B5</f>
        <v>Central Goverment of Costa Rica</v>
      </c>
      <c r="C63" s="794"/>
      <c r="D63" s="794"/>
      <c r="E63" s="794"/>
      <c r="F63" s="794"/>
      <c r="G63" s="582"/>
      <c r="H63" s="794" t="str">
        <f>+H5</f>
        <v>Central Goverment of Costa Rica</v>
      </c>
      <c r="I63" s="794"/>
      <c r="J63" s="794"/>
      <c r="K63" s="794"/>
      <c r="L63" s="794"/>
      <c r="M63" s="582"/>
      <c r="N63" s="794" t="str">
        <f>+N5</f>
        <v>Central Goverment of Costa Rica</v>
      </c>
      <c r="O63" s="794"/>
      <c r="P63" s="794"/>
      <c r="Q63" s="794"/>
      <c r="R63" s="794"/>
    </row>
    <row r="64" spans="1:38" ht="12.75" customHeight="1" x14ac:dyDescent="0.25">
      <c r="A64" s="582"/>
      <c r="B64" s="794" t="str">
        <f>+B6</f>
        <v>Maturity Profile External Public Debt</v>
      </c>
      <c r="C64" s="794"/>
      <c r="D64" s="794"/>
      <c r="E64" s="794"/>
      <c r="F64" s="794"/>
      <c r="G64" s="377"/>
      <c r="H64" s="794" t="str">
        <f>+H6</f>
        <v>Maturity Profile External Public Debt</v>
      </c>
      <c r="I64" s="794"/>
      <c r="J64" s="794"/>
      <c r="K64" s="794"/>
      <c r="L64" s="794"/>
      <c r="M64" s="377"/>
      <c r="N64" s="794" t="str">
        <f t="shared" ref="N64" si="0">+N6</f>
        <v>Maturity Profile External Public Debt as percentage by Total Debt</v>
      </c>
      <c r="O64" s="794"/>
      <c r="P64" s="794"/>
      <c r="Q64" s="794"/>
      <c r="R64" s="794"/>
    </row>
    <row r="65" spans="1:40" x14ac:dyDescent="0.25">
      <c r="A65" s="582"/>
      <c r="B65" s="797">
        <f>+F107</f>
        <v>2024</v>
      </c>
      <c r="C65" s="797"/>
      <c r="D65" s="797"/>
      <c r="E65" s="797"/>
      <c r="F65" s="797"/>
      <c r="G65" s="317"/>
      <c r="H65" s="797">
        <f>+B65</f>
        <v>2024</v>
      </c>
      <c r="I65" s="797"/>
      <c r="J65" s="797"/>
      <c r="K65" s="797"/>
      <c r="L65" s="797"/>
      <c r="M65" s="317"/>
      <c r="N65" s="794">
        <f>+H65</f>
        <v>2024</v>
      </c>
      <c r="O65" s="794"/>
      <c r="P65" s="794"/>
      <c r="Q65" s="794"/>
      <c r="R65" s="794"/>
    </row>
    <row r="66" spans="1:40" x14ac:dyDescent="0.25">
      <c r="A66" s="582"/>
      <c r="B66" s="799" t="str">
        <f>+B44</f>
        <v>December 31st  2020</v>
      </c>
      <c r="C66" s="797"/>
      <c r="D66" s="797"/>
      <c r="E66" s="797"/>
      <c r="F66" s="797"/>
      <c r="G66" s="582"/>
      <c r="H66" s="799" t="str">
        <f>+B66</f>
        <v>December 31st  2020</v>
      </c>
      <c r="I66" s="797"/>
      <c r="J66" s="797"/>
      <c r="K66" s="797"/>
      <c r="L66" s="797"/>
      <c r="M66" s="582"/>
      <c r="N66" s="816" t="str">
        <f>+H66</f>
        <v>December 31st  2020</v>
      </c>
      <c r="O66" s="794"/>
      <c r="P66" s="794"/>
      <c r="Q66" s="794"/>
      <c r="R66" s="794"/>
    </row>
    <row r="67" spans="1:40" x14ac:dyDescent="0.25">
      <c r="A67" s="582"/>
      <c r="B67" s="797" t="str">
        <f>+B9</f>
        <v>(Millions of colones)</v>
      </c>
      <c r="C67" s="797"/>
      <c r="D67" s="797"/>
      <c r="E67" s="797"/>
      <c r="F67" s="797"/>
      <c r="G67" s="582"/>
      <c r="H67" s="800" t="str">
        <f>+H9</f>
        <v>(USD million)</v>
      </c>
      <c r="I67" s="800"/>
      <c r="J67" s="800"/>
      <c r="K67" s="800"/>
      <c r="L67" s="800"/>
      <c r="M67" s="582"/>
      <c r="N67" s="794"/>
      <c r="O67" s="794"/>
      <c r="P67" s="794"/>
      <c r="Q67" s="794"/>
      <c r="R67" s="794"/>
    </row>
    <row r="68" spans="1:40" x14ac:dyDescent="0.25">
      <c r="A68" s="582"/>
      <c r="B68" s="582"/>
      <c r="C68" s="582"/>
      <c r="D68" s="582"/>
      <c r="E68" s="582"/>
      <c r="F68" s="582"/>
    </row>
    <row r="69" spans="1:40" x14ac:dyDescent="0.25">
      <c r="A69" s="582"/>
      <c r="B69" s="582"/>
      <c r="C69" s="582"/>
      <c r="D69" s="582"/>
      <c r="E69" s="582"/>
      <c r="F69" s="582"/>
    </row>
    <row r="70" spans="1:40" x14ac:dyDescent="0.25">
      <c r="A70" s="582"/>
      <c r="B70" s="582"/>
      <c r="C70" s="582"/>
      <c r="D70" s="582"/>
      <c r="E70" s="582"/>
      <c r="F70" s="582"/>
    </row>
    <row r="71" spans="1:40" x14ac:dyDescent="0.25">
      <c r="A71" s="582"/>
      <c r="B71" s="582"/>
      <c r="C71" s="582"/>
      <c r="D71" s="582"/>
      <c r="E71" s="582"/>
      <c r="F71" s="582"/>
    </row>
    <row r="72" spans="1:40" x14ac:dyDescent="0.25">
      <c r="A72" s="582"/>
      <c r="B72" s="582"/>
      <c r="C72" s="582"/>
      <c r="D72" s="582"/>
      <c r="E72" s="582"/>
      <c r="F72" s="582"/>
      <c r="AM72" s="582"/>
      <c r="AN72" s="582"/>
    </row>
    <row r="73" spans="1:40" x14ac:dyDescent="0.25">
      <c r="A73" s="582"/>
      <c r="B73" s="582"/>
      <c r="C73" s="582"/>
      <c r="D73" s="582"/>
      <c r="E73" s="582"/>
      <c r="F73" s="582"/>
      <c r="AM73" s="582"/>
      <c r="AN73" s="582"/>
    </row>
    <row r="74" spans="1:40" x14ac:dyDescent="0.25">
      <c r="A74" s="582"/>
      <c r="B74" s="582"/>
      <c r="C74" s="582"/>
      <c r="D74" s="582"/>
      <c r="E74" s="582"/>
      <c r="F74" s="582"/>
      <c r="AM74" s="582"/>
      <c r="AN74" s="582"/>
    </row>
    <row r="75" spans="1:40" x14ac:dyDescent="0.25">
      <c r="A75" s="582"/>
      <c r="B75" s="582"/>
      <c r="C75" s="582"/>
      <c r="D75" s="582"/>
      <c r="E75" s="582"/>
      <c r="F75" s="582"/>
      <c r="U75" s="186"/>
      <c r="V75" s="186"/>
      <c r="W75" s="186"/>
      <c r="X75" s="186"/>
      <c r="Y75" s="186"/>
      <c r="Z75" s="186"/>
      <c r="AA75" s="186"/>
      <c r="AB75" s="186"/>
      <c r="AC75" s="186"/>
      <c r="AD75" s="186"/>
      <c r="AE75" s="186"/>
      <c r="AF75" s="186"/>
      <c r="AG75" s="186"/>
      <c r="AH75" s="186"/>
      <c r="AI75" s="186"/>
      <c r="AJ75" s="186"/>
      <c r="AK75" s="186"/>
      <c r="AL75" s="186"/>
      <c r="AM75" s="582"/>
      <c r="AN75" s="582"/>
    </row>
    <row r="76" spans="1:40" x14ac:dyDescent="0.25">
      <c r="A76" s="582"/>
      <c r="B76" s="582"/>
      <c r="C76" s="582"/>
      <c r="D76" s="582"/>
      <c r="E76" s="582"/>
      <c r="F76" s="582"/>
    </row>
    <row r="77" spans="1:40" x14ac:dyDescent="0.25">
      <c r="A77" s="582"/>
      <c r="B77" s="582"/>
      <c r="C77" s="582"/>
      <c r="D77" s="582"/>
      <c r="E77" s="582"/>
      <c r="F77" s="582"/>
    </row>
    <row r="78" spans="1:40" x14ac:dyDescent="0.25">
      <c r="A78" s="582"/>
      <c r="B78" s="322"/>
      <c r="C78" s="582"/>
      <c r="D78" s="582"/>
      <c r="E78" s="582"/>
      <c r="F78" s="582"/>
    </row>
    <row r="79" spans="1:40" x14ac:dyDescent="0.25">
      <c r="A79" s="582"/>
      <c r="B79" s="582"/>
      <c r="C79" s="582"/>
      <c r="D79" s="582"/>
      <c r="E79" s="582"/>
      <c r="F79" s="582"/>
    </row>
    <row r="80" spans="1:40" x14ac:dyDescent="0.25">
      <c r="A80" s="582"/>
      <c r="B80" s="582"/>
      <c r="C80" s="582"/>
      <c r="D80" s="582"/>
      <c r="E80" s="582"/>
      <c r="F80" s="582"/>
      <c r="G80" s="582"/>
      <c r="H80" s="582"/>
      <c r="I80" s="582"/>
      <c r="J80" s="582"/>
      <c r="K80" s="582"/>
      <c r="L80" s="582"/>
      <c r="M80" s="582"/>
      <c r="N80" s="582"/>
      <c r="O80" s="582"/>
      <c r="P80" s="582"/>
    </row>
    <row r="81" spans="1:18" ht="12.75" customHeight="1" x14ac:dyDescent="0.25">
      <c r="A81" s="582"/>
      <c r="B81" s="794" t="str">
        <f>+B5</f>
        <v>Central Goverment of Costa Rica</v>
      </c>
      <c r="C81" s="794"/>
      <c r="D81" s="794"/>
      <c r="E81" s="794"/>
      <c r="F81" s="794"/>
      <c r="G81" s="582"/>
      <c r="H81" s="794" t="str">
        <f>+H5</f>
        <v>Central Goverment of Costa Rica</v>
      </c>
      <c r="I81" s="794"/>
      <c r="J81" s="794"/>
      <c r="K81" s="794"/>
      <c r="L81" s="794"/>
      <c r="M81" s="582"/>
      <c r="N81" s="794" t="str">
        <f>+N63</f>
        <v>Central Goverment of Costa Rica</v>
      </c>
      <c r="O81" s="794"/>
      <c r="P81" s="794"/>
      <c r="Q81" s="794"/>
      <c r="R81" s="794"/>
    </row>
    <row r="82" spans="1:18" ht="12.75" customHeight="1" x14ac:dyDescent="0.25">
      <c r="A82" s="582"/>
      <c r="B82" s="794" t="str">
        <f>+B6</f>
        <v>Maturity Profile External Public Debt</v>
      </c>
      <c r="C82" s="794"/>
      <c r="D82" s="794"/>
      <c r="E82" s="794"/>
      <c r="F82" s="794"/>
      <c r="G82" s="377"/>
      <c r="H82" s="794" t="str">
        <f>+H6</f>
        <v>Maturity Profile External Public Debt</v>
      </c>
      <c r="I82" s="794"/>
      <c r="J82" s="794"/>
      <c r="K82" s="794"/>
      <c r="L82" s="794"/>
      <c r="M82" s="377"/>
      <c r="N82" s="794" t="str">
        <f>+N64</f>
        <v>Maturity Profile External Public Debt as percentage by Total Debt</v>
      </c>
      <c r="O82" s="794"/>
      <c r="P82" s="794"/>
      <c r="Q82" s="794"/>
      <c r="R82" s="794"/>
    </row>
    <row r="83" spans="1:18" x14ac:dyDescent="0.25">
      <c r="A83" s="582"/>
      <c r="B83" s="797">
        <f>+G107</f>
        <v>2025</v>
      </c>
      <c r="C83" s="797"/>
      <c r="D83" s="797"/>
      <c r="E83" s="797"/>
      <c r="F83" s="797"/>
      <c r="G83" s="317"/>
      <c r="H83" s="797">
        <f>+B83</f>
        <v>2025</v>
      </c>
      <c r="I83" s="797"/>
      <c r="J83" s="797"/>
      <c r="K83" s="797"/>
      <c r="L83" s="797"/>
      <c r="M83" s="317"/>
      <c r="N83" s="797">
        <f>+H83</f>
        <v>2025</v>
      </c>
      <c r="O83" s="797"/>
      <c r="P83" s="797"/>
      <c r="Q83" s="797"/>
      <c r="R83" s="797"/>
    </row>
    <row r="84" spans="1:18" x14ac:dyDescent="0.25">
      <c r="A84" s="582"/>
      <c r="B84" s="799" t="str">
        <f>+B66</f>
        <v>December 31st  2020</v>
      </c>
      <c r="C84" s="797"/>
      <c r="D84" s="797"/>
      <c r="E84" s="797"/>
      <c r="F84" s="797"/>
      <c r="G84" s="582"/>
      <c r="H84" s="799" t="str">
        <f>+B84</f>
        <v>December 31st  2020</v>
      </c>
      <c r="I84" s="797"/>
      <c r="J84" s="797"/>
      <c r="K84" s="797"/>
      <c r="L84" s="797"/>
      <c r="M84" s="582"/>
      <c r="N84" s="799" t="str">
        <f>+H84</f>
        <v>December 31st  2020</v>
      </c>
      <c r="O84" s="797"/>
      <c r="P84" s="797"/>
      <c r="Q84" s="797"/>
      <c r="R84" s="797"/>
    </row>
    <row r="85" spans="1:18" x14ac:dyDescent="0.25">
      <c r="A85" s="322"/>
      <c r="B85" s="797" t="str">
        <f>+B9</f>
        <v>(Millions of colones)</v>
      </c>
      <c r="C85" s="797"/>
      <c r="D85" s="797"/>
      <c r="E85" s="797"/>
      <c r="F85" s="797"/>
      <c r="G85" s="582"/>
      <c r="H85" s="800" t="str">
        <f>+H9</f>
        <v>(USD million)</v>
      </c>
      <c r="I85" s="800"/>
      <c r="J85" s="800"/>
      <c r="K85" s="800"/>
      <c r="L85" s="800"/>
      <c r="M85" s="582"/>
      <c r="N85" s="799"/>
      <c r="O85" s="797"/>
      <c r="P85" s="797"/>
      <c r="Q85" s="797"/>
      <c r="R85" s="797"/>
    </row>
    <row r="86" spans="1:18" x14ac:dyDescent="0.25">
      <c r="A86" s="582"/>
      <c r="B86" s="582"/>
      <c r="C86" s="582"/>
      <c r="D86" s="582"/>
      <c r="E86" s="582"/>
      <c r="F86" s="582"/>
    </row>
    <row r="87" spans="1:18" x14ac:dyDescent="0.25">
      <c r="A87" s="582"/>
      <c r="B87" s="582"/>
      <c r="C87" s="582"/>
      <c r="D87" s="582"/>
      <c r="E87" s="582"/>
      <c r="F87" s="582"/>
    </row>
    <row r="88" spans="1:18" x14ac:dyDescent="0.25">
      <c r="A88" s="582"/>
      <c r="B88" s="582"/>
      <c r="C88" s="582"/>
      <c r="D88" s="582"/>
      <c r="E88" s="582"/>
      <c r="F88" s="582"/>
    </row>
    <row r="89" spans="1:18" x14ac:dyDescent="0.25">
      <c r="A89" s="582"/>
      <c r="B89" s="582"/>
      <c r="C89" s="582"/>
      <c r="D89" s="582"/>
      <c r="E89" s="582"/>
      <c r="F89" s="582"/>
    </row>
    <row r="90" spans="1:18" x14ac:dyDescent="0.25">
      <c r="A90" s="582"/>
      <c r="B90" s="582"/>
      <c r="C90" s="582"/>
      <c r="D90" s="582"/>
      <c r="E90" s="582"/>
      <c r="F90" s="582"/>
    </row>
    <row r="91" spans="1:18" x14ac:dyDescent="0.25">
      <c r="A91" s="582"/>
      <c r="B91" s="582"/>
      <c r="C91" s="582"/>
      <c r="D91" s="582"/>
      <c r="E91" s="582"/>
      <c r="F91" s="582"/>
    </row>
    <row r="92" spans="1:18" x14ac:dyDescent="0.25">
      <c r="A92" s="582"/>
      <c r="B92" s="582"/>
      <c r="C92" s="582"/>
      <c r="D92" s="582"/>
      <c r="E92" s="582"/>
      <c r="F92" s="582"/>
    </row>
    <row r="93" spans="1:18" x14ac:dyDescent="0.25">
      <c r="A93" s="582"/>
      <c r="B93" s="582"/>
      <c r="C93" s="582"/>
      <c r="D93" s="582"/>
      <c r="E93" s="582"/>
      <c r="F93" s="582"/>
    </row>
    <row r="94" spans="1:18" x14ac:dyDescent="0.25">
      <c r="A94" s="582"/>
      <c r="B94" s="582"/>
      <c r="C94" s="582"/>
      <c r="D94" s="582"/>
      <c r="E94" s="582"/>
      <c r="F94" s="582"/>
    </row>
    <row r="95" spans="1:18" x14ac:dyDescent="0.25">
      <c r="A95" s="582"/>
      <c r="B95" s="582"/>
      <c r="C95" s="582"/>
      <c r="D95" s="582"/>
      <c r="E95" s="582"/>
      <c r="F95" s="582"/>
    </row>
    <row r="96" spans="1:18" x14ac:dyDescent="0.25">
      <c r="A96" s="582"/>
      <c r="B96" s="322"/>
      <c r="C96" s="582"/>
      <c r="D96" s="582"/>
      <c r="E96" s="582"/>
      <c r="F96" s="582"/>
    </row>
    <row r="97" spans="1:36" x14ac:dyDescent="0.25">
      <c r="A97" s="582"/>
      <c r="B97" s="582"/>
      <c r="C97" s="582"/>
      <c r="D97" s="582"/>
      <c r="E97" s="582"/>
      <c r="F97" s="582"/>
    </row>
    <row r="98" spans="1:36" x14ac:dyDescent="0.25">
      <c r="A98" s="582"/>
      <c r="B98" s="582"/>
      <c r="C98" s="582"/>
      <c r="D98" s="582"/>
      <c r="E98" s="582"/>
      <c r="F98" s="582"/>
      <c r="G98" s="582"/>
      <c r="H98" s="582"/>
      <c r="I98" s="582"/>
      <c r="J98" s="582"/>
      <c r="K98" s="582"/>
      <c r="L98" s="582"/>
      <c r="M98" s="582"/>
      <c r="N98" s="582"/>
      <c r="O98" s="582"/>
      <c r="P98" s="582"/>
    </row>
    <row r="99" spans="1:36" x14ac:dyDescent="0.25">
      <c r="A99" s="582"/>
      <c r="B99" s="582"/>
      <c r="C99" s="582"/>
      <c r="D99" s="582"/>
      <c r="E99" s="582"/>
      <c r="F99" s="582"/>
      <c r="G99" s="582"/>
      <c r="H99" s="582"/>
      <c r="I99" s="582"/>
      <c r="J99" s="582"/>
      <c r="K99" s="582"/>
      <c r="L99" s="582"/>
      <c r="M99" s="582"/>
      <c r="N99" s="582"/>
      <c r="O99" s="582"/>
      <c r="P99" s="582"/>
    </row>
    <row r="100" spans="1:36" ht="27" customHeight="1" x14ac:dyDescent="0.25">
      <c r="A100" s="582"/>
      <c r="B100" s="316" t="s">
        <v>43</v>
      </c>
      <c r="C100" s="582"/>
      <c r="D100" s="582"/>
      <c r="E100" s="582"/>
      <c r="F100" s="582"/>
      <c r="G100" s="582"/>
      <c r="H100" s="582"/>
      <c r="I100" s="582"/>
      <c r="J100" s="582"/>
      <c r="K100" s="582"/>
      <c r="L100" s="582"/>
      <c r="M100" s="582"/>
      <c r="N100" s="582"/>
      <c r="O100" s="582"/>
      <c r="P100" s="582"/>
    </row>
    <row r="101" spans="1:36" x14ac:dyDescent="0.25">
      <c r="A101" s="582"/>
      <c r="B101" s="582"/>
      <c r="C101" s="582"/>
      <c r="D101" s="582"/>
      <c r="E101" s="582"/>
      <c r="F101" s="582"/>
      <c r="G101" s="582"/>
      <c r="H101" s="582"/>
      <c r="I101" s="582"/>
      <c r="J101" s="582"/>
      <c r="K101" s="582"/>
      <c r="L101" s="582"/>
      <c r="M101" s="582"/>
      <c r="N101" s="582"/>
      <c r="O101" s="582"/>
      <c r="P101" s="582"/>
    </row>
    <row r="102" spans="1:36" ht="15" customHeight="1" x14ac:dyDescent="0.3">
      <c r="A102" s="582"/>
      <c r="B102" s="817" t="str">
        <f>+B5</f>
        <v>Central Goverment of Costa Rica</v>
      </c>
      <c r="C102" s="817"/>
      <c r="D102" s="817"/>
      <c r="E102" s="817"/>
      <c r="F102" s="817"/>
      <c r="G102" s="817"/>
      <c r="H102" s="817"/>
      <c r="I102" s="817"/>
      <c r="J102" s="817"/>
      <c r="K102" s="817"/>
      <c r="L102" s="817"/>
      <c r="M102" s="817"/>
      <c r="N102" s="817"/>
      <c r="O102" s="817"/>
      <c r="P102" s="817"/>
      <c r="Q102" s="817"/>
      <c r="R102" s="817"/>
      <c r="S102" s="817"/>
      <c r="T102" s="817"/>
      <c r="U102" s="817"/>
      <c r="V102" s="817"/>
      <c r="W102" s="817"/>
      <c r="X102" s="817"/>
      <c r="Y102" s="817"/>
      <c r="Z102" s="817"/>
      <c r="AA102" s="817"/>
      <c r="AB102" s="817"/>
      <c r="AC102" s="817"/>
      <c r="AD102" s="817"/>
      <c r="AE102" s="817"/>
      <c r="AF102" s="817"/>
      <c r="AG102" s="817"/>
      <c r="AH102" s="817"/>
      <c r="AI102" s="817"/>
      <c r="AJ102" s="817"/>
    </row>
    <row r="103" spans="1:36" ht="15" customHeight="1" x14ac:dyDescent="0.25">
      <c r="A103" s="582"/>
      <c r="B103" s="818" t="str">
        <f>+B6</f>
        <v>Maturity Profile External Public Debt</v>
      </c>
      <c r="C103" s="819"/>
      <c r="D103" s="819"/>
      <c r="E103" s="819"/>
      <c r="F103" s="819"/>
      <c r="G103" s="819"/>
      <c r="H103" s="819"/>
      <c r="I103" s="819"/>
      <c r="J103" s="819"/>
      <c r="K103" s="819"/>
      <c r="L103" s="819"/>
      <c r="M103" s="819"/>
      <c r="N103" s="819"/>
      <c r="O103" s="819"/>
      <c r="P103" s="819"/>
      <c r="Q103" s="819"/>
      <c r="R103" s="819"/>
      <c r="S103" s="819"/>
      <c r="T103" s="819"/>
      <c r="U103" s="819"/>
      <c r="V103" s="819"/>
      <c r="W103" s="819"/>
      <c r="X103" s="819"/>
      <c r="Y103" s="819"/>
      <c r="Z103" s="819"/>
      <c r="AA103" s="819"/>
      <c r="AB103" s="819"/>
      <c r="AC103" s="819"/>
      <c r="AD103" s="819"/>
      <c r="AE103" s="819"/>
      <c r="AF103" s="819"/>
      <c r="AG103" s="819"/>
      <c r="AH103" s="819"/>
      <c r="AI103" s="819"/>
      <c r="AJ103" s="819"/>
    </row>
    <row r="104" spans="1:36" ht="14.4" x14ac:dyDescent="0.3">
      <c r="A104" s="582"/>
      <c r="B104" s="801" t="str">
        <f>+B8</f>
        <v>December 31st  2020</v>
      </c>
      <c r="C104" s="801"/>
      <c r="D104" s="801"/>
      <c r="E104" s="801"/>
      <c r="F104" s="801"/>
      <c r="G104" s="801"/>
      <c r="H104" s="801"/>
      <c r="I104" s="801"/>
      <c r="J104" s="801"/>
      <c r="K104" s="801"/>
      <c r="L104" s="801"/>
      <c r="M104" s="801"/>
      <c r="N104" s="801"/>
      <c r="O104" s="801"/>
      <c r="P104" s="801"/>
      <c r="Q104" s="801"/>
      <c r="R104" s="801"/>
      <c r="S104" s="801"/>
      <c r="T104" s="801"/>
      <c r="U104" s="801"/>
      <c r="V104" s="801"/>
      <c r="W104" s="801"/>
      <c r="X104" s="801"/>
      <c r="Y104" s="801"/>
      <c r="Z104" s="801"/>
      <c r="AA104" s="801"/>
      <c r="AB104" s="801"/>
      <c r="AC104" s="801"/>
      <c r="AD104" s="801"/>
      <c r="AE104" s="801"/>
      <c r="AF104" s="801"/>
      <c r="AG104" s="801"/>
      <c r="AH104" s="801"/>
      <c r="AI104" s="801"/>
      <c r="AJ104" s="801"/>
    </row>
    <row r="105" spans="1:36" ht="14.4" x14ac:dyDescent="0.3">
      <c r="A105" s="582"/>
      <c r="B105" s="801" t="str">
        <f>+B9</f>
        <v>(Millions of colones)</v>
      </c>
      <c r="C105" s="801"/>
      <c r="D105" s="801"/>
      <c r="E105" s="801"/>
      <c r="F105" s="801"/>
      <c r="G105" s="801"/>
      <c r="H105" s="801"/>
      <c r="I105" s="801"/>
      <c r="J105" s="801"/>
      <c r="K105" s="801"/>
      <c r="L105" s="801"/>
      <c r="M105" s="801"/>
      <c r="N105" s="801"/>
      <c r="O105" s="801"/>
      <c r="P105" s="801"/>
      <c r="Q105" s="801"/>
      <c r="R105" s="801"/>
      <c r="S105" s="801"/>
      <c r="T105" s="801"/>
      <c r="U105" s="801"/>
      <c r="V105" s="801"/>
      <c r="W105" s="801"/>
      <c r="X105" s="801"/>
      <c r="Y105" s="801"/>
      <c r="Z105" s="801"/>
      <c r="AA105" s="801"/>
      <c r="AB105" s="801"/>
      <c r="AC105" s="801"/>
      <c r="AD105" s="801"/>
      <c r="AE105" s="801"/>
      <c r="AF105" s="801"/>
      <c r="AG105" s="801"/>
      <c r="AH105" s="801"/>
      <c r="AI105" s="801"/>
      <c r="AJ105" s="801"/>
    </row>
    <row r="106" spans="1:36" ht="14.4" x14ac:dyDescent="0.3">
      <c r="A106" s="582"/>
      <c r="B106" s="754"/>
      <c r="C106" s="754"/>
      <c r="D106" s="754"/>
      <c r="E106" s="754"/>
      <c r="F106" s="754"/>
      <c r="G106" s="754"/>
      <c r="H106" s="754"/>
      <c r="I106" s="754"/>
      <c r="J106" s="754"/>
      <c r="K106" s="754"/>
      <c r="L106" s="754"/>
      <c r="M106" s="754"/>
      <c r="N106" s="754"/>
      <c r="O106" s="754"/>
      <c r="P106" s="754"/>
      <c r="Q106" s="754"/>
      <c r="R106" s="754"/>
      <c r="S106" s="754"/>
      <c r="T106" s="754"/>
      <c r="U106" s="754"/>
      <c r="V106" s="754"/>
      <c r="W106" s="754"/>
      <c r="X106" s="754"/>
      <c r="Y106" s="754"/>
      <c r="Z106" s="754"/>
      <c r="AA106" s="754"/>
      <c r="AB106" s="754"/>
      <c r="AC106" s="754"/>
      <c r="AD106" s="754"/>
      <c r="AE106" s="754"/>
      <c r="AF106" s="754"/>
      <c r="AG106" s="754"/>
      <c r="AH106" s="754"/>
      <c r="AI106" s="754"/>
      <c r="AJ106" s="754"/>
    </row>
    <row r="107" spans="1:36" x14ac:dyDescent="0.25">
      <c r="A107" s="582"/>
      <c r="B107" s="325" t="s">
        <v>159</v>
      </c>
      <c r="C107" s="326">
        <v>2021</v>
      </c>
      <c r="D107" s="326">
        <f>+C107+1</f>
        <v>2022</v>
      </c>
      <c r="E107" s="326">
        <f t="shared" ref="E107:AH107" si="1">+D107+1</f>
        <v>2023</v>
      </c>
      <c r="F107" s="326">
        <f t="shared" si="1"/>
        <v>2024</v>
      </c>
      <c r="G107" s="326">
        <f t="shared" si="1"/>
        <v>2025</v>
      </c>
      <c r="H107" s="326">
        <f t="shared" si="1"/>
        <v>2026</v>
      </c>
      <c r="I107" s="326">
        <f t="shared" si="1"/>
        <v>2027</v>
      </c>
      <c r="J107" s="326">
        <f t="shared" si="1"/>
        <v>2028</v>
      </c>
      <c r="K107" s="326">
        <f t="shared" si="1"/>
        <v>2029</v>
      </c>
      <c r="L107" s="326">
        <f t="shared" si="1"/>
        <v>2030</v>
      </c>
      <c r="M107" s="326">
        <f t="shared" si="1"/>
        <v>2031</v>
      </c>
      <c r="N107" s="326">
        <f t="shared" si="1"/>
        <v>2032</v>
      </c>
      <c r="O107" s="326">
        <f t="shared" si="1"/>
        <v>2033</v>
      </c>
      <c r="P107" s="326">
        <f t="shared" si="1"/>
        <v>2034</v>
      </c>
      <c r="Q107" s="326">
        <f t="shared" si="1"/>
        <v>2035</v>
      </c>
      <c r="R107" s="326">
        <f t="shared" si="1"/>
        <v>2036</v>
      </c>
      <c r="S107" s="326">
        <f t="shared" si="1"/>
        <v>2037</v>
      </c>
      <c r="T107" s="326">
        <f t="shared" si="1"/>
        <v>2038</v>
      </c>
      <c r="U107" s="326">
        <f t="shared" si="1"/>
        <v>2039</v>
      </c>
      <c r="V107" s="326">
        <f t="shared" si="1"/>
        <v>2040</v>
      </c>
      <c r="W107" s="326">
        <f t="shared" si="1"/>
        <v>2041</v>
      </c>
      <c r="X107" s="326">
        <f t="shared" si="1"/>
        <v>2042</v>
      </c>
      <c r="Y107" s="326">
        <f t="shared" si="1"/>
        <v>2043</v>
      </c>
      <c r="Z107" s="326">
        <f t="shared" si="1"/>
        <v>2044</v>
      </c>
      <c r="AA107" s="326">
        <f t="shared" si="1"/>
        <v>2045</v>
      </c>
      <c r="AB107" s="326">
        <f t="shared" si="1"/>
        <v>2046</v>
      </c>
      <c r="AC107" s="326">
        <f t="shared" si="1"/>
        <v>2047</v>
      </c>
      <c r="AD107" s="326">
        <f t="shared" si="1"/>
        <v>2048</v>
      </c>
      <c r="AE107" s="326">
        <f t="shared" si="1"/>
        <v>2049</v>
      </c>
      <c r="AF107" s="326">
        <f t="shared" si="1"/>
        <v>2050</v>
      </c>
      <c r="AG107" s="326">
        <f t="shared" si="1"/>
        <v>2051</v>
      </c>
      <c r="AH107" s="326">
        <f t="shared" si="1"/>
        <v>2052</v>
      </c>
      <c r="AI107"/>
    </row>
    <row r="108" spans="1:36" x14ac:dyDescent="0.25">
      <c r="A108" s="582"/>
      <c r="B108" s="327" t="s">
        <v>160</v>
      </c>
      <c r="C108" s="328">
        <v>624.02153675020008</v>
      </c>
      <c r="D108" s="328">
        <v>624.02153675020008</v>
      </c>
      <c r="E108" s="328">
        <v>616364.02153675025</v>
      </c>
      <c r="F108" s="328">
        <v>37080.84528311732</v>
      </c>
      <c r="G108" s="328">
        <v>37080.84528311732</v>
      </c>
      <c r="H108" s="328">
        <v>681.32469637880001</v>
      </c>
      <c r="I108" s="329">
        <v>681.32507813760003</v>
      </c>
      <c r="J108" s="329">
        <v>808.46656458339999</v>
      </c>
      <c r="K108" s="329">
        <v>307.87</v>
      </c>
      <c r="L108" s="329">
        <v>307.87</v>
      </c>
      <c r="M108" s="329">
        <v>307.87</v>
      </c>
      <c r="N108" s="329">
        <v>307.87</v>
      </c>
      <c r="O108" s="329">
        <v>307.87</v>
      </c>
      <c r="P108" s="329">
        <v>307.87</v>
      </c>
      <c r="Q108" s="329">
        <v>307.87</v>
      </c>
      <c r="R108" s="329">
        <v>307.87</v>
      </c>
      <c r="S108" s="329">
        <v>307.87</v>
      </c>
      <c r="T108" s="329">
        <v>307.87</v>
      </c>
      <c r="U108" s="329">
        <v>307.87</v>
      </c>
      <c r="V108" s="329">
        <v>307.87</v>
      </c>
      <c r="W108" s="329">
        <v>307.87</v>
      </c>
      <c r="X108" s="329">
        <v>307.87</v>
      </c>
      <c r="Y108" s="329">
        <v>307.87</v>
      </c>
      <c r="Z108" s="329"/>
      <c r="AA108" s="329"/>
      <c r="AB108" s="329"/>
      <c r="AC108" s="329"/>
      <c r="AD108" s="329"/>
      <c r="AE108" s="329"/>
      <c r="AF108" s="329"/>
      <c r="AG108" s="329"/>
      <c r="AH108" s="329"/>
      <c r="AI108"/>
    </row>
    <row r="109" spans="1:36" x14ac:dyDescent="0.25">
      <c r="A109" s="582"/>
      <c r="B109" s="327" t="s">
        <v>161</v>
      </c>
      <c r="C109" s="328">
        <v>2110.7583893027463</v>
      </c>
      <c r="D109" s="328">
        <v>240.41031374720001</v>
      </c>
      <c r="E109" s="328">
        <v>4606.5666768238007</v>
      </c>
      <c r="F109" s="328">
        <v>4606.5666768238007</v>
      </c>
      <c r="G109" s="328">
        <v>5306.3707281013994</v>
      </c>
      <c r="H109" s="328">
        <v>5065.9604143542001</v>
      </c>
      <c r="I109" s="329">
        <v>5065.9604143542001</v>
      </c>
      <c r="J109" s="329">
        <v>5065.9604143542001</v>
      </c>
      <c r="K109" s="329">
        <v>251361.96041435419</v>
      </c>
      <c r="L109" s="329">
        <v>251361.96041435419</v>
      </c>
      <c r="M109" s="329">
        <v>251361.96041435419</v>
      </c>
      <c r="N109" s="329">
        <v>5065.9604143542001</v>
      </c>
      <c r="O109" s="329">
        <v>5065.9604143542001</v>
      </c>
      <c r="P109" s="329">
        <v>5065.9604143542001</v>
      </c>
      <c r="Q109" s="329">
        <v>5065.9604143542001</v>
      </c>
      <c r="R109" s="329">
        <v>5945.1605978721991</v>
      </c>
      <c r="S109" s="329">
        <v>5065.9604143542001</v>
      </c>
      <c r="T109" s="329">
        <v>5065.9604143542001</v>
      </c>
      <c r="U109" s="329">
        <v>5065.9604143542001</v>
      </c>
      <c r="V109" s="329">
        <v>5065.9604143542001</v>
      </c>
      <c r="W109" s="329">
        <v>5065.9604143542001</v>
      </c>
      <c r="X109" s="329">
        <v>5065.9604143542001</v>
      </c>
      <c r="Y109" s="329">
        <v>5373.8304143542</v>
      </c>
      <c r="Z109" s="329">
        <v>4366.1563630766004</v>
      </c>
      <c r="AA109" s="329">
        <v>4366.1563630766004</v>
      </c>
      <c r="AB109" s="329">
        <v>4366.1563630766004</v>
      </c>
      <c r="AC109" s="329">
        <v>4366.1563630766004</v>
      </c>
      <c r="AD109" s="329">
        <v>4366.1563630766004</v>
      </c>
      <c r="AE109" s="329">
        <v>4366.1563630766004</v>
      </c>
      <c r="AF109" s="329"/>
      <c r="AG109" s="329"/>
      <c r="AH109" s="329"/>
      <c r="AI109"/>
    </row>
    <row r="110" spans="1:36" x14ac:dyDescent="0.25">
      <c r="A110" s="582"/>
      <c r="B110" s="327" t="s">
        <v>162</v>
      </c>
      <c r="C110" s="328">
        <v>11120.871115156111</v>
      </c>
      <c r="D110" s="328">
        <v>13029.594875702207</v>
      </c>
      <c r="E110" s="328">
        <v>22960.885199474607</v>
      </c>
      <c r="F110" s="328">
        <v>24478.131617408009</v>
      </c>
      <c r="G110" s="328">
        <v>31909.476446692803</v>
      </c>
      <c r="H110" s="328">
        <v>31909.476446692803</v>
      </c>
      <c r="I110" s="329">
        <v>31909.476446692803</v>
      </c>
      <c r="J110" s="329">
        <v>31983.194138704199</v>
      </c>
      <c r="K110" s="329">
        <v>30602.40580906421</v>
      </c>
      <c r="L110" s="329">
        <v>30602.40580906421</v>
      </c>
      <c r="M110" s="329">
        <v>30602.405180838548</v>
      </c>
      <c r="N110" s="329">
        <v>28180.505099061298</v>
      </c>
      <c r="O110" s="329">
        <v>28180.505099061298</v>
      </c>
      <c r="P110" s="329">
        <v>28180.505099061298</v>
      </c>
      <c r="Q110" s="329">
        <v>23307.404673991095</v>
      </c>
      <c r="R110" s="329">
        <v>23307.404563157896</v>
      </c>
      <c r="S110" s="329">
        <v>21153.264372894897</v>
      </c>
      <c r="T110" s="329">
        <v>19244.5405815618</v>
      </c>
      <c r="U110" s="329">
        <v>8948.5911117553987</v>
      </c>
      <c r="V110" s="329"/>
      <c r="W110" s="329"/>
      <c r="X110" s="329"/>
      <c r="Y110" s="329"/>
      <c r="Z110" s="329"/>
      <c r="AA110" s="329">
        <v>800462</v>
      </c>
      <c r="AB110" s="329"/>
      <c r="AC110" s="329"/>
      <c r="AD110" s="329"/>
      <c r="AE110" s="329"/>
      <c r="AF110" s="329"/>
      <c r="AG110" s="329"/>
      <c r="AH110" s="329"/>
      <c r="AI110"/>
    </row>
    <row r="111" spans="1:36" x14ac:dyDescent="0.25">
      <c r="A111" s="582"/>
      <c r="B111" s="327" t="s">
        <v>163</v>
      </c>
      <c r="C111" s="328">
        <v>13990.628894148</v>
      </c>
      <c r="D111" s="328">
        <v>13990.628894148</v>
      </c>
      <c r="E111" s="328">
        <v>14140.451717659798</v>
      </c>
      <c r="F111" s="328">
        <v>50539.972304398325</v>
      </c>
      <c r="G111" s="328">
        <v>358409.97230439831</v>
      </c>
      <c r="H111" s="328">
        <v>14140.451717659798</v>
      </c>
      <c r="I111" s="329">
        <v>14140.451717659798</v>
      </c>
      <c r="J111" s="329">
        <v>13639.8551530764</v>
      </c>
      <c r="K111" s="329">
        <v>13639.8551530764</v>
      </c>
      <c r="L111" s="329">
        <v>13639.8551530764</v>
      </c>
      <c r="M111" s="329">
        <v>13639.8551530764</v>
      </c>
      <c r="N111" s="329">
        <v>13639.8551530764</v>
      </c>
      <c r="O111" s="329">
        <v>13639.8551530764</v>
      </c>
      <c r="P111" s="329">
        <v>13639.8551530764</v>
      </c>
      <c r="Q111" s="329">
        <v>13639.8551530764</v>
      </c>
      <c r="R111" s="329">
        <v>12760.823097365403</v>
      </c>
      <c r="S111" s="329">
        <v>12760.823097365403</v>
      </c>
      <c r="T111" s="329">
        <v>9402.2412819824003</v>
      </c>
      <c r="U111" s="329">
        <v>9405.1968339823998</v>
      </c>
      <c r="V111" s="329">
        <v>9084.2194534544014</v>
      </c>
      <c r="W111" s="329">
        <v>2817.9775566143999</v>
      </c>
      <c r="X111" s="329">
        <v>2817.9775566143999</v>
      </c>
      <c r="Y111" s="329">
        <v>308259.60751463199</v>
      </c>
      <c r="Z111" s="329">
        <v>616129.60751463193</v>
      </c>
      <c r="AA111" s="329">
        <v>389.60751463200006</v>
      </c>
      <c r="AB111" s="329">
        <v>389.60751463200006</v>
      </c>
      <c r="AC111" s="329">
        <v>397.24687766400001</v>
      </c>
      <c r="AD111" s="329"/>
      <c r="AE111" s="329"/>
      <c r="AF111" s="329"/>
      <c r="AG111" s="329"/>
      <c r="AH111" s="329"/>
      <c r="AI111"/>
    </row>
    <row r="112" spans="1:36" x14ac:dyDescent="0.25">
      <c r="A112" s="582"/>
      <c r="B112" s="327" t="s">
        <v>164</v>
      </c>
      <c r="C112" s="328">
        <v>1927.6152260616</v>
      </c>
      <c r="D112" s="328">
        <v>871.10503742319997</v>
      </c>
      <c r="E112" s="328">
        <v>956.73944736719989</v>
      </c>
      <c r="F112" s="328">
        <v>956.73944736719989</v>
      </c>
      <c r="G112" s="328">
        <v>4174.8443634702107</v>
      </c>
      <c r="H112" s="328">
        <v>9058.2995341854112</v>
      </c>
      <c r="I112" s="329">
        <v>9058.2995341854112</v>
      </c>
      <c r="J112" s="329">
        <v>9058.2995341854112</v>
      </c>
      <c r="K112" s="329">
        <v>8284.9615646568109</v>
      </c>
      <c r="L112" s="329">
        <v>8187.1944967622103</v>
      </c>
      <c r="M112" s="329">
        <v>8187.1944967622103</v>
      </c>
      <c r="N112" s="329">
        <v>8187.1944967622103</v>
      </c>
      <c r="O112" s="329">
        <v>8187.1944967622103</v>
      </c>
      <c r="P112" s="329">
        <v>8187.1944967622103</v>
      </c>
      <c r="Q112" s="329">
        <v>8187.1944967622103</v>
      </c>
      <c r="R112" s="329">
        <v>8187.1944967622103</v>
      </c>
      <c r="S112" s="329">
        <v>8187.1944967622103</v>
      </c>
      <c r="T112" s="329">
        <v>8187.1944967622103</v>
      </c>
      <c r="U112" s="329">
        <v>8187.1944967622103</v>
      </c>
      <c r="V112" s="329">
        <v>85.634409943999998</v>
      </c>
      <c r="W112" s="329"/>
      <c r="X112" s="329"/>
      <c r="Y112" s="329"/>
      <c r="Z112" s="329"/>
      <c r="AA112" s="329"/>
      <c r="AB112" s="329"/>
      <c r="AC112" s="329"/>
      <c r="AD112" s="329"/>
      <c r="AE112" s="329"/>
      <c r="AF112" s="329"/>
      <c r="AG112" s="329"/>
      <c r="AH112" s="329"/>
      <c r="AI112"/>
    </row>
    <row r="113" spans="1:37" x14ac:dyDescent="0.25">
      <c r="A113" s="582"/>
      <c r="B113" s="327" t="s">
        <v>165</v>
      </c>
      <c r="C113" s="328">
        <v>2639.3896785636998</v>
      </c>
      <c r="D113" s="328">
        <v>2649.4752657825002</v>
      </c>
      <c r="E113" s="328">
        <v>1981.6854335840999</v>
      </c>
      <c r="F113" s="328">
        <v>1764.7722477501998</v>
      </c>
      <c r="G113" s="328">
        <v>1764.7722477501998</v>
      </c>
      <c r="H113" s="328">
        <v>1764.7722477501998</v>
      </c>
      <c r="I113" s="329">
        <v>1764.7722477501998</v>
      </c>
      <c r="J113" s="329">
        <v>1764.7722477501998</v>
      </c>
      <c r="K113" s="329">
        <v>1764.7722477501998</v>
      </c>
      <c r="L113" s="329">
        <v>1024.6114146517998</v>
      </c>
      <c r="M113" s="329">
        <v>1024.6114146517998</v>
      </c>
      <c r="N113" s="329">
        <v>1024.6114146517998</v>
      </c>
      <c r="O113" s="329">
        <v>819.68384497779994</v>
      </c>
      <c r="P113" s="329">
        <v>819.68384497779994</v>
      </c>
      <c r="Q113" s="329">
        <v>819.68384497779994</v>
      </c>
      <c r="R113" s="329">
        <v>819.68384497779994</v>
      </c>
      <c r="S113" s="329">
        <v>819.68390039439998</v>
      </c>
      <c r="T113" s="329">
        <v>9.3292984064000013</v>
      </c>
      <c r="U113" s="329"/>
      <c r="V113" s="329"/>
      <c r="W113" s="329"/>
      <c r="X113" s="329"/>
      <c r="Y113" s="329"/>
      <c r="Z113" s="329"/>
      <c r="AA113" s="329"/>
      <c r="AB113" s="329"/>
      <c r="AC113" s="329"/>
      <c r="AD113" s="329"/>
      <c r="AE113" s="329"/>
      <c r="AF113" s="329"/>
      <c r="AG113" s="329"/>
      <c r="AH113" s="329"/>
      <c r="AI113"/>
    </row>
    <row r="114" spans="1:37" x14ac:dyDescent="0.25">
      <c r="A114" s="582"/>
      <c r="B114" s="327" t="s">
        <v>166</v>
      </c>
      <c r="C114" s="328">
        <v>624.02153675020008</v>
      </c>
      <c r="D114" s="328">
        <v>624.02153675020008</v>
      </c>
      <c r="E114" s="328">
        <v>373.45469637880001</v>
      </c>
      <c r="F114" s="328">
        <v>37080.84528311732</v>
      </c>
      <c r="G114" s="328">
        <v>37080.84528311732</v>
      </c>
      <c r="H114" s="328">
        <v>681.32469637880001</v>
      </c>
      <c r="I114" s="329">
        <v>307.87</v>
      </c>
      <c r="J114" s="329">
        <v>307.87</v>
      </c>
      <c r="K114" s="329">
        <v>307.87</v>
      </c>
      <c r="L114" s="329">
        <v>307.87</v>
      </c>
      <c r="M114" s="329">
        <v>307.87</v>
      </c>
      <c r="N114" s="329">
        <v>307.87</v>
      </c>
      <c r="O114" s="329">
        <v>307.87</v>
      </c>
      <c r="P114" s="329">
        <v>307.87</v>
      </c>
      <c r="Q114" s="329">
        <v>307.87</v>
      </c>
      <c r="R114" s="329">
        <v>307.87</v>
      </c>
      <c r="S114" s="329">
        <v>307.87</v>
      </c>
      <c r="T114" s="329">
        <v>307.87</v>
      </c>
      <c r="U114" s="329">
        <v>307.87</v>
      </c>
      <c r="V114" s="329">
        <v>307.87</v>
      </c>
      <c r="W114" s="329">
        <v>307.87</v>
      </c>
      <c r="X114" s="329">
        <v>307.87</v>
      </c>
      <c r="Y114" s="329"/>
      <c r="Z114" s="329"/>
      <c r="AA114" s="329"/>
      <c r="AB114" s="329"/>
      <c r="AC114" s="329"/>
      <c r="AD114" s="329"/>
      <c r="AE114" s="329"/>
      <c r="AF114" s="329"/>
      <c r="AG114" s="329"/>
      <c r="AH114" s="329"/>
      <c r="AI114"/>
    </row>
    <row r="115" spans="1:37" x14ac:dyDescent="0.25">
      <c r="A115" s="582"/>
      <c r="B115" s="327" t="s">
        <v>167</v>
      </c>
      <c r="C115" s="328">
        <v>240.41031374720001</v>
      </c>
      <c r="D115" s="328">
        <v>4606.5666768238007</v>
      </c>
      <c r="E115" s="328">
        <v>4606.5666768238007</v>
      </c>
      <c r="F115" s="328">
        <v>5306.3707281013994</v>
      </c>
      <c r="G115" s="328">
        <v>5306.3707281013994</v>
      </c>
      <c r="H115" s="328">
        <v>5065.9604143542001</v>
      </c>
      <c r="I115" s="329">
        <v>5065.9604143542001</v>
      </c>
      <c r="J115" s="329">
        <v>5065.9604143542001</v>
      </c>
      <c r="K115" s="329">
        <v>5065.9604143542001</v>
      </c>
      <c r="L115" s="329">
        <v>5065.9604143542001</v>
      </c>
      <c r="M115" s="329">
        <v>5065.9604143542001</v>
      </c>
      <c r="N115" s="329">
        <v>5065.9604143542001</v>
      </c>
      <c r="O115" s="329">
        <v>5065.9604143542001</v>
      </c>
      <c r="P115" s="329">
        <v>5065.9604143542001</v>
      </c>
      <c r="Q115" s="329">
        <v>5065.9604143542001</v>
      </c>
      <c r="R115" s="329">
        <v>5065.9604143542001</v>
      </c>
      <c r="S115" s="329">
        <v>5065.9604143542001</v>
      </c>
      <c r="T115" s="329">
        <v>5065.9604143542001</v>
      </c>
      <c r="U115" s="329">
        <v>5065.9604143542001</v>
      </c>
      <c r="V115" s="329">
        <v>5065.9604143542001</v>
      </c>
      <c r="W115" s="329">
        <v>5065.9604143542001</v>
      </c>
      <c r="X115" s="329">
        <v>5065.9604143542001</v>
      </c>
      <c r="Y115" s="329">
        <v>5065.9603835671996</v>
      </c>
      <c r="Z115" s="329">
        <v>4366.1563630766004</v>
      </c>
      <c r="AA115" s="329">
        <v>4366.1563630766004</v>
      </c>
      <c r="AB115" s="329">
        <v>4366.1563630766004</v>
      </c>
      <c r="AC115" s="329">
        <v>4366.1563630766004</v>
      </c>
      <c r="AD115" s="329">
        <v>4366.1563630766004</v>
      </c>
      <c r="AE115" s="329">
        <v>4366.1563938636</v>
      </c>
      <c r="AF115" s="329"/>
      <c r="AG115" s="329"/>
      <c r="AH115" s="329"/>
      <c r="AI115"/>
    </row>
    <row r="116" spans="1:37" x14ac:dyDescent="0.25">
      <c r="A116" s="582"/>
      <c r="B116" s="327" t="s">
        <v>168</v>
      </c>
      <c r="C116" s="328">
        <v>11120.871115156111</v>
      </c>
      <c r="D116" s="328">
        <v>13029.594875702207</v>
      </c>
      <c r="E116" s="328">
        <v>22960.885199474607</v>
      </c>
      <c r="F116" s="328">
        <v>24478.131617408009</v>
      </c>
      <c r="G116" s="328">
        <v>31909.476446692803</v>
      </c>
      <c r="H116" s="328">
        <v>31909.476446692803</v>
      </c>
      <c r="I116" s="329">
        <v>31909.476446692803</v>
      </c>
      <c r="J116" s="329">
        <v>30602.40580906421</v>
      </c>
      <c r="K116" s="329">
        <v>30602.40580906421</v>
      </c>
      <c r="L116" s="329">
        <v>30602.40580906421</v>
      </c>
      <c r="M116" s="329">
        <v>28180.505099061298</v>
      </c>
      <c r="N116" s="329">
        <v>28180.505099061298</v>
      </c>
      <c r="O116" s="329">
        <v>28180.505099061298</v>
      </c>
      <c r="P116" s="329">
        <v>28180.505099061298</v>
      </c>
      <c r="Q116" s="329">
        <v>23307.404673991095</v>
      </c>
      <c r="R116" s="329">
        <v>21153.264383991147</v>
      </c>
      <c r="S116" s="329">
        <v>19244.540618506202</v>
      </c>
      <c r="T116" s="329">
        <v>8948.5912472182008</v>
      </c>
      <c r="U116" s="329"/>
      <c r="V116" s="329"/>
      <c r="W116" s="329"/>
      <c r="X116" s="329"/>
      <c r="Y116" s="329"/>
      <c r="Z116" s="329"/>
      <c r="AA116" s="329"/>
      <c r="AB116" s="329"/>
      <c r="AC116" s="329"/>
      <c r="AD116" s="329"/>
      <c r="AE116" s="329"/>
      <c r="AF116" s="329"/>
      <c r="AG116" s="329"/>
      <c r="AH116" s="329"/>
      <c r="AI116"/>
      <c r="AJ116" s="582"/>
    </row>
    <row r="117" spans="1:37" x14ac:dyDescent="0.25">
      <c r="A117" s="582"/>
      <c r="B117" s="327" t="s">
        <v>169</v>
      </c>
      <c r="C117" s="328">
        <v>13990.628894148</v>
      </c>
      <c r="D117" s="328">
        <v>13991.793406265599</v>
      </c>
      <c r="E117" s="328">
        <v>50539.972304398325</v>
      </c>
      <c r="F117" s="328">
        <v>50539.972304398325</v>
      </c>
      <c r="G117" s="328">
        <v>50539.972339871594</v>
      </c>
      <c r="H117" s="328">
        <v>14140.451717659798</v>
      </c>
      <c r="I117" s="329">
        <v>14140.451717659798</v>
      </c>
      <c r="J117" s="329">
        <v>13639.8551530764</v>
      </c>
      <c r="K117" s="329">
        <v>13639.8551530764</v>
      </c>
      <c r="L117" s="329">
        <v>13639.8551530764</v>
      </c>
      <c r="M117" s="329">
        <v>13639.8551530764</v>
      </c>
      <c r="N117" s="329">
        <v>13639.8551530764</v>
      </c>
      <c r="O117" s="329">
        <v>13639.8551530764</v>
      </c>
      <c r="P117" s="329">
        <v>13639.8551530764</v>
      </c>
      <c r="Q117" s="329">
        <v>13639.8551530764</v>
      </c>
      <c r="R117" s="329">
        <v>12760.823097365403</v>
      </c>
      <c r="S117" s="329">
        <v>12480.941281982399</v>
      </c>
      <c r="T117" s="329">
        <v>9402.2412819824003</v>
      </c>
      <c r="U117" s="329">
        <v>9286.4420773084003</v>
      </c>
      <c r="V117" s="329">
        <v>9195.1956405972014</v>
      </c>
      <c r="W117" s="329">
        <v>2817.9775566143999</v>
      </c>
      <c r="X117" s="329">
        <v>389.60751463200006</v>
      </c>
      <c r="Y117" s="329">
        <v>389.60751463200006</v>
      </c>
      <c r="Z117" s="329">
        <v>389.60751463200006</v>
      </c>
      <c r="AA117" s="329">
        <v>389.60751463200006</v>
      </c>
      <c r="AB117" s="329">
        <v>389.60751463200006</v>
      </c>
      <c r="AC117" s="329"/>
      <c r="AD117" s="329"/>
      <c r="AE117" s="329"/>
      <c r="AF117" s="329"/>
      <c r="AG117" s="329"/>
      <c r="AH117" s="329"/>
      <c r="AI117"/>
      <c r="AJ117" s="582"/>
    </row>
    <row r="118" spans="1:37" x14ac:dyDescent="0.25">
      <c r="A118" s="582"/>
      <c r="B118" s="327" t="s">
        <v>170</v>
      </c>
      <c r="C118" s="328">
        <v>871.10503742319997</v>
      </c>
      <c r="D118" s="328">
        <v>956.73944736719989</v>
      </c>
      <c r="E118" s="328">
        <v>956.73944736719989</v>
      </c>
      <c r="F118" s="328">
        <v>956.73944736719989</v>
      </c>
      <c r="G118" s="328">
        <v>9058.2995341854112</v>
      </c>
      <c r="H118" s="328">
        <v>9058.2995341854112</v>
      </c>
      <c r="I118" s="329">
        <v>9058.2995341854112</v>
      </c>
      <c r="J118" s="329">
        <v>9058.2995341854112</v>
      </c>
      <c r="K118" s="329">
        <v>8927.3553298606112</v>
      </c>
      <c r="L118" s="329">
        <v>8187.1944967622103</v>
      </c>
      <c r="M118" s="329">
        <v>8187.1944967622103</v>
      </c>
      <c r="N118" s="329">
        <v>8187.1944967622103</v>
      </c>
      <c r="O118" s="329">
        <v>8187.1944967622103</v>
      </c>
      <c r="P118" s="329">
        <v>8187.1944967622103</v>
      </c>
      <c r="Q118" s="329">
        <v>8187.1944967622103</v>
      </c>
      <c r="R118" s="329">
        <v>8187.1944967622103</v>
      </c>
      <c r="S118" s="329">
        <v>8187.1944967622103</v>
      </c>
      <c r="T118" s="329">
        <v>8187.1944967622103</v>
      </c>
      <c r="U118" s="329">
        <v>8187.1946518880513</v>
      </c>
      <c r="V118" s="329">
        <v>85.634397629199981</v>
      </c>
      <c r="W118" s="329"/>
      <c r="X118" s="329"/>
      <c r="Y118" s="329"/>
      <c r="Z118" s="329"/>
      <c r="AA118" s="329"/>
      <c r="AB118" s="329"/>
      <c r="AC118" s="329"/>
      <c r="AD118" s="329"/>
      <c r="AE118" s="329"/>
      <c r="AF118" s="329"/>
      <c r="AG118" s="329"/>
      <c r="AH118" s="329"/>
      <c r="AI118"/>
      <c r="AJ118" s="582"/>
    </row>
    <row r="119" spans="1:37" x14ac:dyDescent="0.25">
      <c r="A119" s="582"/>
      <c r="B119" s="327" t="s">
        <v>171</v>
      </c>
      <c r="C119" s="328">
        <v>2640.1458688576995</v>
      </c>
      <c r="D119" s="328">
        <v>2169.7743695245899</v>
      </c>
      <c r="E119" s="328">
        <v>1982.3565827176367</v>
      </c>
      <c r="F119" s="328">
        <v>1764.7722477501998</v>
      </c>
      <c r="G119" s="328">
        <v>1764.7722477501998</v>
      </c>
      <c r="H119" s="328">
        <v>1764.7722477501998</v>
      </c>
      <c r="I119" s="329">
        <v>1764.7722477501998</v>
      </c>
      <c r="J119" s="329">
        <v>1764.7722477501998</v>
      </c>
      <c r="K119" s="329">
        <v>1024.6114146517998</v>
      </c>
      <c r="L119" s="329">
        <v>1024.6114146517998</v>
      </c>
      <c r="M119" s="329">
        <v>1024.6114146517998</v>
      </c>
      <c r="N119" s="329">
        <v>1025.1163531587154</v>
      </c>
      <c r="O119" s="329">
        <v>819.68384497779994</v>
      </c>
      <c r="P119" s="329">
        <v>819.68384497779994</v>
      </c>
      <c r="Q119" s="329">
        <v>819.68384497779994</v>
      </c>
      <c r="R119" s="329">
        <v>819.68384497779994</v>
      </c>
      <c r="S119" s="329">
        <v>9.3293969247999993</v>
      </c>
      <c r="T119" s="329"/>
      <c r="U119" s="329"/>
      <c r="V119" s="329"/>
      <c r="W119" s="329"/>
      <c r="X119" s="329"/>
      <c r="Y119" s="329"/>
      <c r="Z119" s="329"/>
      <c r="AA119" s="329"/>
      <c r="AB119" s="329"/>
      <c r="AC119" s="329"/>
      <c r="AD119" s="329"/>
      <c r="AE119" s="329"/>
      <c r="AF119" s="329"/>
      <c r="AG119" s="329"/>
      <c r="AH119" s="329"/>
      <c r="AI119"/>
      <c r="AJ119" s="582"/>
    </row>
    <row r="120" spans="1:37" x14ac:dyDescent="0.25">
      <c r="A120" s="582"/>
      <c r="B120" s="330" t="s">
        <v>172</v>
      </c>
      <c r="C120" s="331">
        <f>SUM(C108:C119)</f>
        <v>61900.467606064762</v>
      </c>
      <c r="D120" s="331">
        <f>SUM(D108:D119)</f>
        <v>66783.726235986906</v>
      </c>
      <c r="E120" s="331">
        <f t="shared" ref="E120:AH120" si="2">SUM(E108:E119)</f>
        <v>742430.32491882006</v>
      </c>
      <c r="F120" s="331">
        <f t="shared" si="2"/>
        <v>239553.85920500732</v>
      </c>
      <c r="G120" s="331">
        <f t="shared" si="2"/>
        <v>574306.01795324904</v>
      </c>
      <c r="H120" s="331">
        <f t="shared" si="2"/>
        <v>125240.57011404242</v>
      </c>
      <c r="I120" s="331">
        <f t="shared" si="2"/>
        <v>124867.11579942242</v>
      </c>
      <c r="J120" s="331">
        <f t="shared" si="2"/>
        <v>122759.71121108423</v>
      </c>
      <c r="K120" s="331">
        <f t="shared" si="2"/>
        <v>365529.88330990903</v>
      </c>
      <c r="L120" s="331">
        <f t="shared" si="2"/>
        <v>363951.79457581759</v>
      </c>
      <c r="M120" s="331">
        <f t="shared" si="2"/>
        <v>361529.89323758904</v>
      </c>
      <c r="N120" s="331">
        <f t="shared" si="2"/>
        <v>112812.49809431873</v>
      </c>
      <c r="O120" s="331">
        <f t="shared" si="2"/>
        <v>112402.13801646382</v>
      </c>
      <c r="P120" s="331">
        <f t="shared" si="2"/>
        <v>112402.13801646382</v>
      </c>
      <c r="Q120" s="331">
        <f t="shared" si="2"/>
        <v>102655.93716632342</v>
      </c>
      <c r="R120" s="331">
        <f t="shared" si="2"/>
        <v>99622.932837586268</v>
      </c>
      <c r="S120" s="331">
        <f t="shared" si="2"/>
        <v>93590.632490300937</v>
      </c>
      <c r="T120" s="331">
        <f t="shared" si="2"/>
        <v>74128.993513384034</v>
      </c>
      <c r="U120" s="331">
        <f t="shared" si="2"/>
        <v>54762.280000404855</v>
      </c>
      <c r="V120" s="331">
        <f t="shared" si="2"/>
        <v>29198.344730333203</v>
      </c>
      <c r="W120" s="331">
        <f t="shared" si="2"/>
        <v>16383.6159419372</v>
      </c>
      <c r="X120" s="331">
        <f t="shared" si="2"/>
        <v>13955.2458999548</v>
      </c>
      <c r="Y120" s="331">
        <f t="shared" si="2"/>
        <v>319396.8758271854</v>
      </c>
      <c r="Z120" s="331">
        <f t="shared" si="2"/>
        <v>625251.52775541728</v>
      </c>
      <c r="AA120" s="331">
        <f t="shared" si="2"/>
        <v>809973.5277554174</v>
      </c>
      <c r="AB120" s="331">
        <f t="shared" si="2"/>
        <v>9511.5277554172008</v>
      </c>
      <c r="AC120" s="331">
        <f t="shared" si="2"/>
        <v>9129.5596038172007</v>
      </c>
      <c r="AD120" s="331">
        <f t="shared" si="2"/>
        <v>8732.3127261532009</v>
      </c>
      <c r="AE120" s="331">
        <f t="shared" si="2"/>
        <v>8732.3127569402004</v>
      </c>
      <c r="AF120" s="331">
        <f t="shared" si="2"/>
        <v>0</v>
      </c>
      <c r="AG120" s="331">
        <f t="shared" si="2"/>
        <v>0</v>
      </c>
      <c r="AH120" s="331">
        <f t="shared" si="2"/>
        <v>0</v>
      </c>
      <c r="AI120"/>
      <c r="AJ120" s="582"/>
    </row>
    <row r="121" spans="1:37" x14ac:dyDescent="0.25">
      <c r="A121" s="582"/>
      <c r="B121" s="332" t="s">
        <v>142</v>
      </c>
      <c r="C121" s="379"/>
      <c r="D121" s="333" t="s">
        <v>142</v>
      </c>
      <c r="E121" s="333" t="s">
        <v>142</v>
      </c>
      <c r="F121" s="333" t="s">
        <v>142</v>
      </c>
      <c r="G121" s="333" t="s">
        <v>142</v>
      </c>
      <c r="H121" s="333" t="s">
        <v>142</v>
      </c>
      <c r="I121" s="333" t="s">
        <v>142</v>
      </c>
      <c r="J121" s="333" t="s">
        <v>142</v>
      </c>
      <c r="K121" s="333" t="s">
        <v>142</v>
      </c>
      <c r="L121" s="333" t="s">
        <v>142</v>
      </c>
      <c r="M121" s="333" t="s">
        <v>142</v>
      </c>
      <c r="N121" s="333"/>
      <c r="P121" s="380"/>
      <c r="Q121" s="335"/>
      <c r="R121" s="348"/>
      <c r="S121" s="348"/>
      <c r="T121" s="186"/>
      <c r="U121" s="186"/>
      <c r="V121" s="186"/>
      <c r="W121" s="186"/>
      <c r="X121" s="186"/>
      <c r="Y121" s="186"/>
      <c r="Z121" s="186"/>
      <c r="AA121" s="186"/>
      <c r="AB121" s="186"/>
      <c r="AC121" s="186"/>
      <c r="AD121" s="186"/>
      <c r="AE121" s="582"/>
      <c r="AF121" s="582"/>
      <c r="AH121" s="333">
        <f>SUM(C120:AH120)</f>
        <v>5761495.7650548108</v>
      </c>
    </row>
    <row r="122" spans="1:37" x14ac:dyDescent="0.25">
      <c r="A122" s="582"/>
      <c r="B122" s="337"/>
      <c r="C122" s="337"/>
      <c r="D122" s="337"/>
      <c r="E122" s="337"/>
      <c r="F122" s="337"/>
      <c r="G122" s="337"/>
      <c r="H122" s="337"/>
      <c r="I122" s="337"/>
      <c r="J122" s="337"/>
      <c r="K122" s="337"/>
      <c r="L122" s="337"/>
      <c r="M122" s="337"/>
      <c r="N122" s="337"/>
      <c r="O122" s="337"/>
      <c r="P122" s="582"/>
      <c r="Q122" s="582"/>
      <c r="R122" s="327"/>
      <c r="S122" s="327"/>
      <c r="T122" s="327"/>
      <c r="U122" s="327"/>
      <c r="V122" s="186"/>
      <c r="W122" s="186"/>
      <c r="X122" s="186"/>
      <c r="Y122" s="186"/>
      <c r="Z122" s="186"/>
      <c r="AA122" s="186"/>
      <c r="AB122" s="186"/>
      <c r="AC122" s="186"/>
      <c r="AD122" s="186"/>
      <c r="AE122" s="582"/>
      <c r="AF122" s="582"/>
      <c r="AH122" s="338">
        <f>+AH121-'EXTERNAL DEBT COLONES'!AP7</f>
        <v>-3.1313858926296234E-5</v>
      </c>
      <c r="AI122" s="582"/>
      <c r="AJ122" s="582"/>
      <c r="AK122" s="338"/>
    </row>
    <row r="123" spans="1:37" x14ac:dyDescent="0.25">
      <c r="A123" s="582"/>
      <c r="B123" s="337"/>
      <c r="C123" s="337"/>
      <c r="D123" s="337"/>
      <c r="E123" s="337"/>
      <c r="F123" s="337"/>
      <c r="G123" s="337"/>
      <c r="H123" s="337"/>
      <c r="I123" s="337"/>
      <c r="J123" s="337"/>
      <c r="K123" s="337"/>
      <c r="L123" s="337"/>
      <c r="M123" s="337"/>
      <c r="N123" s="337"/>
      <c r="O123" s="337"/>
      <c r="P123" s="582"/>
      <c r="Q123" s="582"/>
      <c r="R123" s="327"/>
      <c r="S123" s="327"/>
      <c r="T123" s="327"/>
      <c r="U123" s="327"/>
      <c r="V123" s="186"/>
      <c r="W123" s="186"/>
      <c r="X123" s="186"/>
      <c r="Y123" s="186"/>
      <c r="Z123" s="186"/>
      <c r="AA123" s="186"/>
      <c r="AB123" s="186"/>
      <c r="AC123" s="186"/>
      <c r="AD123" s="186"/>
      <c r="AE123" s="582"/>
      <c r="AF123" s="582"/>
      <c r="AG123" s="582"/>
      <c r="AH123" s="582"/>
      <c r="AI123" s="582"/>
      <c r="AJ123" s="582"/>
      <c r="AK123" s="338"/>
    </row>
    <row r="124" spans="1:37" ht="26.25" customHeight="1" x14ac:dyDescent="0.25">
      <c r="A124" s="582"/>
      <c r="B124" s="316" t="s">
        <v>43</v>
      </c>
      <c r="C124" s="337"/>
      <c r="D124" s="337"/>
      <c r="E124" s="337"/>
      <c r="F124" s="337"/>
      <c r="G124" s="337"/>
      <c r="H124" s="337"/>
      <c r="I124" s="337"/>
      <c r="J124" s="337"/>
      <c r="K124" s="337"/>
      <c r="L124" s="337"/>
      <c r="M124" s="337"/>
      <c r="N124" s="337"/>
      <c r="O124" s="337"/>
      <c r="P124" s="582"/>
      <c r="Q124" s="582"/>
      <c r="S124" s="327"/>
      <c r="T124" s="327"/>
      <c r="U124" s="327"/>
      <c r="V124" s="186"/>
      <c r="W124" s="186"/>
      <c r="X124" s="186"/>
      <c r="Y124" s="186"/>
      <c r="Z124" s="186"/>
      <c r="AA124" s="186"/>
      <c r="AB124" s="186"/>
      <c r="AC124" s="186"/>
      <c r="AD124" s="186"/>
      <c r="AE124" s="582"/>
      <c r="AF124" s="582"/>
      <c r="AG124" s="582"/>
      <c r="AH124" s="582"/>
      <c r="AI124" s="582"/>
      <c r="AJ124" s="582"/>
      <c r="AK124" s="338"/>
    </row>
    <row r="125" spans="1:37" x14ac:dyDescent="0.25">
      <c r="A125" s="582"/>
      <c r="B125" s="340"/>
      <c r="C125" s="381"/>
      <c r="D125" s="382"/>
      <c r="E125" s="359"/>
      <c r="F125" s="359"/>
      <c r="G125" s="186"/>
      <c r="H125" s="186"/>
      <c r="I125" s="186"/>
      <c r="J125" s="186"/>
      <c r="K125" s="186"/>
      <c r="L125" s="186"/>
      <c r="M125" s="186"/>
      <c r="N125" s="186"/>
      <c r="O125" s="383"/>
      <c r="P125" s="335"/>
      <c r="Q125" s="582"/>
      <c r="R125" s="351"/>
      <c r="S125" s="351"/>
      <c r="T125" s="351"/>
      <c r="U125" s="348"/>
      <c r="V125" s="348"/>
      <c r="W125" s="348"/>
      <c r="X125" s="186"/>
      <c r="Y125" s="186"/>
      <c r="Z125" s="186"/>
      <c r="AA125" s="186"/>
      <c r="AB125" s="186"/>
      <c r="AC125" s="186"/>
      <c r="AD125" s="186"/>
      <c r="AE125" s="582"/>
      <c r="AF125" s="582"/>
      <c r="AG125" s="582"/>
      <c r="AH125" s="582"/>
      <c r="AI125" s="582"/>
      <c r="AJ125" s="582"/>
      <c r="AK125" s="338"/>
    </row>
    <row r="126" spans="1:37" ht="14.4" x14ac:dyDescent="0.3">
      <c r="A126" s="582"/>
      <c r="B126" s="801" t="str">
        <f>+H5</f>
        <v>Central Goverment of Costa Rica</v>
      </c>
      <c r="C126" s="801"/>
      <c r="D126" s="801"/>
      <c r="E126" s="801"/>
      <c r="F126" s="801"/>
      <c r="G126" s="801"/>
      <c r="H126" s="801"/>
      <c r="I126" s="801"/>
      <c r="J126" s="801"/>
      <c r="K126" s="801"/>
      <c r="L126" s="801"/>
      <c r="M126" s="801"/>
      <c r="N126" s="801"/>
      <c r="O126" s="801"/>
      <c r="P126" s="801"/>
      <c r="Q126" s="801"/>
      <c r="R126" s="801"/>
      <c r="S126" s="801"/>
      <c r="T126" s="801"/>
      <c r="U126" s="801"/>
      <c r="V126" s="801"/>
      <c r="W126" s="801"/>
      <c r="X126" s="801"/>
      <c r="Y126" s="801"/>
      <c r="Z126" s="801"/>
      <c r="AA126" s="801"/>
      <c r="AB126" s="801"/>
      <c r="AC126" s="801"/>
      <c r="AD126" s="801"/>
      <c r="AE126" s="801"/>
      <c r="AF126" s="801"/>
      <c r="AG126" s="801"/>
      <c r="AH126" s="801"/>
      <c r="AI126" s="801"/>
      <c r="AJ126" s="801"/>
      <c r="AK126" s="582"/>
    </row>
    <row r="127" spans="1:37" ht="14.4" x14ac:dyDescent="0.3">
      <c r="A127" s="582"/>
      <c r="B127" s="801" t="str">
        <f>+H6</f>
        <v>Maturity Profile External Public Debt</v>
      </c>
      <c r="C127" s="801"/>
      <c r="D127" s="801"/>
      <c r="E127" s="801"/>
      <c r="F127" s="801"/>
      <c r="G127" s="801"/>
      <c r="H127" s="801"/>
      <c r="I127" s="801"/>
      <c r="J127" s="801"/>
      <c r="K127" s="801"/>
      <c r="L127" s="801"/>
      <c r="M127" s="801"/>
      <c r="N127" s="801"/>
      <c r="O127" s="801"/>
      <c r="P127" s="801"/>
      <c r="Q127" s="801"/>
      <c r="R127" s="801"/>
      <c r="S127" s="801"/>
      <c r="T127" s="801"/>
      <c r="U127" s="801"/>
      <c r="V127" s="801"/>
      <c r="W127" s="801"/>
      <c r="X127" s="801"/>
      <c r="Y127" s="801"/>
      <c r="Z127" s="801"/>
      <c r="AA127" s="801"/>
      <c r="AB127" s="801"/>
      <c r="AC127" s="801"/>
      <c r="AD127" s="801"/>
      <c r="AE127" s="801"/>
      <c r="AF127" s="801"/>
      <c r="AG127" s="801"/>
      <c r="AH127" s="801"/>
      <c r="AI127" s="801"/>
      <c r="AJ127" s="801"/>
      <c r="AK127" s="582"/>
    </row>
    <row r="128" spans="1:37" ht="14.4" x14ac:dyDescent="0.3">
      <c r="A128" s="582"/>
      <c r="B128" s="801" t="str">
        <f>+B104</f>
        <v>December 31st  2020</v>
      </c>
      <c r="C128" s="801"/>
      <c r="D128" s="801"/>
      <c r="E128" s="801"/>
      <c r="F128" s="801"/>
      <c r="G128" s="801"/>
      <c r="H128" s="801"/>
      <c r="I128" s="801"/>
      <c r="J128" s="801"/>
      <c r="K128" s="801"/>
      <c r="L128" s="801"/>
      <c r="M128" s="801"/>
      <c r="N128" s="801"/>
      <c r="O128" s="801"/>
      <c r="P128" s="801"/>
      <c r="Q128" s="801"/>
      <c r="R128" s="801"/>
      <c r="S128" s="801"/>
      <c r="T128" s="801"/>
      <c r="U128" s="801"/>
      <c r="V128" s="801"/>
      <c r="W128" s="801"/>
      <c r="X128" s="801"/>
      <c r="Y128" s="801"/>
      <c r="Z128" s="801"/>
      <c r="AA128" s="801"/>
      <c r="AB128" s="801"/>
      <c r="AC128" s="801"/>
      <c r="AD128" s="801"/>
      <c r="AE128" s="801"/>
      <c r="AF128" s="801"/>
      <c r="AG128" s="801"/>
      <c r="AH128" s="801"/>
      <c r="AI128" s="801"/>
      <c r="AJ128" s="801"/>
      <c r="AK128" s="582"/>
    </row>
    <row r="129" spans="1:37" ht="14.4" x14ac:dyDescent="0.3">
      <c r="A129" s="582"/>
      <c r="B129" s="801" t="str">
        <f>+H9</f>
        <v>(USD million)</v>
      </c>
      <c r="C129" s="801"/>
      <c r="D129" s="801"/>
      <c r="E129" s="801"/>
      <c r="F129" s="801"/>
      <c r="G129" s="801"/>
      <c r="H129" s="801"/>
      <c r="I129" s="801"/>
      <c r="J129" s="801"/>
      <c r="K129" s="801"/>
      <c r="L129" s="801"/>
      <c r="M129" s="801"/>
      <c r="N129" s="801"/>
      <c r="O129" s="801"/>
      <c r="P129" s="801"/>
      <c r="Q129" s="801"/>
      <c r="R129" s="801"/>
      <c r="S129" s="801"/>
      <c r="T129" s="801"/>
      <c r="U129" s="801"/>
      <c r="V129" s="801"/>
      <c r="W129" s="801"/>
      <c r="X129" s="801"/>
      <c r="Y129" s="801"/>
      <c r="Z129" s="801"/>
      <c r="AA129" s="801"/>
      <c r="AB129" s="801"/>
      <c r="AC129" s="801"/>
      <c r="AD129" s="801"/>
      <c r="AE129" s="801"/>
      <c r="AF129" s="801"/>
      <c r="AG129" s="801"/>
      <c r="AH129" s="801"/>
      <c r="AI129" s="801"/>
      <c r="AJ129" s="801"/>
      <c r="AK129" s="582"/>
    </row>
    <row r="130" spans="1:37" ht="14.4" x14ac:dyDescent="0.3">
      <c r="A130" s="582"/>
      <c r="B130" s="754"/>
      <c r="C130" s="754"/>
      <c r="D130" s="754"/>
      <c r="E130" s="754"/>
      <c r="F130" s="754"/>
      <c r="G130" s="754"/>
      <c r="H130" s="754"/>
      <c r="I130" s="754"/>
      <c r="J130" s="754"/>
      <c r="K130" s="754"/>
      <c r="L130" s="754"/>
      <c r="M130" s="754"/>
      <c r="N130" s="754"/>
      <c r="O130" s="754"/>
      <c r="P130" s="754"/>
      <c r="Q130" s="754"/>
      <c r="R130" s="754"/>
      <c r="S130" s="754"/>
      <c r="T130" s="754"/>
      <c r="U130" s="754"/>
      <c r="V130" s="754"/>
      <c r="W130" s="754"/>
      <c r="X130" s="754"/>
      <c r="Y130" s="754"/>
      <c r="Z130" s="754"/>
      <c r="AA130" s="754"/>
      <c r="AB130" s="754"/>
      <c r="AC130" s="754"/>
      <c r="AD130" s="754"/>
      <c r="AE130" s="754"/>
      <c r="AF130" s="754"/>
      <c r="AG130" s="754"/>
      <c r="AH130" s="754"/>
      <c r="AI130" s="754"/>
      <c r="AJ130" s="754"/>
      <c r="AK130" s="582"/>
    </row>
    <row r="131" spans="1:37" x14ac:dyDescent="0.25">
      <c r="A131" s="582"/>
      <c r="B131" s="325" t="s">
        <v>159</v>
      </c>
      <c r="C131" s="326">
        <v>2021</v>
      </c>
      <c r="D131" s="326">
        <f>+C131+1</f>
        <v>2022</v>
      </c>
      <c r="E131" s="326">
        <f t="shared" ref="E131:AH131" si="3">+D131+1</f>
        <v>2023</v>
      </c>
      <c r="F131" s="326">
        <f t="shared" si="3"/>
        <v>2024</v>
      </c>
      <c r="G131" s="326">
        <f t="shared" si="3"/>
        <v>2025</v>
      </c>
      <c r="H131" s="326">
        <f t="shared" si="3"/>
        <v>2026</v>
      </c>
      <c r="I131" s="326">
        <f t="shared" si="3"/>
        <v>2027</v>
      </c>
      <c r="J131" s="326">
        <f t="shared" si="3"/>
        <v>2028</v>
      </c>
      <c r="K131" s="326">
        <f t="shared" si="3"/>
        <v>2029</v>
      </c>
      <c r="L131" s="326">
        <f t="shared" si="3"/>
        <v>2030</v>
      </c>
      <c r="M131" s="326">
        <f t="shared" si="3"/>
        <v>2031</v>
      </c>
      <c r="N131" s="326">
        <f t="shared" si="3"/>
        <v>2032</v>
      </c>
      <c r="O131" s="326">
        <f t="shared" si="3"/>
        <v>2033</v>
      </c>
      <c r="P131" s="326">
        <f t="shared" si="3"/>
        <v>2034</v>
      </c>
      <c r="Q131" s="326">
        <f t="shared" si="3"/>
        <v>2035</v>
      </c>
      <c r="R131" s="326">
        <f t="shared" si="3"/>
        <v>2036</v>
      </c>
      <c r="S131" s="326">
        <f t="shared" si="3"/>
        <v>2037</v>
      </c>
      <c r="T131" s="326">
        <f t="shared" si="3"/>
        <v>2038</v>
      </c>
      <c r="U131" s="326">
        <f t="shared" si="3"/>
        <v>2039</v>
      </c>
      <c r="V131" s="326">
        <f t="shared" si="3"/>
        <v>2040</v>
      </c>
      <c r="W131" s="326">
        <f t="shared" si="3"/>
        <v>2041</v>
      </c>
      <c r="X131" s="326">
        <f t="shared" si="3"/>
        <v>2042</v>
      </c>
      <c r="Y131" s="326">
        <f t="shared" si="3"/>
        <v>2043</v>
      </c>
      <c r="Z131" s="326">
        <f t="shared" si="3"/>
        <v>2044</v>
      </c>
      <c r="AA131" s="326">
        <f t="shared" si="3"/>
        <v>2045</v>
      </c>
      <c r="AB131" s="326">
        <f t="shared" si="3"/>
        <v>2046</v>
      </c>
      <c r="AC131" s="326">
        <f t="shared" si="3"/>
        <v>2047</v>
      </c>
      <c r="AD131" s="326">
        <f t="shared" si="3"/>
        <v>2048</v>
      </c>
      <c r="AE131" s="326">
        <f t="shared" si="3"/>
        <v>2049</v>
      </c>
      <c r="AF131" s="326">
        <f t="shared" si="3"/>
        <v>2050</v>
      </c>
      <c r="AG131" s="326">
        <f t="shared" si="3"/>
        <v>2051</v>
      </c>
      <c r="AH131" s="326">
        <f t="shared" si="3"/>
        <v>2052</v>
      </c>
      <c r="AI131"/>
      <c r="AJ131" s="582"/>
    </row>
    <row r="132" spans="1:37" x14ac:dyDescent="0.25">
      <c r="B132" s="327" t="s">
        <v>160</v>
      </c>
      <c r="C132" s="328">
        <v>1.01344973</v>
      </c>
      <c r="D132" s="328">
        <v>1.01344973</v>
      </c>
      <c r="E132" s="328">
        <v>1001.01344973</v>
      </c>
      <c r="F132" s="328">
        <v>60.221595613598794</v>
      </c>
      <c r="G132" s="328">
        <v>60.221595613598794</v>
      </c>
      <c r="H132" s="328">
        <v>1.1065136200000001</v>
      </c>
      <c r="I132" s="328">
        <v>1.1065142400000001</v>
      </c>
      <c r="J132" s="328">
        <v>1.31299991</v>
      </c>
      <c r="K132" s="328">
        <v>0.5</v>
      </c>
      <c r="L132" s="328">
        <v>0.5</v>
      </c>
      <c r="M132" s="328">
        <v>0.5</v>
      </c>
      <c r="N132" s="328">
        <v>0.5</v>
      </c>
      <c r="O132" s="328">
        <v>0.5</v>
      </c>
      <c r="P132" s="328">
        <v>0.5</v>
      </c>
      <c r="Q132" s="328">
        <v>0.5</v>
      </c>
      <c r="R132" s="328">
        <v>0.5</v>
      </c>
      <c r="S132" s="328">
        <v>0.5</v>
      </c>
      <c r="T132" s="328">
        <v>0.5</v>
      </c>
      <c r="U132" s="328">
        <v>0.5</v>
      </c>
      <c r="V132" s="328">
        <v>0.5</v>
      </c>
      <c r="W132" s="328">
        <v>0.5</v>
      </c>
      <c r="X132" s="328">
        <v>0.5</v>
      </c>
      <c r="Y132" s="328">
        <v>0.5</v>
      </c>
      <c r="Z132" s="328"/>
      <c r="AA132" s="328"/>
      <c r="AB132" s="328"/>
      <c r="AC132" s="328"/>
      <c r="AD132" s="328"/>
      <c r="AE132" s="328"/>
      <c r="AF132" s="328"/>
      <c r="AG132" s="328"/>
      <c r="AH132" s="328"/>
      <c r="AI132"/>
    </row>
    <row r="133" spans="1:37" x14ac:dyDescent="0.25">
      <c r="B133" s="327" t="s">
        <v>161</v>
      </c>
      <c r="C133" s="328">
        <v>3.4280027110513309</v>
      </c>
      <c r="D133" s="328">
        <v>0.39044128</v>
      </c>
      <c r="E133" s="328">
        <v>7.4813503700000004</v>
      </c>
      <c r="F133" s="328">
        <v>7.4813503700000004</v>
      </c>
      <c r="G133" s="328">
        <v>8.6178756099999987</v>
      </c>
      <c r="H133" s="328">
        <v>8.2274343299999995</v>
      </c>
      <c r="I133" s="328">
        <v>8.2274343299999995</v>
      </c>
      <c r="J133" s="328">
        <v>8.2274343299999995</v>
      </c>
      <c r="K133" s="328">
        <v>408.22743432999999</v>
      </c>
      <c r="L133" s="328">
        <v>408.22743432999999</v>
      </c>
      <c r="M133" s="328">
        <v>408.22743432999999</v>
      </c>
      <c r="N133" s="328">
        <v>8.2274343299999995</v>
      </c>
      <c r="O133" s="328">
        <v>8.2274343299999995</v>
      </c>
      <c r="P133" s="328">
        <v>8.2274343299999995</v>
      </c>
      <c r="Q133" s="328">
        <v>8.2274343299999995</v>
      </c>
      <c r="R133" s="328">
        <v>9.655310029999999</v>
      </c>
      <c r="S133" s="328">
        <v>8.2274343299999995</v>
      </c>
      <c r="T133" s="328">
        <v>8.2274343299999995</v>
      </c>
      <c r="U133" s="328">
        <v>8.2274343299999995</v>
      </c>
      <c r="V133" s="328">
        <v>8.2274343299999995</v>
      </c>
      <c r="W133" s="328">
        <v>8.2274343299999995</v>
      </c>
      <c r="X133" s="328">
        <v>8.2274343299999995</v>
      </c>
      <c r="Y133" s="328">
        <v>8.7274343299999995</v>
      </c>
      <c r="Z133" s="328">
        <v>7.0909090900000002</v>
      </c>
      <c r="AA133" s="328">
        <v>7.0909090900000002</v>
      </c>
      <c r="AB133" s="328">
        <v>7.0909090900000002</v>
      </c>
      <c r="AC133" s="328">
        <v>7.0909090900000002</v>
      </c>
      <c r="AD133" s="328">
        <v>7.0909090900000002</v>
      </c>
      <c r="AE133" s="328">
        <v>7.0909090900000002</v>
      </c>
      <c r="AF133" s="328"/>
      <c r="AG133" s="328"/>
      <c r="AH133" s="328"/>
      <c r="AI133"/>
    </row>
    <row r="134" spans="1:37" x14ac:dyDescent="0.25">
      <c r="B134" s="327" t="s">
        <v>162</v>
      </c>
      <c r="C134" s="328">
        <v>18.060985343093044</v>
      </c>
      <c r="D134" s="328">
        <v>21.160871269857743</v>
      </c>
      <c r="E134" s="328">
        <v>37.289903529857746</v>
      </c>
      <c r="F134" s="328">
        <v>39.754005939857748</v>
      </c>
      <c r="G134" s="328">
        <v>51.822971459857733</v>
      </c>
      <c r="H134" s="328">
        <v>51.822971459857733</v>
      </c>
      <c r="I134" s="328">
        <v>51.822971459857733</v>
      </c>
      <c r="J134" s="328">
        <v>51.942693569857731</v>
      </c>
      <c r="K134" s="328">
        <v>49.700207569857746</v>
      </c>
      <c r="L134" s="328">
        <v>49.700207569857746</v>
      </c>
      <c r="M134" s="328">
        <v>49.700206549580258</v>
      </c>
      <c r="N134" s="328">
        <v>45.766890406764702</v>
      </c>
      <c r="O134" s="328">
        <v>45.766890406764702</v>
      </c>
      <c r="P134" s="328">
        <v>45.766890406764702</v>
      </c>
      <c r="Q134" s="328">
        <v>37.852672676764698</v>
      </c>
      <c r="R134" s="328">
        <v>37.852672496764697</v>
      </c>
      <c r="S134" s="328">
        <v>34.354215046764701</v>
      </c>
      <c r="T134" s="328">
        <v>31.254329070000001</v>
      </c>
      <c r="U134" s="328">
        <v>14.533067709999999</v>
      </c>
      <c r="V134" s="328"/>
      <c r="W134" s="328"/>
      <c r="X134" s="328"/>
      <c r="Y134" s="328"/>
      <c r="Z134" s="328"/>
      <c r="AA134" s="328">
        <v>1300</v>
      </c>
      <c r="AB134" s="328"/>
      <c r="AC134" s="328"/>
      <c r="AD134" s="328"/>
      <c r="AE134" s="328"/>
      <c r="AF134" s="328"/>
      <c r="AG134" s="328"/>
      <c r="AH134" s="328"/>
      <c r="AI134"/>
    </row>
    <row r="135" spans="1:37" x14ac:dyDescent="0.25">
      <c r="B135" s="327" t="s">
        <v>163</v>
      </c>
      <c r="C135" s="328">
        <v>22.721650199999999</v>
      </c>
      <c r="D135" s="328">
        <v>22.721650199999999</v>
      </c>
      <c r="E135" s="328">
        <v>22.964971769999998</v>
      </c>
      <c r="F135" s="328">
        <v>82.080053763598798</v>
      </c>
      <c r="G135" s="328">
        <v>582.08005376359881</v>
      </c>
      <c r="H135" s="328">
        <v>22.964971769999998</v>
      </c>
      <c r="I135" s="328">
        <v>22.964971769999998</v>
      </c>
      <c r="J135" s="328">
        <v>22.15197186</v>
      </c>
      <c r="K135" s="328">
        <v>22.15197186</v>
      </c>
      <c r="L135" s="328">
        <v>22.15197186</v>
      </c>
      <c r="M135" s="328">
        <v>22.15197186</v>
      </c>
      <c r="N135" s="328">
        <v>22.15197186</v>
      </c>
      <c r="O135" s="328">
        <v>22.15197186</v>
      </c>
      <c r="P135" s="328">
        <v>22.15197186</v>
      </c>
      <c r="Q135" s="328">
        <v>22.15197186</v>
      </c>
      <c r="R135" s="328">
        <v>20.724369210000003</v>
      </c>
      <c r="S135" s="328">
        <v>20.724369210000003</v>
      </c>
      <c r="T135" s="328">
        <v>15.26982376</v>
      </c>
      <c r="U135" s="328">
        <v>15.274623759999999</v>
      </c>
      <c r="V135" s="328">
        <v>14.753336560000001</v>
      </c>
      <c r="W135" s="328">
        <v>4.5765705599999995</v>
      </c>
      <c r="X135" s="328">
        <v>4.5765705599999995</v>
      </c>
      <c r="Y135" s="328">
        <v>500.63274680000001</v>
      </c>
      <c r="Z135" s="328">
        <v>1000.6327467999999</v>
      </c>
      <c r="AA135" s="328">
        <v>0.63274680000000005</v>
      </c>
      <c r="AB135" s="328">
        <v>0.63274680000000005</v>
      </c>
      <c r="AC135" s="328">
        <v>0.64515359999999999</v>
      </c>
      <c r="AD135" s="328"/>
      <c r="AE135" s="328"/>
      <c r="AF135" s="328"/>
      <c r="AG135" s="328"/>
      <c r="AH135" s="328"/>
      <c r="AI135"/>
    </row>
    <row r="136" spans="1:37" x14ac:dyDescent="0.25">
      <c r="B136" s="327" t="s">
        <v>164</v>
      </c>
      <c r="C136" s="328">
        <v>3.1305668399999997</v>
      </c>
      <c r="D136" s="328">
        <v>1.4147286799999998</v>
      </c>
      <c r="E136" s="328">
        <v>1.5538042799999998</v>
      </c>
      <c r="F136" s="328">
        <v>1.5538042799999998</v>
      </c>
      <c r="G136" s="328">
        <v>6.7802065213729987</v>
      </c>
      <c r="H136" s="328">
        <v>14.711241001372999</v>
      </c>
      <c r="I136" s="328">
        <v>14.711241001372999</v>
      </c>
      <c r="J136" s="328">
        <v>14.711241001372999</v>
      </c>
      <c r="K136" s="328">
        <v>13.455292111373</v>
      </c>
      <c r="L136" s="328">
        <v>13.296512321372999</v>
      </c>
      <c r="M136" s="328">
        <v>13.296512321372999</v>
      </c>
      <c r="N136" s="328">
        <v>13.296512321372999</v>
      </c>
      <c r="O136" s="328">
        <v>13.296512321372999</v>
      </c>
      <c r="P136" s="328">
        <v>13.296512321372999</v>
      </c>
      <c r="Q136" s="328">
        <v>13.296512321372999</v>
      </c>
      <c r="R136" s="328">
        <v>13.296512321372999</v>
      </c>
      <c r="S136" s="328">
        <v>13.296512321372999</v>
      </c>
      <c r="T136" s="328">
        <v>13.296512321372999</v>
      </c>
      <c r="U136" s="328">
        <v>13.296512321372999</v>
      </c>
      <c r="V136" s="328">
        <v>0.13907559999999999</v>
      </c>
      <c r="W136" s="328"/>
      <c r="X136" s="328"/>
      <c r="Y136" s="328"/>
      <c r="Z136" s="328"/>
      <c r="AA136" s="328"/>
      <c r="AB136" s="328"/>
      <c r="AC136" s="328"/>
      <c r="AD136" s="328"/>
      <c r="AE136" s="328"/>
      <c r="AF136" s="328"/>
      <c r="AG136" s="328"/>
      <c r="AH136" s="328"/>
      <c r="AI136"/>
    </row>
    <row r="137" spans="1:37" x14ac:dyDescent="0.25">
      <c r="B137" s="327" t="s">
        <v>165</v>
      </c>
      <c r="C137" s="328">
        <v>4.2865327549999996</v>
      </c>
      <c r="D137" s="328">
        <v>4.302912375</v>
      </c>
      <c r="E137" s="328">
        <v>3.2183802149999998</v>
      </c>
      <c r="F137" s="328">
        <v>2.8660997299999997</v>
      </c>
      <c r="G137" s="328">
        <v>2.8660997299999997</v>
      </c>
      <c r="H137" s="328">
        <v>2.8660997299999997</v>
      </c>
      <c r="I137" s="328">
        <v>2.8660997299999997</v>
      </c>
      <c r="J137" s="328">
        <v>2.8660997299999997</v>
      </c>
      <c r="K137" s="328">
        <v>2.8660997299999997</v>
      </c>
      <c r="L137" s="328">
        <v>1.6640325699999998</v>
      </c>
      <c r="M137" s="328">
        <v>1.6640325699999998</v>
      </c>
      <c r="N137" s="328">
        <v>1.6640325699999998</v>
      </c>
      <c r="O137" s="328">
        <v>1.3312174699999999</v>
      </c>
      <c r="P137" s="328">
        <v>1.3312174699999999</v>
      </c>
      <c r="Q137" s="328">
        <v>1.3312174699999999</v>
      </c>
      <c r="R137" s="328">
        <v>1.3312174699999999</v>
      </c>
      <c r="S137" s="328">
        <v>1.33121756</v>
      </c>
      <c r="T137" s="328">
        <v>1.5151360000000001E-2</v>
      </c>
      <c r="U137" s="328"/>
      <c r="V137" s="328"/>
      <c r="W137" s="328"/>
      <c r="X137" s="328"/>
      <c r="Y137" s="328"/>
      <c r="Z137" s="328"/>
      <c r="AA137" s="328"/>
      <c r="AB137" s="328"/>
      <c r="AC137" s="328"/>
      <c r="AD137" s="328"/>
      <c r="AE137" s="328"/>
      <c r="AF137" s="328"/>
      <c r="AG137" s="328"/>
      <c r="AH137" s="328"/>
      <c r="AI137"/>
    </row>
    <row r="138" spans="1:37" x14ac:dyDescent="0.25">
      <c r="B138" s="327" t="s">
        <v>166</v>
      </c>
      <c r="C138" s="328">
        <v>1.01344973</v>
      </c>
      <c r="D138" s="328">
        <v>1.01344973</v>
      </c>
      <c r="E138" s="328">
        <v>0.60651361999999998</v>
      </c>
      <c r="F138" s="328">
        <v>60.221595613598794</v>
      </c>
      <c r="G138" s="328">
        <v>60.221595613598794</v>
      </c>
      <c r="H138" s="328">
        <v>1.1065136200000001</v>
      </c>
      <c r="I138" s="328">
        <v>0.5</v>
      </c>
      <c r="J138" s="328">
        <v>0.5</v>
      </c>
      <c r="K138" s="328">
        <v>0.5</v>
      </c>
      <c r="L138" s="328">
        <v>0.5</v>
      </c>
      <c r="M138" s="328">
        <v>0.5</v>
      </c>
      <c r="N138" s="328">
        <v>0.5</v>
      </c>
      <c r="O138" s="328">
        <v>0.5</v>
      </c>
      <c r="P138" s="328">
        <v>0.5</v>
      </c>
      <c r="Q138" s="328">
        <v>0.5</v>
      </c>
      <c r="R138" s="328">
        <v>0.5</v>
      </c>
      <c r="S138" s="328">
        <v>0.5</v>
      </c>
      <c r="T138" s="328">
        <v>0.5</v>
      </c>
      <c r="U138" s="328">
        <v>0.5</v>
      </c>
      <c r="V138" s="328">
        <v>0.5</v>
      </c>
      <c r="W138" s="328">
        <v>0.5</v>
      </c>
      <c r="X138" s="328">
        <v>0.5</v>
      </c>
      <c r="Y138" s="328"/>
      <c r="Z138" s="328"/>
      <c r="AA138" s="328"/>
      <c r="AB138" s="328"/>
      <c r="AC138" s="328"/>
      <c r="AD138" s="328"/>
      <c r="AE138" s="328"/>
      <c r="AF138" s="328"/>
      <c r="AG138" s="328"/>
      <c r="AH138" s="328"/>
      <c r="AI138"/>
    </row>
    <row r="139" spans="1:37" x14ac:dyDescent="0.25">
      <c r="B139" s="327" t="s">
        <v>167</v>
      </c>
      <c r="C139" s="328">
        <v>0.39044128</v>
      </c>
      <c r="D139" s="328">
        <v>7.4813503700000004</v>
      </c>
      <c r="E139" s="328">
        <v>7.4813503700000004</v>
      </c>
      <c r="F139" s="328">
        <v>8.6178756099999987</v>
      </c>
      <c r="G139" s="328">
        <v>8.6178756099999987</v>
      </c>
      <c r="H139" s="328">
        <v>8.2274343299999995</v>
      </c>
      <c r="I139" s="328">
        <v>8.2274343299999995</v>
      </c>
      <c r="J139" s="328">
        <v>8.2274343299999995</v>
      </c>
      <c r="K139" s="328">
        <v>8.2274343299999995</v>
      </c>
      <c r="L139" s="328">
        <v>8.2274343299999995</v>
      </c>
      <c r="M139" s="328">
        <v>8.2274343299999995</v>
      </c>
      <c r="N139" s="328">
        <v>8.2274343299999995</v>
      </c>
      <c r="O139" s="328">
        <v>8.2274343299999995</v>
      </c>
      <c r="P139" s="328">
        <v>8.2274343299999995</v>
      </c>
      <c r="Q139" s="328">
        <v>8.2274343299999995</v>
      </c>
      <c r="R139" s="328">
        <v>8.2274343299999995</v>
      </c>
      <c r="S139" s="328">
        <v>8.2274343299999995</v>
      </c>
      <c r="T139" s="328">
        <v>8.2274343299999995</v>
      </c>
      <c r="U139" s="328">
        <v>8.2274343299999995</v>
      </c>
      <c r="V139" s="328">
        <v>8.2274343299999995</v>
      </c>
      <c r="W139" s="328">
        <v>8.2274343299999995</v>
      </c>
      <c r="X139" s="328">
        <v>8.2274343299999995</v>
      </c>
      <c r="Y139" s="328">
        <v>8.2274342799999989</v>
      </c>
      <c r="Z139" s="328">
        <v>7.0909090900000002</v>
      </c>
      <c r="AA139" s="328">
        <v>7.0909090900000002</v>
      </c>
      <c r="AB139" s="328">
        <v>7.0909090900000002</v>
      </c>
      <c r="AC139" s="328">
        <v>7.0909090900000002</v>
      </c>
      <c r="AD139" s="328">
        <v>7.0909090900000002</v>
      </c>
      <c r="AE139" s="328">
        <v>7.0909091399999999</v>
      </c>
      <c r="AF139" s="328"/>
      <c r="AG139" s="328"/>
      <c r="AH139" s="328"/>
      <c r="AI139"/>
    </row>
    <row r="140" spans="1:37" x14ac:dyDescent="0.25">
      <c r="B140" s="327" t="s">
        <v>168</v>
      </c>
      <c r="C140" s="328">
        <v>18.060985343093044</v>
      </c>
      <c r="D140" s="328">
        <v>21.160871269857743</v>
      </c>
      <c r="E140" s="328">
        <v>37.289903529857746</v>
      </c>
      <c r="F140" s="328">
        <v>39.754005939857748</v>
      </c>
      <c r="G140" s="328">
        <v>51.822971459857733</v>
      </c>
      <c r="H140" s="328">
        <v>51.822971459857733</v>
      </c>
      <c r="I140" s="328">
        <v>51.822971459857733</v>
      </c>
      <c r="J140" s="328">
        <v>49.700207569857746</v>
      </c>
      <c r="K140" s="328">
        <v>49.700207569857746</v>
      </c>
      <c r="L140" s="328">
        <v>49.700207569857746</v>
      </c>
      <c r="M140" s="328">
        <v>45.766890406764702</v>
      </c>
      <c r="N140" s="328">
        <v>45.766890406764702</v>
      </c>
      <c r="O140" s="328">
        <v>45.766890406764702</v>
      </c>
      <c r="P140" s="328">
        <v>45.766890406764702</v>
      </c>
      <c r="Q140" s="328">
        <v>37.852672676764698</v>
      </c>
      <c r="R140" s="328">
        <v>34.354215064785699</v>
      </c>
      <c r="S140" s="328">
        <v>31.254329130000002</v>
      </c>
      <c r="T140" s="328">
        <v>14.53306793</v>
      </c>
      <c r="U140" s="328"/>
      <c r="V140" s="328"/>
      <c r="W140" s="328"/>
      <c r="X140" s="328"/>
      <c r="Y140" s="328"/>
      <c r="Z140" s="328"/>
      <c r="AA140" s="328"/>
      <c r="AB140" s="328"/>
      <c r="AC140" s="328"/>
      <c r="AD140" s="328"/>
      <c r="AE140" s="328"/>
      <c r="AF140" s="328"/>
      <c r="AG140" s="328"/>
      <c r="AH140" s="328"/>
      <c r="AI140"/>
    </row>
    <row r="141" spans="1:37" x14ac:dyDescent="0.25">
      <c r="B141" s="327" t="s">
        <v>169</v>
      </c>
      <c r="C141" s="328">
        <v>22.721650199999999</v>
      </c>
      <c r="D141" s="328">
        <v>22.723541439999998</v>
      </c>
      <c r="E141" s="328">
        <v>82.080053763598798</v>
      </c>
      <c r="F141" s="328">
        <v>82.080053763598798</v>
      </c>
      <c r="G141" s="328">
        <v>82.080053821209589</v>
      </c>
      <c r="H141" s="328">
        <v>22.964971769999998</v>
      </c>
      <c r="I141" s="328">
        <v>22.964971769999998</v>
      </c>
      <c r="J141" s="328">
        <v>22.15197186</v>
      </c>
      <c r="K141" s="328">
        <v>22.15197186</v>
      </c>
      <c r="L141" s="328">
        <v>22.15197186</v>
      </c>
      <c r="M141" s="328">
        <v>22.15197186</v>
      </c>
      <c r="N141" s="328">
        <v>22.15197186</v>
      </c>
      <c r="O141" s="328">
        <v>22.15197186</v>
      </c>
      <c r="P141" s="328">
        <v>22.15197186</v>
      </c>
      <c r="Q141" s="328">
        <v>22.15197186</v>
      </c>
      <c r="R141" s="328">
        <v>20.724369210000003</v>
      </c>
      <c r="S141" s="328">
        <v>20.269823759999998</v>
      </c>
      <c r="T141" s="328">
        <v>15.26982376</v>
      </c>
      <c r="U141" s="328">
        <v>15.08175866</v>
      </c>
      <c r="V141" s="328">
        <v>14.933568780000002</v>
      </c>
      <c r="W141" s="328">
        <v>4.5765705599999995</v>
      </c>
      <c r="X141" s="328">
        <v>0.63274680000000005</v>
      </c>
      <c r="Y141" s="328">
        <v>0.63274680000000005</v>
      </c>
      <c r="Z141" s="328">
        <v>0.63274680000000005</v>
      </c>
      <c r="AA141" s="328">
        <v>0.63274680000000005</v>
      </c>
      <c r="AB141" s="328">
        <v>0.63274680000000005</v>
      </c>
      <c r="AC141" s="328"/>
      <c r="AD141" s="328"/>
      <c r="AE141" s="328"/>
      <c r="AF141" s="328"/>
      <c r="AG141" s="328"/>
      <c r="AH141" s="328"/>
      <c r="AI141"/>
    </row>
    <row r="142" spans="1:37" x14ac:dyDescent="0.25">
      <c r="B142" s="327" t="s">
        <v>170</v>
      </c>
      <c r="C142" s="328">
        <v>1.4147286799999998</v>
      </c>
      <c r="D142" s="328">
        <v>1.5538042799999998</v>
      </c>
      <c r="E142" s="328">
        <v>1.5538042799999998</v>
      </c>
      <c r="F142" s="328">
        <v>1.5538042799999998</v>
      </c>
      <c r="G142" s="328">
        <v>14.711241001372999</v>
      </c>
      <c r="H142" s="328">
        <v>14.711241001372999</v>
      </c>
      <c r="I142" s="328">
        <v>14.711241001372999</v>
      </c>
      <c r="J142" s="328">
        <v>14.711241001372999</v>
      </c>
      <c r="K142" s="328">
        <v>14.498579481373</v>
      </c>
      <c r="L142" s="328">
        <v>13.296512321372999</v>
      </c>
      <c r="M142" s="328">
        <v>13.296512321372999</v>
      </c>
      <c r="N142" s="328">
        <v>13.296512321372999</v>
      </c>
      <c r="O142" s="328">
        <v>13.296512321372999</v>
      </c>
      <c r="P142" s="328">
        <v>13.296512321372999</v>
      </c>
      <c r="Q142" s="328">
        <v>13.296512321372999</v>
      </c>
      <c r="R142" s="328">
        <v>13.296512321372999</v>
      </c>
      <c r="S142" s="328">
        <v>13.296512321372999</v>
      </c>
      <c r="T142" s="328">
        <v>13.296512321372999</v>
      </c>
      <c r="U142" s="328">
        <v>13.296512573306998</v>
      </c>
      <c r="V142" s="328">
        <v>0.13907557999999998</v>
      </c>
      <c r="W142" s="328"/>
      <c r="X142" s="328"/>
      <c r="Y142" s="328"/>
      <c r="Z142" s="328"/>
      <c r="AA142" s="328"/>
      <c r="AB142" s="328"/>
      <c r="AC142" s="328"/>
      <c r="AD142" s="328"/>
      <c r="AE142" s="328"/>
      <c r="AF142" s="328"/>
      <c r="AG142" s="328"/>
      <c r="AH142" s="328"/>
      <c r="AI142"/>
    </row>
    <row r="143" spans="1:37" x14ac:dyDescent="0.25">
      <c r="B143" s="327" t="s">
        <v>171</v>
      </c>
      <c r="C143" s="328">
        <v>4.2877608549999993</v>
      </c>
      <c r="D143" s="328">
        <v>3.5238483280679995</v>
      </c>
      <c r="E143" s="328">
        <v>3.2194702028739997</v>
      </c>
      <c r="F143" s="328">
        <v>2.8660997299999997</v>
      </c>
      <c r="G143" s="328">
        <v>2.8660997299999997</v>
      </c>
      <c r="H143" s="328">
        <v>2.8660997299999997</v>
      </c>
      <c r="I143" s="328">
        <v>2.8660997299999997</v>
      </c>
      <c r="J143" s="328">
        <v>2.8660997299999997</v>
      </c>
      <c r="K143" s="328">
        <v>1.6640325699999998</v>
      </c>
      <c r="L143" s="328">
        <v>1.6640325699999998</v>
      </c>
      <c r="M143" s="328">
        <v>1.6640325699999998</v>
      </c>
      <c r="N143" s="328">
        <v>1.6648526214939998</v>
      </c>
      <c r="O143" s="328">
        <v>1.3312174699999999</v>
      </c>
      <c r="P143" s="328">
        <v>1.3312174699999999</v>
      </c>
      <c r="Q143" s="328">
        <v>1.3312174699999999</v>
      </c>
      <c r="R143" s="328">
        <v>1.3312174699999999</v>
      </c>
      <c r="S143" s="328">
        <v>1.515152E-2</v>
      </c>
      <c r="T143" s="328"/>
      <c r="U143" s="328"/>
      <c r="V143" s="328"/>
      <c r="W143" s="328"/>
      <c r="X143" s="328"/>
      <c r="Y143" s="328"/>
      <c r="Z143" s="328"/>
      <c r="AA143" s="328"/>
      <c r="AB143" s="328"/>
      <c r="AC143" s="328"/>
      <c r="AD143" s="328"/>
      <c r="AE143" s="328"/>
      <c r="AF143" s="328"/>
      <c r="AG143" s="328"/>
      <c r="AH143" s="328"/>
      <c r="AI143"/>
    </row>
    <row r="144" spans="1:37" x14ac:dyDescent="0.25">
      <c r="B144" s="330" t="s">
        <v>172</v>
      </c>
      <c r="C144" s="331">
        <f>SUM(C132:C143)</f>
        <v>100.53020366723742</v>
      </c>
      <c r="D144" s="331">
        <f t="shared" ref="D144:AH144" si="4">SUM(D132:D143)</f>
        <v>108.46091895278347</v>
      </c>
      <c r="E144" s="331">
        <f t="shared" si="4"/>
        <v>1205.752955661188</v>
      </c>
      <c r="F144" s="331">
        <f t="shared" si="4"/>
        <v>389.05034463411067</v>
      </c>
      <c r="G144" s="331">
        <f t="shared" si="4"/>
        <v>932.70863993446733</v>
      </c>
      <c r="H144" s="331">
        <f t="shared" si="4"/>
        <v>203.39846382246145</v>
      </c>
      <c r="I144" s="331">
        <f t="shared" si="4"/>
        <v>202.79195082246147</v>
      </c>
      <c r="J144" s="331">
        <f t="shared" si="4"/>
        <v>199.36939489246149</v>
      </c>
      <c r="K144" s="331">
        <f t="shared" si="4"/>
        <v>593.64323141246143</v>
      </c>
      <c r="L144" s="331">
        <f t="shared" si="4"/>
        <v>591.08031730246148</v>
      </c>
      <c r="M144" s="331">
        <f t="shared" si="4"/>
        <v>587.14699911909099</v>
      </c>
      <c r="N144" s="331">
        <f t="shared" si="4"/>
        <v>183.21450302776938</v>
      </c>
      <c r="O144" s="331">
        <f t="shared" si="4"/>
        <v>182.5480527762754</v>
      </c>
      <c r="P144" s="331">
        <f t="shared" si="4"/>
        <v>182.5480527762754</v>
      </c>
      <c r="Q144" s="331">
        <f t="shared" si="4"/>
        <v>166.71961731627542</v>
      </c>
      <c r="R144" s="331">
        <f t="shared" si="4"/>
        <v>161.7938299242964</v>
      </c>
      <c r="S144" s="331">
        <f t="shared" si="4"/>
        <v>151.9969995295107</v>
      </c>
      <c r="T144" s="331">
        <f t="shared" si="4"/>
        <v>120.390089182746</v>
      </c>
      <c r="U144" s="331">
        <f t="shared" si="4"/>
        <v>88.937343684680002</v>
      </c>
      <c r="V144" s="331">
        <f t="shared" si="4"/>
        <v>47.41992518</v>
      </c>
      <c r="W144" s="331">
        <f t="shared" si="4"/>
        <v>26.608009779999996</v>
      </c>
      <c r="X144" s="331">
        <f t="shared" si="4"/>
        <v>22.664186019999995</v>
      </c>
      <c r="Y144" s="331">
        <f t="shared" si="4"/>
        <v>518.72036220999996</v>
      </c>
      <c r="Z144" s="331">
        <f t="shared" si="4"/>
        <v>1015.4473117799998</v>
      </c>
      <c r="AA144" s="331">
        <f t="shared" si="4"/>
        <v>1315.4473117799998</v>
      </c>
      <c r="AB144" s="331">
        <f t="shared" si="4"/>
        <v>15.44731178</v>
      </c>
      <c r="AC144" s="331">
        <f t="shared" si="4"/>
        <v>14.826971780000001</v>
      </c>
      <c r="AD144" s="331">
        <f t="shared" si="4"/>
        <v>14.18181818</v>
      </c>
      <c r="AE144" s="331">
        <f t="shared" si="4"/>
        <v>14.181818230000001</v>
      </c>
      <c r="AF144" s="331">
        <f t="shared" si="4"/>
        <v>0</v>
      </c>
      <c r="AG144" s="331">
        <f t="shared" si="4"/>
        <v>0</v>
      </c>
      <c r="AH144" s="331">
        <f t="shared" si="4"/>
        <v>0</v>
      </c>
      <c r="AI144"/>
      <c r="AJ144" s="310"/>
    </row>
    <row r="145" spans="2:37" x14ac:dyDescent="0.25">
      <c r="B145" s="340"/>
      <c r="C145" s="327"/>
      <c r="D145" s="333" t="s">
        <v>142</v>
      </c>
      <c r="E145" s="333" t="s">
        <v>142</v>
      </c>
      <c r="F145" s="333" t="s">
        <v>142</v>
      </c>
      <c r="G145" s="333" t="s">
        <v>142</v>
      </c>
      <c r="H145" s="333" t="s">
        <v>142</v>
      </c>
      <c r="I145" s="333" t="s">
        <v>142</v>
      </c>
      <c r="J145" s="333" t="s">
        <v>142</v>
      </c>
      <c r="K145" s="333" t="s">
        <v>142</v>
      </c>
      <c r="L145" s="333" t="s">
        <v>142</v>
      </c>
      <c r="M145" s="333" t="s">
        <v>142</v>
      </c>
      <c r="N145" s="333"/>
      <c r="P145" s="380"/>
      <c r="Q145" s="384"/>
      <c r="AH145" s="333">
        <f>SUM(C144:AH144)</f>
        <v>9357.0269351590141</v>
      </c>
    </row>
    <row r="146" spans="2:37" x14ac:dyDescent="0.25">
      <c r="B146" s="341"/>
      <c r="C146" s="341"/>
      <c r="D146" s="341"/>
      <c r="E146" s="341"/>
      <c r="F146" s="341"/>
      <c r="G146" s="341"/>
      <c r="H146" s="341"/>
      <c r="I146" s="341"/>
      <c r="J146" s="341"/>
      <c r="K146" s="341"/>
      <c r="L146" s="341"/>
      <c r="M146" s="341"/>
      <c r="N146" s="341"/>
      <c r="O146" s="341"/>
      <c r="P146" s="582"/>
      <c r="Q146" s="582"/>
      <c r="AH146" s="310">
        <f>+AH145-'EXTERNAL DEBT USD'!AP7</f>
        <v>-5.0855305744335055E-8</v>
      </c>
      <c r="AK146" s="310"/>
    </row>
    <row r="147" spans="2:37" x14ac:dyDescent="0.25">
      <c r="B147" s="341"/>
      <c r="C147" s="341"/>
      <c r="D147" s="341"/>
      <c r="E147" s="341"/>
      <c r="F147" s="341"/>
      <c r="G147" s="341"/>
      <c r="H147" s="341"/>
      <c r="I147" s="341"/>
      <c r="J147" s="341"/>
      <c r="K147" s="341"/>
      <c r="L147" s="341"/>
      <c r="M147" s="341"/>
      <c r="N147" s="341"/>
      <c r="O147" s="341"/>
      <c r="P147" s="582"/>
      <c r="Q147" s="582"/>
      <c r="AK147" s="310"/>
    </row>
    <row r="148" spans="2:37" ht="26.25" customHeight="1" x14ac:dyDescent="0.25">
      <c r="B148" s="316" t="s">
        <v>43</v>
      </c>
      <c r="C148" s="341"/>
      <c r="D148" s="341"/>
      <c r="E148" s="341"/>
      <c r="F148" s="341"/>
      <c r="G148" s="341"/>
      <c r="H148" s="341"/>
      <c r="I148" s="341"/>
      <c r="J148" s="341"/>
      <c r="K148" s="341"/>
      <c r="L148" s="341"/>
      <c r="M148" s="341"/>
      <c r="N148" s="341"/>
      <c r="O148" s="341"/>
      <c r="P148" s="582"/>
      <c r="Q148" s="582"/>
      <c r="AK148" s="310"/>
    </row>
    <row r="149" spans="2:37" x14ac:dyDescent="0.25">
      <c r="B149" s="327"/>
      <c r="C149" s="385"/>
      <c r="D149" s="385"/>
      <c r="E149" s="186"/>
      <c r="F149" s="186"/>
      <c r="G149" s="186"/>
      <c r="H149" s="186"/>
      <c r="I149" s="186"/>
      <c r="J149" s="186"/>
      <c r="K149" s="186"/>
      <c r="L149" s="186"/>
      <c r="M149" s="186"/>
      <c r="N149" s="186"/>
      <c r="O149" s="186"/>
      <c r="P149" s="582"/>
      <c r="Q149" s="582"/>
    </row>
    <row r="150" spans="2:37" ht="14.4" x14ac:dyDescent="0.3">
      <c r="B150" s="801" t="str">
        <f>+N5</f>
        <v>Central Goverment of Costa Rica</v>
      </c>
      <c r="C150" s="801"/>
      <c r="D150" s="801"/>
      <c r="E150" s="801"/>
      <c r="F150" s="801"/>
      <c r="G150" s="801"/>
      <c r="H150" s="801"/>
      <c r="I150" s="801"/>
      <c r="J150" s="801"/>
      <c r="K150" s="801"/>
      <c r="L150" s="801"/>
      <c r="M150" s="801"/>
      <c r="N150" s="801"/>
      <c r="O150" s="801"/>
      <c r="P150" s="801"/>
      <c r="Q150" s="801"/>
      <c r="R150" s="801"/>
      <c r="S150" s="801"/>
      <c r="T150" s="801"/>
      <c r="U150" s="801"/>
      <c r="V150" s="801"/>
      <c r="W150" s="801"/>
      <c r="X150" s="801"/>
      <c r="Y150" s="801"/>
      <c r="Z150" s="801"/>
      <c r="AA150" s="801"/>
      <c r="AB150" s="801"/>
      <c r="AC150" s="801"/>
      <c r="AD150" s="801"/>
      <c r="AE150" s="801"/>
      <c r="AF150" s="801"/>
      <c r="AG150" s="801"/>
      <c r="AH150" s="801"/>
      <c r="AI150" s="801"/>
      <c r="AJ150" s="801"/>
    </row>
    <row r="151" spans="2:37" ht="14.4" x14ac:dyDescent="0.3">
      <c r="B151" s="801" t="str">
        <f>+N6</f>
        <v>Maturity Profile External Public Debt as percentage by Total Debt</v>
      </c>
      <c r="C151" s="801"/>
      <c r="D151" s="801"/>
      <c r="E151" s="801"/>
      <c r="F151" s="801"/>
      <c r="G151" s="801"/>
      <c r="H151" s="801"/>
      <c r="I151" s="801"/>
      <c r="J151" s="801"/>
      <c r="K151" s="801"/>
      <c r="L151" s="801"/>
      <c r="M151" s="801"/>
      <c r="N151" s="801"/>
      <c r="O151" s="801"/>
      <c r="P151" s="801"/>
      <c r="Q151" s="801"/>
      <c r="R151" s="801"/>
      <c r="S151" s="801"/>
      <c r="T151" s="801"/>
      <c r="U151" s="801"/>
      <c r="V151" s="801"/>
      <c r="W151" s="801"/>
      <c r="X151" s="801"/>
      <c r="Y151" s="801"/>
      <c r="Z151" s="801"/>
      <c r="AA151" s="801"/>
      <c r="AB151" s="801"/>
      <c r="AC151" s="801"/>
      <c r="AD151" s="801"/>
      <c r="AE151" s="801"/>
      <c r="AF151" s="801"/>
      <c r="AG151" s="801"/>
      <c r="AH151" s="801"/>
      <c r="AI151" s="801"/>
      <c r="AJ151" s="801"/>
    </row>
    <row r="152" spans="2:37" ht="14.4" x14ac:dyDescent="0.3">
      <c r="B152" s="820">
        <f>+N7</f>
        <v>2021</v>
      </c>
      <c r="C152" s="820"/>
      <c r="D152" s="820"/>
      <c r="E152" s="820"/>
      <c r="F152" s="820"/>
      <c r="G152" s="820"/>
      <c r="H152" s="820"/>
      <c r="I152" s="820"/>
      <c r="J152" s="820"/>
      <c r="K152" s="820"/>
      <c r="L152" s="820"/>
      <c r="M152" s="820"/>
      <c r="N152" s="820"/>
      <c r="O152" s="820"/>
      <c r="P152" s="820"/>
      <c r="Q152" s="820"/>
      <c r="R152" s="820"/>
      <c r="S152" s="820"/>
      <c r="T152" s="820"/>
      <c r="U152" s="820"/>
      <c r="V152" s="820"/>
      <c r="W152" s="820"/>
      <c r="X152" s="820"/>
      <c r="Y152" s="820"/>
      <c r="Z152" s="820"/>
      <c r="AA152" s="820"/>
      <c r="AB152" s="820"/>
      <c r="AC152" s="820"/>
      <c r="AD152" s="820"/>
      <c r="AE152" s="820"/>
      <c r="AF152" s="820"/>
      <c r="AG152" s="820"/>
      <c r="AH152" s="820"/>
      <c r="AI152" s="820"/>
      <c r="AJ152" s="820"/>
    </row>
    <row r="153" spans="2:37" ht="14.4" x14ac:dyDescent="0.3">
      <c r="B153" s="801" t="str">
        <f>+B104</f>
        <v>December 31st  2020</v>
      </c>
      <c r="C153" s="801"/>
      <c r="D153" s="801"/>
      <c r="E153" s="801"/>
      <c r="F153" s="801"/>
      <c r="G153" s="801"/>
      <c r="H153" s="801"/>
      <c r="I153" s="801"/>
      <c r="J153" s="801"/>
      <c r="K153" s="801"/>
      <c r="L153" s="801"/>
      <c r="M153" s="801"/>
      <c r="N153" s="801"/>
      <c r="O153" s="801"/>
      <c r="P153" s="801"/>
      <c r="Q153" s="801"/>
      <c r="R153" s="801"/>
      <c r="S153" s="801"/>
      <c r="T153" s="801"/>
      <c r="U153" s="801"/>
      <c r="V153" s="801"/>
      <c r="W153" s="801"/>
      <c r="X153" s="801"/>
      <c r="Y153" s="801"/>
      <c r="Z153" s="801"/>
      <c r="AA153" s="801"/>
      <c r="AB153" s="801"/>
      <c r="AC153" s="801"/>
      <c r="AD153" s="801"/>
      <c r="AE153" s="801"/>
      <c r="AF153" s="801"/>
      <c r="AG153" s="801"/>
      <c r="AH153" s="801"/>
      <c r="AI153" s="801"/>
      <c r="AJ153" s="801"/>
    </row>
    <row r="154" spans="2:37" ht="14.4" x14ac:dyDescent="0.3">
      <c r="B154" s="801"/>
      <c r="C154" s="801"/>
      <c r="D154" s="801"/>
      <c r="E154" s="801"/>
      <c r="F154" s="801"/>
      <c r="G154" s="801"/>
      <c r="H154" s="801"/>
      <c r="I154" s="801"/>
      <c r="J154" s="801"/>
      <c r="K154" s="801"/>
      <c r="L154" s="801"/>
      <c r="M154" s="801"/>
      <c r="N154" s="801"/>
      <c r="O154" s="801"/>
      <c r="P154" s="801"/>
      <c r="Q154" s="801"/>
      <c r="R154" s="801"/>
      <c r="S154" s="801"/>
      <c r="T154" s="801"/>
      <c r="U154" s="801"/>
      <c r="V154" s="801"/>
      <c r="W154" s="801"/>
      <c r="X154" s="801"/>
      <c r="Y154" s="801"/>
      <c r="Z154" s="801"/>
      <c r="AA154" s="801"/>
      <c r="AB154" s="801"/>
      <c r="AC154" s="801"/>
      <c r="AD154" s="801"/>
      <c r="AE154" s="801"/>
      <c r="AF154" s="801"/>
      <c r="AG154" s="801"/>
      <c r="AH154" s="801"/>
      <c r="AI154" s="801"/>
      <c r="AJ154" s="801"/>
    </row>
    <row r="155" spans="2:37" x14ac:dyDescent="0.25">
      <c r="B155" s="325" t="s">
        <v>159</v>
      </c>
      <c r="C155" s="326">
        <v>2020</v>
      </c>
      <c r="D155" s="326">
        <v>2021</v>
      </c>
      <c r="E155" s="326">
        <v>2022</v>
      </c>
      <c r="F155" s="326">
        <v>2023</v>
      </c>
      <c r="G155" s="326">
        <v>2024</v>
      </c>
      <c r="H155" s="326">
        <v>2025</v>
      </c>
      <c r="I155" s="326">
        <v>2026</v>
      </c>
      <c r="J155" s="326">
        <v>2027</v>
      </c>
      <c r="K155" s="326">
        <v>2028</v>
      </c>
      <c r="L155" s="326">
        <v>2029</v>
      </c>
      <c r="M155" s="326">
        <v>2030</v>
      </c>
      <c r="N155" s="326">
        <v>2031</v>
      </c>
      <c r="O155" s="326">
        <v>2032</v>
      </c>
      <c r="P155" s="326">
        <v>2033</v>
      </c>
      <c r="Q155" s="326">
        <v>2034</v>
      </c>
      <c r="R155" s="326">
        <v>2035</v>
      </c>
      <c r="S155" s="326">
        <v>2036</v>
      </c>
      <c r="T155" s="326">
        <v>2037</v>
      </c>
      <c r="U155" s="326">
        <v>2038</v>
      </c>
      <c r="V155" s="326">
        <v>2039</v>
      </c>
      <c r="W155" s="326">
        <v>2040</v>
      </c>
      <c r="X155" s="326">
        <v>2041</v>
      </c>
      <c r="Y155" s="326">
        <v>2042</v>
      </c>
      <c r="Z155" s="326">
        <v>2043</v>
      </c>
      <c r="AA155" s="326">
        <v>2044</v>
      </c>
      <c r="AB155" s="326">
        <v>2045</v>
      </c>
      <c r="AC155" s="326">
        <v>2046</v>
      </c>
      <c r="AD155" s="326">
        <v>2047</v>
      </c>
      <c r="AE155" s="326">
        <v>2048</v>
      </c>
      <c r="AF155" s="326">
        <v>2049</v>
      </c>
      <c r="AG155" s="326">
        <v>2050</v>
      </c>
      <c r="AH155" s="326">
        <v>2051</v>
      </c>
      <c r="AI155"/>
    </row>
    <row r="156" spans="2:37" x14ac:dyDescent="0.25">
      <c r="B156" s="327" t="s">
        <v>160</v>
      </c>
      <c r="C156" s="342">
        <f t="shared" ref="C156:AH156" si="5">+C108/$AH$121</f>
        <v>1.0830894653000992E-4</v>
      </c>
      <c r="D156" s="342">
        <f t="shared" si="5"/>
        <v>1.0830894653000992E-4</v>
      </c>
      <c r="E156" s="342">
        <f t="shared" si="5"/>
        <v>0.10697986194404269</v>
      </c>
      <c r="F156" s="342">
        <f t="shared" si="5"/>
        <v>6.4359754472134998E-3</v>
      </c>
      <c r="G156" s="342">
        <f t="shared" si="5"/>
        <v>6.4359754472134998E-3</v>
      </c>
      <c r="H156" s="342">
        <f t="shared" si="5"/>
        <v>1.1825482898229959E-4</v>
      </c>
      <c r="I156" s="342">
        <f t="shared" si="5"/>
        <v>1.1825489524266246E-4</v>
      </c>
      <c r="J156" s="342">
        <f t="shared" si="5"/>
        <v>1.4032233946729435E-4</v>
      </c>
      <c r="K156" s="342">
        <f t="shared" si="5"/>
        <v>5.3435776498756332E-5</v>
      </c>
      <c r="L156" s="342">
        <f t="shared" si="5"/>
        <v>5.3435776498756332E-5</v>
      </c>
      <c r="M156" s="342">
        <f t="shared" si="5"/>
        <v>5.3435776498756332E-5</v>
      </c>
      <c r="N156" s="342">
        <f t="shared" si="5"/>
        <v>5.3435776498756332E-5</v>
      </c>
      <c r="O156" s="342">
        <f t="shared" si="5"/>
        <v>5.3435776498756332E-5</v>
      </c>
      <c r="P156" s="342">
        <f t="shared" si="5"/>
        <v>5.3435776498756332E-5</v>
      </c>
      <c r="Q156" s="342">
        <f t="shared" si="5"/>
        <v>5.3435776498756332E-5</v>
      </c>
      <c r="R156" s="342">
        <f t="shared" si="5"/>
        <v>5.3435776498756332E-5</v>
      </c>
      <c r="S156" s="342">
        <f t="shared" si="5"/>
        <v>5.3435776498756332E-5</v>
      </c>
      <c r="T156" s="342">
        <f t="shared" si="5"/>
        <v>5.3435776498756332E-5</v>
      </c>
      <c r="U156" s="342">
        <f t="shared" si="5"/>
        <v>5.3435776498756332E-5</v>
      </c>
      <c r="V156" s="342">
        <f t="shared" si="5"/>
        <v>5.3435776498756332E-5</v>
      </c>
      <c r="W156" s="342">
        <f t="shared" si="5"/>
        <v>5.3435776498756332E-5</v>
      </c>
      <c r="X156" s="342">
        <f t="shared" si="5"/>
        <v>5.3435776498756332E-5</v>
      </c>
      <c r="Y156" s="342">
        <f t="shared" si="5"/>
        <v>5.3435776498756332E-5</v>
      </c>
      <c r="Z156" s="342">
        <f t="shared" si="5"/>
        <v>0</v>
      </c>
      <c r="AA156" s="342">
        <f t="shared" si="5"/>
        <v>0</v>
      </c>
      <c r="AB156" s="342">
        <f t="shared" si="5"/>
        <v>0</v>
      </c>
      <c r="AC156" s="342">
        <f t="shared" si="5"/>
        <v>0</v>
      </c>
      <c r="AD156" s="342">
        <f t="shared" si="5"/>
        <v>0</v>
      </c>
      <c r="AE156" s="342">
        <f t="shared" si="5"/>
        <v>0</v>
      </c>
      <c r="AF156" s="342">
        <f t="shared" si="5"/>
        <v>0</v>
      </c>
      <c r="AG156" s="342">
        <f t="shared" si="5"/>
        <v>0</v>
      </c>
      <c r="AH156" s="342">
        <f t="shared" si="5"/>
        <v>0</v>
      </c>
      <c r="AI156"/>
    </row>
    <row r="157" spans="2:37" x14ac:dyDescent="0.25">
      <c r="B157" s="327" t="s">
        <v>161</v>
      </c>
      <c r="C157" s="342">
        <f t="shared" ref="C157:AH157" si="6">+C109/$AH$121</f>
        <v>3.6635597340973938E-4</v>
      </c>
      <c r="D157" s="342">
        <f t="shared" si="6"/>
        <v>4.1727065947936682E-5</v>
      </c>
      <c r="E157" s="342">
        <f t="shared" si="6"/>
        <v>7.9954353256041612E-4</v>
      </c>
      <c r="F157" s="342">
        <f t="shared" si="6"/>
        <v>7.9954353256041612E-4</v>
      </c>
      <c r="G157" s="342">
        <f t="shared" si="6"/>
        <v>9.2100574998008674E-4</v>
      </c>
      <c r="H157" s="342">
        <f t="shared" si="6"/>
        <v>8.7927868403215009E-4</v>
      </c>
      <c r="I157" s="342">
        <f t="shared" si="6"/>
        <v>8.7927868403215009E-4</v>
      </c>
      <c r="J157" s="342">
        <f t="shared" si="6"/>
        <v>8.7927868403215009E-4</v>
      </c>
      <c r="K157" s="342">
        <f t="shared" si="6"/>
        <v>4.3627899883037217E-2</v>
      </c>
      <c r="L157" s="342">
        <f t="shared" si="6"/>
        <v>4.3627899883037217E-2</v>
      </c>
      <c r="M157" s="342">
        <f t="shared" si="6"/>
        <v>4.3627899883037217E-2</v>
      </c>
      <c r="N157" s="342">
        <f t="shared" si="6"/>
        <v>8.7927868403215009E-4</v>
      </c>
      <c r="O157" s="342">
        <f t="shared" si="6"/>
        <v>8.7927868403215009E-4</v>
      </c>
      <c r="P157" s="342">
        <f t="shared" si="6"/>
        <v>8.7927868403215009E-4</v>
      </c>
      <c r="Q157" s="342">
        <f t="shared" si="6"/>
        <v>8.7927868403215009E-4</v>
      </c>
      <c r="R157" s="342">
        <f t="shared" si="6"/>
        <v>1.0318779775785605E-3</v>
      </c>
      <c r="S157" s="342">
        <f t="shared" si="6"/>
        <v>8.7927868403215009E-4</v>
      </c>
      <c r="T157" s="342">
        <f t="shared" si="6"/>
        <v>8.7927868403215009E-4</v>
      </c>
      <c r="U157" s="342">
        <f t="shared" si="6"/>
        <v>8.7927868403215009E-4</v>
      </c>
      <c r="V157" s="342">
        <f t="shared" si="6"/>
        <v>8.7927868403215009E-4</v>
      </c>
      <c r="W157" s="342">
        <f t="shared" si="6"/>
        <v>8.7927868403215009E-4</v>
      </c>
      <c r="X157" s="342">
        <f t="shared" si="6"/>
        <v>8.7927868403215009E-4</v>
      </c>
      <c r="Y157" s="342">
        <f t="shared" si="6"/>
        <v>9.3271446053090645E-4</v>
      </c>
      <c r="Z157" s="342">
        <f t="shared" si="6"/>
        <v>7.5781646661247936E-4</v>
      </c>
      <c r="AA157" s="342">
        <f t="shared" si="6"/>
        <v>7.5781646661247936E-4</v>
      </c>
      <c r="AB157" s="342">
        <f t="shared" si="6"/>
        <v>7.5781646661247936E-4</v>
      </c>
      <c r="AC157" s="342">
        <f t="shared" si="6"/>
        <v>7.5781646661247936E-4</v>
      </c>
      <c r="AD157" s="342">
        <f t="shared" si="6"/>
        <v>7.5781646661247936E-4</v>
      </c>
      <c r="AE157" s="342">
        <f t="shared" si="6"/>
        <v>7.5781646661247936E-4</v>
      </c>
      <c r="AF157" s="342">
        <f t="shared" si="6"/>
        <v>0</v>
      </c>
      <c r="AG157" s="342">
        <f t="shared" si="6"/>
        <v>0</v>
      </c>
      <c r="AH157" s="342">
        <f t="shared" si="6"/>
        <v>0</v>
      </c>
      <c r="AI157"/>
    </row>
    <row r="158" spans="2:37" x14ac:dyDescent="0.25">
      <c r="B158" s="327" t="s">
        <v>162</v>
      </c>
      <c r="C158" s="342">
        <f t="shared" ref="C158:AH158" si="7">+C110/$AH$121</f>
        <v>1.9302055522816678E-3</v>
      </c>
      <c r="D158" s="342">
        <f t="shared" si="7"/>
        <v>2.2614951753901452E-3</v>
      </c>
      <c r="E158" s="342">
        <f t="shared" si="7"/>
        <v>3.9852299013633267E-3</v>
      </c>
      <c r="F158" s="342">
        <f t="shared" si="7"/>
        <v>4.2485723526649406E-3</v>
      </c>
      <c r="G158" s="342">
        <f t="shared" si="7"/>
        <v>5.5384014408607725E-3</v>
      </c>
      <c r="H158" s="342">
        <f t="shared" si="7"/>
        <v>5.5384014408607725E-3</v>
      </c>
      <c r="I158" s="342">
        <f t="shared" si="7"/>
        <v>5.5384014408607725E-3</v>
      </c>
      <c r="J158" s="342">
        <f t="shared" si="7"/>
        <v>5.5511963286846112E-3</v>
      </c>
      <c r="K158" s="342">
        <f t="shared" si="7"/>
        <v>5.3115383672894326E-3</v>
      </c>
      <c r="L158" s="342">
        <f t="shared" si="7"/>
        <v>5.3115383672894326E-3</v>
      </c>
      <c r="M158" s="342">
        <f t="shared" si="7"/>
        <v>5.3115382582507925E-3</v>
      </c>
      <c r="N158" s="342">
        <f t="shared" si="7"/>
        <v>4.8911786536379081E-3</v>
      </c>
      <c r="O158" s="342">
        <f t="shared" si="7"/>
        <v>4.8911786536379081E-3</v>
      </c>
      <c r="P158" s="342">
        <f t="shared" si="7"/>
        <v>4.8911786536379081E-3</v>
      </c>
      <c r="Q158" s="342">
        <f t="shared" si="7"/>
        <v>4.0453739140723583E-3</v>
      </c>
      <c r="R158" s="342">
        <f t="shared" si="7"/>
        <v>4.0453738948354788E-3</v>
      </c>
      <c r="S158" s="342">
        <f t="shared" si="7"/>
        <v>3.6714883140582608E-3</v>
      </c>
      <c r="T158" s="342">
        <f t="shared" si="7"/>
        <v>3.3401986856062059E-3</v>
      </c>
      <c r="U158" s="342">
        <f t="shared" si="7"/>
        <v>1.5531715159857048E-3</v>
      </c>
      <c r="V158" s="342">
        <f t="shared" si="7"/>
        <v>0</v>
      </c>
      <c r="W158" s="342">
        <f t="shared" si="7"/>
        <v>0</v>
      </c>
      <c r="X158" s="342">
        <f t="shared" si="7"/>
        <v>0</v>
      </c>
      <c r="Y158" s="342">
        <f t="shared" si="7"/>
        <v>0</v>
      </c>
      <c r="Z158" s="342">
        <f t="shared" si="7"/>
        <v>0</v>
      </c>
      <c r="AA158" s="342">
        <f t="shared" si="7"/>
        <v>0.13893301889676646</v>
      </c>
      <c r="AB158" s="342">
        <f t="shared" si="7"/>
        <v>0</v>
      </c>
      <c r="AC158" s="342">
        <f t="shared" si="7"/>
        <v>0</v>
      </c>
      <c r="AD158" s="342">
        <f t="shared" si="7"/>
        <v>0</v>
      </c>
      <c r="AE158" s="342">
        <f t="shared" si="7"/>
        <v>0</v>
      </c>
      <c r="AF158" s="342">
        <f t="shared" si="7"/>
        <v>0</v>
      </c>
      <c r="AG158" s="342">
        <f t="shared" si="7"/>
        <v>0</v>
      </c>
      <c r="AH158" s="342">
        <f t="shared" si="7"/>
        <v>0</v>
      </c>
      <c r="AI158"/>
    </row>
    <row r="159" spans="2:37" x14ac:dyDescent="0.25">
      <c r="B159" s="327" t="s">
        <v>163</v>
      </c>
      <c r="C159" s="342">
        <f t="shared" ref="C159:AH159" si="8">+C111/$AH$121</f>
        <v>2.4282980435402441E-3</v>
      </c>
      <c r="D159" s="342">
        <f t="shared" si="8"/>
        <v>2.4282980435402441E-3</v>
      </c>
      <c r="E159" s="342">
        <f t="shared" si="8"/>
        <v>2.4543021976039369E-3</v>
      </c>
      <c r="F159" s="342">
        <f t="shared" si="8"/>
        <v>8.7720228158351381E-3</v>
      </c>
      <c r="G159" s="342">
        <f t="shared" si="8"/>
        <v>6.2207799314591472E-2</v>
      </c>
      <c r="H159" s="342">
        <f t="shared" si="8"/>
        <v>2.4543021976039369E-3</v>
      </c>
      <c r="I159" s="342">
        <f t="shared" si="8"/>
        <v>2.4543021976039369E-3</v>
      </c>
      <c r="J159" s="342">
        <f t="shared" si="8"/>
        <v>2.3674156346353992E-3</v>
      </c>
      <c r="K159" s="342">
        <f t="shared" si="8"/>
        <v>2.3674156346353992E-3</v>
      </c>
      <c r="L159" s="342">
        <f t="shared" si="8"/>
        <v>2.3674156346353992E-3</v>
      </c>
      <c r="M159" s="342">
        <f t="shared" si="8"/>
        <v>2.3674156346353992E-3</v>
      </c>
      <c r="N159" s="342">
        <f t="shared" si="8"/>
        <v>2.3674156346353992E-3</v>
      </c>
      <c r="O159" s="342">
        <f t="shared" si="8"/>
        <v>2.3674156346353992E-3</v>
      </c>
      <c r="P159" s="342">
        <f t="shared" si="8"/>
        <v>2.3674156346353992E-3</v>
      </c>
      <c r="Q159" s="342">
        <f t="shared" si="8"/>
        <v>2.3674156346353992E-3</v>
      </c>
      <c r="R159" s="342">
        <f t="shared" si="8"/>
        <v>2.214845522366535E-3</v>
      </c>
      <c r="S159" s="342">
        <f t="shared" si="8"/>
        <v>2.214845522366535E-3</v>
      </c>
      <c r="T159" s="342">
        <f t="shared" si="8"/>
        <v>1.6319097792295181E-3</v>
      </c>
      <c r="U159" s="342">
        <f t="shared" si="8"/>
        <v>1.6324227626839062E-3</v>
      </c>
      <c r="V159" s="342">
        <f t="shared" si="8"/>
        <v>1.5767119900621815E-3</v>
      </c>
      <c r="W159" s="342">
        <f t="shared" si="8"/>
        <v>4.891052031498962E-4</v>
      </c>
      <c r="X159" s="342">
        <f t="shared" si="8"/>
        <v>4.891052031498962E-4</v>
      </c>
      <c r="Y159" s="342">
        <f t="shared" si="8"/>
        <v>5.3503399131926539E-2</v>
      </c>
      <c r="Z159" s="342">
        <f t="shared" si="8"/>
        <v>0.10693917563068286</v>
      </c>
      <c r="AA159" s="342">
        <f t="shared" si="8"/>
        <v>6.7622633170206557E-5</v>
      </c>
      <c r="AB159" s="342">
        <f t="shared" si="8"/>
        <v>6.7622633170206557E-5</v>
      </c>
      <c r="AC159" s="342">
        <f t="shared" si="8"/>
        <v>6.8948567153936084E-5</v>
      </c>
      <c r="AD159" s="342">
        <f t="shared" si="8"/>
        <v>0</v>
      </c>
      <c r="AE159" s="342">
        <f t="shared" si="8"/>
        <v>0</v>
      </c>
      <c r="AF159" s="342">
        <f t="shared" si="8"/>
        <v>0</v>
      </c>
      <c r="AG159" s="342">
        <f t="shared" si="8"/>
        <v>0</v>
      </c>
      <c r="AH159" s="342">
        <f t="shared" si="8"/>
        <v>0</v>
      </c>
      <c r="AI159"/>
    </row>
    <row r="160" spans="2:37" x14ac:dyDescent="0.25">
      <c r="B160" s="327" t="s">
        <v>164</v>
      </c>
      <c r="C160" s="342">
        <f t="shared" ref="C160:AH160" si="9">+C112/$AH$121</f>
        <v>3.3456853995331577E-4</v>
      </c>
      <c r="D160" s="342">
        <f t="shared" si="9"/>
        <v>1.5119425110172112E-4</v>
      </c>
      <c r="E160" s="342">
        <f t="shared" si="9"/>
        <v>1.66057476457782E-4</v>
      </c>
      <c r="F160" s="342">
        <f t="shared" si="9"/>
        <v>1.66057476457782E-4</v>
      </c>
      <c r="G160" s="342">
        <f t="shared" si="9"/>
        <v>7.2461120058299553E-4</v>
      </c>
      <c r="H160" s="342">
        <f t="shared" si="9"/>
        <v>1.5722131723374159E-3</v>
      </c>
      <c r="I160" s="342">
        <f t="shared" si="9"/>
        <v>1.5722131723374159E-3</v>
      </c>
      <c r="J160" s="342">
        <f t="shared" si="9"/>
        <v>1.5722131723374159E-3</v>
      </c>
      <c r="K160" s="342">
        <f t="shared" si="9"/>
        <v>1.4379879639776136E-3</v>
      </c>
      <c r="L160" s="342">
        <f t="shared" si="9"/>
        <v>1.4210189212356945E-3</v>
      </c>
      <c r="M160" s="342">
        <f t="shared" si="9"/>
        <v>1.4210189212356945E-3</v>
      </c>
      <c r="N160" s="342">
        <f t="shared" si="9"/>
        <v>1.4210189212356945E-3</v>
      </c>
      <c r="O160" s="342">
        <f t="shared" si="9"/>
        <v>1.4210189212356945E-3</v>
      </c>
      <c r="P160" s="342">
        <f t="shared" si="9"/>
        <v>1.4210189212356945E-3</v>
      </c>
      <c r="Q160" s="342">
        <f t="shared" si="9"/>
        <v>1.4210189212356945E-3</v>
      </c>
      <c r="R160" s="342">
        <f t="shared" si="9"/>
        <v>1.4210189212356945E-3</v>
      </c>
      <c r="S160" s="342">
        <f t="shared" si="9"/>
        <v>1.4210189212356945E-3</v>
      </c>
      <c r="T160" s="342">
        <f t="shared" si="9"/>
        <v>1.4210189212356945E-3</v>
      </c>
      <c r="U160" s="342">
        <f t="shared" si="9"/>
        <v>1.4210189212356945E-3</v>
      </c>
      <c r="V160" s="342">
        <f t="shared" si="9"/>
        <v>1.4863225356060872E-5</v>
      </c>
      <c r="W160" s="342">
        <f t="shared" si="9"/>
        <v>0</v>
      </c>
      <c r="X160" s="342">
        <f t="shared" si="9"/>
        <v>0</v>
      </c>
      <c r="Y160" s="342">
        <f t="shared" si="9"/>
        <v>0</v>
      </c>
      <c r="Z160" s="342">
        <f t="shared" si="9"/>
        <v>0</v>
      </c>
      <c r="AA160" s="342">
        <f t="shared" si="9"/>
        <v>0</v>
      </c>
      <c r="AB160" s="342">
        <f t="shared" si="9"/>
        <v>0</v>
      </c>
      <c r="AC160" s="342">
        <f t="shared" si="9"/>
        <v>0</v>
      </c>
      <c r="AD160" s="342">
        <f t="shared" si="9"/>
        <v>0</v>
      </c>
      <c r="AE160" s="342">
        <f t="shared" si="9"/>
        <v>0</v>
      </c>
      <c r="AF160" s="342">
        <f t="shared" si="9"/>
        <v>0</v>
      </c>
      <c r="AG160" s="342">
        <f t="shared" si="9"/>
        <v>0</v>
      </c>
      <c r="AH160" s="342">
        <f t="shared" si="9"/>
        <v>0</v>
      </c>
      <c r="AI160"/>
    </row>
    <row r="161" spans="2:35" x14ac:dyDescent="0.25">
      <c r="B161" s="327" t="s">
        <v>165</v>
      </c>
      <c r="C161" s="342">
        <f t="shared" ref="C161:AH161" si="10">+C113/$AH$121</f>
        <v>4.5810841250155644E-4</v>
      </c>
      <c r="D161" s="342">
        <f t="shared" si="10"/>
        <v>4.5985892792846562E-4</v>
      </c>
      <c r="E161" s="342">
        <f t="shared" si="10"/>
        <v>3.4395329171351872E-4</v>
      </c>
      <c r="F161" s="342">
        <f t="shared" si="10"/>
        <v>3.063045291908517E-4</v>
      </c>
      <c r="G161" s="342">
        <f t="shared" si="10"/>
        <v>3.063045291908517E-4</v>
      </c>
      <c r="H161" s="342">
        <f t="shared" si="10"/>
        <v>3.063045291908517E-4</v>
      </c>
      <c r="I161" s="342">
        <f t="shared" si="10"/>
        <v>3.063045291908517E-4</v>
      </c>
      <c r="J161" s="342">
        <f t="shared" si="10"/>
        <v>3.063045291908517E-4</v>
      </c>
      <c r="K161" s="342">
        <f t="shared" si="10"/>
        <v>3.063045291908517E-4</v>
      </c>
      <c r="L161" s="342">
        <f t="shared" si="10"/>
        <v>1.7783774499434218E-4</v>
      </c>
      <c r="M161" s="342">
        <f t="shared" si="10"/>
        <v>1.7783774499434218E-4</v>
      </c>
      <c r="N161" s="342">
        <f t="shared" si="10"/>
        <v>1.7783774499434218E-4</v>
      </c>
      <c r="O161" s="342">
        <f t="shared" si="10"/>
        <v>1.4226927839631971E-4</v>
      </c>
      <c r="P161" s="342">
        <f t="shared" si="10"/>
        <v>1.4226927839631971E-4</v>
      </c>
      <c r="Q161" s="342">
        <f t="shared" si="10"/>
        <v>1.4226927839631971E-4</v>
      </c>
      <c r="R161" s="342">
        <f t="shared" si="10"/>
        <v>1.4226927839631971E-4</v>
      </c>
      <c r="S161" s="342">
        <f t="shared" si="10"/>
        <v>1.4226928801475949E-4</v>
      </c>
      <c r="T161" s="342">
        <f t="shared" si="10"/>
        <v>1.6192493732243938E-6</v>
      </c>
      <c r="U161" s="342">
        <f t="shared" si="10"/>
        <v>0</v>
      </c>
      <c r="V161" s="342">
        <f t="shared" si="10"/>
        <v>0</v>
      </c>
      <c r="W161" s="342">
        <f t="shared" si="10"/>
        <v>0</v>
      </c>
      <c r="X161" s="342">
        <f t="shared" si="10"/>
        <v>0</v>
      </c>
      <c r="Y161" s="342">
        <f t="shared" si="10"/>
        <v>0</v>
      </c>
      <c r="Z161" s="342">
        <f t="shared" si="10"/>
        <v>0</v>
      </c>
      <c r="AA161" s="342">
        <f t="shared" si="10"/>
        <v>0</v>
      </c>
      <c r="AB161" s="342">
        <f t="shared" si="10"/>
        <v>0</v>
      </c>
      <c r="AC161" s="342">
        <f t="shared" si="10"/>
        <v>0</v>
      </c>
      <c r="AD161" s="342">
        <f t="shared" si="10"/>
        <v>0</v>
      </c>
      <c r="AE161" s="342">
        <f t="shared" si="10"/>
        <v>0</v>
      </c>
      <c r="AF161" s="342">
        <f t="shared" si="10"/>
        <v>0</v>
      </c>
      <c r="AG161" s="342">
        <f t="shared" si="10"/>
        <v>0</v>
      </c>
      <c r="AH161" s="342">
        <f t="shared" si="10"/>
        <v>0</v>
      </c>
      <c r="AI161"/>
    </row>
    <row r="162" spans="2:35" x14ac:dyDescent="0.25">
      <c r="B162" s="327" t="s">
        <v>166</v>
      </c>
      <c r="C162" s="342">
        <f t="shared" ref="C162:AH162" si="11">+C114/$AH$121</f>
        <v>1.0830894653000992E-4</v>
      </c>
      <c r="D162" s="342">
        <f t="shared" si="11"/>
        <v>1.0830894653000992E-4</v>
      </c>
      <c r="E162" s="342">
        <f t="shared" si="11"/>
        <v>6.4819052483543259E-5</v>
      </c>
      <c r="F162" s="342">
        <f t="shared" si="11"/>
        <v>6.4359754472134998E-3</v>
      </c>
      <c r="G162" s="342">
        <f t="shared" si="11"/>
        <v>6.4359754472134998E-3</v>
      </c>
      <c r="H162" s="342">
        <f t="shared" si="11"/>
        <v>1.1825482898229959E-4</v>
      </c>
      <c r="I162" s="342">
        <f t="shared" si="11"/>
        <v>5.3435776498756332E-5</v>
      </c>
      <c r="J162" s="342">
        <f t="shared" si="11"/>
        <v>5.3435776498756332E-5</v>
      </c>
      <c r="K162" s="342">
        <f t="shared" si="11"/>
        <v>5.3435776498756332E-5</v>
      </c>
      <c r="L162" s="342">
        <f t="shared" si="11"/>
        <v>5.3435776498756332E-5</v>
      </c>
      <c r="M162" s="342">
        <f t="shared" si="11"/>
        <v>5.3435776498756332E-5</v>
      </c>
      <c r="N162" s="342">
        <f t="shared" si="11"/>
        <v>5.3435776498756332E-5</v>
      </c>
      <c r="O162" s="342">
        <f t="shared" si="11"/>
        <v>5.3435776498756332E-5</v>
      </c>
      <c r="P162" s="342">
        <f t="shared" si="11"/>
        <v>5.3435776498756332E-5</v>
      </c>
      <c r="Q162" s="342">
        <f t="shared" si="11"/>
        <v>5.3435776498756332E-5</v>
      </c>
      <c r="R162" s="342">
        <f t="shared" si="11"/>
        <v>5.3435776498756332E-5</v>
      </c>
      <c r="S162" s="342">
        <f t="shared" si="11"/>
        <v>5.3435776498756332E-5</v>
      </c>
      <c r="T162" s="342">
        <f t="shared" si="11"/>
        <v>5.3435776498756332E-5</v>
      </c>
      <c r="U162" s="342">
        <f t="shared" si="11"/>
        <v>5.3435776498756332E-5</v>
      </c>
      <c r="V162" s="342">
        <f t="shared" si="11"/>
        <v>5.3435776498756332E-5</v>
      </c>
      <c r="W162" s="342">
        <f t="shared" si="11"/>
        <v>5.3435776498756332E-5</v>
      </c>
      <c r="X162" s="342">
        <f t="shared" si="11"/>
        <v>5.3435776498756332E-5</v>
      </c>
      <c r="Y162" s="342">
        <f t="shared" si="11"/>
        <v>0</v>
      </c>
      <c r="Z162" s="342">
        <f t="shared" si="11"/>
        <v>0</v>
      </c>
      <c r="AA162" s="342">
        <f t="shared" si="11"/>
        <v>0</v>
      </c>
      <c r="AB162" s="342">
        <f t="shared" si="11"/>
        <v>0</v>
      </c>
      <c r="AC162" s="342">
        <f t="shared" si="11"/>
        <v>0</v>
      </c>
      <c r="AD162" s="342">
        <f t="shared" si="11"/>
        <v>0</v>
      </c>
      <c r="AE162" s="342">
        <f t="shared" si="11"/>
        <v>0</v>
      </c>
      <c r="AF162" s="342">
        <f t="shared" si="11"/>
        <v>0</v>
      </c>
      <c r="AG162" s="342">
        <f t="shared" si="11"/>
        <v>0</v>
      </c>
      <c r="AH162" s="342">
        <f t="shared" si="11"/>
        <v>0</v>
      </c>
      <c r="AI162"/>
    </row>
    <row r="163" spans="2:35" x14ac:dyDescent="0.25">
      <c r="B163" s="327" t="s">
        <v>167</v>
      </c>
      <c r="C163" s="342">
        <f t="shared" ref="C163:AH163" si="12">+C115/$AH$121</f>
        <v>4.1727065947936682E-5</v>
      </c>
      <c r="D163" s="342">
        <f t="shared" si="12"/>
        <v>7.9954353256041612E-4</v>
      </c>
      <c r="E163" s="342">
        <f t="shared" si="12"/>
        <v>7.9954353256041612E-4</v>
      </c>
      <c r="F163" s="342">
        <f t="shared" si="12"/>
        <v>9.2100574998008674E-4</v>
      </c>
      <c r="G163" s="342">
        <f t="shared" si="12"/>
        <v>9.2100574998008674E-4</v>
      </c>
      <c r="H163" s="342">
        <f t="shared" si="12"/>
        <v>8.7927868403215009E-4</v>
      </c>
      <c r="I163" s="342">
        <f t="shared" si="12"/>
        <v>8.7927868403215009E-4</v>
      </c>
      <c r="J163" s="342">
        <f t="shared" si="12"/>
        <v>8.7927868403215009E-4</v>
      </c>
      <c r="K163" s="342">
        <f t="shared" si="12"/>
        <v>8.7927868403215009E-4</v>
      </c>
      <c r="L163" s="342">
        <f t="shared" si="12"/>
        <v>8.7927868403215009E-4</v>
      </c>
      <c r="M163" s="342">
        <f t="shared" si="12"/>
        <v>8.7927868403215009E-4</v>
      </c>
      <c r="N163" s="342">
        <f t="shared" si="12"/>
        <v>8.7927868403215009E-4</v>
      </c>
      <c r="O163" s="342">
        <f t="shared" si="12"/>
        <v>8.7927868403215009E-4</v>
      </c>
      <c r="P163" s="342">
        <f t="shared" si="12"/>
        <v>8.7927868403215009E-4</v>
      </c>
      <c r="Q163" s="342">
        <f t="shared" si="12"/>
        <v>8.7927868403215009E-4</v>
      </c>
      <c r="R163" s="342">
        <f t="shared" si="12"/>
        <v>8.7927868403215009E-4</v>
      </c>
      <c r="S163" s="342">
        <f t="shared" si="12"/>
        <v>8.7927868403215009E-4</v>
      </c>
      <c r="T163" s="342">
        <f t="shared" si="12"/>
        <v>8.7927868403215009E-4</v>
      </c>
      <c r="U163" s="342">
        <f t="shared" si="12"/>
        <v>8.7927868403215009E-4</v>
      </c>
      <c r="V163" s="342">
        <f t="shared" si="12"/>
        <v>8.7927868403215009E-4</v>
      </c>
      <c r="W163" s="342">
        <f t="shared" si="12"/>
        <v>8.7927868403215009E-4</v>
      </c>
      <c r="X163" s="342">
        <f t="shared" si="12"/>
        <v>8.7927868403215009E-4</v>
      </c>
      <c r="Y163" s="342">
        <f t="shared" si="12"/>
        <v>8.792786786885724E-4</v>
      </c>
      <c r="Z163" s="342">
        <f t="shared" si="12"/>
        <v>7.5781646661247936E-4</v>
      </c>
      <c r="AA163" s="342">
        <f t="shared" si="12"/>
        <v>7.5781646661247936E-4</v>
      </c>
      <c r="AB163" s="342">
        <f t="shared" si="12"/>
        <v>7.5781646661247936E-4</v>
      </c>
      <c r="AC163" s="342">
        <f t="shared" si="12"/>
        <v>7.5781646661247936E-4</v>
      </c>
      <c r="AD163" s="342">
        <f t="shared" si="12"/>
        <v>7.5781646661247936E-4</v>
      </c>
      <c r="AE163" s="342">
        <f t="shared" si="12"/>
        <v>7.5781647195605694E-4</v>
      </c>
      <c r="AF163" s="342">
        <f t="shared" si="12"/>
        <v>0</v>
      </c>
      <c r="AG163" s="342">
        <f t="shared" si="12"/>
        <v>0</v>
      </c>
      <c r="AH163" s="342">
        <f t="shared" si="12"/>
        <v>0</v>
      </c>
      <c r="AI163"/>
    </row>
    <row r="164" spans="2:35" x14ac:dyDescent="0.25">
      <c r="B164" s="327" t="s">
        <v>168</v>
      </c>
      <c r="C164" s="342">
        <f t="shared" ref="C164:AH164" si="13">+C116/$AH$121</f>
        <v>1.9302055522816678E-3</v>
      </c>
      <c r="D164" s="342">
        <f t="shared" si="13"/>
        <v>2.2614951753901452E-3</v>
      </c>
      <c r="E164" s="342">
        <f t="shared" si="13"/>
        <v>3.9852299013633267E-3</v>
      </c>
      <c r="F164" s="342">
        <f t="shared" si="13"/>
        <v>4.2485723526649406E-3</v>
      </c>
      <c r="G164" s="342">
        <f t="shared" si="13"/>
        <v>5.5384014408607725E-3</v>
      </c>
      <c r="H164" s="342">
        <f t="shared" si="13"/>
        <v>5.5384014408607725E-3</v>
      </c>
      <c r="I164" s="342">
        <f t="shared" si="13"/>
        <v>5.5384014408607725E-3</v>
      </c>
      <c r="J164" s="342">
        <f t="shared" si="13"/>
        <v>5.3115383672894326E-3</v>
      </c>
      <c r="K164" s="342">
        <f t="shared" si="13"/>
        <v>5.3115383672894326E-3</v>
      </c>
      <c r="L164" s="342">
        <f t="shared" si="13"/>
        <v>5.3115383672894326E-3</v>
      </c>
      <c r="M164" s="342">
        <f t="shared" si="13"/>
        <v>4.8911786536379081E-3</v>
      </c>
      <c r="N164" s="342">
        <f t="shared" si="13"/>
        <v>4.8911786536379081E-3</v>
      </c>
      <c r="O164" s="342">
        <f t="shared" si="13"/>
        <v>4.8911786536379081E-3</v>
      </c>
      <c r="P164" s="342">
        <f t="shared" si="13"/>
        <v>4.8911786536379081E-3</v>
      </c>
      <c r="Q164" s="342">
        <f t="shared" si="13"/>
        <v>4.0453739140723583E-3</v>
      </c>
      <c r="R164" s="342">
        <f t="shared" si="13"/>
        <v>3.6714883159841929E-3</v>
      </c>
      <c r="S164" s="342">
        <f t="shared" si="13"/>
        <v>3.3401986920184993E-3</v>
      </c>
      <c r="T164" s="342">
        <f t="shared" si="13"/>
        <v>1.5531715394974468E-3</v>
      </c>
      <c r="U164" s="342">
        <f t="shared" si="13"/>
        <v>0</v>
      </c>
      <c r="V164" s="342">
        <f t="shared" si="13"/>
        <v>0</v>
      </c>
      <c r="W164" s="342">
        <f t="shared" si="13"/>
        <v>0</v>
      </c>
      <c r="X164" s="342">
        <f t="shared" si="13"/>
        <v>0</v>
      </c>
      <c r="Y164" s="342">
        <f t="shared" si="13"/>
        <v>0</v>
      </c>
      <c r="Z164" s="342">
        <f t="shared" si="13"/>
        <v>0</v>
      </c>
      <c r="AA164" s="342">
        <f t="shared" si="13"/>
        <v>0</v>
      </c>
      <c r="AB164" s="342">
        <f t="shared" si="13"/>
        <v>0</v>
      </c>
      <c r="AC164" s="342">
        <f t="shared" si="13"/>
        <v>0</v>
      </c>
      <c r="AD164" s="342">
        <f t="shared" si="13"/>
        <v>0</v>
      </c>
      <c r="AE164" s="342">
        <f t="shared" si="13"/>
        <v>0</v>
      </c>
      <c r="AF164" s="342">
        <f t="shared" si="13"/>
        <v>0</v>
      </c>
      <c r="AG164" s="342">
        <f t="shared" si="13"/>
        <v>0</v>
      </c>
      <c r="AH164" s="342">
        <f t="shared" si="13"/>
        <v>0</v>
      </c>
      <c r="AI164"/>
    </row>
    <row r="165" spans="2:35" x14ac:dyDescent="0.25">
      <c r="B165" s="327" t="s">
        <v>169</v>
      </c>
      <c r="C165" s="342">
        <f t="shared" ref="C165:AH165" si="14">+C117/$AH$121</f>
        <v>2.4282980435402441E-3</v>
      </c>
      <c r="D165" s="342">
        <f t="shared" si="14"/>
        <v>2.428500163296135E-3</v>
      </c>
      <c r="E165" s="342">
        <f t="shared" si="14"/>
        <v>8.7720228158351381E-3</v>
      </c>
      <c r="F165" s="342">
        <f t="shared" si="14"/>
        <v>8.7720228158351381E-3</v>
      </c>
      <c r="G165" s="342">
        <f t="shared" si="14"/>
        <v>8.7720228219920933E-3</v>
      </c>
      <c r="H165" s="342">
        <f t="shared" si="14"/>
        <v>2.4543021976039369E-3</v>
      </c>
      <c r="I165" s="342">
        <f t="shared" si="14"/>
        <v>2.4543021976039369E-3</v>
      </c>
      <c r="J165" s="342">
        <f t="shared" si="14"/>
        <v>2.3674156346353992E-3</v>
      </c>
      <c r="K165" s="342">
        <f t="shared" si="14"/>
        <v>2.3674156346353992E-3</v>
      </c>
      <c r="L165" s="342">
        <f t="shared" si="14"/>
        <v>2.3674156346353992E-3</v>
      </c>
      <c r="M165" s="342">
        <f t="shared" si="14"/>
        <v>2.3674156346353992E-3</v>
      </c>
      <c r="N165" s="342">
        <f t="shared" si="14"/>
        <v>2.3674156346353992E-3</v>
      </c>
      <c r="O165" s="342">
        <f t="shared" si="14"/>
        <v>2.3674156346353992E-3</v>
      </c>
      <c r="P165" s="342">
        <f t="shared" si="14"/>
        <v>2.3674156346353992E-3</v>
      </c>
      <c r="Q165" s="342">
        <f t="shared" si="14"/>
        <v>2.3674156346353992E-3</v>
      </c>
      <c r="R165" s="342">
        <f t="shared" si="14"/>
        <v>2.214845522366535E-3</v>
      </c>
      <c r="S165" s="342">
        <f t="shared" si="14"/>
        <v>2.1662675442170815E-3</v>
      </c>
      <c r="T165" s="342">
        <f t="shared" si="14"/>
        <v>1.6319097792295181E-3</v>
      </c>
      <c r="U165" s="342">
        <f t="shared" si="14"/>
        <v>1.6118109699278856E-3</v>
      </c>
      <c r="V165" s="342">
        <f t="shared" si="14"/>
        <v>1.5959736873137709E-3</v>
      </c>
      <c r="W165" s="342">
        <f t="shared" si="14"/>
        <v>4.891052031498962E-4</v>
      </c>
      <c r="X165" s="342">
        <f t="shared" si="14"/>
        <v>6.7622633170206557E-5</v>
      </c>
      <c r="Y165" s="342">
        <f t="shared" si="14"/>
        <v>6.7622633170206557E-5</v>
      </c>
      <c r="Z165" s="342">
        <f t="shared" si="14"/>
        <v>6.7622633170206557E-5</v>
      </c>
      <c r="AA165" s="342">
        <f t="shared" si="14"/>
        <v>6.7622633170206557E-5</v>
      </c>
      <c r="AB165" s="342">
        <f t="shared" si="14"/>
        <v>6.7622633170206557E-5</v>
      </c>
      <c r="AC165" s="342">
        <f t="shared" si="14"/>
        <v>0</v>
      </c>
      <c r="AD165" s="342">
        <f t="shared" si="14"/>
        <v>0</v>
      </c>
      <c r="AE165" s="342">
        <f t="shared" si="14"/>
        <v>0</v>
      </c>
      <c r="AF165" s="342">
        <f t="shared" si="14"/>
        <v>0</v>
      </c>
      <c r="AG165" s="342">
        <f t="shared" si="14"/>
        <v>0</v>
      </c>
      <c r="AH165" s="342">
        <f t="shared" si="14"/>
        <v>0</v>
      </c>
      <c r="AI165"/>
    </row>
    <row r="166" spans="2:35" x14ac:dyDescent="0.25">
      <c r="B166" s="327" t="s">
        <v>170</v>
      </c>
      <c r="C166" s="342">
        <f t="shared" ref="C166:AH166" si="15">+C118/$AH$121</f>
        <v>1.5119425110172112E-4</v>
      </c>
      <c r="D166" s="342">
        <f t="shared" si="15"/>
        <v>1.66057476457782E-4</v>
      </c>
      <c r="E166" s="342">
        <f t="shared" si="15"/>
        <v>1.66057476457782E-4</v>
      </c>
      <c r="F166" s="342">
        <f t="shared" si="15"/>
        <v>1.66057476457782E-4</v>
      </c>
      <c r="G166" s="342">
        <f t="shared" si="15"/>
        <v>1.5722131723374159E-3</v>
      </c>
      <c r="H166" s="342">
        <f t="shared" si="15"/>
        <v>1.5722131723374159E-3</v>
      </c>
      <c r="I166" s="342">
        <f t="shared" si="15"/>
        <v>1.5722131723374159E-3</v>
      </c>
      <c r="J166" s="342">
        <f t="shared" si="15"/>
        <v>1.5722131723374159E-3</v>
      </c>
      <c r="K166" s="342">
        <f t="shared" si="15"/>
        <v>1.5494857054322044E-3</v>
      </c>
      <c r="L166" s="342">
        <f t="shared" si="15"/>
        <v>1.4210189212356945E-3</v>
      </c>
      <c r="M166" s="342">
        <f t="shared" si="15"/>
        <v>1.4210189212356945E-3</v>
      </c>
      <c r="N166" s="342">
        <f t="shared" si="15"/>
        <v>1.4210189212356945E-3</v>
      </c>
      <c r="O166" s="342">
        <f t="shared" si="15"/>
        <v>1.4210189212356945E-3</v>
      </c>
      <c r="P166" s="342">
        <f t="shared" si="15"/>
        <v>1.4210189212356945E-3</v>
      </c>
      <c r="Q166" s="342">
        <f t="shared" si="15"/>
        <v>1.4210189212356945E-3</v>
      </c>
      <c r="R166" s="342">
        <f t="shared" si="15"/>
        <v>1.4210189212356945E-3</v>
      </c>
      <c r="S166" s="342">
        <f t="shared" si="15"/>
        <v>1.4210189212356945E-3</v>
      </c>
      <c r="T166" s="342">
        <f t="shared" si="15"/>
        <v>1.4210189212356945E-3</v>
      </c>
      <c r="U166" s="342">
        <f t="shared" si="15"/>
        <v>1.4210189481602725E-3</v>
      </c>
      <c r="V166" s="342">
        <f t="shared" si="15"/>
        <v>1.486322321862981E-5</v>
      </c>
      <c r="W166" s="342">
        <f t="shared" si="15"/>
        <v>0</v>
      </c>
      <c r="X166" s="342">
        <f t="shared" si="15"/>
        <v>0</v>
      </c>
      <c r="Y166" s="342">
        <f t="shared" si="15"/>
        <v>0</v>
      </c>
      <c r="Z166" s="342">
        <f t="shared" si="15"/>
        <v>0</v>
      </c>
      <c r="AA166" s="342">
        <f t="shared" si="15"/>
        <v>0</v>
      </c>
      <c r="AB166" s="342">
        <f t="shared" si="15"/>
        <v>0</v>
      </c>
      <c r="AC166" s="342">
        <f t="shared" si="15"/>
        <v>0</v>
      </c>
      <c r="AD166" s="342">
        <f t="shared" si="15"/>
        <v>0</v>
      </c>
      <c r="AE166" s="342">
        <f t="shared" si="15"/>
        <v>0</v>
      </c>
      <c r="AF166" s="342">
        <f t="shared" si="15"/>
        <v>0</v>
      </c>
      <c r="AG166" s="342">
        <f t="shared" si="15"/>
        <v>0</v>
      </c>
      <c r="AH166" s="342">
        <f t="shared" si="15"/>
        <v>0</v>
      </c>
      <c r="AI166"/>
    </row>
    <row r="167" spans="2:35" x14ac:dyDescent="0.25">
      <c r="B167" s="327" t="s">
        <v>171</v>
      </c>
      <c r="C167" s="342">
        <f t="shared" ref="C167:AH167" si="16">+C119/$AH$121</f>
        <v>4.5823966145579263E-4</v>
      </c>
      <c r="D167" s="342">
        <f t="shared" si="16"/>
        <v>3.7659914334831562E-4</v>
      </c>
      <c r="E167" s="342">
        <f t="shared" si="16"/>
        <v>3.4406978041036151E-4</v>
      </c>
      <c r="F167" s="342">
        <f t="shared" si="16"/>
        <v>3.063045291908517E-4</v>
      </c>
      <c r="G167" s="342">
        <f t="shared" si="16"/>
        <v>3.063045291908517E-4</v>
      </c>
      <c r="H167" s="342">
        <f t="shared" si="16"/>
        <v>3.063045291908517E-4</v>
      </c>
      <c r="I167" s="342">
        <f t="shared" si="16"/>
        <v>3.063045291908517E-4</v>
      </c>
      <c r="J167" s="342">
        <f t="shared" si="16"/>
        <v>3.063045291908517E-4</v>
      </c>
      <c r="K167" s="342">
        <f t="shared" si="16"/>
        <v>1.7783774499434218E-4</v>
      </c>
      <c r="L167" s="342">
        <f t="shared" si="16"/>
        <v>1.7783774499434218E-4</v>
      </c>
      <c r="M167" s="342">
        <f t="shared" si="16"/>
        <v>1.7783774499434218E-4</v>
      </c>
      <c r="N167" s="342">
        <f t="shared" si="16"/>
        <v>1.7792538517104388E-4</v>
      </c>
      <c r="O167" s="342">
        <f t="shared" si="16"/>
        <v>1.4226927839631971E-4</v>
      </c>
      <c r="P167" s="342">
        <f t="shared" si="16"/>
        <v>1.4226927839631971E-4</v>
      </c>
      <c r="Q167" s="342">
        <f t="shared" si="16"/>
        <v>1.4226927839631971E-4</v>
      </c>
      <c r="R167" s="342">
        <f t="shared" si="16"/>
        <v>1.4226927839631971E-4</v>
      </c>
      <c r="S167" s="342">
        <f t="shared" si="16"/>
        <v>1.6192664726728731E-6</v>
      </c>
      <c r="T167" s="342">
        <f t="shared" si="16"/>
        <v>0</v>
      </c>
      <c r="U167" s="342">
        <f t="shared" si="16"/>
        <v>0</v>
      </c>
      <c r="V167" s="342">
        <f t="shared" si="16"/>
        <v>0</v>
      </c>
      <c r="W167" s="342">
        <f t="shared" si="16"/>
        <v>0</v>
      </c>
      <c r="X167" s="342">
        <f t="shared" si="16"/>
        <v>0</v>
      </c>
      <c r="Y167" s="342">
        <f t="shared" si="16"/>
        <v>0</v>
      </c>
      <c r="Z167" s="342">
        <f t="shared" si="16"/>
        <v>0</v>
      </c>
      <c r="AA167" s="342">
        <f t="shared" si="16"/>
        <v>0</v>
      </c>
      <c r="AB167" s="342">
        <f t="shared" si="16"/>
        <v>0</v>
      </c>
      <c r="AC167" s="342">
        <f t="shared" si="16"/>
        <v>0</v>
      </c>
      <c r="AD167" s="342">
        <f t="shared" si="16"/>
        <v>0</v>
      </c>
      <c r="AE167" s="342">
        <f t="shared" si="16"/>
        <v>0</v>
      </c>
      <c r="AF167" s="342">
        <f t="shared" si="16"/>
        <v>0</v>
      </c>
      <c r="AG167" s="342">
        <f t="shared" si="16"/>
        <v>0</v>
      </c>
      <c r="AH167" s="342">
        <f t="shared" si="16"/>
        <v>0</v>
      </c>
      <c r="AI167"/>
    </row>
    <row r="168" spans="2:35" x14ac:dyDescent="0.25">
      <c r="B168" s="330" t="s">
        <v>172</v>
      </c>
      <c r="C168" s="386">
        <f t="shared" ref="C168:M168" si="17">SUM(C156:C167)</f>
        <v>1.0743818989073907E-2</v>
      </c>
      <c r="D168" s="386">
        <f t="shared" si="17"/>
        <v>1.1591386848021327E-2</v>
      </c>
      <c r="E168" s="386">
        <f t="shared" si="17"/>
        <v>0.12886069090285221</v>
      </c>
      <c r="F168" s="386">
        <f t="shared" si="17"/>
        <v>4.157841452526493E-2</v>
      </c>
      <c r="G168" s="386">
        <f t="shared" si="17"/>
        <v>9.9680020843994382E-2</v>
      </c>
      <c r="H168" s="386">
        <f t="shared" si="17"/>
        <v>2.1737509706014849E-2</v>
      </c>
      <c r="I168" s="386">
        <f t="shared" si="17"/>
        <v>2.1672690719791669E-2</v>
      </c>
      <c r="J168" s="386">
        <f t="shared" si="17"/>
        <v>2.1306916852331725E-2</v>
      </c>
      <c r="K168" s="386">
        <f t="shared" si="17"/>
        <v>6.3443574067511554E-2</v>
      </c>
      <c r="L168" s="386">
        <f t="shared" si="17"/>
        <v>6.3169671456376614E-2</v>
      </c>
      <c r="M168" s="386">
        <f t="shared" si="17"/>
        <v>6.2749311633686453E-2</v>
      </c>
      <c r="N168" s="386">
        <f>SUM(N156:N167)</f>
        <v>1.9580418470245206E-2</v>
      </c>
      <c r="O168" s="386">
        <f>SUM(O156:O167)</f>
        <v>1.9509193896872459E-2</v>
      </c>
      <c r="P168" s="386">
        <f t="shared" ref="P168:AG168" si="18">SUM(P156:P167)</f>
        <v>1.9509193896872459E-2</v>
      </c>
      <c r="Q168" s="386">
        <f t="shared" si="18"/>
        <v>1.781758441774136E-2</v>
      </c>
      <c r="R168" s="386">
        <f t="shared" si="18"/>
        <v>1.7291157869424995E-2</v>
      </c>
      <c r="S168" s="386">
        <f t="shared" si="18"/>
        <v>1.6244155390681012E-2</v>
      </c>
      <c r="T168" s="386">
        <f t="shared" si="18"/>
        <v>1.2866275796469118E-2</v>
      </c>
      <c r="U168" s="386">
        <f t="shared" si="18"/>
        <v>9.5048720390552774E-3</v>
      </c>
      <c r="V168" s="386">
        <f t="shared" si="18"/>
        <v>5.0678410470124564E-3</v>
      </c>
      <c r="W168" s="386">
        <f t="shared" si="18"/>
        <v>2.8436393273616051E-3</v>
      </c>
      <c r="X168" s="386">
        <f t="shared" si="18"/>
        <v>2.4221567573819154E-3</v>
      </c>
      <c r="Y168" s="386">
        <f t="shared" si="18"/>
        <v>5.5436450680814986E-2</v>
      </c>
      <c r="Z168" s="386">
        <f t="shared" si="18"/>
        <v>0.10852243119707802</v>
      </c>
      <c r="AA168" s="386">
        <f t="shared" si="18"/>
        <v>0.14058389709633184</v>
      </c>
      <c r="AB168" s="386">
        <f t="shared" si="18"/>
        <v>1.6508781995653718E-3</v>
      </c>
      <c r="AC168" s="386">
        <f t="shared" si="18"/>
        <v>1.5845815003788948E-3</v>
      </c>
      <c r="AD168" s="386">
        <f t="shared" si="18"/>
        <v>1.5156329332249587E-3</v>
      </c>
      <c r="AE168" s="386">
        <f t="shared" si="18"/>
        <v>1.5156329385685363E-3</v>
      </c>
      <c r="AF168" s="386">
        <f t="shared" si="18"/>
        <v>0</v>
      </c>
      <c r="AG168" s="386">
        <f t="shared" si="18"/>
        <v>0</v>
      </c>
      <c r="AH168" s="386">
        <f t="shared" ref="AH168" si="19">SUM(AH156:AH167)</f>
        <v>0</v>
      </c>
      <c r="AI168"/>
    </row>
    <row r="169" spans="2:35" x14ac:dyDescent="0.25">
      <c r="B169" s="183" t="s">
        <v>214</v>
      </c>
      <c r="C169" s="186"/>
      <c r="D169" s="186"/>
      <c r="E169" s="186"/>
      <c r="F169" s="186"/>
      <c r="G169" s="186"/>
      <c r="H169" s="186"/>
      <c r="I169" s="186"/>
      <c r="J169" s="186"/>
      <c r="K169" s="186"/>
      <c r="L169" s="186"/>
      <c r="M169" s="186"/>
      <c r="N169" s="186"/>
      <c r="P169" s="582"/>
      <c r="Q169" s="582"/>
      <c r="AH169" s="345">
        <f>SUM(C168:AI168)</f>
        <v>1</v>
      </c>
    </row>
    <row r="170" spans="2:35" x14ac:dyDescent="0.25">
      <c r="B170" s="346"/>
      <c r="C170" s="346"/>
      <c r="D170" s="346"/>
      <c r="E170" s="346"/>
      <c r="F170" s="346"/>
      <c r="G170" s="346"/>
      <c r="H170" s="346"/>
      <c r="I170" s="346"/>
      <c r="J170" s="346"/>
      <c r="K170" s="346"/>
      <c r="L170" s="346"/>
      <c r="M170" s="346"/>
      <c r="N170" s="346"/>
      <c r="O170" s="346"/>
      <c r="P170" s="582"/>
      <c r="Q170" s="582"/>
    </row>
    <row r="171" spans="2:35" x14ac:dyDescent="0.25">
      <c r="B171" s="583"/>
      <c r="Q171" s="582"/>
      <c r="R171" s="582"/>
    </row>
  </sheetData>
  <mergeCells count="89">
    <mergeCell ref="B151:AJ151"/>
    <mergeCell ref="B152:AJ152"/>
    <mergeCell ref="B153:AJ153"/>
    <mergeCell ref="B154:AJ154"/>
    <mergeCell ref="B105:AJ105"/>
    <mergeCell ref="B126:AJ126"/>
    <mergeCell ref="B127:AJ127"/>
    <mergeCell ref="B128:AJ128"/>
    <mergeCell ref="B129:AJ129"/>
    <mergeCell ref="B150:AJ150"/>
    <mergeCell ref="B104:AJ104"/>
    <mergeCell ref="B83:F83"/>
    <mergeCell ref="H83:L83"/>
    <mergeCell ref="N83:R83"/>
    <mergeCell ref="B84:F84"/>
    <mergeCell ref="H84:L84"/>
    <mergeCell ref="N84:R84"/>
    <mergeCell ref="B85:F85"/>
    <mergeCell ref="H85:L85"/>
    <mergeCell ref="N85:R85"/>
    <mergeCell ref="B102:AJ102"/>
    <mergeCell ref="B103:AJ103"/>
    <mergeCell ref="B81:F81"/>
    <mergeCell ref="H81:L81"/>
    <mergeCell ref="N81:R81"/>
    <mergeCell ref="B82:F82"/>
    <mergeCell ref="H82:L82"/>
    <mergeCell ref="N82:R82"/>
    <mergeCell ref="B66:F66"/>
    <mergeCell ref="H66:L66"/>
    <mergeCell ref="N66:R66"/>
    <mergeCell ref="B67:F67"/>
    <mergeCell ref="H67:L67"/>
    <mergeCell ref="N67:R67"/>
    <mergeCell ref="B64:F64"/>
    <mergeCell ref="H64:L64"/>
    <mergeCell ref="N64:R64"/>
    <mergeCell ref="B65:F65"/>
    <mergeCell ref="H65:L65"/>
    <mergeCell ref="N65:R65"/>
    <mergeCell ref="B45:F45"/>
    <mergeCell ref="H45:L45"/>
    <mergeCell ref="N45:R45"/>
    <mergeCell ref="B61:R61"/>
    <mergeCell ref="B63:F63"/>
    <mergeCell ref="H63:L63"/>
    <mergeCell ref="N63:R63"/>
    <mergeCell ref="B43:F43"/>
    <mergeCell ref="H43:L43"/>
    <mergeCell ref="N43:R43"/>
    <mergeCell ref="B44:F44"/>
    <mergeCell ref="H44:L44"/>
    <mergeCell ref="N44:R44"/>
    <mergeCell ref="B41:F41"/>
    <mergeCell ref="H41:L41"/>
    <mergeCell ref="N41:R41"/>
    <mergeCell ref="B42:F42"/>
    <mergeCell ref="H42:L42"/>
    <mergeCell ref="N42:R42"/>
    <mergeCell ref="B26:F26"/>
    <mergeCell ref="H26:L26"/>
    <mergeCell ref="N26:R26"/>
    <mergeCell ref="B27:F27"/>
    <mergeCell ref="H27:L27"/>
    <mergeCell ref="N27:R27"/>
    <mergeCell ref="B24:F24"/>
    <mergeCell ref="H24:L24"/>
    <mergeCell ref="N24:R24"/>
    <mergeCell ref="B25:F25"/>
    <mergeCell ref="H25:L25"/>
    <mergeCell ref="N25:R25"/>
    <mergeCell ref="B9:F9"/>
    <mergeCell ref="H9:L9"/>
    <mergeCell ref="B23:F23"/>
    <mergeCell ref="H23:L23"/>
    <mergeCell ref="N23:R23"/>
    <mergeCell ref="B7:F7"/>
    <mergeCell ref="H7:L7"/>
    <mergeCell ref="N7:R7"/>
    <mergeCell ref="B8:F8"/>
    <mergeCell ref="H8:L8"/>
    <mergeCell ref="N8:R8"/>
    <mergeCell ref="B2:R2"/>
    <mergeCell ref="B5:F5"/>
    <mergeCell ref="H5:L5"/>
    <mergeCell ref="N5:R5"/>
    <mergeCell ref="B6:F6"/>
    <mergeCell ref="H6:L6"/>
    <mergeCell ref="N6:R6"/>
  </mergeCells>
  <hyperlinks>
    <hyperlink ref="B148" location="CONTENTS!B22" display="Å CONTENTS" xr:uid="{00000000-0004-0000-0800-000000000000}"/>
    <hyperlink ref="B124" location="CONTENTS!B22" display="Å CONTENTS" xr:uid="{00000000-0004-0000-0800-000001000000}"/>
    <hyperlink ref="B100" location="CONTENTS!B22" display="Å CONTENTS" xr:uid="{00000000-0004-0000-0800-000002000000}"/>
    <hyperlink ref="S61" location="CONTENTS!B22" display="Å CONTENTS" xr:uid="{00000000-0004-0000-0800-000003000000}"/>
    <hyperlink ref="S2" location="CONTENTS!B22" display="Å CONTENTS" xr:uid="{00000000-0004-0000-0800-000004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54" orientation="landscape" r:id="rId1"/>
  <rowBreaks count="2" manualBreakCount="2">
    <brk id="58" max="18" man="1"/>
    <brk id="100" max="18" man="1"/>
  </rowBreaks>
  <colBreaks count="1" manualBreakCount="1">
    <brk id="20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  <pageSetUpPr fitToPage="1"/>
  </sheetPr>
  <dimension ref="A1:AT87"/>
  <sheetViews>
    <sheetView showGridLines="0" zoomScaleNormal="100" workbookViewId="0">
      <pane xSplit="1" ySplit="7" topLeftCell="AD8" activePane="bottomRight" state="frozen"/>
      <selection pane="topRight" activeCell="A3" sqref="A3:M3"/>
      <selection pane="bottomLeft" activeCell="A3" sqref="A3:M3"/>
      <selection pane="bottomRight" activeCell="AR48" sqref="AR48:AR77"/>
    </sheetView>
  </sheetViews>
  <sheetFormatPr baseColWidth="10" defaultColWidth="11.44140625" defaultRowHeight="13.2" outlineLevelCol="1" x14ac:dyDescent="0.25"/>
  <cols>
    <col min="1" max="1" width="22.6640625" style="130" bestFit="1" customWidth="1"/>
    <col min="2" max="2" width="12.88671875" style="4" customWidth="1" outlineLevel="1"/>
    <col min="3" max="3" width="8.33203125" style="4" customWidth="1" outlineLevel="1"/>
    <col min="4" max="4" width="12.88671875" customWidth="1" outlineLevel="1"/>
    <col min="5" max="5" width="9.88671875" customWidth="1" outlineLevel="1"/>
    <col min="6" max="6" width="12.88671875" style="4" customWidth="1" outlineLevel="1"/>
    <col min="7" max="7" width="8.33203125" style="4" customWidth="1" outlineLevel="1"/>
    <col min="8" max="8" width="12.88671875" customWidth="1" outlineLevel="1"/>
    <col min="9" max="9" width="9.88671875" customWidth="1" outlineLevel="1"/>
    <col min="10" max="10" width="12.88671875" style="4" customWidth="1" outlineLevel="1"/>
    <col min="11" max="11" width="8.33203125" style="4" customWidth="1" outlineLevel="1"/>
    <col min="12" max="12" width="12.88671875" customWidth="1" outlineLevel="1"/>
    <col min="13" max="13" width="8.33203125" customWidth="1" outlineLevel="1"/>
    <col min="14" max="14" width="13.88671875" customWidth="1" outlineLevel="1"/>
    <col min="15" max="15" width="10.88671875" customWidth="1" outlineLevel="1"/>
    <col min="16" max="16" width="14.109375" customWidth="1" outlineLevel="1"/>
    <col min="17" max="17" width="8.6640625" customWidth="1" outlineLevel="1"/>
    <col min="18" max="18" width="14.109375" customWidth="1" outlineLevel="1"/>
    <col min="19" max="19" width="8.6640625" customWidth="1" outlineLevel="1"/>
    <col min="20" max="20" width="13.88671875" customWidth="1" outlineLevel="1"/>
    <col min="21" max="21" width="10.6640625" customWidth="1" outlineLevel="1"/>
    <col min="22" max="22" width="13.88671875" bestFit="1" customWidth="1"/>
    <col min="23" max="23" width="8.5546875" bestFit="1" customWidth="1"/>
    <col min="24" max="24" width="13.88671875" style="68" bestFit="1" customWidth="1"/>
    <col min="25" max="25" width="8.5546875" style="68" bestFit="1" customWidth="1"/>
    <col min="26" max="26" width="13.88671875" style="579" bestFit="1" customWidth="1"/>
    <col min="27" max="27" width="8.5546875" style="579" bestFit="1" customWidth="1"/>
    <col min="28" max="28" width="13.88671875" style="130" bestFit="1" customWidth="1"/>
    <col min="29" max="29" width="8.5546875" style="130" bestFit="1" customWidth="1"/>
    <col min="30" max="30" width="13.88671875" style="130" bestFit="1" customWidth="1"/>
    <col min="31" max="31" width="8.5546875" style="130" bestFit="1" customWidth="1"/>
    <col min="32" max="32" width="13.88671875" style="187" bestFit="1" customWidth="1"/>
    <col min="33" max="33" width="8.5546875" style="187" bestFit="1" customWidth="1"/>
    <col min="34" max="34" width="13.88671875" style="187" bestFit="1" customWidth="1"/>
    <col min="35" max="35" width="8.33203125" style="187" bestFit="1" customWidth="1"/>
    <col min="36" max="36" width="13.88671875" style="187" bestFit="1" customWidth="1"/>
    <col min="37" max="37" width="8.33203125" style="187" customWidth="1"/>
    <col min="38" max="38" width="13.88671875" style="585" bestFit="1" customWidth="1"/>
    <col min="39" max="39" width="8.33203125" style="585" bestFit="1" customWidth="1"/>
    <col min="40" max="40" width="13.88671875" style="68" bestFit="1" customWidth="1"/>
    <col min="41" max="41" width="8.33203125" style="68" bestFit="1" customWidth="1"/>
    <col min="42" max="42" width="13.88671875" style="438" bestFit="1" customWidth="1"/>
    <col min="43" max="43" width="11.6640625" style="438" customWidth="1"/>
    <col min="44" max="44" width="13.6640625" style="439" bestFit="1" customWidth="1"/>
    <col min="45" max="45" width="13.44140625" bestFit="1" customWidth="1"/>
    <col min="46" max="46" width="13.88671875" bestFit="1" customWidth="1"/>
  </cols>
  <sheetData>
    <row r="1" spans="1:46" x14ac:dyDescent="0.25">
      <c r="A1" s="821"/>
      <c r="B1" s="821"/>
      <c r="C1" s="821"/>
      <c r="D1" s="821"/>
      <c r="E1" s="821"/>
      <c r="F1" s="821"/>
      <c r="G1" s="821"/>
      <c r="H1" s="821"/>
      <c r="I1" s="821"/>
      <c r="J1" s="821"/>
      <c r="K1" s="821"/>
      <c r="L1" s="821"/>
      <c r="M1" s="821"/>
      <c r="N1" s="821"/>
      <c r="O1" s="821"/>
      <c r="P1" s="821"/>
      <c r="Q1" s="821"/>
      <c r="R1" s="821"/>
      <c r="S1" s="821"/>
      <c r="T1" s="821"/>
      <c r="U1" s="821"/>
      <c r="V1" s="821"/>
      <c r="W1" s="821"/>
      <c r="X1" s="821"/>
      <c r="Y1" s="821"/>
      <c r="Z1" s="821"/>
      <c r="AA1" s="821"/>
      <c r="AB1" s="821"/>
      <c r="AC1" s="821"/>
      <c r="AD1" s="821"/>
      <c r="AE1" s="821"/>
      <c r="AF1" s="821"/>
      <c r="AG1" s="821"/>
      <c r="AH1" s="821"/>
      <c r="AI1" s="821"/>
      <c r="AJ1" s="821"/>
      <c r="AK1" s="821"/>
      <c r="AL1" s="821"/>
      <c r="AM1" s="821"/>
      <c r="AN1" s="821"/>
      <c r="AO1" s="821"/>
      <c r="AP1" s="759"/>
      <c r="AQ1" s="759"/>
      <c r="AR1" s="585"/>
    </row>
    <row r="2" spans="1:46" ht="24" customHeight="1" x14ac:dyDescent="0.3">
      <c r="A2" s="810" t="s">
        <v>215</v>
      </c>
      <c r="B2" s="810"/>
      <c r="C2" s="810"/>
      <c r="D2" s="810"/>
      <c r="E2" s="810"/>
      <c r="F2" s="810"/>
      <c r="G2" s="810"/>
      <c r="H2" s="810"/>
      <c r="I2" s="810"/>
      <c r="J2" s="810"/>
      <c r="K2" s="810"/>
      <c r="L2" s="810"/>
      <c r="M2" s="810"/>
      <c r="N2" s="810"/>
      <c r="O2" s="810"/>
      <c r="P2" s="810"/>
      <c r="Q2" s="810"/>
      <c r="R2" s="810"/>
      <c r="S2" s="810"/>
      <c r="T2" s="810"/>
      <c r="U2" s="810"/>
      <c r="V2" s="810"/>
      <c r="W2" s="810"/>
      <c r="X2" s="810"/>
      <c r="Y2" s="810"/>
      <c r="Z2" s="810"/>
      <c r="AA2" s="810"/>
      <c r="AB2" s="810"/>
      <c r="AC2" s="810"/>
      <c r="AD2" s="810"/>
      <c r="AE2" s="810"/>
      <c r="AF2" s="810"/>
      <c r="AG2" s="810"/>
      <c r="AH2" s="810"/>
      <c r="AI2" s="810"/>
      <c r="AJ2" s="810"/>
      <c r="AK2" s="810"/>
      <c r="AL2" s="810"/>
      <c r="AM2" s="810"/>
      <c r="AN2" s="810"/>
      <c r="AO2" s="810"/>
      <c r="AP2" s="757"/>
      <c r="AQ2" s="316" t="s">
        <v>43</v>
      </c>
      <c r="AR2" s="436"/>
    </row>
    <row r="3" spans="1:46" x14ac:dyDescent="0.25">
      <c r="A3" s="771" t="s">
        <v>44</v>
      </c>
      <c r="B3" s="771"/>
      <c r="C3" s="771"/>
      <c r="D3" s="771"/>
      <c r="E3" s="771"/>
      <c r="F3" s="771"/>
      <c r="G3" s="771"/>
      <c r="H3" s="771"/>
      <c r="I3" s="771"/>
      <c r="J3" s="771"/>
      <c r="K3" s="771"/>
      <c r="L3" s="771"/>
      <c r="M3" s="771"/>
      <c r="N3" s="771"/>
      <c r="O3" s="771"/>
      <c r="P3" s="771"/>
      <c r="Q3" s="771"/>
      <c r="R3" s="771"/>
      <c r="S3" s="771"/>
      <c r="T3" s="771"/>
      <c r="U3" s="771"/>
      <c r="V3" s="771"/>
      <c r="W3" s="771"/>
      <c r="X3" s="771"/>
      <c r="Y3" s="771"/>
      <c r="Z3" s="771"/>
      <c r="AA3" s="771"/>
      <c r="AB3" s="771"/>
      <c r="AC3" s="771"/>
      <c r="AD3" s="771"/>
      <c r="AE3" s="771"/>
      <c r="AF3" s="771"/>
      <c r="AG3" s="771"/>
      <c r="AH3" s="771"/>
      <c r="AI3" s="771"/>
      <c r="AJ3" s="771"/>
      <c r="AK3" s="771"/>
      <c r="AL3" s="771"/>
      <c r="AM3" s="771"/>
      <c r="AN3" s="771"/>
      <c r="AO3" s="771"/>
      <c r="AP3" s="744"/>
      <c r="AQ3" s="744"/>
      <c r="AR3" s="437"/>
    </row>
    <row r="4" spans="1:46" ht="13.8" thickBot="1" x14ac:dyDescent="0.3">
      <c r="A4" s="811"/>
      <c r="B4" s="811"/>
      <c r="C4" s="811"/>
      <c r="D4" s="811"/>
      <c r="E4" s="811"/>
      <c r="F4" s="811"/>
      <c r="G4" s="811"/>
      <c r="H4" s="811"/>
      <c r="I4" s="811"/>
      <c r="J4" s="811"/>
      <c r="K4" s="811"/>
      <c r="L4" s="811"/>
      <c r="M4" s="811"/>
      <c r="N4" s="811"/>
      <c r="O4" s="811"/>
      <c r="P4" s="811"/>
      <c r="Q4" s="811"/>
      <c r="R4" s="811"/>
      <c r="S4" s="811"/>
      <c r="T4" s="811"/>
      <c r="U4" s="811"/>
      <c r="V4" s="811"/>
      <c r="W4" s="811"/>
      <c r="X4" s="811"/>
      <c r="Y4" s="811"/>
      <c r="Z4" s="811"/>
      <c r="AA4" s="811"/>
      <c r="AB4" s="811"/>
      <c r="AC4" s="811"/>
      <c r="AD4" s="811"/>
      <c r="AE4" s="811"/>
      <c r="AF4" s="811"/>
      <c r="AG4" s="811"/>
      <c r="AH4" s="811"/>
      <c r="AI4" s="811"/>
      <c r="AJ4" s="811"/>
      <c r="AK4" s="811"/>
      <c r="AL4" s="811"/>
      <c r="AM4" s="811"/>
      <c r="AN4" s="811"/>
      <c r="AO4" s="811"/>
      <c r="AP4" s="680"/>
      <c r="AQ4" s="680"/>
      <c r="AR4" s="195"/>
    </row>
    <row r="5" spans="1:46" x14ac:dyDescent="0.25">
      <c r="A5" s="822" t="s">
        <v>97</v>
      </c>
      <c r="B5" s="772" t="s">
        <v>46</v>
      </c>
      <c r="C5" s="773"/>
      <c r="D5" s="772" t="s">
        <v>47</v>
      </c>
      <c r="E5" s="773"/>
      <c r="F5" s="772" t="s">
        <v>48</v>
      </c>
      <c r="G5" s="773"/>
      <c r="H5" s="772" t="s">
        <v>49</v>
      </c>
      <c r="I5" s="773"/>
      <c r="J5" s="772" t="s">
        <v>50</v>
      </c>
      <c r="K5" s="773"/>
      <c r="L5" s="772" t="s">
        <v>51</v>
      </c>
      <c r="M5" s="773"/>
      <c r="N5" s="772" t="s">
        <v>52</v>
      </c>
      <c r="O5" s="773"/>
      <c r="P5" s="772" t="s">
        <v>53</v>
      </c>
      <c r="Q5" s="773"/>
      <c r="R5" s="772" t="s">
        <v>54</v>
      </c>
      <c r="S5" s="773"/>
      <c r="T5" s="772" t="s">
        <v>55</v>
      </c>
      <c r="U5" s="773"/>
      <c r="V5" s="772" t="s">
        <v>56</v>
      </c>
      <c r="W5" s="773"/>
      <c r="X5" s="772" t="s">
        <v>57</v>
      </c>
      <c r="Y5" s="773"/>
      <c r="Z5" s="772" t="s">
        <v>58</v>
      </c>
      <c r="AA5" s="773"/>
      <c r="AB5" s="772" t="s">
        <v>59</v>
      </c>
      <c r="AC5" s="773"/>
      <c r="AD5" s="772" t="s">
        <v>60</v>
      </c>
      <c r="AE5" s="773"/>
      <c r="AF5" s="772" t="s">
        <v>61</v>
      </c>
      <c r="AG5" s="773"/>
      <c r="AH5" s="772" t="s">
        <v>62</v>
      </c>
      <c r="AI5" s="773"/>
      <c r="AJ5" s="772" t="s">
        <v>63</v>
      </c>
      <c r="AK5" s="773"/>
      <c r="AL5" s="772" t="s">
        <v>64</v>
      </c>
      <c r="AM5" s="773"/>
      <c r="AN5" s="781" t="s">
        <v>65</v>
      </c>
      <c r="AO5" s="782"/>
      <c r="AP5" s="777" t="s">
        <v>66</v>
      </c>
      <c r="AQ5" s="778"/>
      <c r="AR5" s="532"/>
    </row>
    <row r="6" spans="1:46" x14ac:dyDescent="0.25">
      <c r="A6" s="823"/>
      <c r="B6" s="83" t="s">
        <v>67</v>
      </c>
      <c r="C6" s="421" t="s">
        <v>68</v>
      </c>
      <c r="D6" s="83" t="s">
        <v>67</v>
      </c>
      <c r="E6" s="421" t="s">
        <v>68</v>
      </c>
      <c r="F6" s="83" t="s">
        <v>67</v>
      </c>
      <c r="G6" s="421" t="s">
        <v>68</v>
      </c>
      <c r="H6" s="83" t="s">
        <v>67</v>
      </c>
      <c r="I6" s="421" t="s">
        <v>68</v>
      </c>
      <c r="J6" s="83" t="s">
        <v>67</v>
      </c>
      <c r="K6" s="421" t="s">
        <v>68</v>
      </c>
      <c r="L6" s="83" t="s">
        <v>67</v>
      </c>
      <c r="M6" s="421" t="s">
        <v>68</v>
      </c>
      <c r="N6" s="83" t="s">
        <v>67</v>
      </c>
      <c r="O6" s="421" t="s">
        <v>68</v>
      </c>
      <c r="P6" s="83" t="s">
        <v>67</v>
      </c>
      <c r="Q6" s="421" t="s">
        <v>68</v>
      </c>
      <c r="R6" s="83" t="s">
        <v>67</v>
      </c>
      <c r="S6" s="421" t="s">
        <v>68</v>
      </c>
      <c r="T6" s="83" t="s">
        <v>67</v>
      </c>
      <c r="U6" s="421" t="s">
        <v>68</v>
      </c>
      <c r="V6" s="83" t="s">
        <v>67</v>
      </c>
      <c r="W6" s="421" t="s">
        <v>68</v>
      </c>
      <c r="X6" s="83" t="s">
        <v>67</v>
      </c>
      <c r="Y6" s="421" t="s">
        <v>68</v>
      </c>
      <c r="Z6" s="83" t="s">
        <v>67</v>
      </c>
      <c r="AA6" s="421" t="s">
        <v>68</v>
      </c>
      <c r="AB6" s="83" t="s">
        <v>67</v>
      </c>
      <c r="AC6" s="421" t="s">
        <v>68</v>
      </c>
      <c r="AD6" s="83" t="s">
        <v>67</v>
      </c>
      <c r="AE6" s="421" t="s">
        <v>68</v>
      </c>
      <c r="AF6" s="83" t="s">
        <v>67</v>
      </c>
      <c r="AG6" s="421" t="s">
        <v>68</v>
      </c>
      <c r="AH6" s="83" t="s">
        <v>67</v>
      </c>
      <c r="AI6" s="84" t="s">
        <v>68</v>
      </c>
      <c r="AJ6" s="83" t="s">
        <v>67</v>
      </c>
      <c r="AK6" s="84" t="s">
        <v>68</v>
      </c>
      <c r="AL6" s="83" t="s">
        <v>67</v>
      </c>
      <c r="AM6" s="84" t="s">
        <v>68</v>
      </c>
      <c r="AN6" s="43" t="s">
        <v>67</v>
      </c>
      <c r="AO6" s="605" t="s">
        <v>68</v>
      </c>
      <c r="AP6" s="457" t="s">
        <v>67</v>
      </c>
      <c r="AQ6" s="486" t="s">
        <v>68</v>
      </c>
      <c r="AR6" s="533"/>
    </row>
    <row r="7" spans="1:46" s="1" customFormat="1" ht="13.8" thickBot="1" x14ac:dyDescent="0.3">
      <c r="A7" s="824"/>
      <c r="B7" s="85">
        <v>1798054.9</v>
      </c>
      <c r="C7" s="86">
        <v>1</v>
      </c>
      <c r="D7" s="85">
        <v>2083384.6088</v>
      </c>
      <c r="E7" s="86">
        <v>1</v>
      </c>
      <c r="F7" s="85">
        <v>2472572.2528499998</v>
      </c>
      <c r="G7" s="86">
        <v>1</v>
      </c>
      <c r="H7" s="85">
        <v>2794255.4665999999</v>
      </c>
      <c r="I7" s="86">
        <v>1</v>
      </c>
      <c r="J7" s="85">
        <v>3344189.4863999998</v>
      </c>
      <c r="K7" s="86">
        <v>1</v>
      </c>
      <c r="L7" s="85">
        <v>3576660.7168999999</v>
      </c>
      <c r="M7" s="86">
        <v>1</v>
      </c>
      <c r="N7" s="85">
        <v>3837466.1172000002</v>
      </c>
      <c r="O7" s="86">
        <v>1</v>
      </c>
      <c r="P7" s="89">
        <v>3744486.5208000001</v>
      </c>
      <c r="Q7" s="90">
        <v>1</v>
      </c>
      <c r="R7" s="89">
        <v>3885010.1608529999</v>
      </c>
      <c r="S7" s="90">
        <v>1</v>
      </c>
      <c r="T7" s="89">
        <v>4581892.828349906</v>
      </c>
      <c r="U7" s="90">
        <v>1</v>
      </c>
      <c r="V7" s="41">
        <v>5561293.0269722147</v>
      </c>
      <c r="W7" s="40">
        <v>1</v>
      </c>
      <c r="X7" s="41">
        <v>6379725.9971905183</v>
      </c>
      <c r="Y7" s="40">
        <v>1</v>
      </c>
      <c r="Z7" s="89">
        <v>8017321.7867942927</v>
      </c>
      <c r="AA7" s="90">
        <v>1</v>
      </c>
      <c r="AB7" s="89">
        <v>8935187.1094532032</v>
      </c>
      <c r="AC7" s="90">
        <v>1</v>
      </c>
      <c r="AD7" s="89">
        <v>10494981.374009121</v>
      </c>
      <c r="AE7" s="90">
        <v>1</v>
      </c>
      <c r="AF7" s="41">
        <v>12000835.04171964</v>
      </c>
      <c r="AG7" s="40">
        <v>1</v>
      </c>
      <c r="AH7" s="89">
        <v>14034679.019789763</v>
      </c>
      <c r="AI7" s="90">
        <v>1</v>
      </c>
      <c r="AJ7" s="41">
        <v>16066563.279830331</v>
      </c>
      <c r="AK7" s="40">
        <v>1</v>
      </c>
      <c r="AL7" s="89">
        <f>AL46</f>
        <v>18577940.947144195</v>
      </c>
      <c r="AM7" s="90">
        <v>1</v>
      </c>
      <c r="AN7" s="41">
        <f>AN46</f>
        <v>21217056.825013496</v>
      </c>
      <c r="AO7" s="40">
        <v>1</v>
      </c>
      <c r="AP7" s="477">
        <f>AP46</f>
        <v>24282549.98453198</v>
      </c>
      <c r="AQ7" s="463">
        <v>1</v>
      </c>
      <c r="AR7" s="565"/>
      <c r="AS7" s="109"/>
      <c r="AT7" s="147"/>
    </row>
    <row r="8" spans="1:46" s="1" customFormat="1" x14ac:dyDescent="0.25">
      <c r="A8" s="6"/>
      <c r="B8" s="134"/>
      <c r="C8" s="174"/>
      <c r="D8" s="134"/>
      <c r="E8" s="174"/>
      <c r="F8" s="134"/>
      <c r="G8" s="174"/>
      <c r="H8" s="134"/>
      <c r="I8" s="174"/>
      <c r="J8" s="134"/>
      <c r="K8" s="174"/>
      <c r="L8" s="134"/>
      <c r="M8" s="174"/>
      <c r="N8" s="134"/>
      <c r="O8" s="286"/>
      <c r="P8" s="274"/>
      <c r="Q8" s="275"/>
      <c r="R8" s="274"/>
      <c r="S8" s="275"/>
      <c r="T8" s="274"/>
      <c r="U8" s="275"/>
      <c r="V8" s="276"/>
      <c r="W8" s="277"/>
      <c r="X8" s="276"/>
      <c r="Y8" s="277"/>
      <c r="Z8" s="274"/>
      <c r="AA8" s="275"/>
      <c r="AB8" s="274"/>
      <c r="AC8" s="275"/>
      <c r="AD8" s="274"/>
      <c r="AE8" s="275"/>
      <c r="AF8" s="276"/>
      <c r="AG8" s="277"/>
      <c r="AH8" s="87"/>
      <c r="AI8" s="88"/>
      <c r="AJ8" s="46"/>
      <c r="AK8" s="47"/>
      <c r="AL8" s="87"/>
      <c r="AM8" s="88"/>
      <c r="AN8" s="46"/>
      <c r="AO8" s="47"/>
      <c r="AP8" s="506"/>
      <c r="AQ8" s="507"/>
      <c r="AR8" s="565"/>
      <c r="AS8" s="109"/>
      <c r="AT8" s="147"/>
    </row>
    <row r="9" spans="1:46" s="1" customFormat="1" x14ac:dyDescent="0.25">
      <c r="A9" s="6" t="s">
        <v>69</v>
      </c>
      <c r="B9" s="134"/>
      <c r="C9" s="174"/>
      <c r="D9" s="134"/>
      <c r="E9" s="174"/>
      <c r="F9" s="134"/>
      <c r="G9" s="174"/>
      <c r="H9" s="134"/>
      <c r="I9" s="174"/>
      <c r="J9" s="134"/>
      <c r="K9" s="174"/>
      <c r="L9" s="134"/>
      <c r="M9" s="174"/>
      <c r="N9" s="134"/>
      <c r="O9" s="286"/>
      <c r="P9" s="134"/>
      <c r="Q9" s="174"/>
      <c r="R9" s="134"/>
      <c r="S9" s="174"/>
      <c r="T9" s="134"/>
      <c r="U9" s="174"/>
      <c r="V9" s="74"/>
      <c r="W9" s="211"/>
      <c r="X9" s="74"/>
      <c r="Y9" s="211"/>
      <c r="Z9" s="134"/>
      <c r="AA9" s="174"/>
      <c r="AB9" s="134"/>
      <c r="AC9" s="174"/>
      <c r="AD9" s="134"/>
      <c r="AE9" s="174"/>
      <c r="AF9" s="74"/>
      <c r="AG9" s="211"/>
      <c r="AH9" s="89"/>
      <c r="AI9" s="90"/>
      <c r="AJ9" s="41"/>
      <c r="AK9" s="40"/>
      <c r="AL9" s="89"/>
      <c r="AM9" s="90"/>
      <c r="AN9" s="41"/>
      <c r="AO9" s="40"/>
      <c r="AP9" s="477"/>
      <c r="AQ9" s="463"/>
      <c r="AR9" s="565"/>
      <c r="AS9" s="109"/>
      <c r="AT9" s="147"/>
    </row>
    <row r="10" spans="1:46" ht="15" customHeight="1" x14ac:dyDescent="0.25">
      <c r="A10" s="133" t="s">
        <v>70</v>
      </c>
      <c r="B10" s="134">
        <f>+'Domestic Debt Colones'!B10</f>
        <v>1150528.7900000003</v>
      </c>
      <c r="C10" s="174">
        <f>+B10/B7</f>
        <v>0.6398741161907795</v>
      </c>
      <c r="D10" s="134">
        <f>+'Domestic Debt Colones'!D10</f>
        <v>1304241.8900000001</v>
      </c>
      <c r="E10" s="174">
        <f>+D10/D7</f>
        <v>0.62602069943831684</v>
      </c>
      <c r="F10" s="134">
        <f>+'Domestic Debt Colones'!F10</f>
        <v>1434608.63</v>
      </c>
      <c r="G10" s="174">
        <f>+F10/F7</f>
        <v>0.58020898210210214</v>
      </c>
      <c r="H10" s="134">
        <f>+'Domestic Debt Colones'!H10</f>
        <v>1530521.7900000003</v>
      </c>
      <c r="I10" s="174">
        <f>+H10/H7</f>
        <v>0.54773867611407479</v>
      </c>
      <c r="J10" s="134">
        <f>+'Domestic Debt Colones'!J10</f>
        <v>1827130.87</v>
      </c>
      <c r="K10" s="174">
        <f>+J10/J7</f>
        <v>0.54635985114793706</v>
      </c>
      <c r="L10" s="134">
        <f>+'Domestic Debt Colones'!L10</f>
        <v>2038062.93</v>
      </c>
      <c r="M10" s="174">
        <f>+L10/L7</f>
        <v>0.56982282953761709</v>
      </c>
      <c r="N10" s="134">
        <f>+'Domestic Debt Colones'!N10</f>
        <v>2224645.23</v>
      </c>
      <c r="O10" s="174">
        <f>+N10/N7</f>
        <v>0.57971723060403413</v>
      </c>
      <c r="P10" s="134">
        <f>+'Domestic Debt Colones'!P10</f>
        <v>2308716.42</v>
      </c>
      <c r="Q10" s="174">
        <f>+P10/P7</f>
        <v>0.61656422240418385</v>
      </c>
      <c r="R10" s="134">
        <f>+'Domestic Debt Colones'!R10</f>
        <v>2354983.2449516617</v>
      </c>
      <c r="S10" s="174">
        <f>+R10/R7</f>
        <v>0.6061717080386213</v>
      </c>
      <c r="T10" s="134">
        <f>+'Domestic Debt Colones'!T10</f>
        <v>2958161.8721536472</v>
      </c>
      <c r="U10" s="174">
        <f>+T10/T7</f>
        <v>0.64562004895670622</v>
      </c>
      <c r="V10" s="134">
        <f>+'Domestic Debt Colones'!V10</f>
        <v>3674905.8661507997</v>
      </c>
      <c r="W10" s="174">
        <f>+V10/V7</f>
        <v>0.66080061746927266</v>
      </c>
      <c r="X10" s="134">
        <f>+'Domestic Debt Colones'!X10</f>
        <v>4490261.3070254503</v>
      </c>
      <c r="Y10" s="174">
        <f>+X10/X7</f>
        <v>0.70383294031794719</v>
      </c>
      <c r="Z10" s="134">
        <f>+'Domestic Debt Colones'!Z10</f>
        <v>5556611.7715603448</v>
      </c>
      <c r="AA10" s="174">
        <f>+Z10/Z7</f>
        <v>0.69307580752376696</v>
      </c>
      <c r="AB10" s="134">
        <f>+'Domestic Debt Colones'!AB10</f>
        <v>6183183.2722279783</v>
      </c>
      <c r="AC10" s="174">
        <f>+AB10/AB7</f>
        <v>0.69200378195620837</v>
      </c>
      <c r="AD10" s="134">
        <f>+'Domestic Debt Colones'!AD10</f>
        <v>6690662.604569654</v>
      </c>
      <c r="AE10" s="174">
        <f>+AD10/AD7</f>
        <v>0.63751066973202231</v>
      </c>
      <c r="AF10" s="74">
        <f>+'Domestic Debt Colones'!AF10</f>
        <v>7567074.1850728486</v>
      </c>
      <c r="AG10" s="211">
        <f>+AF10/AF7</f>
        <v>0.630545637763265</v>
      </c>
      <c r="AH10" s="523">
        <f>+'Domestic Debt Colones'!AH10</f>
        <v>8727534.9208405707</v>
      </c>
      <c r="AI10" s="90">
        <f>+AH10/AH7</f>
        <v>0.62185497142714896</v>
      </c>
      <c r="AJ10" s="631">
        <f>+'Domestic Debt Colones'!AJ10</f>
        <v>9635267.3872537427</v>
      </c>
      <c r="AK10" s="40">
        <f>+AJ10/AJ7</f>
        <v>0.59970929808926099</v>
      </c>
      <c r="AL10" s="523">
        <f>+'Domestic Debt Colones'!AL10</f>
        <v>10892057.858522119</v>
      </c>
      <c r="AM10" s="90">
        <f>+AL10/AL7</f>
        <v>0.5862898310157697</v>
      </c>
      <c r="AN10" s="631">
        <f>+'Domestic Debt Colones'!AN10</f>
        <v>12343482.44493456</v>
      </c>
      <c r="AO10" s="40">
        <f>+AN10/AN7</f>
        <v>0.58177166355997201</v>
      </c>
      <c r="AP10" s="525">
        <f>+'Domestic Debt Colones'!AP10</f>
        <v>14286562.164341722</v>
      </c>
      <c r="AQ10" s="463">
        <f>+AP10/AP7</f>
        <v>0.58834686527742275</v>
      </c>
      <c r="AR10" s="565"/>
      <c r="AS10" s="109"/>
      <c r="AT10" s="77"/>
    </row>
    <row r="11" spans="1:46" s="68" customFormat="1" x14ac:dyDescent="0.25">
      <c r="A11" s="218" t="s">
        <v>71</v>
      </c>
      <c r="B11" s="226">
        <f>+B10/B66</f>
        <v>0.24865273977764463</v>
      </c>
      <c r="C11" s="249"/>
      <c r="D11" s="226">
        <f>+D10/D66</f>
        <v>0.24823390285462368</v>
      </c>
      <c r="E11" s="249"/>
      <c r="F11" s="226">
        <f>+F10/F66</f>
        <v>0.24048860628765475</v>
      </c>
      <c r="G11" s="249"/>
      <c r="H11" s="226">
        <f>+H10/H66</f>
        <v>0.22227992788938861</v>
      </c>
      <c r="I11" s="249"/>
      <c r="J11" s="226">
        <f>+J10/J66</f>
        <v>0.2241840462827519</v>
      </c>
      <c r="K11" s="249"/>
      <c r="L11" s="226">
        <f>+L10/L66</f>
        <v>0.21280758065736746</v>
      </c>
      <c r="M11" s="249"/>
      <c r="N11" s="226">
        <f>+N10/N66</f>
        <v>0.19155979786669106</v>
      </c>
      <c r="O11" s="249"/>
      <c r="P11" s="226">
        <f>+P10/P66</f>
        <v>0.16622561918162626</v>
      </c>
      <c r="Q11" s="249"/>
      <c r="R11" s="226">
        <f>+R10/R66</f>
        <v>0.14528884699707709</v>
      </c>
      <c r="S11" s="249"/>
      <c r="T11" s="226">
        <f>+T10/T66</f>
        <v>0.1678280424619171</v>
      </c>
      <c r="U11" s="249"/>
      <c r="V11" s="226">
        <f>+V10/V66</f>
        <v>0.18558246138420617</v>
      </c>
      <c r="W11" s="249"/>
      <c r="X11" s="226">
        <f>+X10/X66</f>
        <v>0.20765630946503916</v>
      </c>
      <c r="Y11" s="249"/>
      <c r="Z11" s="226">
        <f>+Z10/Z66</f>
        <v>0.23393434588124601</v>
      </c>
      <c r="AA11" s="249"/>
      <c r="AB11" s="226">
        <f>+AB10/AB66</f>
        <v>0.24283054970658982</v>
      </c>
      <c r="AC11" s="249"/>
      <c r="AD11" s="226">
        <f>+AD10/AD66</f>
        <v>0.23894090649038707</v>
      </c>
      <c r="AE11" s="249"/>
      <c r="AF11" s="223">
        <f>+AF10/AF66</f>
        <v>0.2507985726480334</v>
      </c>
      <c r="AG11" s="250"/>
      <c r="AH11" s="226">
        <f>+AH10/AH66</f>
        <v>0.27225656517401858</v>
      </c>
      <c r="AI11" s="248"/>
      <c r="AJ11" s="223">
        <f>+AJ10/AJ66</f>
        <v>0.2805545738240417</v>
      </c>
      <c r="AK11" s="224"/>
      <c r="AL11" s="226">
        <f>+AL10/AL66</f>
        <v>0.30243351195526952</v>
      </c>
      <c r="AM11" s="248"/>
      <c r="AN11" s="223">
        <f>+AN10/AN66</f>
        <v>0.32626965451840545</v>
      </c>
      <c r="AO11" s="224"/>
      <c r="AP11" s="464">
        <f>+AP10/AP66</f>
        <v>0.39146364776374865</v>
      </c>
      <c r="AQ11" s="467"/>
      <c r="AR11" s="565"/>
      <c r="AS11" s="109"/>
      <c r="AT11" s="255"/>
    </row>
    <row r="12" spans="1:46" x14ac:dyDescent="0.25">
      <c r="A12" s="133" t="s">
        <v>72</v>
      </c>
      <c r="B12" s="523">
        <f>+'Domestic Debt Colones'!B12+'EXTERNAL DEBT COLONES'!B10</f>
        <v>504609.40999999986</v>
      </c>
      <c r="C12" s="258">
        <f>+B12/B7</f>
        <v>0.2806418257862982</v>
      </c>
      <c r="D12" s="523">
        <f>+'Domestic Debt Colones'!D12+'EXTERNAL DEBT COLONES'!D10</f>
        <v>643521.93402509997</v>
      </c>
      <c r="E12" s="258">
        <f>+D12/D7</f>
        <v>0.30888292603628259</v>
      </c>
      <c r="F12" s="523">
        <f>+'Domestic Debt Colones'!F12+'EXTERNAL DEBT COLONES'!F10</f>
        <v>884519.71332362073</v>
      </c>
      <c r="G12" s="258">
        <f>+F12/F7</f>
        <v>0.35773260510550614</v>
      </c>
      <c r="H12" s="523">
        <f>+'Domestic Debt Colones'!H12+'EXTERNAL DEBT COLONES'!H10</f>
        <v>1090225.4394859127</v>
      </c>
      <c r="I12" s="258">
        <f>+H12/H7</f>
        <v>0.39016670183434571</v>
      </c>
      <c r="J12" s="523">
        <f>+'Domestic Debt Colones'!J12+'EXTERNAL DEBT COLONES'!J10</f>
        <v>1335600.3239325457</v>
      </c>
      <c r="K12" s="258">
        <f>+J12/J7</f>
        <v>0.3993793800752336</v>
      </c>
      <c r="L12" s="523">
        <f>+'Domestic Debt Colones'!L12+'EXTERNAL DEBT COLONES'!L10</f>
        <v>1379706.1906447834</v>
      </c>
      <c r="M12" s="258">
        <f>+L12/L7</f>
        <v>0.38575260553106544</v>
      </c>
      <c r="N12" s="523">
        <f>+'Domestic Debt Colones'!N12+'EXTERNAL DEBT COLONES'!N10</f>
        <v>1465523.2771692933</v>
      </c>
      <c r="O12" s="258">
        <f>+N12/N7</f>
        <v>0.38189868846024094</v>
      </c>
      <c r="P12" s="523">
        <f>+'Domestic Debt Colones'!P12+'EXTERNAL DEBT COLONES'!P10</f>
        <v>1306487.7760549989</v>
      </c>
      <c r="Q12" s="258">
        <f>+P12/P7</f>
        <v>0.3489097286898154</v>
      </c>
      <c r="R12" s="523">
        <f>+'Domestic Debt Colones'!R12+'EXTERNAL DEBT COLONES'!R10</f>
        <v>1395944.4089969925</v>
      </c>
      <c r="S12" s="258">
        <f>+R12/R7</f>
        <v>0.35931551043627036</v>
      </c>
      <c r="T12" s="523">
        <f>+'Domestic Debt Colones'!T12+'EXTERNAL DEBT COLONES'!T10</f>
        <v>1507099.0847481904</v>
      </c>
      <c r="U12" s="258">
        <f>+T12/T7</f>
        <v>0.32892499698447714</v>
      </c>
      <c r="V12" s="523">
        <f>+'Domestic Debt Colones'!V12+'EXTERNAL DEBT COLONES'!V10</f>
        <v>1793236.2613748733</v>
      </c>
      <c r="W12" s="258">
        <f>+V12/V7</f>
        <v>0.32244951896576851</v>
      </c>
      <c r="X12" s="523">
        <f>+'Domestic Debt Colones'!X12+'EXTERNAL DEBT COLONES'!X10</f>
        <v>1814693.0638723834</v>
      </c>
      <c r="Y12" s="258">
        <f>+X12/X7</f>
        <v>0.28444686569165067</v>
      </c>
      <c r="Z12" s="523">
        <f>+'Domestic Debt Colones'!Z12+'EXTERNAL DEBT COLONES'!Z10</f>
        <v>2403719.4814754156</v>
      </c>
      <c r="AA12" s="258">
        <f>+Z12/Z7</f>
        <v>0.29981576708505014</v>
      </c>
      <c r="AB12" s="523">
        <f>+'Domestic Debt Colones'!AB12+'EXTERNAL DEBT COLONES'!AB10</f>
        <v>2710075.1705723405</v>
      </c>
      <c r="AC12" s="258">
        <f>+AB12/AB7</f>
        <v>0.30330368434088517</v>
      </c>
      <c r="AD12" s="523">
        <f>+'Domestic Debt Colones'!AD12+'EXTERNAL DEBT COLONES'!AD10</f>
        <v>3764999.208125513</v>
      </c>
      <c r="AE12" s="258">
        <f>+AD12/AD7</f>
        <v>0.35874281944411585</v>
      </c>
      <c r="AF12" s="523">
        <f>+'Domestic Debt Colones'!AF12+'EXTERNAL DEBT COLONES'!AF10</f>
        <v>4385210.5201759152</v>
      </c>
      <c r="AG12" s="259">
        <f>+AF12/AF7</f>
        <v>0.36540878238315855</v>
      </c>
      <c r="AH12" s="523">
        <f>+'Domestic Debt Colones'!AH12+'EXTERNAL DEBT COLONES'!AH10</f>
        <v>5215470.3596957494</v>
      </c>
      <c r="AI12" s="453">
        <f>+AH12/AH7</f>
        <v>0.37161308444187535</v>
      </c>
      <c r="AJ12" s="631">
        <f>+'Domestic Debt Colones'!AJ12+'EXTERNAL DEBT COLONES'!AJ10</f>
        <v>6328865.6211193837</v>
      </c>
      <c r="AK12" s="618">
        <f>+AJ12/AJ7</f>
        <v>0.39391533278710111</v>
      </c>
      <c r="AL12" s="523">
        <f>+'Domestic Debt Colones'!AL12+'EXTERNAL DEBT COLONES'!AL10</f>
        <v>7574922.9305869043</v>
      </c>
      <c r="AM12" s="453">
        <f>+AL12/AL7</f>
        <v>0.40773748566314194</v>
      </c>
      <c r="AN12" s="631">
        <f>+'Domestic Debt Colones'!AN12+'EXTERNAL DEBT COLONES'!AN10</f>
        <v>8766002.106986504</v>
      </c>
      <c r="AO12" s="618">
        <f>+AN12/AN7</f>
        <v>0.41315825183877397</v>
      </c>
      <c r="AP12" s="525">
        <f>+'Domestic Debt Colones'!AP12+'EXTERNAL DEBT COLONES'!AP10</f>
        <v>9454847.7811958957</v>
      </c>
      <c r="AQ12" s="466">
        <f>+AP12/AP7</f>
        <v>0.38936799418589263</v>
      </c>
      <c r="AR12" s="565"/>
      <c r="AS12" s="109"/>
      <c r="AT12" s="77"/>
    </row>
    <row r="13" spans="1:46" x14ac:dyDescent="0.25">
      <c r="A13" s="218" t="s">
        <v>71</v>
      </c>
      <c r="B13" s="91">
        <f>+B12/B66</f>
        <v>0.10905638642391619</v>
      </c>
      <c r="C13" s="269"/>
      <c r="D13" s="91">
        <f>+D12/D66</f>
        <v>0.12248031786159407</v>
      </c>
      <c r="E13" s="269"/>
      <c r="F13" s="91">
        <f>+F12/F66</f>
        <v>0.1482752219963667</v>
      </c>
      <c r="G13" s="269"/>
      <c r="H13" s="91">
        <f>+H12/H66</f>
        <v>0.15833504211142635</v>
      </c>
      <c r="I13" s="269"/>
      <c r="J13" s="91">
        <f>+J12/J66</f>
        <v>0.16387456955163385</v>
      </c>
      <c r="K13" s="269"/>
      <c r="L13" s="91">
        <f>+L12/L66</f>
        <v>0.14406421515605947</v>
      </c>
      <c r="M13" s="269"/>
      <c r="N13" s="91">
        <f>+N12/N66</f>
        <v>0.12619330891851033</v>
      </c>
      <c r="O13" s="269"/>
      <c r="P13" s="91">
        <f>+P12/P66</f>
        <v>9.4066008993849509E-2</v>
      </c>
      <c r="Q13" s="269"/>
      <c r="R13" s="91">
        <f>+R12/R66</f>
        <v>8.6121697082117546E-2</v>
      </c>
      <c r="S13" s="269"/>
      <c r="T13" s="91">
        <f>+T12/T66</f>
        <v>8.5503599911282438E-2</v>
      </c>
      <c r="U13" s="269"/>
      <c r="V13" s="91">
        <f>+V12/V66</f>
        <v>9.0558292198634649E-2</v>
      </c>
      <c r="W13" s="269"/>
      <c r="X13" s="91">
        <f>+X12/X66</f>
        <v>8.392216815220814E-2</v>
      </c>
      <c r="Y13" s="269"/>
      <c r="Z13" s="91">
        <f>+Z12/Z66</f>
        <v>0.10119701856065733</v>
      </c>
      <c r="AA13" s="269"/>
      <c r="AB13" s="91">
        <f>+AB12/AB66</f>
        <v>0.10643207785415251</v>
      </c>
      <c r="AC13" s="269"/>
      <c r="AD13" s="91">
        <f>+AD12/AD66</f>
        <v>0.13445788211031201</v>
      </c>
      <c r="AE13" s="269"/>
      <c r="AF13" s="29">
        <f>+AF12/AF66</f>
        <v>0.14534078989086477</v>
      </c>
      <c r="AG13" s="261"/>
      <c r="AH13" s="91">
        <f>+AH12/AH66</f>
        <v>0.16269726317645136</v>
      </c>
      <c r="AI13" s="454"/>
      <c r="AJ13" s="29">
        <f>+AJ12/AJ66</f>
        <v>0.18428053169252623</v>
      </c>
      <c r="AK13" s="619"/>
      <c r="AL13" s="91">
        <f>+AL12/AL66</f>
        <v>0.21032853244490018</v>
      </c>
      <c r="AM13" s="454"/>
      <c r="AN13" s="29">
        <f>+AN12/AN66</f>
        <v>0.23170774469143449</v>
      </c>
      <c r="AO13" s="619"/>
      <c r="AP13" s="468">
        <f>+AP12/AP66</f>
        <v>0.25907066786969535</v>
      </c>
      <c r="AQ13" s="469"/>
      <c r="AR13" s="566"/>
      <c r="AS13" s="109"/>
      <c r="AT13" s="77"/>
    </row>
    <row r="14" spans="1:46" x14ac:dyDescent="0.25">
      <c r="A14" s="133" t="s">
        <v>175</v>
      </c>
      <c r="B14" s="523">
        <f>+'EXTERNAL DEBT COLONES'!B12</f>
        <v>142916.70000000001</v>
      </c>
      <c r="C14" s="174">
        <f>+B14/B7</f>
        <v>7.9484058022922452E-2</v>
      </c>
      <c r="D14" s="523">
        <f>+'EXTERNAL DEBT COLONES'!D12</f>
        <v>135620.78477489995</v>
      </c>
      <c r="E14" s="174">
        <f>+D14/D7</f>
        <v>6.5096374525400569E-2</v>
      </c>
      <c r="F14" s="523">
        <f>+'EXTERNAL DEBT COLONES'!F12</f>
        <v>153443.90952637943</v>
      </c>
      <c r="G14" s="174">
        <f>+F14/F7</f>
        <v>6.2058412792391798E-2</v>
      </c>
      <c r="H14" s="523">
        <f>+'EXTERNAL DEBT COLONES'!H12</f>
        <v>173508.23711408718</v>
      </c>
      <c r="I14" s="174">
        <f>+H14/H7</f>
        <v>6.2094622051579597E-2</v>
      </c>
      <c r="J14" s="523">
        <f>+'EXTERNAL DEBT COLONES'!J12</f>
        <v>181458.2924674541</v>
      </c>
      <c r="K14" s="174">
        <f>+J14/J7</f>
        <v>5.4260768776829352E-2</v>
      </c>
      <c r="L14" s="523">
        <f>+'EXTERNAL DEBT COLONES'!L12</f>
        <v>158891.59625521657</v>
      </c>
      <c r="M14" s="174">
        <f>+L14/L7</f>
        <v>4.4424564931317481E-2</v>
      </c>
      <c r="N14" s="523">
        <f>+'EXTERNAL DEBT COLONES'!N12</f>
        <v>147297.61003070709</v>
      </c>
      <c r="O14" s="174">
        <f>+N14/N7</f>
        <v>3.8384080935724978E-2</v>
      </c>
      <c r="P14" s="523">
        <f>+'EXTERNAL DEBT COLONES'!P12</f>
        <v>129282.32474500101</v>
      </c>
      <c r="Q14" s="174">
        <f>+P14/P7</f>
        <v>3.4526048906000646E-2</v>
      </c>
      <c r="R14" s="523">
        <f>+'EXTERNAL DEBT COLONES'!R12</f>
        <v>134082.50690434588</v>
      </c>
      <c r="S14" s="174">
        <f>+R14/R7</f>
        <v>3.4512781525108414E-2</v>
      </c>
      <c r="T14" s="523">
        <f>+'EXTERNAL DEBT COLONES'!T12</f>
        <v>116631.87144806814</v>
      </c>
      <c r="U14" s="174">
        <f>+T14/T7</f>
        <v>2.5454954058816606E-2</v>
      </c>
      <c r="V14" s="523">
        <f>+'EXTERNAL DEBT COLONES'!V12</f>
        <v>93150.899446541836</v>
      </c>
      <c r="W14" s="174">
        <f>+V14/V7</f>
        <v>1.6749863564958889E-2</v>
      </c>
      <c r="X14" s="523">
        <f>+'EXTERNAL DEBT COLONES'!X12</f>
        <v>74771.62629268477</v>
      </c>
      <c r="Y14" s="174">
        <f>+X14/X7</f>
        <v>1.1720193990402165E-2</v>
      </c>
      <c r="Z14" s="523">
        <f>+'EXTERNAL DEBT COLONES'!Z12</f>
        <v>56990.53375853035</v>
      </c>
      <c r="AA14" s="174">
        <f>+Z14/Z7</f>
        <v>7.1084253911826434E-3</v>
      </c>
      <c r="AB14" s="523">
        <f>+'EXTERNAL DEBT COLONES'!AB12</f>
        <v>41928.666652885157</v>
      </c>
      <c r="AC14" s="174">
        <f>+AB14/AB7</f>
        <v>4.6925337029065329E-3</v>
      </c>
      <c r="AD14" s="523">
        <f>+'EXTERNAL DEBT COLONES'!AD12</f>
        <v>39319.561313951905</v>
      </c>
      <c r="AE14" s="174">
        <f>+AD14/AD7</f>
        <v>3.7465108238616805E-3</v>
      </c>
      <c r="AF14" s="523">
        <f>+'EXTERNAL DEBT COLONES'!AF12</f>
        <v>48550.33647089135</v>
      </c>
      <c r="AG14" s="211">
        <f>+AF14/AF7</f>
        <v>4.0455798535777897E-3</v>
      </c>
      <c r="AH14" s="523">
        <f>+'EXTERNAL DEBT COLONES'!AH12</f>
        <v>91673.739253442691</v>
      </c>
      <c r="AI14" s="90">
        <f>+AH14/AH7</f>
        <v>6.5319441309756405E-3</v>
      </c>
      <c r="AJ14" s="631">
        <f>+'EXTERNAL DEBT COLONES'!AJ12</f>
        <v>102430.27145723125</v>
      </c>
      <c r="AK14" s="40">
        <f>+AJ14/AJ7</f>
        <v>6.3753691236395488E-3</v>
      </c>
      <c r="AL14" s="523">
        <f>+'EXTERNAL DEBT COLONES'!AL12</f>
        <v>110960.15803351605</v>
      </c>
      <c r="AM14" s="90">
        <f>+AL14/AL7</f>
        <v>5.9726833209991911E-3</v>
      </c>
      <c r="AN14" s="631">
        <f>+'EXTERNAL DEBT COLONES'!AN12</f>
        <v>107572.27309242234</v>
      </c>
      <c r="AO14" s="40">
        <f>+AN14/AN7</f>
        <v>5.0700846012535442E-3</v>
      </c>
      <c r="AP14" s="525">
        <f>+'EXTERNAL DEBT COLONES'!AP12</f>
        <v>541140.03896304383</v>
      </c>
      <c r="AQ14" s="463">
        <f>+AP14/AP7</f>
        <v>2.2285140535394793E-2</v>
      </c>
      <c r="AR14" s="565"/>
      <c r="AS14" s="109"/>
      <c r="AT14" s="77"/>
    </row>
    <row r="15" spans="1:46" s="68" customFormat="1" x14ac:dyDescent="0.25">
      <c r="A15" s="218" t="s">
        <v>71</v>
      </c>
      <c r="B15" s="226">
        <f>+B14/B66</f>
        <v>3.0887214056572802E-2</v>
      </c>
      <c r="C15" s="249"/>
      <c r="D15" s="226">
        <f>+D14/D66</f>
        <v>2.5812448573385674E-2</v>
      </c>
      <c r="E15" s="249"/>
      <c r="F15" s="226">
        <f>+F14/F66</f>
        <v>2.5722354636419538E-2</v>
      </c>
      <c r="G15" s="249"/>
      <c r="H15" s="226">
        <f>+H14/H66</f>
        <v>2.5198856158679214E-2</v>
      </c>
      <c r="I15" s="249"/>
      <c r="J15" s="226">
        <f>+J14/J66</f>
        <v>2.2264444712114605E-2</v>
      </c>
      <c r="K15" s="249"/>
      <c r="L15" s="226">
        <f>+L14/L66</f>
        <v>1.659091860615897E-2</v>
      </c>
      <c r="M15" s="249"/>
      <c r="N15" s="226">
        <f>+N14/N66</f>
        <v>1.2683505676870975E-2</v>
      </c>
      <c r="O15" s="249"/>
      <c r="P15" s="226">
        <f>+P14/P66</f>
        <v>9.3082174552983309E-3</v>
      </c>
      <c r="Q15" s="249"/>
      <c r="R15" s="226">
        <f>+R14/R66</f>
        <v>8.2721152570280395E-3</v>
      </c>
      <c r="S15" s="249"/>
      <c r="T15" s="226">
        <f>+T14/T66</f>
        <v>6.6169802464354638E-3</v>
      </c>
      <c r="U15" s="249"/>
      <c r="V15" s="226">
        <f>+V14/V66</f>
        <v>4.7041132015577299E-3</v>
      </c>
      <c r="W15" s="249"/>
      <c r="X15" s="226">
        <f>+X14/X66</f>
        <v>3.4578833851706624E-3</v>
      </c>
      <c r="Y15" s="249"/>
      <c r="Z15" s="226">
        <f>+Z14/Z66</f>
        <v>2.3993116280789061E-3</v>
      </c>
      <c r="AA15" s="249"/>
      <c r="AB15" s="226">
        <f>+AB14/AB66</f>
        <v>1.6466536286439E-3</v>
      </c>
      <c r="AC15" s="249"/>
      <c r="AD15" s="226">
        <f>+AD14/AD66</f>
        <v>1.4042034665958643E-3</v>
      </c>
      <c r="AE15" s="249"/>
      <c r="AF15" s="223">
        <f>+AF14/AF66</f>
        <v>1.6091232609429067E-3</v>
      </c>
      <c r="AG15" s="250"/>
      <c r="AH15" s="226">
        <f>+AH14/AH66</f>
        <v>2.8597739902709051E-3</v>
      </c>
      <c r="AI15" s="248"/>
      <c r="AJ15" s="223">
        <f>+AJ14/AJ66</f>
        <v>2.9825099813400361E-3</v>
      </c>
      <c r="AK15" s="224"/>
      <c r="AL15" s="226">
        <f>+AL14/AL66</f>
        <v>3.0809669501463037E-3</v>
      </c>
      <c r="AM15" s="248"/>
      <c r="AN15" s="223">
        <f>+AN14/AN66</f>
        <v>2.8434089434807206E-3</v>
      </c>
      <c r="AO15" s="224"/>
      <c r="AP15" s="464">
        <f>+AP14/AP66</f>
        <v>1.4827685706797955E-2</v>
      </c>
      <c r="AQ15" s="467"/>
      <c r="AR15" s="565"/>
      <c r="AS15" s="109"/>
      <c r="AT15" s="255"/>
    </row>
    <row r="16" spans="1:46" x14ac:dyDescent="0.25">
      <c r="A16" s="218"/>
      <c r="B16" s="91"/>
      <c r="C16" s="269"/>
      <c r="D16" s="91"/>
      <c r="E16" s="269"/>
      <c r="F16" s="91"/>
      <c r="G16" s="269"/>
      <c r="H16" s="91"/>
      <c r="I16" s="269"/>
      <c r="J16" s="91"/>
      <c r="K16" s="269"/>
      <c r="L16" s="91"/>
      <c r="M16" s="269"/>
      <c r="N16" s="91"/>
      <c r="O16" s="287"/>
      <c r="P16" s="91"/>
      <c r="Q16" s="269"/>
      <c r="R16" s="91"/>
      <c r="S16" s="269"/>
      <c r="T16" s="91"/>
      <c r="U16" s="269"/>
      <c r="V16" s="29"/>
      <c r="W16" s="261"/>
      <c r="X16" s="29"/>
      <c r="Y16" s="261"/>
      <c r="Z16" s="91"/>
      <c r="AA16" s="269"/>
      <c r="AB16" s="91"/>
      <c r="AC16" s="269"/>
      <c r="AD16" s="91"/>
      <c r="AE16" s="269"/>
      <c r="AF16" s="29"/>
      <c r="AG16" s="261"/>
      <c r="AH16" s="91"/>
      <c r="AI16" s="454"/>
      <c r="AJ16" s="29"/>
      <c r="AK16" s="619"/>
      <c r="AL16" s="91"/>
      <c r="AM16" s="454"/>
      <c r="AN16" s="29"/>
      <c r="AO16" s="619"/>
      <c r="AP16" s="468"/>
      <c r="AQ16" s="469"/>
      <c r="AR16" s="566"/>
      <c r="AS16" s="109"/>
      <c r="AT16" s="77"/>
    </row>
    <row r="17" spans="1:46" x14ac:dyDescent="0.25">
      <c r="A17" s="398" t="s">
        <v>77</v>
      </c>
      <c r="B17" s="134"/>
      <c r="C17" s="269"/>
      <c r="D17" s="134"/>
      <c r="E17" s="269"/>
      <c r="F17" s="134"/>
      <c r="G17" s="269"/>
      <c r="H17" s="134"/>
      <c r="I17" s="269"/>
      <c r="J17" s="134"/>
      <c r="K17" s="269"/>
      <c r="L17" s="134"/>
      <c r="M17" s="269"/>
      <c r="N17" s="134"/>
      <c r="O17" s="287"/>
      <c r="P17" s="134"/>
      <c r="Q17" s="269"/>
      <c r="R17" s="134"/>
      <c r="S17" s="269"/>
      <c r="T17" s="134"/>
      <c r="U17" s="269"/>
      <c r="V17" s="74"/>
      <c r="W17" s="261"/>
      <c r="X17" s="74"/>
      <c r="Y17" s="261"/>
      <c r="Z17" s="134"/>
      <c r="AA17" s="269"/>
      <c r="AB17" s="134"/>
      <c r="AC17" s="269"/>
      <c r="AD17" s="134"/>
      <c r="AE17" s="269"/>
      <c r="AF17" s="74"/>
      <c r="AG17" s="261"/>
      <c r="AH17" s="134"/>
      <c r="AI17" s="454"/>
      <c r="AJ17" s="74"/>
      <c r="AK17" s="619"/>
      <c r="AL17" s="134"/>
      <c r="AM17" s="454"/>
      <c r="AN17" s="74"/>
      <c r="AO17" s="619"/>
      <c r="AP17" s="461"/>
      <c r="AQ17" s="469"/>
      <c r="AR17" s="566"/>
      <c r="AS17" s="109"/>
      <c r="AT17" s="77"/>
    </row>
    <row r="18" spans="1:46" x14ac:dyDescent="0.25">
      <c r="A18" s="133" t="s">
        <v>78</v>
      </c>
      <c r="B18" s="134">
        <f>+'Domestic Debt Colones'!B22+'EXTERNAL DEBT COLONES'!B28</f>
        <v>878490.8356118151</v>
      </c>
      <c r="C18" s="258">
        <f>+B18/B7</f>
        <v>0.48857842750619856</v>
      </c>
      <c r="D18" s="134">
        <f>+'Domestic Debt Colones'!D22+'EXTERNAL DEBT COLONES'!D28</f>
        <v>774132.91940407385</v>
      </c>
      <c r="E18" s="258">
        <f t="shared" ref="E18" si="0">+D18/D7</f>
        <v>0.37157465603528839</v>
      </c>
      <c r="F18" s="134">
        <f>+'Domestic Debt Colones'!F22+'EXTERNAL DEBT COLONES'!F28</f>
        <v>770183.67596908333</v>
      </c>
      <c r="G18" s="258">
        <f t="shared" ref="G18" si="1">+F18/F7</f>
        <v>0.31149086748884058</v>
      </c>
      <c r="H18" s="134">
        <f>+'Domestic Debt Colones'!H22+'EXTERNAL DEBT COLONES'!H28</f>
        <v>713056.08900103916</v>
      </c>
      <c r="I18" s="258">
        <f t="shared" ref="I18" si="2">+H18/H7</f>
        <v>0.25518643428429005</v>
      </c>
      <c r="J18" s="134">
        <f>+'Domestic Debt Colones'!J22+'EXTERNAL DEBT COLONES'!J28</f>
        <v>675752.4115409432</v>
      </c>
      <c r="K18" s="258">
        <f t="shared" ref="K18" si="3">+J18/J7</f>
        <v>0.20206762035735801</v>
      </c>
      <c r="L18" s="134">
        <f>+'Domestic Debt Colones'!L22+'EXTERNAL DEBT COLONES'!L28</f>
        <v>654374.02732695627</v>
      </c>
      <c r="M18" s="258">
        <f t="shared" ref="M18" si="4">+L18/L7</f>
        <v>0.18295669595804492</v>
      </c>
      <c r="N18" s="134">
        <f>+'Domestic Debt Colones'!N22+'EXTERNAL DEBT COLONES'!N28</f>
        <v>641926.89150186349</v>
      </c>
      <c r="O18" s="258">
        <f t="shared" ref="O18" si="5">+N18/N7</f>
        <v>0.16727884283451191</v>
      </c>
      <c r="P18" s="134">
        <f>+'Domestic Debt Colones'!P22+'EXTERNAL DEBT COLONES'!P28</f>
        <v>662369.77006100107</v>
      </c>
      <c r="Q18" s="258">
        <f t="shared" ref="Q18" si="6">+P18/P7</f>
        <v>0.1768920161366978</v>
      </c>
      <c r="R18" s="134">
        <f>+'Domestic Debt Colones'!R22+'EXTERNAL DEBT COLONES'!R28</f>
        <v>663805.53161833796</v>
      </c>
      <c r="S18" s="258">
        <f t="shared" ref="S18" si="7">+R18/R7</f>
        <v>0.17086326782542871</v>
      </c>
      <c r="T18" s="134">
        <f>+'Domestic Debt Colones'!T22+'EXTERNAL DEBT COLONES'!T28</f>
        <v>658654.50553280744</v>
      </c>
      <c r="U18" s="258">
        <f t="shared" ref="U18" si="8">+T18/T7</f>
        <v>0.14375161755365873</v>
      </c>
      <c r="V18" s="134">
        <f>+'Domestic Debt Colones'!V22+'EXTERNAL DEBT COLONES'!V28</f>
        <v>889554.60427690903</v>
      </c>
      <c r="W18" s="258">
        <f t="shared" ref="W18" si="9">+V18/V7</f>
        <v>0.15995463644202496</v>
      </c>
      <c r="X18" s="134">
        <f>+'Domestic Debt Colones'!X22+'EXTERNAL DEBT COLONES'!X28</f>
        <v>841155.7253645137</v>
      </c>
      <c r="Y18" s="258">
        <f t="shared" ref="Y18" si="10">+X18/X7</f>
        <v>0.13184825268905576</v>
      </c>
      <c r="Z18" s="134">
        <f>+'Domestic Debt Colones'!Z22+'EXTERNAL DEBT COLONES'!Z28</f>
        <v>895291.71639794856</v>
      </c>
      <c r="AA18" s="258">
        <f t="shared" ref="AA18" si="11">+Z18/Z7</f>
        <v>0.11166967476254047</v>
      </c>
      <c r="AB18" s="134">
        <f>+'Domestic Debt Colones'!AB22+'EXTERNAL DEBT COLONES'!AB28</f>
        <v>1153213.3001397839</v>
      </c>
      <c r="AC18" s="258">
        <f t="shared" ref="AC18" si="12">+AB18/AB7</f>
        <v>0.12906425864543039</v>
      </c>
      <c r="AD18" s="134">
        <f>+'Domestic Debt Colones'!AD22+'EXTERNAL DEBT COLONES'!AD28</f>
        <v>1420165.1964211003</v>
      </c>
      <c r="AE18" s="258">
        <f t="shared" ref="AE18" si="13">+AD18/AD7</f>
        <v>0.13531850565625081</v>
      </c>
      <c r="AF18" s="134">
        <f>+'Domestic Debt Colones'!AF22+'EXTERNAL DEBT COLONES'!AF28</f>
        <v>1348517.9054115268</v>
      </c>
      <c r="AG18" s="258">
        <f t="shared" ref="AG18" si="14">+AF18/AF7</f>
        <v>0.11236867274015068</v>
      </c>
      <c r="AH18" s="134">
        <f>+'Domestic Debt Colones'!AH22+'EXTERNAL DEBT COLONES'!AH28</f>
        <v>2096174.2230950468</v>
      </c>
      <c r="AI18" s="258">
        <f t="shared" ref="AI18" si="15">+AH18/AH7</f>
        <v>0.14935676264055003</v>
      </c>
      <c r="AJ18" s="74">
        <f>+'Domestic Debt Colones'!AJ22+'EXTERNAL DEBT COLONES'!AJ28</f>
        <v>3391560.4098081305</v>
      </c>
      <c r="AK18" s="259">
        <f t="shared" ref="AK18" si="16">+AJ18/AJ7</f>
        <v>0.21109432992840685</v>
      </c>
      <c r="AL18" s="134">
        <f>+'Domestic Debt Colones'!AL22+'EXTERNAL DEBT COLONES'!AL28</f>
        <v>4100201.9612652208</v>
      </c>
      <c r="AM18" s="258">
        <f t="shared" ref="AM18" si="17">+AL18/AL7</f>
        <v>0.22070271258427618</v>
      </c>
      <c r="AN18" s="74">
        <f>+'Domestic Debt Colones'!AN22+'EXTERNAL DEBT COLONES'!AN28</f>
        <v>4230910.735350647</v>
      </c>
      <c r="AO18" s="259">
        <f t="shared" ref="AO18" si="18">+AN18/AN7</f>
        <v>0.19941082169147445</v>
      </c>
      <c r="AP18" s="461">
        <f>+'Domestic Debt Colones'!AP22+'EXTERNAL DEBT COLONES'!AP28</f>
        <v>5256840.1284842826</v>
      </c>
      <c r="AQ18" s="542">
        <f t="shared" ref="AQ18" si="19">+AP18/AP7</f>
        <v>0.21648632997081846</v>
      </c>
      <c r="AR18" s="565"/>
      <c r="AS18" s="109"/>
      <c r="AT18" s="77"/>
    </row>
    <row r="19" spans="1:46" s="68" customFormat="1" x14ac:dyDescent="0.25">
      <c r="A19" s="218" t="s">
        <v>71</v>
      </c>
      <c r="B19" s="226">
        <f>+B18/B66</f>
        <v>0.18985978885798258</v>
      </c>
      <c r="C19" s="249"/>
      <c r="D19" s="226">
        <f t="shared" ref="D19" si="20">+D18/D66</f>
        <v>0.14733926075010292</v>
      </c>
      <c r="E19" s="249"/>
      <c r="F19" s="226">
        <f t="shared" ref="F19" si="21">+F18/F66</f>
        <v>0.12910866068002641</v>
      </c>
      <c r="G19" s="249"/>
      <c r="H19" s="226">
        <f t="shared" ref="H19" si="22">+H18/H66</f>
        <v>0.10355818328090606</v>
      </c>
      <c r="I19" s="249"/>
      <c r="J19" s="226">
        <f t="shared" ref="J19" si="23">+J18/J66</f>
        <v>8.2913004422379449E-2</v>
      </c>
      <c r="K19" s="249"/>
      <c r="L19" s="226">
        <f t="shared" ref="L19" si="24">+L18/L66</f>
        <v>6.8327504293730343E-2</v>
      </c>
      <c r="M19" s="249"/>
      <c r="N19" s="226">
        <f t="shared" ref="N19" si="25">+N18/N66</f>
        <v>5.5275054162811525E-2</v>
      </c>
      <c r="O19" s="249"/>
      <c r="P19" s="226">
        <f t="shared" ref="P19" si="26">+P18/P66</f>
        <v>4.7690060243770135E-2</v>
      </c>
      <c r="Q19" s="249"/>
      <c r="R19" s="226">
        <f t="shared" ref="R19" si="27">+R18/R66</f>
        <v>4.0952962415276004E-2</v>
      </c>
      <c r="S19" s="249"/>
      <c r="T19" s="226">
        <f t="shared" ref="T19" si="28">+T18/T66</f>
        <v>3.7368034982418134E-2</v>
      </c>
      <c r="U19" s="249"/>
      <c r="V19" s="226">
        <f t="shared" ref="V19" si="29">+V18/V66</f>
        <v>4.4922438563107396E-2</v>
      </c>
      <c r="W19" s="249"/>
      <c r="X19" s="226">
        <f t="shared" ref="X19" si="30">+X18/X66</f>
        <v>3.8900028677906276E-2</v>
      </c>
      <c r="Y19" s="249"/>
      <c r="Z19" s="226">
        <f t="shared" ref="Z19" si="31">+Z18/Z66</f>
        <v>3.7691940819115331E-2</v>
      </c>
      <c r="AA19" s="249"/>
      <c r="AB19" s="226">
        <f t="shared" ref="AB19" si="32">+AB18/AB66</f>
        <v>4.5289846228509005E-2</v>
      </c>
      <c r="AC19" s="249"/>
      <c r="AD19" s="226">
        <f t="shared" ref="AD19" si="33">+AD18/AD66</f>
        <v>5.0717780802037996E-2</v>
      </c>
      <c r="AE19" s="249"/>
      <c r="AF19" s="226">
        <f t="shared" ref="AF19" si="34">+AF18/AF66</f>
        <v>4.4694469433732752E-2</v>
      </c>
      <c r="AG19" s="249"/>
      <c r="AH19" s="226">
        <f t="shared" ref="AH19" si="35">+AH18/AH66</f>
        <v>6.5390422285610192E-2</v>
      </c>
      <c r="AI19" s="249"/>
      <c r="AJ19" s="223">
        <f t="shared" ref="AJ19:AN19" si="36">+AJ18/AJ66</f>
        <v>9.8753646072235801E-2</v>
      </c>
      <c r="AK19" s="250"/>
      <c r="AL19" s="226">
        <f t="shared" ref="AL19" si="37">+AL18/AL66</f>
        <v>0.11384795187266646</v>
      </c>
      <c r="AM19" s="249"/>
      <c r="AN19" s="223">
        <f t="shared" si="36"/>
        <v>0.11183373817553047</v>
      </c>
      <c r="AO19" s="250"/>
      <c r="AP19" s="464">
        <f t="shared" ref="AP19" si="38">+AP18/AP66</f>
        <v>0.14404177777237354</v>
      </c>
      <c r="AQ19" s="465"/>
      <c r="AR19" s="565"/>
      <c r="AS19" s="109"/>
      <c r="AT19" s="255"/>
    </row>
    <row r="20" spans="1:46" x14ac:dyDescent="0.25">
      <c r="A20" s="133" t="s">
        <v>79</v>
      </c>
      <c r="B20" s="153">
        <f>+'EXTERNAL DEBT COLONES'!B30+'Domestic Debt Colones'!B24</f>
        <v>685576.36438818509</v>
      </c>
      <c r="C20" s="258">
        <f>+B20/B7</f>
        <v>0.38128778180698775</v>
      </c>
      <c r="D20" s="153">
        <f>+'EXTERNAL DEBT COLONES'!D30+'Domestic Debt Colones'!D24</f>
        <v>911581.40939592617</v>
      </c>
      <c r="E20" s="258">
        <f t="shared" ref="E20" si="39">+D20/D7</f>
        <v>0.4375483074730902</v>
      </c>
      <c r="F20" s="153">
        <f>+'EXTERNAL DEBT COLONES'!F30+'Domestic Debt Colones'!F24</f>
        <v>1332125.6268809168</v>
      </c>
      <c r="G20" s="258">
        <f t="shared" ref="G20" si="40">+F20/F7</f>
        <v>0.53876105151040499</v>
      </c>
      <c r="H20" s="153">
        <f>+'EXTERNAL DEBT COLONES'!H30+'Domestic Debt Colones'!H24</f>
        <v>1653298.3075989608</v>
      </c>
      <c r="I20" s="258">
        <f t="shared" ref="I20" si="41">+H20/H7</f>
        <v>0.59167757828909773</v>
      </c>
      <c r="J20" s="153">
        <f>+'EXTERNAL DEBT COLONES'!J30+'Domestic Debt Colones'!J24</f>
        <v>2196635.4848590568</v>
      </c>
      <c r="K20" s="258">
        <f t="shared" ref="K20" si="42">+J20/J7</f>
        <v>0.6568513817151318</v>
      </c>
      <c r="L20" s="153">
        <f>+'EXTERNAL DEBT COLONES'!L30+'Domestic Debt Colones'!L24</f>
        <v>2446130.3595730434</v>
      </c>
      <c r="M20" s="258">
        <f t="shared" ref="M20" si="43">+L20/L7</f>
        <v>0.68391456534160122</v>
      </c>
      <c r="N20" s="153">
        <f>+'EXTERNAL DEBT COLONES'!N30+'Domestic Debt Colones'!N24</f>
        <v>2875140.3056981368</v>
      </c>
      <c r="O20" s="258">
        <f t="shared" ref="O20" si="44">+N20/N7</f>
        <v>0.74922884473465456</v>
      </c>
      <c r="P20" s="153">
        <f>+'EXTERNAL DEBT COLONES'!P30+'Domestic Debt Colones'!P24</f>
        <v>2541454.8907389985</v>
      </c>
      <c r="Q20" s="258">
        <f t="shared" ref="Q20" si="45">+P20/P7</f>
        <v>0.67871919864623342</v>
      </c>
      <c r="R20" s="153">
        <f>+'EXTERNAL DEBT COLONES'!R30+'Domestic Debt Colones'!R24</f>
        <v>2398692.8952960758</v>
      </c>
      <c r="S20" s="258">
        <f t="shared" ref="S20" si="46">+R20/R7</f>
        <v>0.61742255386261702</v>
      </c>
      <c r="T20" s="153">
        <f>+'EXTERNAL DEBT COLONES'!T30+'Domestic Debt Colones'!T24</f>
        <v>3058448.7285688124</v>
      </c>
      <c r="U20" s="258">
        <f t="shared" ref="U20" si="47">+T20/T7</f>
        <v>0.66750769674162436</v>
      </c>
      <c r="V20" s="153">
        <f>+'EXTERNAL DEBT COLONES'!V30+'Domestic Debt Colones'!V24</f>
        <v>3667888.3524673982</v>
      </c>
      <c r="W20" s="258">
        <f t="shared" ref="W20" si="48">+V20/V7</f>
        <v>0.6595387681746272</v>
      </c>
      <c r="X20" s="153">
        <f>+'EXTERNAL DEBT COLONES'!X30+'Domestic Debt Colones'!X24</f>
        <v>4257918.5306347767</v>
      </c>
      <c r="Y20" s="258">
        <f t="shared" ref="Y20" si="49">+X20/X7</f>
        <v>0.66741401315822402</v>
      </c>
      <c r="Z20" s="153">
        <f>+'EXTERNAL DEBT COLONES'!Z30+'Domestic Debt Colones'!Z24</f>
        <v>5769172.0517131789</v>
      </c>
      <c r="AA20" s="258">
        <f t="shared" ref="AA20" si="50">+Z20/Z7</f>
        <v>0.7195884367789569</v>
      </c>
      <c r="AB20" s="153">
        <f>+'EXTERNAL DEBT COLONES'!AB30+'Domestic Debt Colones'!AB24</f>
        <v>6247447.2818001583</v>
      </c>
      <c r="AC20" s="258">
        <f t="shared" ref="AC20" si="51">+AB20/AB7</f>
        <v>0.69919602189309682</v>
      </c>
      <c r="AD20" s="153">
        <f>+'EXTERNAL DEBT COLONES'!AD30+'Domestic Debt Colones'!AD24</f>
        <v>7469109.7446672022</v>
      </c>
      <c r="AE20" s="258">
        <f t="shared" ref="AE20" si="52">+AD20/AD7</f>
        <v>0.71168394478188335</v>
      </c>
      <c r="AF20" s="153">
        <f>+'EXTERNAL DEBT COLONES'!AF30+'Domestic Debt Colones'!AF24</f>
        <v>9173918.6458161809</v>
      </c>
      <c r="AG20" s="258">
        <f t="shared" ref="AG20" si="53">+AF20/AF7</f>
        <v>0.76444002554189094</v>
      </c>
      <c r="AH20" s="153">
        <f>+'EXTERNAL DEBT COLONES'!AH30+'Domestic Debt Colones'!AH24</f>
        <v>10702412.819892444</v>
      </c>
      <c r="AI20" s="258">
        <f t="shared" ref="AI20" si="54">+AH20/AH7</f>
        <v>0.76256911930806415</v>
      </c>
      <c r="AJ20" s="75">
        <f>+'EXTERNAL DEBT COLONES'!AJ30+'Domestic Debt Colones'!AJ24</f>
        <v>11433896.842361389</v>
      </c>
      <c r="AK20" s="259">
        <f t="shared" ref="AK20" si="55">+AJ20/AJ7</f>
        <v>0.71165790986024335</v>
      </c>
      <c r="AL20" s="153">
        <f>+'EXTERNAL DEBT COLONES'!AL30+'Domestic Debt Colones'!AL24</f>
        <v>13283255.756624162</v>
      </c>
      <c r="AM20" s="258">
        <f t="shared" ref="AM20" si="56">+AL20/AL7</f>
        <v>0.71500150605581869</v>
      </c>
      <c r="AN20" s="75">
        <f>+'EXTERNAL DEBT COLONES'!AN30+'Domestic Debt Colones'!AN24</f>
        <v>15742750.744491009</v>
      </c>
      <c r="AO20" s="259">
        <f t="shared" ref="AO20" si="57">+AN20/AN7</f>
        <v>0.74198560499358968</v>
      </c>
      <c r="AP20" s="471">
        <f>+'EXTERNAL DEBT COLONES'!AP30+'Domestic Debt Colones'!AP24</f>
        <v>17829426.149637893</v>
      </c>
      <c r="AQ20" s="542">
        <f t="shared" ref="AQ20" si="58">+AP20/AP7</f>
        <v>0.73424851018510262</v>
      </c>
      <c r="AR20" s="565"/>
      <c r="AS20" s="109"/>
      <c r="AT20" s="77"/>
    </row>
    <row r="21" spans="1:46" s="68" customFormat="1" x14ac:dyDescent="0.25">
      <c r="A21" s="218" t="s">
        <v>71</v>
      </c>
      <c r="B21" s="226">
        <f>+B20/B66</f>
        <v>0.1481670365953372</v>
      </c>
      <c r="C21" s="92"/>
      <c r="D21" s="226">
        <f t="shared" ref="D21" si="59">+D20/D66</f>
        <v>0.17349957301560776</v>
      </c>
      <c r="E21" s="92"/>
      <c r="F21" s="226">
        <f t="shared" ref="F21" si="60">+F20/F66</f>
        <v>0.2233090117467508</v>
      </c>
      <c r="G21" s="92"/>
      <c r="H21" s="226">
        <f t="shared" ref="H21" si="61">+H20/H66</f>
        <v>0.24011094189828239</v>
      </c>
      <c r="I21" s="92"/>
      <c r="J21" s="226">
        <f t="shared" ref="J21" si="62">+J20/J66</f>
        <v>0.26952126926955039</v>
      </c>
      <c r="K21" s="92"/>
      <c r="L21" s="226">
        <f t="shared" ref="L21" si="63">+L20/L66</f>
        <v>0.25541659000356565</v>
      </c>
      <c r="M21" s="92"/>
      <c r="N21" s="226">
        <f t="shared" ref="N21" si="64">+N20/N66</f>
        <v>0.24757264141299126</v>
      </c>
      <c r="O21" s="92"/>
      <c r="P21" s="226">
        <f t="shared" ref="P21" si="65">+P20/P66</f>
        <v>0.18298259118166724</v>
      </c>
      <c r="Q21" s="92"/>
      <c r="R21" s="226">
        <f t="shared" ref="R21" si="66">+R20/R66</f>
        <v>0.14798547964395423</v>
      </c>
      <c r="S21" s="92"/>
      <c r="T21" s="226">
        <f t="shared" ref="T21" si="67">+T20/T66</f>
        <v>0.17351770635599026</v>
      </c>
      <c r="U21" s="92"/>
      <c r="V21" s="226">
        <f t="shared" ref="V21" si="68">+V20/V66</f>
        <v>0.18522807748714948</v>
      </c>
      <c r="W21" s="92"/>
      <c r="X21" s="226">
        <f t="shared" ref="X21" si="69">+X20/X66</f>
        <v>0.19691140172422231</v>
      </c>
      <c r="Y21" s="92"/>
      <c r="Z21" s="226">
        <f t="shared" ref="Z21" si="70">+Z20/Z66</f>
        <v>0.24288317155814307</v>
      </c>
      <c r="AA21" s="92"/>
      <c r="AB21" s="226">
        <f t="shared" ref="AB21" si="71">+AB20/AB66</f>
        <v>0.24535437345298494</v>
      </c>
      <c r="AC21" s="92"/>
      <c r="AD21" s="226">
        <f t="shared" ref="AD21" si="72">+AD20/AD66</f>
        <v>0.26674127191050545</v>
      </c>
      <c r="AE21" s="92"/>
      <c r="AF21" s="226">
        <f t="shared" ref="AF21" si="73">+AF20/AF66</f>
        <v>0.30405486264407855</v>
      </c>
      <c r="AG21" s="92"/>
      <c r="AH21" s="226">
        <f t="shared" ref="AH21" si="74">+AH20/AH66</f>
        <v>0.33386313315806976</v>
      </c>
      <c r="AI21" s="92"/>
      <c r="AJ21" s="223">
        <f t="shared" ref="AJ21:AN21" si="75">+AJ20/AJ66</f>
        <v>0.33292610644104359</v>
      </c>
      <c r="AK21" s="35"/>
      <c r="AL21" s="226">
        <f t="shared" ref="AL21" si="76">+AL20/AL66</f>
        <v>0.36882853000387761</v>
      </c>
      <c r="AM21" s="92"/>
      <c r="AN21" s="223">
        <f t="shared" si="75"/>
        <v>0.41612096663063569</v>
      </c>
      <c r="AO21" s="35"/>
      <c r="AP21" s="464">
        <f t="shared" ref="AP21" si="77">+AP20/AP66</f>
        <v>0.48854105821848104</v>
      </c>
      <c r="AQ21" s="472"/>
      <c r="AR21" s="389"/>
      <c r="AS21" s="109"/>
      <c r="AT21" s="255"/>
    </row>
    <row r="22" spans="1:46" x14ac:dyDescent="0.25">
      <c r="A22" s="133" t="s">
        <v>80</v>
      </c>
      <c r="B22" s="153">
        <f>+'Domestic Debt Colones'!B26</f>
        <v>233987.7</v>
      </c>
      <c r="C22" s="258">
        <f>+B22/B7</f>
        <v>0.13013379068681385</v>
      </c>
      <c r="D22" s="153">
        <f>+'Domestic Debt Colones'!D26</f>
        <v>397670.28</v>
      </c>
      <c r="E22" s="258">
        <f t="shared" ref="E22" si="78">+D22/D7</f>
        <v>0.19087703649162141</v>
      </c>
      <c r="F22" s="153">
        <f>+'Domestic Debt Colones'!F26</f>
        <v>370262.95</v>
      </c>
      <c r="G22" s="258">
        <f t="shared" ref="G22" si="79">+F22/F7</f>
        <v>0.14974808100075457</v>
      </c>
      <c r="H22" s="153">
        <f>+'Domestic Debt Colones'!H26</f>
        <v>427901.07</v>
      </c>
      <c r="I22" s="258">
        <f t="shared" ref="I22" si="80">+H22/H7</f>
        <v>0.15313598742661219</v>
      </c>
      <c r="J22" s="153">
        <f>+'Domestic Debt Colones'!J26</f>
        <v>471801.59</v>
      </c>
      <c r="K22" s="258">
        <f t="shared" ref="K22" si="81">+J22/J7</f>
        <v>0.14108099792751028</v>
      </c>
      <c r="L22" s="153">
        <f>+'Domestic Debt Colones'!L26</f>
        <v>476156.33</v>
      </c>
      <c r="M22" s="258">
        <f t="shared" ref="M22" si="82">+L22/L7</f>
        <v>0.13312873870035374</v>
      </c>
      <c r="N22" s="153">
        <f>+'Domestic Debt Colones'!N26</f>
        <v>320398.92</v>
      </c>
      <c r="O22" s="258">
        <f t="shared" ref="O22" si="83">+N22/N7</f>
        <v>8.3492312430833507E-2</v>
      </c>
      <c r="P22" s="153">
        <f>+'Domestic Debt Colones'!P26</f>
        <v>540661.86</v>
      </c>
      <c r="Q22" s="258">
        <f t="shared" ref="Q22" si="84">+P22/P7</f>
        <v>0.14438878521706869</v>
      </c>
      <c r="R22" s="153">
        <f>+'Domestic Debt Colones'!R26</f>
        <v>822511.73393858667</v>
      </c>
      <c r="S22" s="258">
        <f t="shared" ref="S22" si="85">+R22/R7</f>
        <v>0.21171417831195441</v>
      </c>
      <c r="T22" s="153">
        <f>+'Domestic Debt Colones'!T26</f>
        <v>864789.59734492598</v>
      </c>
      <c r="U22" s="258">
        <f t="shared" ref="U22" si="86">+T22/T7</f>
        <v>0.18874068638055985</v>
      </c>
      <c r="V22" s="153">
        <f>+'Domestic Debt Colones'!V26</f>
        <v>1003850.0702279077</v>
      </c>
      <c r="W22" s="258">
        <f t="shared" ref="W22" si="87">+V22/V7</f>
        <v>0.18050659538334793</v>
      </c>
      <c r="X22" s="153">
        <f>+'Domestic Debt Colones'!X26</f>
        <v>1280651.7411912277</v>
      </c>
      <c r="Y22" s="258">
        <f t="shared" ref="Y22" si="88">+X22/X7</f>
        <v>0.20073773415272014</v>
      </c>
      <c r="Z22" s="153">
        <f>+'Domestic Debt Colones'!Z26</f>
        <v>1352858.0186831674</v>
      </c>
      <c r="AA22" s="258">
        <f t="shared" ref="AA22" si="89">+Z22/Z7</f>
        <v>0.16874188845850285</v>
      </c>
      <c r="AB22" s="153">
        <f>+'Domestic Debt Colones'!AB26</f>
        <v>1534526.5275132698</v>
      </c>
      <c r="AC22" s="258">
        <f t="shared" ref="AC22" si="90">+AB22/AB7</f>
        <v>0.17173971946147376</v>
      </c>
      <c r="AD22" s="153">
        <f>+'Domestic Debt Colones'!AD26</f>
        <v>1605706.4329208287</v>
      </c>
      <c r="AE22" s="258">
        <f t="shared" ref="AE22" si="91">+AD22/AD7</f>
        <v>0.15299754956186673</v>
      </c>
      <c r="AF22" s="153">
        <f>+'Domestic Debt Colones'!AF26</f>
        <v>1478398.4904919483</v>
      </c>
      <c r="AG22" s="258">
        <f t="shared" ref="AG22" si="92">+AF22/AF7</f>
        <v>0.12319130171795976</v>
      </c>
      <c r="AH22" s="153">
        <f>+'Domestic Debt Colones'!AH26</f>
        <v>1236091.9768022886</v>
      </c>
      <c r="AI22" s="258">
        <f t="shared" ref="AI22" si="93">+AH22/AH7</f>
        <v>8.807411805138704E-2</v>
      </c>
      <c r="AJ22" s="75">
        <f>+'Domestic Debt Colones'!AJ26</f>
        <v>1241106.0276608595</v>
      </c>
      <c r="AK22" s="259">
        <f t="shared" ref="AK22" si="94">+AJ22/AJ7</f>
        <v>7.7247760211352809E-2</v>
      </c>
      <c r="AL22" s="153">
        <f>+'Domestic Debt Colones'!AL26</f>
        <v>1194483.2292531708</v>
      </c>
      <c r="AM22" s="258">
        <f t="shared" ref="AM22" si="95">+AL22/AL7</f>
        <v>6.4295781359816784E-2</v>
      </c>
      <c r="AN22" s="75">
        <f>+'Domestic Debt Colones'!AN26</f>
        <v>1243395.3451718611</v>
      </c>
      <c r="AO22" s="259">
        <f t="shared" ref="AO22" si="96">+AN22/AN7</f>
        <v>5.8603573314936916E-2</v>
      </c>
      <c r="AP22" s="471">
        <f>+'Domestic Debt Colones'!AP26</f>
        <v>1196283.7063784848</v>
      </c>
      <c r="AQ22" s="542">
        <f t="shared" ref="AQ22" si="97">+AP22/AP7</f>
        <v>4.9265159842789133E-2</v>
      </c>
      <c r="AR22" s="565"/>
      <c r="AS22" s="109"/>
      <c r="AT22" s="77"/>
    </row>
    <row r="23" spans="1:46" s="68" customFormat="1" x14ac:dyDescent="0.25">
      <c r="A23" s="218" t="s">
        <v>71</v>
      </c>
      <c r="B23" s="226">
        <f>+B22/B66</f>
        <v>5.056951480481385E-2</v>
      </c>
      <c r="C23" s="92"/>
      <c r="D23" s="226">
        <f t="shared" ref="D23" si="98">+D22/D66</f>
        <v>7.568783552389273E-2</v>
      </c>
      <c r="E23" s="92"/>
      <c r="F23" s="226">
        <f t="shared" ref="F23" si="99">+F22/F66</f>
        <v>6.206851049366377E-2</v>
      </c>
      <c r="G23" s="92"/>
      <c r="H23" s="226">
        <f t="shared" ref="H23" si="100">+H22/H66</f>
        <v>6.2144700980305688E-2</v>
      </c>
      <c r="I23" s="92"/>
      <c r="J23" s="226">
        <f t="shared" ref="J23" si="101">+J22/J66</f>
        <v>5.7888786854570488E-2</v>
      </c>
      <c r="K23" s="92"/>
      <c r="L23" s="226">
        <f t="shared" ref="L23" si="102">+L22/L66</f>
        <v>4.9718620122289885E-2</v>
      </c>
      <c r="M23" s="92"/>
      <c r="N23" s="226">
        <f t="shared" ref="N23" si="103">+N22/N66</f>
        <v>2.7588916886269601E-2</v>
      </c>
      <c r="O23" s="92"/>
      <c r="P23" s="226">
        <f t="shared" ref="P23" si="104">+P22/P66</f>
        <v>3.8927194205336718E-2</v>
      </c>
      <c r="Q23" s="92"/>
      <c r="R23" s="226">
        <f t="shared" ref="R23" si="105">+R22/R66</f>
        <v>5.0744217276992465E-2</v>
      </c>
      <c r="S23" s="92"/>
      <c r="T23" s="226">
        <f t="shared" ref="T23" si="106">+T22/T66</f>
        <v>4.9062881456911039E-2</v>
      </c>
      <c r="U23" s="92"/>
      <c r="V23" s="226">
        <f t="shared" ref="V23" si="107">+V22/V66</f>
        <v>5.069435073414167E-2</v>
      </c>
      <c r="W23" s="92"/>
      <c r="X23" s="226">
        <f t="shared" ref="X23" si="108">+X22/X66</f>
        <v>5.9224930600289341E-2</v>
      </c>
      <c r="Y23" s="92"/>
      <c r="Z23" s="226">
        <f t="shared" ref="Z23" si="109">+Z22/Z66</f>
        <v>5.6955563692724018E-2</v>
      </c>
      <c r="AA23" s="92"/>
      <c r="AB23" s="226">
        <f t="shared" ref="AB23" si="110">+AB22/AB66</f>
        <v>6.0265061507892598E-2</v>
      </c>
      <c r="AC23" s="92"/>
      <c r="AD23" s="226">
        <f t="shared" ref="AD23" si="111">+AD22/AD66</f>
        <v>5.7343939354751912E-2</v>
      </c>
      <c r="AE23" s="92"/>
      <c r="AF23" s="226">
        <f t="shared" ref="AF23" si="112">+AF22/AF66</f>
        <v>4.8999153722029787E-2</v>
      </c>
      <c r="AG23" s="92"/>
      <c r="AH23" s="226">
        <f t="shared" ref="AH23" si="113">+AH22/AH66</f>
        <v>3.8560046897061433E-2</v>
      </c>
      <c r="AI23" s="92"/>
      <c r="AJ23" s="223">
        <f t="shared" ref="AJ23:AN23" si="114">+AJ22/AJ66</f>
        <v>3.6137862984629184E-2</v>
      </c>
      <c r="AK23" s="35"/>
      <c r="AL23" s="226">
        <f t="shared" ref="AL23" si="115">+AL22/AL66</f>
        <v>3.3166529473772362E-2</v>
      </c>
      <c r="AM23" s="92"/>
      <c r="AN23" s="223">
        <f t="shared" si="114"/>
        <v>3.2866103347155312E-2</v>
      </c>
      <c r="AO23" s="35"/>
      <c r="AP23" s="464">
        <f t="shared" ref="AP23" si="116">+AP22/AP66</f>
        <v>3.2779165349387379E-2</v>
      </c>
      <c r="AQ23" s="472"/>
      <c r="AR23" s="389"/>
      <c r="AS23" s="109"/>
      <c r="AT23" s="255"/>
    </row>
    <row r="24" spans="1:46" x14ac:dyDescent="0.25">
      <c r="A24" s="218"/>
      <c r="B24" s="91"/>
      <c r="C24" s="92"/>
      <c r="D24" s="91"/>
      <c r="E24" s="92"/>
      <c r="F24" s="91"/>
      <c r="G24" s="92"/>
      <c r="H24" s="91"/>
      <c r="I24" s="92"/>
      <c r="J24" s="91"/>
      <c r="K24" s="92"/>
      <c r="L24" s="91"/>
      <c r="M24" s="92"/>
      <c r="N24" s="91"/>
      <c r="O24" s="148"/>
      <c r="P24" s="91"/>
      <c r="Q24" s="92"/>
      <c r="R24" s="91"/>
      <c r="S24" s="92"/>
      <c r="T24" s="91"/>
      <c r="U24" s="92"/>
      <c r="V24" s="29"/>
      <c r="W24" s="35"/>
      <c r="X24" s="29"/>
      <c r="Y24" s="35"/>
      <c r="Z24" s="91"/>
      <c r="AA24" s="92"/>
      <c r="AB24" s="91"/>
      <c r="AC24" s="92"/>
      <c r="AD24" s="91"/>
      <c r="AE24" s="92"/>
      <c r="AF24" s="29"/>
      <c r="AG24" s="35"/>
      <c r="AH24" s="91"/>
      <c r="AI24" s="92"/>
      <c r="AJ24" s="29"/>
      <c r="AK24" s="35"/>
      <c r="AL24" s="91"/>
      <c r="AM24" s="92"/>
      <c r="AN24" s="29"/>
      <c r="AO24" s="35"/>
      <c r="AP24" s="468"/>
      <c r="AQ24" s="472"/>
      <c r="AR24" s="389"/>
      <c r="AS24" s="109"/>
      <c r="AT24" s="77"/>
    </row>
    <row r="25" spans="1:46" x14ac:dyDescent="0.25">
      <c r="A25" s="218"/>
      <c r="B25" s="91"/>
      <c r="C25" s="92"/>
      <c r="D25" s="91"/>
      <c r="E25" s="92"/>
      <c r="F25" s="91"/>
      <c r="G25" s="92"/>
      <c r="H25" s="91"/>
      <c r="I25" s="92"/>
      <c r="J25" s="91"/>
      <c r="K25" s="92"/>
      <c r="L25" s="91"/>
      <c r="M25" s="92"/>
      <c r="N25" s="91"/>
      <c r="O25" s="148"/>
      <c r="P25" s="91"/>
      <c r="Q25" s="92"/>
      <c r="R25" s="91"/>
      <c r="S25" s="92"/>
      <c r="T25" s="91"/>
      <c r="U25" s="92"/>
      <c r="V25" s="29"/>
      <c r="W25" s="35"/>
      <c r="X25" s="29"/>
      <c r="Y25" s="35"/>
      <c r="Z25" s="91"/>
      <c r="AA25" s="92"/>
      <c r="AB25" s="91"/>
      <c r="AC25" s="92"/>
      <c r="AD25" s="91"/>
      <c r="AE25" s="92"/>
      <c r="AF25" s="29"/>
      <c r="AG25" s="35"/>
      <c r="AH25" s="91"/>
      <c r="AI25" s="92"/>
      <c r="AJ25" s="29"/>
      <c r="AK25" s="35"/>
      <c r="AL25" s="91"/>
      <c r="AM25" s="92"/>
      <c r="AN25" s="29"/>
      <c r="AO25" s="35"/>
      <c r="AP25" s="468"/>
      <c r="AQ25" s="472"/>
      <c r="AR25" s="389"/>
      <c r="AS25" s="109"/>
      <c r="AT25" s="77"/>
    </row>
    <row r="26" spans="1:46" x14ac:dyDescent="0.25">
      <c r="A26" s="6" t="s">
        <v>83</v>
      </c>
      <c r="B26" s="91"/>
      <c r="C26" s="92"/>
      <c r="D26" s="91"/>
      <c r="E26" s="92"/>
      <c r="F26" s="91"/>
      <c r="G26" s="92"/>
      <c r="H26" s="91"/>
      <c r="I26" s="92"/>
      <c r="J26" s="91"/>
      <c r="K26" s="92"/>
      <c r="L26" s="91"/>
      <c r="M26" s="92"/>
      <c r="N26" s="91"/>
      <c r="O26" s="148"/>
      <c r="P26" s="91"/>
      <c r="Q26" s="92"/>
      <c r="R26" s="91"/>
      <c r="S26" s="92"/>
      <c r="T26" s="91"/>
      <c r="U26" s="92"/>
      <c r="V26" s="29"/>
      <c r="W26" s="35"/>
      <c r="X26" s="29"/>
      <c r="Y26" s="35"/>
      <c r="Z26" s="91"/>
      <c r="AA26" s="92"/>
      <c r="AB26" s="91"/>
      <c r="AC26" s="92"/>
      <c r="AD26" s="91"/>
      <c r="AE26" s="92"/>
      <c r="AF26" s="29"/>
      <c r="AG26" s="35"/>
      <c r="AH26" s="91"/>
      <c r="AI26" s="92"/>
      <c r="AJ26" s="29"/>
      <c r="AK26" s="35"/>
      <c r="AL26" s="91"/>
      <c r="AM26" s="92"/>
      <c r="AN26" s="29"/>
      <c r="AO26" s="35"/>
      <c r="AP26" s="468"/>
      <c r="AQ26" s="472"/>
      <c r="AR26" s="389"/>
      <c r="AS26" s="109"/>
      <c r="AT26" s="77"/>
    </row>
    <row r="27" spans="1:46" x14ac:dyDescent="0.25">
      <c r="A27" s="133" t="s">
        <v>84</v>
      </c>
      <c r="B27" s="134">
        <f>+'Domestic Debt Colones'!B32+'EXTERNAL DEBT COLONES'!B36</f>
        <v>567149.98</v>
      </c>
      <c r="C27" s="258">
        <f>+B27/B7</f>
        <v>0.31542417308837456</v>
      </c>
      <c r="D27" s="134">
        <f>+'Domestic Debt Colones'!D32+'EXTERNAL DEBT COLONES'!D36</f>
        <v>444510.64600000001</v>
      </c>
      <c r="E27" s="258">
        <f t="shared" ref="E27" si="117">+D27/D7</f>
        <v>0.21335985881936212</v>
      </c>
      <c r="F27" s="134">
        <f>+'Domestic Debt Colones'!F32+'EXTERNAL DEBT COLONES'!F36</f>
        <v>648066.97500000009</v>
      </c>
      <c r="G27" s="258">
        <f t="shared" ref="G27" si="118">+F27/F7</f>
        <v>0.26210234069116017</v>
      </c>
      <c r="H27" s="134">
        <f>+'Domestic Debt Colones'!H32+'EXTERNAL DEBT COLONES'!H36</f>
        <v>547097.56900000002</v>
      </c>
      <c r="I27" s="258">
        <f t="shared" ref="I27" si="119">+H27/H7</f>
        <v>0.19579368298264388</v>
      </c>
      <c r="J27" s="134">
        <f>+'Domestic Debt Colones'!J32+'EXTERNAL DEBT COLONES'!J36</f>
        <v>707229.98</v>
      </c>
      <c r="K27" s="258">
        <f t="shared" ref="K27" si="120">+J27/J7</f>
        <v>0.21148023545798803</v>
      </c>
      <c r="L27" s="134">
        <f>+'Domestic Debt Colones'!L32+'EXTERNAL DEBT COLONES'!L36</f>
        <v>976080.4558</v>
      </c>
      <c r="M27" s="258">
        <f t="shared" ref="M27" si="121">+L27/L7</f>
        <v>0.27290272493220952</v>
      </c>
      <c r="N27" s="134">
        <f>+'Domestic Debt Colones'!N32+'EXTERNAL DEBT COLONES'!N36</f>
        <v>844196.21600000001</v>
      </c>
      <c r="O27" s="258">
        <f t="shared" ref="O27" si="122">+N27/N7</f>
        <v>0.21998792698551986</v>
      </c>
      <c r="P27" s="134">
        <f>+'Domestic Debt Colones'!P32+'EXTERNAL DEBT COLONES'!P36</f>
        <v>821379.14100000006</v>
      </c>
      <c r="Q27" s="258">
        <f t="shared" ref="Q27" si="123">+P27/P7</f>
        <v>0.21935694959439045</v>
      </c>
      <c r="R27" s="134">
        <f>+'Domestic Debt Colones'!R32+'EXTERNAL DEBT COLONES'!R36</f>
        <v>892686.36974969064</v>
      </c>
      <c r="S27" s="258">
        <f t="shared" ref="S27" si="124">+R27/R7</f>
        <v>0.22977710039082389</v>
      </c>
      <c r="T27" s="134">
        <f>+'Domestic Debt Colones'!T32+'EXTERNAL DEBT COLONES'!T36</f>
        <v>862240.43810503255</v>
      </c>
      <c r="U27" s="258">
        <f t="shared" ref="U27" si="125">+T27/T7</f>
        <v>0.18818433132482376</v>
      </c>
      <c r="V27" s="134">
        <f>+'Domestic Debt Colones'!V32+'EXTERNAL DEBT COLONES'!V36</f>
        <v>1295232.6979296841</v>
      </c>
      <c r="W27" s="258">
        <f t="shared" ref="W27" si="126">+V27/V7</f>
        <v>0.23290135794819994</v>
      </c>
      <c r="X27" s="134">
        <f>+'Domestic Debt Colones'!X32+'EXTERNAL DEBT COLONES'!X36</f>
        <v>1262402.3774346912</v>
      </c>
      <c r="Y27" s="258">
        <f t="shared" ref="Y27" si="127">+X27/X7</f>
        <v>0.19787720945862308</v>
      </c>
      <c r="Z27" s="134">
        <f>+'Domestic Debt Colones'!Z32+'EXTERNAL DEBT COLONES'!Z36</f>
        <v>1238644.4290360706</v>
      </c>
      <c r="AA27" s="258">
        <f t="shared" ref="AA27" si="128">+Z27/Z7</f>
        <v>0.15449603520670707</v>
      </c>
      <c r="AB27" s="134">
        <f>+'Domestic Debt Colones'!AB32+'EXTERNAL DEBT COLONES'!AB36</f>
        <v>1230319.817104225</v>
      </c>
      <c r="AC27" s="258">
        <f t="shared" ref="AC27" si="129">+AB27/AB7</f>
        <v>0.13769379443689295</v>
      </c>
      <c r="AD27" s="134">
        <f>+'Domestic Debt Colones'!AD32+'EXTERNAL DEBT COLONES'!AD36</f>
        <v>1664312.3316044845</v>
      </c>
      <c r="AE27" s="258">
        <f t="shared" ref="AE27" si="130">+AD27/AD7</f>
        <v>0.15858173276287685</v>
      </c>
      <c r="AF27" s="134">
        <f>+'Domestic Debt Colones'!AF32+'EXTERNAL DEBT COLONES'!AF36</f>
        <v>1827133.456705695</v>
      </c>
      <c r="AG27" s="258">
        <f t="shared" ref="AG27" si="131">+AF27/AF7</f>
        <v>0.15225052676366752</v>
      </c>
      <c r="AH27" s="134">
        <f>+'Domestic Debt Colones'!AH32+'EXTERNAL DEBT COLONES'!AH36</f>
        <v>1678635.2237127358</v>
      </c>
      <c r="AI27" s="258">
        <f t="shared" ref="AI27" si="132">+AH27/AH7</f>
        <v>0.1196062426041776</v>
      </c>
      <c r="AJ27" s="74">
        <f>+'Domestic Debt Colones'!AJ32+'EXTERNAL DEBT COLONES'!AJ36</f>
        <v>2343294.6862546066</v>
      </c>
      <c r="AK27" s="259">
        <f t="shared" ref="AK27" si="133">+AJ27/AJ7</f>
        <v>0.14584915550647573</v>
      </c>
      <c r="AL27" s="134">
        <f>+'Domestic Debt Colones'!AL32+'EXTERNAL DEBT COLONES'!AL36</f>
        <v>2415277.4845379516</v>
      </c>
      <c r="AM27" s="258">
        <f t="shared" ref="AM27" si="134">+AL27/AL7</f>
        <v>0.13000781364359049</v>
      </c>
      <c r="AN27" s="74">
        <f>+'Domestic Debt Colones'!AN32+'EXTERNAL DEBT COLONES'!AN36</f>
        <v>1638295.4944426124</v>
      </c>
      <c r="AO27" s="259">
        <f t="shared" ref="AO27" si="135">+AN27/AN7</f>
        <v>7.7215963927247971E-2</v>
      </c>
      <c r="AP27" s="461">
        <f>+'Domestic Debt Colones'!AP32+'EXTERNAL DEBT COLONES'!AP36</f>
        <v>2412131.963133242</v>
      </c>
      <c r="AQ27" s="542">
        <f t="shared" ref="AQ27" si="136">+AP27/AP7</f>
        <v>9.933602379773844E-2</v>
      </c>
      <c r="AR27" s="565"/>
      <c r="AS27" s="109"/>
      <c r="AT27" s="77"/>
    </row>
    <row r="28" spans="1:46" s="68" customFormat="1" x14ac:dyDescent="0.25">
      <c r="A28" s="218" t="s">
        <v>85</v>
      </c>
      <c r="B28" s="226">
        <f>+B27/B66</f>
        <v>0.12257267929109042</v>
      </c>
      <c r="C28" s="249"/>
      <c r="D28" s="226">
        <f t="shared" ref="D28" si="137">+D27/D66</f>
        <v>8.4602874177741677E-2</v>
      </c>
      <c r="E28" s="249"/>
      <c r="F28" s="226">
        <f t="shared" ref="F28" si="138">+F27/F66</f>
        <v>0.10863779872759195</v>
      </c>
      <c r="G28" s="249"/>
      <c r="H28" s="226">
        <f t="shared" ref="H28" si="139">+H27/H66</f>
        <v>7.9455783629045748E-2</v>
      </c>
      <c r="I28" s="249"/>
      <c r="J28" s="226">
        <f t="shared" ref="J28" si="140">+J27/J66</f>
        <v>8.6775217458216161E-2</v>
      </c>
      <c r="K28" s="249"/>
      <c r="L28" s="226">
        <f t="shared" ref="L28" si="141">+L27/L66</f>
        <v>0.10191899242568457</v>
      </c>
      <c r="M28" s="249"/>
      <c r="N28" s="226">
        <f t="shared" ref="N28" si="142">+N27/N66</f>
        <v>7.2692065375648901E-2</v>
      </c>
      <c r="O28" s="249"/>
      <c r="P28" s="226">
        <f t="shared" ref="P28" si="143">+P27/P66</f>
        <v>5.9138599748685163E-2</v>
      </c>
      <c r="Q28" s="249"/>
      <c r="R28" s="226">
        <f t="shared" ref="R28" si="144">+R27/R66</f>
        <v>5.5073586476238875E-2</v>
      </c>
      <c r="S28" s="249"/>
      <c r="T28" s="226">
        <f t="shared" ref="T28" si="145">+T27/T66</f>
        <v>4.8918257726484969E-2</v>
      </c>
      <c r="U28" s="249"/>
      <c r="V28" s="226">
        <f t="shared" ref="V28" si="146">+V27/V66</f>
        <v>6.5409150846867728E-2</v>
      </c>
      <c r="W28" s="249"/>
      <c r="X28" s="226">
        <f t="shared" ref="X28" si="147">+X27/X66</f>
        <v>5.8380971803985389E-2</v>
      </c>
      <c r="Y28" s="249"/>
      <c r="Z28" s="226">
        <f t="shared" ref="Z28" si="148">+Z27/Z66</f>
        <v>5.2147151213451627E-2</v>
      </c>
      <c r="AA28" s="249"/>
      <c r="AB28" s="226">
        <f t="shared" ref="AB28" si="149">+AB27/AB66</f>
        <v>4.8318030430089212E-2</v>
      </c>
      <c r="AC28" s="249"/>
      <c r="AD28" s="226">
        <f t="shared" ref="AD28" si="150">+AD27/AD66</f>
        <v>5.943690792674243E-2</v>
      </c>
      <c r="AE28" s="249"/>
      <c r="AF28" s="226">
        <f t="shared" ref="AF28" si="151">+AF27/AF66</f>
        <v>6.0557416482476853E-2</v>
      </c>
      <c r="AG28" s="249"/>
      <c r="AH28" s="226">
        <f t="shared" ref="AH28" si="152">+AH27/AH66</f>
        <v>5.2365239936975588E-2</v>
      </c>
      <c r="AI28" s="249"/>
      <c r="AJ28" s="223">
        <f t="shared" ref="AJ28:AN28" si="153">+AJ27/AJ66</f>
        <v>6.8230804151422936E-2</v>
      </c>
      <c r="AK28" s="250"/>
      <c r="AL28" s="226">
        <f t="shared" ref="AL28" si="154">+AL27/AL66</f>
        <v>6.7063622088986391E-2</v>
      </c>
      <c r="AM28" s="249"/>
      <c r="AN28" s="223">
        <f t="shared" si="153"/>
        <v>4.3304319292016877E-2</v>
      </c>
      <c r="AO28" s="250"/>
      <c r="AP28" s="464">
        <f t="shared" ref="AP28" si="155">+AP27/AP66</f>
        <v>6.6094415599330394E-2</v>
      </c>
      <c r="AQ28" s="465"/>
      <c r="AR28" s="565"/>
      <c r="AS28" s="109"/>
      <c r="AT28" s="255"/>
    </row>
    <row r="29" spans="1:46" x14ac:dyDescent="0.25">
      <c r="A29" s="133" t="s">
        <v>86</v>
      </c>
      <c r="B29" s="134">
        <f>+'Domestic Debt Colones'!B34+'EXTERNAL DEBT COLONES'!B38</f>
        <v>380594.41000000003</v>
      </c>
      <c r="C29" s="258">
        <f>+B29/B7</f>
        <v>0.21167007192049589</v>
      </c>
      <c r="D29" s="134">
        <f>+'Domestic Debt Colones'!D34+'EXTERNAL DEBT COLONES'!D38</f>
        <v>536465.46</v>
      </c>
      <c r="E29" s="258">
        <f t="shared" ref="E29" si="156">+D29/D7</f>
        <v>0.2574970832241083</v>
      </c>
      <c r="F29" s="134">
        <f>+'Domestic Debt Colones'!F34+'EXTERNAL DEBT COLONES'!F38</f>
        <v>588391.82499999995</v>
      </c>
      <c r="G29" s="258">
        <f t="shared" ref="G29" si="157">+F29/F7</f>
        <v>0.23796749491214772</v>
      </c>
      <c r="H29" s="134">
        <f>+'Domestic Debt Colones'!H34+'EXTERNAL DEBT COLONES'!H38</f>
        <v>837764.56300000008</v>
      </c>
      <c r="I29" s="258">
        <f t="shared" ref="I29" si="158">+H29/H7</f>
        <v>0.29981673938330949</v>
      </c>
      <c r="J29" s="134">
        <f>+'Domestic Debt Colones'!J34+'EXTERNAL DEBT COLONES'!J38</f>
        <v>1147739</v>
      </c>
      <c r="K29" s="258">
        <f t="shared" ref="K29" si="159">+J29/J7</f>
        <v>0.34320393765591739</v>
      </c>
      <c r="L29" s="134">
        <f>+'Domestic Debt Colones'!L34+'EXTERNAL DEBT COLONES'!L38</f>
        <v>1060358.8555000001</v>
      </c>
      <c r="M29" s="258">
        <f t="shared" ref="M29" si="160">+L29/L7</f>
        <v>0.29646615640385515</v>
      </c>
      <c r="N29" s="134">
        <f>+'Domestic Debt Colones'!N34+'EXTERNAL DEBT COLONES'!N38</f>
        <v>1734868.4940000002</v>
      </c>
      <c r="O29" s="258">
        <f t="shared" ref="O29" si="161">+N29/N7</f>
        <v>0.45208698683334397</v>
      </c>
      <c r="P29" s="134">
        <f>+'Domestic Debt Colones'!P34+'EXTERNAL DEBT COLONES'!P38</f>
        <v>1741728.625</v>
      </c>
      <c r="Q29" s="258">
        <f t="shared" ref="Q29" si="162">+P29/P7</f>
        <v>0.46514485105634301</v>
      </c>
      <c r="R29" s="134">
        <f>+'Domestic Debt Colones'!R34+'EXTERNAL DEBT COLONES'!R38</f>
        <v>1584860.6181750181</v>
      </c>
      <c r="S29" s="258">
        <f t="shared" ref="S29" si="163">+R29/R7</f>
        <v>0.40794246412653995</v>
      </c>
      <c r="T29" s="134">
        <f>+'Domestic Debt Colones'!T34+'EXTERNAL DEBT COLONES'!T38</f>
        <v>2345760.4764112555</v>
      </c>
      <c r="U29" s="258">
        <f t="shared" ref="U29" si="164">+T29/T7</f>
        <v>0.51196319169604909</v>
      </c>
      <c r="V29" s="134">
        <f>+'Domestic Debt Colones'!V34+'EXTERNAL DEBT COLONES'!V38</f>
        <v>2373172.6274919524</v>
      </c>
      <c r="W29" s="258">
        <f t="shared" ref="W29" si="165">+V29/V7</f>
        <v>0.42673036935512826</v>
      </c>
      <c r="X29" s="134">
        <f>+'Domestic Debt Colones'!X34+'EXTERNAL DEBT COLONES'!X38</f>
        <v>2821839.5648688395</v>
      </c>
      <c r="Y29" s="258">
        <f t="shared" ref="Y29" si="166">+X29/X7</f>
        <v>0.44231359875197013</v>
      </c>
      <c r="Z29" s="134">
        <f>+'Domestic Debt Colones'!Z34+'EXTERNAL DEBT COLONES'!Z38</f>
        <v>3035126.871880644</v>
      </c>
      <c r="AA29" s="258">
        <f t="shared" ref="AA29" si="167">+Z29/Z7</f>
        <v>0.37857116785307832</v>
      </c>
      <c r="AB29" s="134">
        <f>+'Domestic Debt Colones'!AB34+'EXTERNAL DEBT COLONES'!AB38</f>
        <v>3255841.05690243</v>
      </c>
      <c r="AC29" s="258">
        <f t="shared" ref="AC29" si="168">+AB29/AB7</f>
        <v>0.36438420561532864</v>
      </c>
      <c r="AD29" s="134">
        <f>+'Domestic Debt Colones'!AD34+'EXTERNAL DEBT COLONES'!AD38</f>
        <v>3097455.5204112339</v>
      </c>
      <c r="AE29" s="258">
        <f t="shared" ref="AE29" si="169">+AD29/AD7</f>
        <v>0.29513682874007757</v>
      </c>
      <c r="AF29" s="134">
        <f>+'Domestic Debt Colones'!AF34+'EXTERNAL DEBT COLONES'!AF38</f>
        <v>3662899.5774297179</v>
      </c>
      <c r="AG29" s="258">
        <f t="shared" ref="AG29" si="170">+AF29/AF7</f>
        <v>0.30522039213904972</v>
      </c>
      <c r="AH29" s="134">
        <f>+'Domestic Debt Colones'!AH34+'EXTERNAL DEBT COLONES'!AH38</f>
        <v>4494993.0468679331</v>
      </c>
      <c r="AI29" s="258">
        <f t="shared" ref="AI29" si="171">+AH29/AH7</f>
        <v>0.32027758102124854</v>
      </c>
      <c r="AJ29" s="74">
        <f>+'Domestic Debt Colones'!AJ34+'EXTERNAL DEBT COLONES'!AJ38</f>
        <v>5114189.3565687602</v>
      </c>
      <c r="AK29" s="259">
        <f t="shared" ref="AK29" si="172">+AJ29/AJ7</f>
        <v>0.3183125891639203</v>
      </c>
      <c r="AL29" s="134">
        <f>+'Domestic Debt Colones'!AL34+'EXTERNAL DEBT COLONES'!AL38</f>
        <v>7397782.3269932494</v>
      </c>
      <c r="AM29" s="258">
        <f t="shared" ref="AM29" si="173">+AL29/AL7</f>
        <v>0.39820248907241995</v>
      </c>
      <c r="AN29" s="74">
        <f>+'Domestic Debt Colones'!AN34+'EXTERNAL DEBT COLONES'!AN38</f>
        <v>7587529.6192756854</v>
      </c>
      <c r="AO29" s="259">
        <f t="shared" ref="AO29" si="174">+AN29/AN7</f>
        <v>0.35761461553567098</v>
      </c>
      <c r="AP29" s="461">
        <f>+'Domestic Debt Colones'!AP34+'EXTERNAL DEBT COLONES'!AP38</f>
        <v>8666583.6102041155</v>
      </c>
      <c r="AQ29" s="542">
        <f t="shared" ref="AQ29" si="175">+AP29/AP7</f>
        <v>0.35690582808332494</v>
      </c>
      <c r="AR29" s="565"/>
      <c r="AS29" s="109"/>
      <c r="AT29" s="77"/>
    </row>
    <row r="30" spans="1:46" s="68" customFormat="1" x14ac:dyDescent="0.25">
      <c r="A30" s="218" t="s">
        <v>85</v>
      </c>
      <c r="B30" s="226">
        <f>+B29/B66</f>
        <v>8.2254215290480631E-2</v>
      </c>
      <c r="C30" s="249"/>
      <c r="D30" s="226">
        <f t="shared" ref="D30" si="176">+D29/D66</f>
        <v>0.10210446076264348</v>
      </c>
      <c r="E30" s="249"/>
      <c r="F30" s="226">
        <f t="shared" ref="F30" si="177">+F29/F66</f>
        <v>9.8634238625275553E-2</v>
      </c>
      <c r="G30" s="249"/>
      <c r="H30" s="226">
        <f t="shared" ref="H30" si="178">+H29/H66</f>
        <v>0.12166977815580472</v>
      </c>
      <c r="I30" s="249"/>
      <c r="J30" s="226">
        <f t="shared" ref="J30" si="179">+J29/J66</f>
        <v>0.14082449009058631</v>
      </c>
      <c r="K30" s="249"/>
      <c r="L30" s="226">
        <f t="shared" ref="L30" si="180">+L29/L66</f>
        <v>0.11071905550412524</v>
      </c>
      <c r="M30" s="249"/>
      <c r="N30" s="226">
        <f t="shared" ref="N30" si="181">+N29/N66</f>
        <v>0.1493860924673957</v>
      </c>
      <c r="O30" s="249"/>
      <c r="P30" s="226">
        <f t="shared" ref="P30" si="182">+P29/P66</f>
        <v>0.12540298004073949</v>
      </c>
      <c r="Q30" s="249"/>
      <c r="R30" s="226">
        <f t="shared" ref="R30" si="183">+R29/R66</f>
        <v>9.7776734658020711E-2</v>
      </c>
      <c r="S30" s="249"/>
      <c r="T30" s="226">
        <f t="shared" ref="T30" si="184">+T29/T66</f>
        <v>0.13308412651334012</v>
      </c>
      <c r="U30" s="249"/>
      <c r="V30" s="226">
        <f t="shared" ref="V30" si="185">+V29/V66</f>
        <v>0.11984503373439817</v>
      </c>
      <c r="W30" s="249"/>
      <c r="X30" s="226">
        <f t="shared" ref="X30" si="186">+X29/X66</f>
        <v>0.13049859459766489</v>
      </c>
      <c r="Y30" s="249"/>
      <c r="Z30" s="226">
        <f t="shared" ref="Z30" si="187">+Z29/Z66</f>
        <v>0.12777938222605228</v>
      </c>
      <c r="AA30" s="249"/>
      <c r="AB30" s="226">
        <f t="shared" ref="AB30" si="188">+AB29/AB66</f>
        <v>0.12786579966924047</v>
      </c>
      <c r="AC30" s="249"/>
      <c r="AD30" s="226">
        <f t="shared" ref="AD30" si="189">+AD29/AD66</f>
        <v>0.1106181664810339</v>
      </c>
      <c r="AE30" s="249"/>
      <c r="AF30" s="226">
        <f t="shared" ref="AF30" si="190">+AF29/AF66</f>
        <v>0.12140094880854059</v>
      </c>
      <c r="AG30" s="249"/>
      <c r="AH30" s="226">
        <f t="shared" ref="AH30" si="191">+AH29/AH66</f>
        <v>0.14022188149589132</v>
      </c>
      <c r="AI30" s="249"/>
      <c r="AJ30" s="223">
        <f t="shared" ref="AJ30:AN30" si="192">+AJ29/AJ66</f>
        <v>0.14891223644563018</v>
      </c>
      <c r="AK30" s="250"/>
      <c r="AL30" s="226">
        <f t="shared" ref="AL30" si="193">+AL29/AL66</f>
        <v>0.20540997109032672</v>
      </c>
      <c r="AM30" s="249"/>
      <c r="AN30" s="223">
        <f t="shared" si="192"/>
        <v>0.20055771769215414</v>
      </c>
      <c r="AO30" s="250"/>
      <c r="AP30" s="464">
        <f t="shared" ref="AP30" si="194">+AP29/AP66</f>
        <v>0.23747157606382369</v>
      </c>
      <c r="AQ30" s="465"/>
      <c r="AR30" s="565"/>
      <c r="AS30" s="109"/>
      <c r="AT30" s="255"/>
    </row>
    <row r="31" spans="1:46" x14ac:dyDescent="0.25">
      <c r="A31" s="133" t="s">
        <v>87</v>
      </c>
      <c r="B31" s="134">
        <f>+'Domestic Debt Colones'!B36+'EXTERNAL DEBT COLONES'!B40</f>
        <v>850310.51</v>
      </c>
      <c r="C31" s="258">
        <f>+B31/B7</f>
        <v>0.47290575499112963</v>
      </c>
      <c r="D31" s="134">
        <f>+'Domestic Debt Colones'!D36+'EXTERNAL DEBT COLONES'!D40</f>
        <v>1102408.5027999999</v>
      </c>
      <c r="E31" s="258">
        <f t="shared" ref="E31" si="195">+D31/D7</f>
        <v>0.52914305795652949</v>
      </c>
      <c r="F31" s="134">
        <f>+'Domestic Debt Colones'!F36+'EXTERNAL DEBT COLONES'!F40</f>
        <v>1236113.45285</v>
      </c>
      <c r="G31" s="258">
        <f t="shared" ref="G31" si="196">+F31/F7</f>
        <v>0.49993016439669219</v>
      </c>
      <c r="H31" s="134">
        <f>+'Domestic Debt Colones'!H36+'EXTERNAL DEBT COLONES'!H40</f>
        <v>1409393.3346000002</v>
      </c>
      <c r="I31" s="258">
        <f t="shared" ref="I31" si="197">+H31/H7</f>
        <v>0.50438957763404679</v>
      </c>
      <c r="J31" s="134">
        <f>+'Domestic Debt Colones'!J36+'EXTERNAL DEBT COLONES'!J40</f>
        <v>1489220.5064000001</v>
      </c>
      <c r="K31" s="258">
        <f t="shared" ref="K31" si="198">+J31/J7</f>
        <v>0.44531582688609467</v>
      </c>
      <c r="L31" s="134">
        <f>+'Domestic Debt Colones'!L36+'EXTERNAL DEBT COLONES'!L40</f>
        <v>1540221.4055999997</v>
      </c>
      <c r="M31" s="258">
        <f t="shared" ref="M31" si="199">+L31/L7</f>
        <v>0.43063111866393528</v>
      </c>
      <c r="N31" s="134">
        <f>+'Domestic Debt Colones'!N36+'EXTERNAL DEBT COLONES'!N40</f>
        <v>1258401.4072000002</v>
      </c>
      <c r="O31" s="258">
        <f t="shared" ref="O31" si="200">+N31/N7</f>
        <v>0.32792508618113619</v>
      </c>
      <c r="P31" s="134">
        <f>+'Domestic Debt Colones'!P36+'EXTERNAL DEBT COLONES'!P40</f>
        <v>1181378.7547999998</v>
      </c>
      <c r="Q31" s="258">
        <f t="shared" ref="Q31" si="201">+P31/P7</f>
        <v>0.31549819934926648</v>
      </c>
      <c r="R31" s="134">
        <f>+'Domestic Debt Colones'!R36+'EXTERNAL DEBT COLONES'!R40</f>
        <v>1407463.1729282914</v>
      </c>
      <c r="S31" s="258">
        <f t="shared" ref="S31" si="202">+R31/R7</f>
        <v>0.36228043548263622</v>
      </c>
      <c r="T31" s="134">
        <f>+'Domestic Debt Colones'!T36+'EXTERNAL DEBT COLONES'!T40</f>
        <v>1373891.9148336179</v>
      </c>
      <c r="U31" s="258">
        <f t="shared" ref="U31" si="203">+T31/T7</f>
        <v>0.29985247719737751</v>
      </c>
      <c r="V31" s="134">
        <f>+'Domestic Debt Colones'!V36+'EXTERNAL DEBT COLONES'!V40</f>
        <v>1892887.7015505782</v>
      </c>
      <c r="W31" s="258">
        <f t="shared" ref="W31" si="204">+V31/V7</f>
        <v>0.3403682726966718</v>
      </c>
      <c r="X31" s="134">
        <f>+'Domestic Debt Colones'!X36+'EXTERNAL DEBT COLONES'!X40</f>
        <v>2295484.0548869884</v>
      </c>
      <c r="Y31" s="258">
        <f t="shared" ref="Y31" si="205">+X31/X7</f>
        <v>0.3598091917894069</v>
      </c>
      <c r="Z31" s="134">
        <f>+'Domestic Debt Colones'!Z36+'EXTERNAL DEBT COLONES'!Z40</f>
        <v>3743550.4858775805</v>
      </c>
      <c r="AA31" s="258">
        <f t="shared" ref="AA31" si="206">+Z31/Z7</f>
        <v>0.46693279694021489</v>
      </c>
      <c r="AB31" s="134">
        <f>+'Domestic Debt Colones'!AB36+'EXTERNAL DEBT COLONES'!AB40</f>
        <v>4449026.2354465583</v>
      </c>
      <c r="AC31" s="258">
        <f t="shared" ref="AC31" si="207">+AB31/AB7</f>
        <v>0.49792199994777953</v>
      </c>
      <c r="AD31" s="134">
        <f>+'Domestic Debt Colones'!AD36+'EXTERNAL DEBT COLONES'!AD40</f>
        <v>5733213.5219934033</v>
      </c>
      <c r="AE31" s="258">
        <f t="shared" ref="AE31" si="208">+AD31/AD7</f>
        <v>0.54628143849704569</v>
      </c>
      <c r="AF31" s="134">
        <f>+'Domestic Debt Colones'!AF36+'EXTERNAL DEBT COLONES'!AF40</f>
        <v>6510802.0075842449</v>
      </c>
      <c r="AG31" s="258">
        <f t="shared" ref="AG31" si="209">+AF31/AF7</f>
        <v>0.54252908109728426</v>
      </c>
      <c r="AH31" s="134">
        <f>+'Domestic Debt Colones'!AH36+'EXTERNAL DEBT COLONES'!AH40</f>
        <v>7861050.7491812846</v>
      </c>
      <c r="AI31" s="258">
        <f t="shared" ref="AI31" si="210">+AH31/AH7</f>
        <v>0.56011617637259237</v>
      </c>
      <c r="AJ31" s="74">
        <f>+'Domestic Debt Colones'!AJ36+'EXTERNAL DEBT COLONES'!AJ40</f>
        <v>8609079.2370070294</v>
      </c>
      <c r="AK31" s="259">
        <f t="shared" ref="AK31" si="211">+AJ31/AJ7</f>
        <v>0.53583825532960805</v>
      </c>
      <c r="AL31" s="134">
        <f>+'Domestic Debt Colones'!AL36+'EXTERNAL DEBT COLONES'!AL40</f>
        <v>8764881.135611359</v>
      </c>
      <c r="AM31" s="258">
        <f t="shared" ref="AM31" si="212">+AL31/AL7</f>
        <v>0.47178969728390152</v>
      </c>
      <c r="AN31" s="74">
        <f>+'Domestic Debt Colones'!AN36+'EXTERNAL DEBT COLONES'!AN40</f>
        <v>11991231.711467311</v>
      </c>
      <c r="AO31" s="259">
        <f t="shared" ref="AO31" si="213">+AN31/AN7</f>
        <v>0.56516942054519304</v>
      </c>
      <c r="AP31" s="461">
        <f>+'Domestic Debt Colones'!AP36+'EXTERNAL DEBT COLONES'!AP40</f>
        <v>13203834.411163315</v>
      </c>
      <c r="AQ31" s="542">
        <f t="shared" ref="AQ31" si="214">+AP31/AP7</f>
        <v>0.54375814811764733</v>
      </c>
      <c r="AR31" s="565"/>
      <c r="AS31" s="109"/>
      <c r="AT31" s="77"/>
    </row>
    <row r="32" spans="1:46" s="68" customFormat="1" x14ac:dyDescent="0.25">
      <c r="A32" s="218" t="s">
        <v>85</v>
      </c>
      <c r="B32" s="226">
        <f>+B31/B66</f>
        <v>0.18376944567656256</v>
      </c>
      <c r="C32" s="249"/>
      <c r="D32" s="226">
        <f t="shared" ref="D32" si="215">+D31/D66</f>
        <v>0.20981933434921821</v>
      </c>
      <c r="E32" s="249"/>
      <c r="F32" s="226">
        <f t="shared" ref="F32" si="216">+F31/F66</f>
        <v>0.20721414556757348</v>
      </c>
      <c r="G32" s="249"/>
      <c r="H32" s="226">
        <f t="shared" ref="H32" si="217">+H31/H66</f>
        <v>0.20468826437464371</v>
      </c>
      <c r="I32" s="249"/>
      <c r="J32" s="226">
        <f t="shared" ref="J32" si="218">+J31/J66</f>
        <v>0.18272335299769787</v>
      </c>
      <c r="K32" s="249"/>
      <c r="L32" s="226">
        <f t="shared" ref="L32" si="219">+L31/L66</f>
        <v>0.16082466648977606</v>
      </c>
      <c r="M32" s="249"/>
      <c r="N32" s="226">
        <f t="shared" ref="N32" si="220">+N31/N66</f>
        <v>0.10835845461902779</v>
      </c>
      <c r="O32" s="249"/>
      <c r="P32" s="226">
        <f t="shared" ref="P32" si="221">+P31/P66</f>
        <v>8.5058265841349442E-2</v>
      </c>
      <c r="Q32" s="249"/>
      <c r="R32" s="226">
        <f t="shared" ref="R32" si="222">+R31/R66</f>
        <v>8.6832338201963094E-2</v>
      </c>
      <c r="S32" s="249"/>
      <c r="T32" s="226">
        <f t="shared" ref="T32" si="223">+T31/T66</f>
        <v>7.7946238436543802E-2</v>
      </c>
      <c r="U32" s="249"/>
      <c r="V32" s="226">
        <f t="shared" ref="V32" si="224">+V31/V66</f>
        <v>9.5590682203132632E-2</v>
      </c>
      <c r="W32" s="249"/>
      <c r="X32" s="226">
        <f t="shared" ref="X32" si="225">+X31/X66</f>
        <v>0.10615679460076768</v>
      </c>
      <c r="Y32" s="249"/>
      <c r="Z32" s="226">
        <f t="shared" ref="Z32" si="226">+Z31/Z66</f>
        <v>0.15760414263047851</v>
      </c>
      <c r="AA32" s="249"/>
      <c r="AB32" s="226">
        <f t="shared" ref="AB32" si="227">+AB31/AB66</f>
        <v>0.17472545109005691</v>
      </c>
      <c r="AC32" s="249"/>
      <c r="AD32" s="226">
        <f t="shared" ref="AD32" si="228">+AD31/AD66</f>
        <v>0.20474791765951872</v>
      </c>
      <c r="AE32" s="249"/>
      <c r="AF32" s="226">
        <f t="shared" ref="AF32" si="229">+AF31/AF66</f>
        <v>0.21579012050882371</v>
      </c>
      <c r="AG32" s="249"/>
      <c r="AH32" s="226">
        <f t="shared" ref="AH32" si="230">+AH31/AH66</f>
        <v>0.24522648090700644</v>
      </c>
      <c r="AI32" s="249"/>
      <c r="AJ32" s="223">
        <f t="shared" ref="AJ32:AN32" si="231">+AJ31/AJ66</f>
        <v>0.25067457490085598</v>
      </c>
      <c r="AK32" s="250"/>
      <c r="AL32" s="226">
        <f t="shared" ref="AL32" si="232">+AL31/AL66</f>
        <v>0.24336941817100347</v>
      </c>
      <c r="AM32" s="249"/>
      <c r="AN32" s="223">
        <f t="shared" si="231"/>
        <v>0.31695877117369925</v>
      </c>
      <c r="AO32" s="250"/>
      <c r="AP32" s="464">
        <f t="shared" ref="AP32" si="233">+AP31/AP66</f>
        <v>0.36179600967708819</v>
      </c>
      <c r="AQ32" s="465"/>
      <c r="AR32" s="565"/>
      <c r="AS32" s="109"/>
      <c r="AT32" s="255"/>
    </row>
    <row r="33" spans="1:46" x14ac:dyDescent="0.25">
      <c r="A33" s="133"/>
      <c r="B33" s="5"/>
      <c r="C33" s="92"/>
      <c r="D33" s="5"/>
      <c r="E33" s="92"/>
      <c r="F33" s="5"/>
      <c r="G33" s="92"/>
      <c r="H33" s="5"/>
      <c r="I33" s="92"/>
      <c r="J33" s="5"/>
      <c r="K33" s="92"/>
      <c r="L33" s="5"/>
      <c r="M33" s="92"/>
      <c r="N33" s="5"/>
      <c r="O33" s="148"/>
      <c r="P33" s="5"/>
      <c r="Q33" s="92"/>
      <c r="R33" s="5"/>
      <c r="S33" s="92"/>
      <c r="T33" s="5"/>
      <c r="U33" s="92"/>
      <c r="V33" s="76"/>
      <c r="W33" s="35"/>
      <c r="X33" s="76"/>
      <c r="Y33" s="35"/>
      <c r="Z33" s="133"/>
      <c r="AA33" s="92"/>
      <c r="AB33" s="133"/>
      <c r="AC33" s="92"/>
      <c r="AD33" s="133"/>
      <c r="AE33" s="92"/>
      <c r="AF33" s="76"/>
      <c r="AG33" s="35"/>
      <c r="AH33" s="133"/>
      <c r="AI33" s="92"/>
      <c r="AJ33" s="76"/>
      <c r="AK33" s="35"/>
      <c r="AL33" s="133"/>
      <c r="AM33" s="92"/>
      <c r="AN33" s="76"/>
      <c r="AO33" s="35"/>
      <c r="AP33" s="473"/>
      <c r="AQ33" s="472"/>
      <c r="AR33" s="389"/>
      <c r="AS33" s="109"/>
      <c r="AT33" s="77"/>
    </row>
    <row r="34" spans="1:46" x14ac:dyDescent="0.25">
      <c r="A34" s="31" t="s">
        <v>88</v>
      </c>
      <c r="B34" s="659" t="s">
        <v>124</v>
      </c>
      <c r="C34" s="92"/>
      <c r="D34" s="659" t="s">
        <v>124</v>
      </c>
      <c r="E34" s="92"/>
      <c r="F34" s="659" t="s">
        <v>124</v>
      </c>
      <c r="G34" s="92"/>
      <c r="H34" s="659" t="s">
        <v>124</v>
      </c>
      <c r="I34" s="92"/>
      <c r="J34" s="659" t="s">
        <v>124</v>
      </c>
      <c r="K34" s="92"/>
      <c r="L34" s="659" t="s">
        <v>124</v>
      </c>
      <c r="M34" s="92"/>
      <c r="N34" s="659" t="s">
        <v>124</v>
      </c>
      <c r="O34" s="148"/>
      <c r="P34" s="659" t="s">
        <v>124</v>
      </c>
      <c r="Q34" s="92"/>
      <c r="R34" s="659" t="s">
        <v>124</v>
      </c>
      <c r="S34" s="92"/>
      <c r="T34" s="659" t="s">
        <v>124</v>
      </c>
      <c r="U34" s="92"/>
      <c r="V34" s="659" t="s">
        <v>124</v>
      </c>
      <c r="W34" s="35"/>
      <c r="X34" s="659" t="s">
        <v>124</v>
      </c>
      <c r="Y34" s="35"/>
      <c r="Z34" s="659" t="s">
        <v>124</v>
      </c>
      <c r="AA34" s="92"/>
      <c r="AB34" s="659" t="s">
        <v>124</v>
      </c>
      <c r="AC34" s="92"/>
      <c r="AD34" s="659" t="s">
        <v>124</v>
      </c>
      <c r="AE34" s="92"/>
      <c r="AF34" s="659" t="s">
        <v>124</v>
      </c>
      <c r="AG34" s="35"/>
      <c r="AH34" s="659" t="s">
        <v>124</v>
      </c>
      <c r="AI34" s="35"/>
      <c r="AJ34" s="659" t="s">
        <v>124</v>
      </c>
      <c r="AK34" s="92"/>
      <c r="AL34" s="659" t="s">
        <v>124</v>
      </c>
      <c r="AM34" s="92"/>
      <c r="AN34" s="691">
        <v>8.0045067574801454</v>
      </c>
      <c r="AO34" s="37" t="s">
        <v>89</v>
      </c>
      <c r="AP34" s="656">
        <v>8.0045067574801454</v>
      </c>
      <c r="AQ34" s="475" t="s">
        <v>89</v>
      </c>
      <c r="AR34" s="389"/>
      <c r="AS34" s="109"/>
      <c r="AT34" s="77"/>
    </row>
    <row r="35" spans="1:46" s="438" customFormat="1" x14ac:dyDescent="0.25">
      <c r="A35" s="6" t="s">
        <v>185</v>
      </c>
      <c r="B35" s="659" t="s">
        <v>124</v>
      </c>
      <c r="C35" s="547"/>
      <c r="D35" s="659" t="s">
        <v>124</v>
      </c>
      <c r="E35" s="547"/>
      <c r="F35" s="659" t="s">
        <v>124</v>
      </c>
      <c r="G35" s="547"/>
      <c r="H35" s="659" t="s">
        <v>124</v>
      </c>
      <c r="I35" s="547"/>
      <c r="J35" s="659" t="s">
        <v>124</v>
      </c>
      <c r="K35" s="547"/>
      <c r="L35" s="659" t="s">
        <v>124</v>
      </c>
      <c r="M35" s="547"/>
      <c r="N35" s="659" t="s">
        <v>124</v>
      </c>
      <c r="O35" s="7"/>
      <c r="P35" s="659" t="s">
        <v>124</v>
      </c>
      <c r="Q35" s="547"/>
      <c r="R35" s="659" t="s">
        <v>124</v>
      </c>
      <c r="S35" s="547"/>
      <c r="T35" s="659" t="s">
        <v>124</v>
      </c>
      <c r="U35" s="547"/>
      <c r="V35" s="659" t="s">
        <v>124</v>
      </c>
      <c r="W35" s="548"/>
      <c r="X35" s="659" t="s">
        <v>124</v>
      </c>
      <c r="Y35" s="548"/>
      <c r="Z35" s="659" t="s">
        <v>124</v>
      </c>
      <c r="AA35" s="547"/>
      <c r="AB35" s="659" t="s">
        <v>124</v>
      </c>
      <c r="AC35" s="547"/>
      <c r="AD35" s="659" t="s">
        <v>124</v>
      </c>
      <c r="AE35" s="547"/>
      <c r="AF35" s="637">
        <v>7.1</v>
      </c>
      <c r="AG35" s="548" t="s">
        <v>89</v>
      </c>
      <c r="AH35" s="637">
        <v>6.65</v>
      </c>
      <c r="AI35" s="548" t="s">
        <v>89</v>
      </c>
      <c r="AJ35" s="642">
        <v>5.83</v>
      </c>
      <c r="AK35" s="547" t="s">
        <v>89</v>
      </c>
      <c r="AL35" s="642">
        <v>5.2965009096543465</v>
      </c>
      <c r="AM35" s="94" t="s">
        <v>89</v>
      </c>
      <c r="AN35" s="637">
        <v>5.9964798566575706</v>
      </c>
      <c r="AO35" s="37" t="s">
        <v>89</v>
      </c>
      <c r="AP35" s="634">
        <v>5.9964798566575706</v>
      </c>
      <c r="AQ35" s="475" t="s">
        <v>89</v>
      </c>
      <c r="AR35" s="126"/>
      <c r="AS35" s="109"/>
      <c r="AT35" s="255"/>
    </row>
    <row r="36" spans="1:46" s="438" customFormat="1" x14ac:dyDescent="0.25">
      <c r="A36" s="31" t="s">
        <v>216</v>
      </c>
      <c r="B36" s="659" t="s">
        <v>124</v>
      </c>
      <c r="C36" s="547"/>
      <c r="D36" s="659" t="s">
        <v>124</v>
      </c>
      <c r="E36" s="547"/>
      <c r="F36" s="659" t="s">
        <v>124</v>
      </c>
      <c r="G36" s="547"/>
      <c r="H36" s="659" t="s">
        <v>124</v>
      </c>
      <c r="I36" s="547"/>
      <c r="J36" s="659" t="s">
        <v>124</v>
      </c>
      <c r="K36" s="547"/>
      <c r="L36" s="659" t="s">
        <v>124</v>
      </c>
      <c r="M36" s="547"/>
      <c r="N36" s="659" t="s">
        <v>124</v>
      </c>
      <c r="O36" s="7"/>
      <c r="P36" s="659" t="s">
        <v>124</v>
      </c>
      <c r="Q36" s="547"/>
      <c r="R36" s="659" t="s">
        <v>124</v>
      </c>
      <c r="S36" s="547"/>
      <c r="T36" s="659" t="s">
        <v>124</v>
      </c>
      <c r="U36" s="547"/>
      <c r="V36" s="659" t="s">
        <v>124</v>
      </c>
      <c r="W36" s="548"/>
      <c r="X36" s="659" t="s">
        <v>124</v>
      </c>
      <c r="Y36" s="548"/>
      <c r="Z36" s="659" t="s">
        <v>124</v>
      </c>
      <c r="AA36" s="547"/>
      <c r="AB36" s="659" t="s">
        <v>124</v>
      </c>
      <c r="AC36" s="547"/>
      <c r="AD36" s="659" t="s">
        <v>124</v>
      </c>
      <c r="AE36" s="547"/>
      <c r="AF36" s="659" t="s">
        <v>124</v>
      </c>
      <c r="AG36" s="548"/>
      <c r="AH36" s="659" t="s">
        <v>124</v>
      </c>
      <c r="AI36" s="548"/>
      <c r="AJ36" s="659" t="s">
        <v>124</v>
      </c>
      <c r="AK36" s="547"/>
      <c r="AL36" s="641">
        <v>0.10187646355838213</v>
      </c>
      <c r="AM36" s="547"/>
      <c r="AN36" s="692">
        <v>8.3279571566162322E-2</v>
      </c>
      <c r="AO36" s="548"/>
      <c r="AP36" s="633">
        <v>8.3279571566162322E-2</v>
      </c>
      <c r="AQ36" s="550"/>
      <c r="AR36" s="126"/>
      <c r="AS36" s="109"/>
      <c r="AT36" s="255"/>
    </row>
    <row r="37" spans="1:46" x14ac:dyDescent="0.25">
      <c r="A37" s="215" t="s">
        <v>217</v>
      </c>
      <c r="B37" s="659" t="s">
        <v>124</v>
      </c>
      <c r="C37" s="547"/>
      <c r="D37" s="659" t="s">
        <v>124</v>
      </c>
      <c r="E37" s="547"/>
      <c r="F37" s="659" t="s">
        <v>124</v>
      </c>
      <c r="G37" s="547"/>
      <c r="H37" s="659" t="s">
        <v>124</v>
      </c>
      <c r="I37" s="547"/>
      <c r="J37" s="659" t="s">
        <v>124</v>
      </c>
      <c r="K37" s="547"/>
      <c r="L37" s="659" t="s">
        <v>124</v>
      </c>
      <c r="M37" s="547"/>
      <c r="N37" s="659" t="s">
        <v>124</v>
      </c>
      <c r="O37" s="7"/>
      <c r="P37" s="659" t="s">
        <v>124</v>
      </c>
      <c r="Q37" s="547"/>
      <c r="R37" s="659" t="s">
        <v>124</v>
      </c>
      <c r="S37" s="547"/>
      <c r="T37" s="659" t="s">
        <v>124</v>
      </c>
      <c r="U37" s="547"/>
      <c r="V37" s="659" t="s">
        <v>124</v>
      </c>
      <c r="W37" s="548"/>
      <c r="X37" s="659" t="s">
        <v>124</v>
      </c>
      <c r="Y37" s="548"/>
      <c r="Z37" s="659" t="s">
        <v>124</v>
      </c>
      <c r="AA37" s="547"/>
      <c r="AB37" s="659" t="s">
        <v>124</v>
      </c>
      <c r="AC37" s="547"/>
      <c r="AD37" s="659" t="s">
        <v>124</v>
      </c>
      <c r="AE37" s="547"/>
      <c r="AF37" s="659" t="s">
        <v>124</v>
      </c>
      <c r="AG37" s="548"/>
      <c r="AH37" s="659" t="s">
        <v>124</v>
      </c>
      <c r="AI37" s="548"/>
      <c r="AJ37" s="659" t="s">
        <v>124</v>
      </c>
      <c r="AK37" s="547"/>
      <c r="AL37" s="659" t="s">
        <v>124</v>
      </c>
      <c r="AM37" s="547"/>
      <c r="AN37" s="693">
        <v>5.15</v>
      </c>
      <c r="AO37" s="694" t="s">
        <v>89</v>
      </c>
      <c r="AP37" s="657">
        <v>5.15</v>
      </c>
      <c r="AQ37" s="658" t="s">
        <v>89</v>
      </c>
      <c r="AR37" s="389"/>
      <c r="AS37" s="109"/>
      <c r="AT37" s="77"/>
    </row>
    <row r="38" spans="1:46" x14ac:dyDescent="0.25">
      <c r="A38" s="215" t="s">
        <v>91</v>
      </c>
      <c r="B38" s="659" t="s">
        <v>124</v>
      </c>
      <c r="C38" s="547"/>
      <c r="D38" s="659" t="s">
        <v>124</v>
      </c>
      <c r="E38" s="547"/>
      <c r="F38" s="659" t="s">
        <v>124</v>
      </c>
      <c r="G38" s="547"/>
      <c r="H38" s="659" t="s">
        <v>124</v>
      </c>
      <c r="I38" s="547"/>
      <c r="J38" s="659" t="s">
        <v>124</v>
      </c>
      <c r="K38" s="547"/>
      <c r="L38" s="659" t="s">
        <v>124</v>
      </c>
      <c r="M38" s="547"/>
      <c r="N38" s="659" t="s">
        <v>124</v>
      </c>
      <c r="O38" s="7"/>
      <c r="P38" s="659" t="s">
        <v>124</v>
      </c>
      <c r="Q38" s="547"/>
      <c r="R38" s="659" t="s">
        <v>124</v>
      </c>
      <c r="S38" s="547"/>
      <c r="T38" s="659" t="s">
        <v>124</v>
      </c>
      <c r="U38" s="547"/>
      <c r="V38" s="659" t="s">
        <v>124</v>
      </c>
      <c r="W38" s="548"/>
      <c r="X38" s="659" t="s">
        <v>124</v>
      </c>
      <c r="Y38" s="548"/>
      <c r="Z38" s="659" t="s">
        <v>124</v>
      </c>
      <c r="AA38" s="547"/>
      <c r="AB38" s="659" t="s">
        <v>124</v>
      </c>
      <c r="AC38" s="547"/>
      <c r="AD38" s="659" t="s">
        <v>124</v>
      </c>
      <c r="AE38" s="547"/>
      <c r="AF38" s="659" t="s">
        <v>124</v>
      </c>
      <c r="AG38" s="548"/>
      <c r="AH38" s="659" t="s">
        <v>124</v>
      </c>
      <c r="AI38" s="548"/>
      <c r="AJ38" s="659" t="s">
        <v>124</v>
      </c>
      <c r="AK38" s="547"/>
      <c r="AL38" s="659" t="s">
        <v>124</v>
      </c>
      <c r="AM38" s="547"/>
      <c r="AN38" s="693">
        <v>4.99</v>
      </c>
      <c r="AO38" s="694" t="s">
        <v>89</v>
      </c>
      <c r="AP38" s="657">
        <v>4.99</v>
      </c>
      <c r="AQ38" s="658" t="s">
        <v>89</v>
      </c>
      <c r="AR38" s="389"/>
      <c r="AS38" s="109"/>
      <c r="AT38" s="77"/>
    </row>
    <row r="39" spans="1:46" x14ac:dyDescent="0.25">
      <c r="A39" s="215"/>
      <c r="B39" s="5"/>
      <c r="C39" s="92"/>
      <c r="D39" s="5"/>
      <c r="E39" s="92"/>
      <c r="F39" s="5"/>
      <c r="G39" s="92"/>
      <c r="H39" s="5"/>
      <c r="I39" s="92"/>
      <c r="J39" s="5"/>
      <c r="K39" s="92"/>
      <c r="L39" s="5"/>
      <c r="M39" s="92"/>
      <c r="N39" s="5"/>
      <c r="O39" s="148"/>
      <c r="P39" s="5"/>
      <c r="Q39" s="92"/>
      <c r="R39" s="5"/>
      <c r="S39" s="92"/>
      <c r="T39" s="5"/>
      <c r="U39" s="92"/>
      <c r="V39" s="76"/>
      <c r="W39" s="35"/>
      <c r="X39" s="76"/>
      <c r="Y39" s="35"/>
      <c r="Z39" s="133"/>
      <c r="AA39" s="92"/>
      <c r="AB39" s="133"/>
      <c r="AC39" s="92"/>
      <c r="AD39" s="517"/>
      <c r="AE39" s="547"/>
      <c r="AF39" s="549"/>
      <c r="AG39" s="548"/>
      <c r="AH39" s="549"/>
      <c r="AI39" s="548"/>
      <c r="AJ39" s="545"/>
      <c r="AK39" s="547"/>
      <c r="AL39" s="641"/>
      <c r="AM39" s="92"/>
      <c r="AN39" s="692"/>
      <c r="AO39" s="35"/>
      <c r="AP39" s="633"/>
      <c r="AQ39" s="472"/>
      <c r="AR39" s="389"/>
      <c r="AS39" s="109"/>
      <c r="AT39" s="77"/>
    </row>
    <row r="40" spans="1:46" x14ac:dyDescent="0.25">
      <c r="A40" s="6" t="s">
        <v>93</v>
      </c>
      <c r="B40" s="153"/>
      <c r="C40" s="92"/>
      <c r="D40" s="153"/>
      <c r="E40" s="92"/>
      <c r="F40" s="153"/>
      <c r="G40" s="92"/>
      <c r="H40" s="153"/>
      <c r="I40" s="92"/>
      <c r="J40" s="153"/>
      <c r="K40" s="92"/>
      <c r="L40" s="153"/>
      <c r="M40" s="92"/>
      <c r="N40" s="153"/>
      <c r="O40" s="148"/>
      <c r="P40" s="153"/>
      <c r="Q40" s="92"/>
      <c r="R40" s="153"/>
      <c r="S40" s="92"/>
      <c r="T40" s="153"/>
      <c r="U40" s="92"/>
      <c r="V40" s="75"/>
      <c r="W40" s="35"/>
      <c r="X40" s="75"/>
      <c r="Y40" s="35"/>
      <c r="Z40" s="153"/>
      <c r="AA40" s="92"/>
      <c r="AB40" s="153"/>
      <c r="AC40" s="92"/>
      <c r="AD40" s="153"/>
      <c r="AE40" s="92"/>
      <c r="AF40" s="75"/>
      <c r="AG40" s="35"/>
      <c r="AH40" s="93"/>
      <c r="AI40" s="92"/>
      <c r="AJ40" s="39"/>
      <c r="AK40" s="35"/>
      <c r="AL40" s="93"/>
      <c r="AM40" s="92"/>
      <c r="AN40" s="39"/>
      <c r="AO40" s="35"/>
      <c r="AP40" s="476"/>
      <c r="AQ40" s="472"/>
      <c r="AR40" s="389"/>
      <c r="AS40" s="109"/>
      <c r="AT40" s="77"/>
    </row>
    <row r="41" spans="1:46" x14ac:dyDescent="0.25">
      <c r="A41" s="6" t="s">
        <v>94</v>
      </c>
      <c r="B41" s="134">
        <f>+'Domestic Debt Colones'!B45+'EXTERNAL DEBT COLONES'!B49</f>
        <v>175652.8</v>
      </c>
      <c r="C41" s="92"/>
      <c r="D41" s="134">
        <f>+'Domestic Debt Colones'!D45+'EXTERNAL DEBT COLONES'!D49</f>
        <v>213865.8</v>
      </c>
      <c r="E41" s="92"/>
      <c r="F41" s="134">
        <f>+'Domestic Debt Colones'!F45+'EXTERNAL DEBT COLONES'!F49</f>
        <v>259416.59999999998</v>
      </c>
      <c r="G41" s="92"/>
      <c r="H41" s="134">
        <f>+'Domestic Debt Colones'!H45+'EXTERNAL DEBT COLONES'!H49</f>
        <v>297267.09999999998</v>
      </c>
      <c r="I41" s="92"/>
      <c r="J41" s="134">
        <f>+'Domestic Debt Colones'!J45+'EXTERNAL DEBT COLONES'!J49</f>
        <v>334323.43</v>
      </c>
      <c r="K41" s="92"/>
      <c r="L41" s="134">
        <f>+'Domestic Debt Colones'!L45+'EXTERNAL DEBT COLONES'!L49</f>
        <v>393653.45359391032</v>
      </c>
      <c r="M41" s="92"/>
      <c r="N41" s="134">
        <f>+'Domestic Debt Colones'!N45+'EXTERNAL DEBT COLONES'!N49</f>
        <v>436803.98151976918</v>
      </c>
      <c r="O41" s="92"/>
      <c r="P41" s="134">
        <f>+'Domestic Debt Colones'!P45+'EXTERNAL DEBT COLONES'!P49</f>
        <v>419935.28929662198</v>
      </c>
      <c r="Q41" s="92"/>
      <c r="R41" s="134">
        <f>+'Domestic Debt Colones'!R45+'EXTERNAL DEBT COLONES'!R49</f>
        <v>340190.79940929764</v>
      </c>
      <c r="S41" s="92"/>
      <c r="T41" s="134">
        <f>+'Domestic Debt Colones'!T45+'EXTERNAL DEBT COLONES'!T49</f>
        <v>360707.97891708463</v>
      </c>
      <c r="U41" s="92"/>
      <c r="V41" s="134">
        <f>+'Domestic Debt Colones'!V45+'EXTERNAL DEBT COLONES'!V49</f>
        <v>402665.77689660015</v>
      </c>
      <c r="W41" s="92"/>
      <c r="X41" s="134">
        <f>+'Domestic Debt Colones'!X45+'EXTERNAL DEBT COLONES'!X49</f>
        <v>450487.47067054157</v>
      </c>
      <c r="Y41" s="92"/>
      <c r="Z41" s="134">
        <f>+'Domestic Debt Colones'!Z45+'EXTERNAL DEBT COLONES'!Z49</f>
        <v>473403.61301133712</v>
      </c>
      <c r="AA41" s="92"/>
      <c r="AB41" s="134">
        <f>+'Domestic Debt Colones'!AB45+'EXTERNAL DEBT COLONES'!AB49</f>
        <v>633063.96372662229</v>
      </c>
      <c r="AC41" s="92"/>
      <c r="AD41" s="134">
        <f>+'Domestic Debt Colones'!AD45+'EXTERNAL DEBT COLONES'!AD49</f>
        <v>699050.45577622869</v>
      </c>
      <c r="AE41" s="92"/>
      <c r="AF41" s="134">
        <f>+'Domestic Debt Colones'!AF45+'EXTERNAL DEBT COLONES'!AF49</f>
        <v>802073.60944201704</v>
      </c>
      <c r="AG41" s="92"/>
      <c r="AH41" s="134">
        <f>+'Domestic Debt Colones'!AH45+'EXTERNAL DEBT COLONES'!AH49</f>
        <v>877388.67285129859</v>
      </c>
      <c r="AI41" s="92"/>
      <c r="AJ41" s="74">
        <f>+'Domestic Debt Colones'!AJ45+'EXTERNAL DEBT COLONES'!AJ49</f>
        <v>1022322.0103726303</v>
      </c>
      <c r="AK41" s="35"/>
      <c r="AL41" s="134">
        <f>+'Domestic Debt Colones'!AL45+'EXTERNAL DEBT COLONES'!AL49</f>
        <v>1228700.4909161236</v>
      </c>
      <c r="AM41" s="92"/>
      <c r="AN41" s="74">
        <f>+'Domestic Debt Colones'!AN45+'EXTERNAL DEBT COLONES'!AN49</f>
        <v>1517249.4542243471</v>
      </c>
      <c r="AO41" s="35"/>
      <c r="AP41" s="461">
        <f>+'Domestic Debt Colones'!AP45+'EXTERNAL DEBT COLONES'!AP49</f>
        <v>1681308.4334731146</v>
      </c>
      <c r="AQ41" s="472"/>
      <c r="AR41" s="389"/>
      <c r="AS41" s="109"/>
      <c r="AT41" s="77"/>
    </row>
    <row r="42" spans="1:46" s="68" customFormat="1" x14ac:dyDescent="0.25">
      <c r="A42" s="218" t="s">
        <v>71</v>
      </c>
      <c r="B42" s="226">
        <f>+B41/B66</f>
        <v>3.796215301106428E-2</v>
      </c>
      <c r="C42" s="92"/>
      <c r="D42" s="226">
        <f>+D41/D66</f>
        <v>4.0704674974920772E-2</v>
      </c>
      <c r="E42" s="92"/>
      <c r="F42" s="226">
        <f>+F41/F66</f>
        <v>4.3486938024262421E-2</v>
      </c>
      <c r="G42" s="92"/>
      <c r="H42" s="226">
        <f>+H41/H66</f>
        <v>4.3172537616656639E-2</v>
      </c>
      <c r="I42" s="92"/>
      <c r="J42" s="226">
        <f>+J41/J66</f>
        <v>4.1020586174283377E-2</v>
      </c>
      <c r="K42" s="92"/>
      <c r="L42" s="226">
        <f>+L41/L66</f>
        <v>4.1103951131056256E-2</v>
      </c>
      <c r="M42" s="92"/>
      <c r="N42" s="226">
        <f>+N41/N66</f>
        <v>3.7612326351601166E-2</v>
      </c>
      <c r="O42" s="92"/>
      <c r="P42" s="226">
        <f>+P41/P66</f>
        <v>3.0234983766237664E-2</v>
      </c>
      <c r="Q42" s="92"/>
      <c r="R42" s="226">
        <f>+R41/R66</f>
        <v>2.0987804949841714E-2</v>
      </c>
      <c r="S42" s="92"/>
      <c r="T42" s="226">
        <f>+T41/T66</f>
        <v>2.0464368286234363E-2</v>
      </c>
      <c r="U42" s="92"/>
      <c r="V42" s="226">
        <f>+V41/V66</f>
        <v>2.0334590521070024E-2</v>
      </c>
      <c r="W42" s="92"/>
      <c r="X42" s="226">
        <f>+X41/X66</f>
        <v>2.0833211972167864E-2</v>
      </c>
      <c r="Y42" s="92"/>
      <c r="Z42" s="226">
        <f>+Z41/Z66</f>
        <v>1.993037647770152E-2</v>
      </c>
      <c r="AA42" s="92"/>
      <c r="AB42" s="226">
        <f>+AB41/AB66</f>
        <v>2.4862156520839465E-2</v>
      </c>
      <c r="AC42" s="92"/>
      <c r="AD42" s="226">
        <f>+AD41/AD66</f>
        <v>2.4964903994951014E-2</v>
      </c>
      <c r="AE42" s="92"/>
      <c r="AF42" s="223">
        <f>+AF41/AF66</f>
        <v>2.6583447114015245E-2</v>
      </c>
      <c r="AG42" s="35"/>
      <c r="AH42" s="226">
        <f>+AH41/AH66</f>
        <v>2.7370251572717698E-2</v>
      </c>
      <c r="AI42" s="92"/>
      <c r="AJ42" s="223">
        <f>+AJ41/AJ66</f>
        <v>2.9767426725536866E-2</v>
      </c>
      <c r="AK42" s="35"/>
      <c r="AL42" s="226">
        <f>+AL41/AL66</f>
        <v>3.4116620517047759E-2</v>
      </c>
      <c r="AM42" s="92"/>
      <c r="AN42" s="223">
        <f>+AN41/AN66</f>
        <v>4.0104764393387636E-2</v>
      </c>
      <c r="AO42" s="35"/>
      <c r="AP42" s="464">
        <f>+AP41/AP66</f>
        <v>4.6069244987859241E-2</v>
      </c>
      <c r="AQ42" s="472"/>
      <c r="AR42" s="389"/>
      <c r="AS42" s="109"/>
      <c r="AT42" s="255"/>
    </row>
    <row r="43" spans="1:46" s="68" customFormat="1" x14ac:dyDescent="0.25">
      <c r="A43" s="218" t="s">
        <v>95</v>
      </c>
      <c r="B43" s="226">
        <f>+B41/B69</f>
        <v>0.28864731638112395</v>
      </c>
      <c r="C43" s="92"/>
      <c r="D43" s="226">
        <f>+D41/D69</f>
        <v>0.29617532062054702</v>
      </c>
      <c r="E43" s="92"/>
      <c r="F43" s="226">
        <f>+F41/F69</f>
        <v>0.32076213349799881</v>
      </c>
      <c r="G43" s="92"/>
      <c r="H43" s="226">
        <f>+H41/H69</f>
        <v>0.31210973401915298</v>
      </c>
      <c r="I43" s="92"/>
      <c r="J43" s="226">
        <f>+J41/J69</f>
        <v>0.30183412546824795</v>
      </c>
      <c r="K43" s="92"/>
      <c r="L43" s="226">
        <f>+L41/L69</f>
        <v>0.29792693937427334</v>
      </c>
      <c r="M43" s="92"/>
      <c r="N43" s="226">
        <f>+N41/N69</f>
        <v>0.2667036035766997</v>
      </c>
      <c r="O43" s="92"/>
      <c r="P43" s="226">
        <f>+P41/P69</f>
        <v>0.19954623738648353</v>
      </c>
      <c r="Q43" s="92"/>
      <c r="R43" s="226">
        <f>+R41/R69</f>
        <v>0.13664744101934678</v>
      </c>
      <c r="S43" s="92"/>
      <c r="T43" s="226">
        <f>+T41/T69</f>
        <v>0.15289819981473785</v>
      </c>
      <c r="U43" s="92"/>
      <c r="V43" s="226">
        <f>+V41/V69</f>
        <v>0.14687118368364219</v>
      </c>
      <c r="W43" s="92"/>
      <c r="X43" s="226">
        <f>+X41/X69</f>
        <v>0.14896412893347374</v>
      </c>
      <c r="Y43" s="92"/>
      <c r="Z43" s="226">
        <f>+Z41/Z69</f>
        <v>0.1447554590488036</v>
      </c>
      <c r="AA43" s="92"/>
      <c r="AB43" s="226">
        <f>+AB41/AB69</f>
        <v>0.17902367673822112</v>
      </c>
      <c r="AC43" s="92"/>
      <c r="AD43" s="226">
        <f>+AD41/AD69</f>
        <v>0.18408080359964271</v>
      </c>
      <c r="AE43" s="92"/>
      <c r="AF43" s="223">
        <f>+AF41/AF69</f>
        <v>0.19187660131985468</v>
      </c>
      <c r="AG43" s="35"/>
      <c r="AH43" s="226">
        <f>+AH41/AH69</f>
        <v>0.19235820998649866</v>
      </c>
      <c r="AI43" s="92"/>
      <c r="AJ43" s="223">
        <f>+AJ41/AJ69</f>
        <v>0.21573690932421066</v>
      </c>
      <c r="AK43" s="35"/>
      <c r="AL43" s="226">
        <f>+AL41/AL69</f>
        <v>0.24946985755955867</v>
      </c>
      <c r="AM43" s="92"/>
      <c r="AN43" s="223">
        <f>+AN41/AN69</f>
        <v>0.2886839344634104</v>
      </c>
      <c r="AO43" s="35"/>
      <c r="AP43" s="464">
        <f>+AP41/AP69</f>
        <v>0.35812843824255597</v>
      </c>
      <c r="AQ43" s="472"/>
      <c r="AR43" s="389"/>
      <c r="AS43" s="109"/>
      <c r="AT43" s="255"/>
    </row>
    <row r="44" spans="1:46" s="68" customFormat="1" x14ac:dyDescent="0.25">
      <c r="A44" s="218" t="s">
        <v>96</v>
      </c>
      <c r="B44" s="226">
        <f>+B41/B71</f>
        <v>0.2321282590935605</v>
      </c>
      <c r="C44" s="92"/>
      <c r="D44" s="226">
        <f>+D41/D71</f>
        <v>0.24240351219630293</v>
      </c>
      <c r="E44" s="92"/>
      <c r="F44" s="226">
        <f>+F41/F71</f>
        <v>0.24287362719411371</v>
      </c>
      <c r="G44" s="92"/>
      <c r="H44" s="226">
        <f>+H41/H71</f>
        <v>0.25341152749666218</v>
      </c>
      <c r="I44" s="92"/>
      <c r="J44" s="226">
        <f>+J41/J71</f>
        <v>0.25139899412859434</v>
      </c>
      <c r="K44" s="92"/>
      <c r="L44" s="226">
        <f>+L41/L71</f>
        <v>0.25871190151545831</v>
      </c>
      <c r="M44" s="92"/>
      <c r="N44" s="226">
        <f>+N41/N71</f>
        <v>0.24826724797751243</v>
      </c>
      <c r="O44" s="92"/>
      <c r="P44" s="226">
        <f>+P41/P71</f>
        <v>0.20715729436424984</v>
      </c>
      <c r="Q44" s="92"/>
      <c r="R44" s="226">
        <f>+R41/R71</f>
        <v>0.13826467746011575</v>
      </c>
      <c r="S44" s="92"/>
      <c r="T44" s="226">
        <f>+T41/T71</f>
        <v>0.12284414988703854</v>
      </c>
      <c r="U44" s="92"/>
      <c r="V44" s="226">
        <f>+V41/V71</f>
        <v>0.10811044876719174</v>
      </c>
      <c r="W44" s="92"/>
      <c r="X44" s="226">
        <f>+X41/X71</f>
        <v>0.11641120910193285</v>
      </c>
      <c r="Y44" s="92"/>
      <c r="Z44" s="226">
        <f>+Z41/Z71</f>
        <v>0.11072494401208238</v>
      </c>
      <c r="AA44" s="92"/>
      <c r="AB44" s="226">
        <f>+AB41/AB71</f>
        <v>0.1299312534936419</v>
      </c>
      <c r="AC44" s="92"/>
      <c r="AD44" s="226">
        <f>+AD41/AD71</f>
        <v>0.13122834647813117</v>
      </c>
      <c r="AE44" s="92"/>
      <c r="AF44" s="223">
        <f>+AF41/AF71</f>
        <v>0.13717554407344673</v>
      </c>
      <c r="AG44" s="35"/>
      <c r="AH44" s="226">
        <f>+AH41/AH71</f>
        <v>0.14149098026152501</v>
      </c>
      <c r="AI44" s="92"/>
      <c r="AJ44" s="223">
        <f>+AJ41/AJ71</f>
        <v>0.15112653454064445</v>
      </c>
      <c r="AK44" s="35"/>
      <c r="AL44" s="226">
        <f>+AL41/AL71</f>
        <v>0.17564991546200495</v>
      </c>
      <c r="AM44" s="92"/>
      <c r="AN44" s="223">
        <f>+AN41/AN71</f>
        <v>0.1925344860709145</v>
      </c>
      <c r="AO44" s="35"/>
      <c r="AP44" s="464">
        <f>+AP41/AP71</f>
        <v>0.218856354165892</v>
      </c>
      <c r="AQ44" s="472"/>
      <c r="AR44" s="389"/>
      <c r="AS44" s="109"/>
      <c r="AT44" s="255"/>
    </row>
    <row r="45" spans="1:46" x14ac:dyDescent="0.25">
      <c r="A45" s="218"/>
      <c r="B45" s="133"/>
      <c r="C45" s="92"/>
      <c r="D45" s="133"/>
      <c r="E45" s="92"/>
      <c r="F45" s="133"/>
      <c r="G45" s="92"/>
      <c r="H45" s="133"/>
      <c r="I45" s="92"/>
      <c r="J45" s="133"/>
      <c r="K45" s="92"/>
      <c r="L45" s="133"/>
      <c r="M45" s="92"/>
      <c r="N45" s="133"/>
      <c r="O45" s="148"/>
      <c r="P45" s="133"/>
      <c r="Q45" s="92"/>
      <c r="R45" s="133"/>
      <c r="S45" s="92"/>
      <c r="T45" s="133"/>
      <c r="U45" s="92"/>
      <c r="V45" s="76"/>
      <c r="W45" s="35"/>
      <c r="X45" s="76"/>
      <c r="Y45" s="35"/>
      <c r="Z45" s="133"/>
      <c r="AA45" s="92"/>
      <c r="AB45" s="133"/>
      <c r="AC45" s="92"/>
      <c r="AD45" s="133"/>
      <c r="AE45" s="92"/>
      <c r="AF45" s="76"/>
      <c r="AG45" s="35"/>
      <c r="AH45" s="133"/>
      <c r="AI45" s="92"/>
      <c r="AJ45" s="76"/>
      <c r="AK45" s="35"/>
      <c r="AL45" s="133"/>
      <c r="AM45" s="92"/>
      <c r="AN45" s="76"/>
      <c r="AO45" s="35"/>
      <c r="AP45" s="473"/>
      <c r="AQ45" s="472"/>
      <c r="AR45" s="389"/>
      <c r="AS45" s="109"/>
      <c r="AT45" s="77"/>
    </row>
    <row r="46" spans="1:46" s="1" customFormat="1" x14ac:dyDescent="0.25">
      <c r="A46" s="6" t="s">
        <v>97</v>
      </c>
      <c r="B46" s="153">
        <f>+B53+B59</f>
        <v>1798054.9000000001</v>
      </c>
      <c r="C46" s="174">
        <v>1</v>
      </c>
      <c r="D46" s="153">
        <f>+D53+D59</f>
        <v>2083384.6088</v>
      </c>
      <c r="E46" s="174">
        <v>1</v>
      </c>
      <c r="F46" s="153">
        <f>+F53+F59</f>
        <v>2472572.2528499998</v>
      </c>
      <c r="G46" s="174">
        <v>1</v>
      </c>
      <c r="H46" s="153">
        <f>+H53+H59</f>
        <v>2794255.4665999999</v>
      </c>
      <c r="I46" s="174">
        <v>1</v>
      </c>
      <c r="J46" s="153">
        <f>+J53+J59</f>
        <v>3344189.4863999998</v>
      </c>
      <c r="K46" s="174">
        <v>1</v>
      </c>
      <c r="L46" s="153">
        <f>+L53+L59</f>
        <v>3576660.7168999999</v>
      </c>
      <c r="M46" s="174">
        <v>1</v>
      </c>
      <c r="N46" s="153">
        <f>+N53+N59</f>
        <v>3837466.1172000002</v>
      </c>
      <c r="O46" s="286">
        <v>1</v>
      </c>
      <c r="P46" s="153">
        <f>+P53+P59</f>
        <v>3744486.5208000001</v>
      </c>
      <c r="Q46" s="174">
        <v>1</v>
      </c>
      <c r="R46" s="153">
        <f>+R53+R59</f>
        <v>3885010.1608529999</v>
      </c>
      <c r="S46" s="174">
        <v>1</v>
      </c>
      <c r="T46" s="153">
        <v>4581892.828349906</v>
      </c>
      <c r="U46" s="174">
        <v>1</v>
      </c>
      <c r="V46" s="75">
        <f>+V53+V59</f>
        <v>5561293.0269722147</v>
      </c>
      <c r="W46" s="211">
        <v>1</v>
      </c>
      <c r="X46" s="75">
        <f>+X53+X59</f>
        <v>6379725.9971905183</v>
      </c>
      <c r="Y46" s="211">
        <v>1</v>
      </c>
      <c r="Z46" s="153">
        <f>+Z53+Z59</f>
        <v>8017321.7867942927</v>
      </c>
      <c r="AA46" s="174">
        <v>1</v>
      </c>
      <c r="AB46" s="153">
        <f>+AB53+AB59</f>
        <v>8935187.1094532032</v>
      </c>
      <c r="AC46" s="174">
        <v>1</v>
      </c>
      <c r="AD46" s="153">
        <f>+AD53+AD59</f>
        <v>10494981.374009121</v>
      </c>
      <c r="AE46" s="174">
        <v>1</v>
      </c>
      <c r="AF46" s="75">
        <f>+AF53+AF59</f>
        <v>12000835.04171964</v>
      </c>
      <c r="AG46" s="211">
        <v>1</v>
      </c>
      <c r="AH46" s="93">
        <f>+AH53+AH59</f>
        <v>14034679.019789763</v>
      </c>
      <c r="AI46" s="90">
        <v>1</v>
      </c>
      <c r="AJ46" s="39">
        <f>+AJ53+AJ59</f>
        <v>16066563.279830331</v>
      </c>
      <c r="AK46" s="40">
        <v>1</v>
      </c>
      <c r="AL46" s="93">
        <f>+AL53+AL59</f>
        <v>18577940.947144195</v>
      </c>
      <c r="AM46" s="90">
        <v>1</v>
      </c>
      <c r="AN46" s="39">
        <f>+AN53+AN59</f>
        <v>21217056.825013496</v>
      </c>
      <c r="AO46" s="40">
        <v>1</v>
      </c>
      <c r="AP46" s="476">
        <f>+AP53+AP59</f>
        <v>24282549.98453198</v>
      </c>
      <c r="AQ46" s="463">
        <v>1</v>
      </c>
      <c r="AR46" s="389"/>
      <c r="AS46" s="109"/>
      <c r="AT46" s="147"/>
    </row>
    <row r="47" spans="1:46" s="1" customFormat="1" x14ac:dyDescent="0.25">
      <c r="A47" s="218" t="s">
        <v>71</v>
      </c>
      <c r="B47" s="226">
        <f>+B46/B66</f>
        <v>0.38859634025813361</v>
      </c>
      <c r="C47" s="174"/>
      <c r="D47" s="226">
        <f>+D46/D66</f>
        <v>0.3965266692896034</v>
      </c>
      <c r="E47" s="174"/>
      <c r="F47" s="226">
        <f>+F46/F66</f>
        <v>0.41448618292044093</v>
      </c>
      <c r="G47" s="174"/>
      <c r="H47" s="226">
        <f>+H46/H66</f>
        <v>0.40581382615949413</v>
      </c>
      <c r="I47" s="174"/>
      <c r="J47" s="226">
        <f>+J46/J66</f>
        <v>0.41032306054650031</v>
      </c>
      <c r="K47" s="174"/>
      <c r="L47" s="226">
        <f>+L46/L66</f>
        <v>0.37346271441958589</v>
      </c>
      <c r="M47" s="174"/>
      <c r="N47" s="226">
        <f>+N46/N66</f>
        <v>0.3304366124620724</v>
      </c>
      <c r="O47" s="286"/>
      <c r="P47" s="226">
        <f>+P46/P66</f>
        <v>0.2695998456307741</v>
      </c>
      <c r="Q47" s="174"/>
      <c r="R47" s="226">
        <f>+R46/R66</f>
        <v>0.23968265933622265</v>
      </c>
      <c r="S47" s="174"/>
      <c r="T47" s="223">
        <f>+T46/T66</f>
        <v>0.25994862261963497</v>
      </c>
      <c r="U47" s="174"/>
      <c r="V47" s="223">
        <f>+V46/V66</f>
        <v>0.28084486678439852</v>
      </c>
      <c r="W47" s="211"/>
      <c r="X47" s="223">
        <f>+X46/X66</f>
        <v>0.29503636100241792</v>
      </c>
      <c r="Y47" s="211"/>
      <c r="Z47" s="226">
        <f>+Z46/Z66</f>
        <v>0.33753067606998233</v>
      </c>
      <c r="AA47" s="174"/>
      <c r="AB47" s="226">
        <f>+AB46/AB66</f>
        <v>0.35090928118938619</v>
      </c>
      <c r="AC47" s="174"/>
      <c r="AD47" s="226">
        <f>+AD46/AD66</f>
        <v>0.374802992067295</v>
      </c>
      <c r="AE47" s="174"/>
      <c r="AF47" s="223">
        <f>+AF46/AF66</f>
        <v>0.39774848579984057</v>
      </c>
      <c r="AG47" s="211"/>
      <c r="AH47" s="226">
        <f>+AH46/AH66</f>
        <v>0.43781360234074085</v>
      </c>
      <c r="AI47" s="90"/>
      <c r="AJ47" s="223">
        <f>+AJ46/AJ66</f>
        <v>0.46781761549790718</v>
      </c>
      <c r="AK47" s="40"/>
      <c r="AL47" s="226">
        <f>+AL46/AL66</f>
        <v>0.51584301135036204</v>
      </c>
      <c r="AM47" s="90"/>
      <c r="AN47" s="223">
        <f>+AN46/AN66</f>
        <v>0.56082080815332092</v>
      </c>
      <c r="AO47" s="40"/>
      <c r="AP47" s="464">
        <f>+AP46/AP66</f>
        <v>0.66536200134110013</v>
      </c>
      <c r="AQ47" s="463"/>
      <c r="AR47" s="565"/>
      <c r="AS47" s="109"/>
      <c r="AT47" s="147"/>
    </row>
    <row r="48" spans="1:46" s="1" customFormat="1" x14ac:dyDescent="0.25">
      <c r="A48" s="218" t="s">
        <v>98</v>
      </c>
      <c r="B48" s="226">
        <f>+B46/B68</f>
        <v>1.3514613325629803</v>
      </c>
      <c r="C48" s="174"/>
      <c r="D48" s="226">
        <f>+D46/D68</f>
        <v>1.4523972995634873</v>
      </c>
      <c r="E48" s="174"/>
      <c r="F48" s="226">
        <f>+F46/F68</f>
        <v>1.5280488658909996</v>
      </c>
      <c r="G48" s="174"/>
      <c r="H48" s="226">
        <f>+H46/H68</f>
        <v>1.4474057516276175</v>
      </c>
      <c r="I48" s="174"/>
      <c r="J48" s="226">
        <f>+J46/J68</f>
        <v>1.4208993060953758</v>
      </c>
      <c r="K48" s="174"/>
      <c r="L48" s="226">
        <f>+L46/L68</f>
        <v>1.2904116297101553</v>
      </c>
      <c r="M48" s="174"/>
      <c r="N48" s="226">
        <f>+N46/N68</f>
        <v>1.1734059767398881</v>
      </c>
      <c r="O48" s="286"/>
      <c r="P48" s="226">
        <f>+P46/P68</f>
        <v>1.0956317215463367</v>
      </c>
      <c r="Q48" s="174"/>
      <c r="R48" s="226">
        <f>+R46/R68</f>
        <v>0.93606020523801459</v>
      </c>
      <c r="S48" s="174"/>
      <c r="T48" s="223">
        <f>+T46/T68</f>
        <v>1.2307916882600967</v>
      </c>
      <c r="U48" s="174"/>
      <c r="V48" s="223">
        <f>+V46/V68</f>
        <v>1.4482798445231504</v>
      </c>
      <c r="W48" s="211"/>
      <c r="X48" s="223">
        <f>+X46/X68</f>
        <v>1.5044712329991181</v>
      </c>
      <c r="Y48" s="211"/>
      <c r="Z48" s="226">
        <f>+Z46/Z68</f>
        <v>1.4543221650144607</v>
      </c>
      <c r="AA48" s="174"/>
      <c r="AB48" s="226">
        <f>+AB46/AB68</f>
        <v>2.0056252967347619</v>
      </c>
      <c r="AC48" s="174"/>
      <c r="AD48" s="226">
        <f>+AD46/AD68</f>
        <v>2.0385369733966971</v>
      </c>
      <c r="AE48" s="174"/>
      <c r="AF48" s="223">
        <f>+AF46/AF68</f>
        <v>2.4001854251300205</v>
      </c>
      <c r="AG48" s="211"/>
      <c r="AH48" s="226">
        <f>+AH46/AH68</f>
        <v>2.4623907433714418</v>
      </c>
      <c r="AI48" s="90"/>
      <c r="AJ48" s="223">
        <f>+AJ46/AJ68</f>
        <v>2.5844492103473198</v>
      </c>
      <c r="AK48" s="40"/>
      <c r="AL48" s="226">
        <f>+AL46/AL68</f>
        <v>2.7954604778291654</v>
      </c>
      <c r="AM48" s="90"/>
      <c r="AN48" s="223">
        <f>+AN46/AN68</f>
        <v>3.1855510830009885</v>
      </c>
      <c r="AO48" s="40"/>
      <c r="AP48" s="464">
        <f>+AP46/AP68</f>
        <v>3.3684705719956414</v>
      </c>
      <c r="AQ48" s="463"/>
      <c r="AR48" s="565"/>
      <c r="AS48" s="109"/>
      <c r="AT48" s="147"/>
    </row>
    <row r="49" spans="1:46" s="1" customFormat="1" x14ac:dyDescent="0.25">
      <c r="A49" s="218" t="s">
        <v>95</v>
      </c>
      <c r="B49" s="226">
        <f>+B46/B69</f>
        <v>2.9547136259196001</v>
      </c>
      <c r="C49" s="174"/>
      <c r="D49" s="226">
        <f>+D46/D69</f>
        <v>2.8852070059226533</v>
      </c>
      <c r="E49" s="174"/>
      <c r="F49" s="226">
        <f>+F46/F69</f>
        <v>3.0572737097476392</v>
      </c>
      <c r="G49" s="174"/>
      <c r="H49" s="226">
        <f>+H46/H69</f>
        <v>2.9337734665628665</v>
      </c>
      <c r="I49" s="174"/>
      <c r="J49" s="226">
        <f>+J46/J69</f>
        <v>3.0192036167720975</v>
      </c>
      <c r="K49" s="174"/>
      <c r="L49" s="226">
        <f>+L46/L69</f>
        <v>2.7069077403940636</v>
      </c>
      <c r="M49" s="174"/>
      <c r="N49" s="226">
        <f>+N46/N69</f>
        <v>2.3430785555108433</v>
      </c>
      <c r="O49" s="286"/>
      <c r="P49" s="226">
        <f>+P46/P69</f>
        <v>1.7793174691785905</v>
      </c>
      <c r="Q49" s="174"/>
      <c r="R49" s="226">
        <f>+R46/R69</f>
        <v>1.5605263215128975</v>
      </c>
      <c r="S49" s="174"/>
      <c r="T49" s="223">
        <f>+T46/T69</f>
        <v>1.9421892670685712</v>
      </c>
      <c r="U49" s="174"/>
      <c r="V49" s="223">
        <f>+V46/V69</f>
        <v>2.0284656321630674</v>
      </c>
      <c r="W49" s="211"/>
      <c r="X49" s="223">
        <f>+X46/X69</f>
        <v>2.1096043461345224</v>
      </c>
      <c r="Y49" s="211"/>
      <c r="Z49" s="226">
        <f>+Z46/Z69</f>
        <v>2.4515045168478449</v>
      </c>
      <c r="AA49" s="174"/>
      <c r="AB49" s="226">
        <f>+AB46/AB69</f>
        <v>2.5267747657944946</v>
      </c>
      <c r="AC49" s="174"/>
      <c r="AD49" s="226">
        <f>+AD46/AD69</f>
        <v>2.7636411494012458</v>
      </c>
      <c r="AE49" s="174"/>
      <c r="AF49" s="223">
        <f>+AF46/AF69</f>
        <v>2.8709078739135907</v>
      </c>
      <c r="AG49" s="211"/>
      <c r="AH49" s="226">
        <f>+AH46/AH69</f>
        <v>3.0769553078551928</v>
      </c>
      <c r="AI49" s="90"/>
      <c r="AJ49" s="223">
        <f>+AJ46/AJ69</f>
        <v>3.3904686295358712</v>
      </c>
      <c r="AK49" s="40"/>
      <c r="AL49" s="226">
        <f>+AL46/AL69</f>
        <v>3.7719821194002723</v>
      </c>
      <c r="AM49" s="90"/>
      <c r="AN49" s="223">
        <f>+AN46/AN69</f>
        <v>4.036925783644393</v>
      </c>
      <c r="AO49" s="40"/>
      <c r="AP49" s="464">
        <f>+AP46/AP69</f>
        <v>5.1723238457462362</v>
      </c>
      <c r="AQ49" s="463"/>
      <c r="AR49" s="565"/>
      <c r="AS49" s="109"/>
      <c r="AT49" s="147"/>
    </row>
    <row r="50" spans="1:46" s="1" customFormat="1" x14ac:dyDescent="0.25">
      <c r="A50" s="218" t="s">
        <v>99</v>
      </c>
      <c r="B50" s="226">
        <f>+B46/B70</f>
        <v>2.9781556633109996</v>
      </c>
      <c r="C50" s="174"/>
      <c r="D50" s="226">
        <f>+D46/D70</f>
        <v>2.9222271546955785</v>
      </c>
      <c r="E50" s="174"/>
      <c r="F50" s="226">
        <f>+F46/F70</f>
        <v>3.0852201533169232</v>
      </c>
      <c r="G50" s="174"/>
      <c r="H50" s="226">
        <f>+H46/H70</f>
        <v>2.9983116173069821</v>
      </c>
      <c r="I50" s="174"/>
      <c r="J50" s="226">
        <f>+J46/J70</f>
        <v>3.0795073678840499</v>
      </c>
      <c r="K50" s="174"/>
      <c r="L50" s="226">
        <f>+L46/L70</f>
        <v>2.7580933128932439</v>
      </c>
      <c r="M50" s="174"/>
      <c r="N50" s="226">
        <f>+N46/N70</f>
        <v>2.3819605085628694</v>
      </c>
      <c r="O50" s="286"/>
      <c r="P50" s="226">
        <f>+P46/P70</f>
        <v>1.8116542420683559</v>
      </c>
      <c r="Q50" s="174"/>
      <c r="R50" s="226">
        <f>+R46/R70</f>
        <v>1.5842247918344545</v>
      </c>
      <c r="S50" s="174"/>
      <c r="T50" s="223">
        <f>+T46/T70</f>
        <v>1.9778129029850908</v>
      </c>
      <c r="U50" s="174"/>
      <c r="V50" s="223">
        <f>+V46/V70</f>
        <v>2.1784689181265779</v>
      </c>
      <c r="W50" s="211"/>
      <c r="X50" s="223">
        <f>+X46/X70</f>
        <v>2.2494690000904023</v>
      </c>
      <c r="Y50" s="211"/>
      <c r="Z50" s="226">
        <f>+Z46/Z70</f>
        <v>2.6013325903728255</v>
      </c>
      <c r="AA50" s="174"/>
      <c r="AB50" s="226">
        <f>+AB46/AB70</f>
        <v>2.668350094309226</v>
      </c>
      <c r="AC50" s="174"/>
      <c r="AD50" s="226">
        <f>+AD46/AD70</f>
        <v>2.9296365439492931</v>
      </c>
      <c r="AE50" s="174"/>
      <c r="AF50" s="223">
        <f>+AF46/AF70</f>
        <v>3.0572482941546544</v>
      </c>
      <c r="AG50" s="211"/>
      <c r="AH50" s="226">
        <f>+AH46/AH70</f>
        <v>3.2535515012304805</v>
      </c>
      <c r="AI50" s="90"/>
      <c r="AJ50" s="223">
        <f>+AJ46/AJ70</f>
        <v>3.6007405915954567</v>
      </c>
      <c r="AK50" s="40"/>
      <c r="AL50" s="226">
        <f>+AL46/AL70</f>
        <v>3.9930765422604937</v>
      </c>
      <c r="AM50" s="90"/>
      <c r="AN50" s="223">
        <f>+AN46/AN70</f>
        <v>4.3392482484194863</v>
      </c>
      <c r="AO50" s="40"/>
      <c r="AP50" s="464">
        <f>+AP46/AP70</f>
        <v>5.5933453665952886</v>
      </c>
      <c r="AQ50" s="463"/>
      <c r="AR50" s="565"/>
      <c r="AS50" s="109"/>
      <c r="AT50" s="147"/>
    </row>
    <row r="51" spans="1:46" s="1" customFormat="1" x14ac:dyDescent="0.25">
      <c r="A51" s="218" t="s">
        <v>96</v>
      </c>
      <c r="B51" s="226">
        <f>+B46/B71</f>
        <v>2.376161118363306</v>
      </c>
      <c r="C51" s="174"/>
      <c r="D51" s="226">
        <f>+D46/D71</f>
        <v>2.3613861890439733</v>
      </c>
      <c r="E51" s="174"/>
      <c r="F51" s="226">
        <f>+F46/F71</f>
        <v>2.3148965469025526</v>
      </c>
      <c r="G51" s="174"/>
      <c r="H51" s="226">
        <f>+H46/H71</f>
        <v>2.3820212395081879</v>
      </c>
      <c r="I51" s="174"/>
      <c r="J51" s="226">
        <f>+J46/J71</f>
        <v>2.5147082065303663</v>
      </c>
      <c r="K51" s="174"/>
      <c r="L51" s="226">
        <f>+L46/L71</f>
        <v>2.3506073341843425</v>
      </c>
      <c r="M51" s="174"/>
      <c r="N51" s="226">
        <f>+N46/N71</f>
        <v>2.1811091300253533</v>
      </c>
      <c r="O51" s="286"/>
      <c r="P51" s="226">
        <f>+P46/P71</f>
        <v>1.8471838785723389</v>
      </c>
      <c r="Q51" s="174"/>
      <c r="R51" s="226">
        <f>+R46/R71</f>
        <v>1.5789953101386891</v>
      </c>
      <c r="S51" s="174"/>
      <c r="T51" s="223">
        <f>+T46/T71</f>
        <v>1.5604277206785775</v>
      </c>
      <c r="U51" s="174"/>
      <c r="V51" s="223">
        <f>+V46/V71</f>
        <v>1.4931338081562617</v>
      </c>
      <c r="W51" s="211"/>
      <c r="X51" s="223">
        <f>+X46/X71</f>
        <v>1.6485955002622619</v>
      </c>
      <c r="Y51" s="211"/>
      <c r="Z51" s="226">
        <f>+Z46/Z71</f>
        <v>1.875181096153542</v>
      </c>
      <c r="AA51" s="174"/>
      <c r="AB51" s="226">
        <f>+AB46/AB71</f>
        <v>1.833874818110522</v>
      </c>
      <c r="AC51" s="174"/>
      <c r="AD51" s="226">
        <f>+AD46/AD71</f>
        <v>1.9701568615683254</v>
      </c>
      <c r="AE51" s="174"/>
      <c r="AF51" s="223">
        <f>+AF46/AF71</f>
        <v>2.0524563541353915</v>
      </c>
      <c r="AG51" s="211"/>
      <c r="AH51" s="226">
        <f>+AH46/AH71</f>
        <v>2.2632848515272159</v>
      </c>
      <c r="AI51" s="90"/>
      <c r="AJ51" s="223">
        <f>+AJ46/AJ71</f>
        <v>2.3750677436492889</v>
      </c>
      <c r="AK51" s="40"/>
      <c r="AL51" s="226">
        <f>+AL46/AL71</f>
        <v>2.6558252242504876</v>
      </c>
      <c r="AM51" s="90"/>
      <c r="AN51" s="223">
        <f>+AN46/AN71</f>
        <v>2.6923820076967608</v>
      </c>
      <c r="AO51" s="40"/>
      <c r="AP51" s="464">
        <f>+AP46/AP71</f>
        <v>3.1608658195377375</v>
      </c>
      <c r="AQ51" s="463"/>
      <c r="AR51" s="565"/>
      <c r="AS51" s="109"/>
      <c r="AT51" s="147"/>
    </row>
    <row r="52" spans="1:46" s="1" customFormat="1" x14ac:dyDescent="0.25">
      <c r="A52" s="218"/>
      <c r="B52" s="153"/>
      <c r="C52" s="174"/>
      <c r="D52" s="153"/>
      <c r="E52" s="174"/>
      <c r="F52" s="153"/>
      <c r="G52" s="174"/>
      <c r="H52" s="153"/>
      <c r="I52" s="174"/>
      <c r="J52" s="153"/>
      <c r="K52" s="174"/>
      <c r="L52" s="153"/>
      <c r="M52" s="174"/>
      <c r="N52" s="153"/>
      <c r="O52" s="286"/>
      <c r="P52" s="153"/>
      <c r="Q52" s="174"/>
      <c r="R52" s="153"/>
      <c r="S52" s="174"/>
      <c r="T52" s="153"/>
      <c r="U52" s="174"/>
      <c r="V52" s="75"/>
      <c r="W52" s="211"/>
      <c r="X52" s="75"/>
      <c r="Y52" s="211"/>
      <c r="Z52" s="153"/>
      <c r="AA52" s="174"/>
      <c r="AB52" s="153"/>
      <c r="AC52" s="174"/>
      <c r="AD52" s="153"/>
      <c r="AE52" s="174"/>
      <c r="AF52" s="75"/>
      <c r="AG52" s="211"/>
      <c r="AH52" s="93"/>
      <c r="AI52" s="90"/>
      <c r="AJ52" s="39"/>
      <c r="AK52" s="40"/>
      <c r="AL52" s="93"/>
      <c r="AM52" s="90"/>
      <c r="AN52" s="39"/>
      <c r="AO52" s="40"/>
      <c r="AP52" s="476"/>
      <c r="AQ52" s="463"/>
      <c r="AR52" s="565"/>
      <c r="AS52" s="109"/>
      <c r="AT52" s="147"/>
    </row>
    <row r="53" spans="1:46" ht="19.5" customHeight="1" x14ac:dyDescent="0.25">
      <c r="A53" s="6" t="s">
        <v>100</v>
      </c>
      <c r="B53" s="134">
        <f>+'Domestic Debt Colones'!B57</f>
        <v>1299692.5900000001</v>
      </c>
      <c r="C53" s="174">
        <f>+B53/B46</f>
        <v>0.72283253976282924</v>
      </c>
      <c r="D53" s="134">
        <f>+'Domestic Debt Colones'!D57</f>
        <v>1494728.06</v>
      </c>
      <c r="E53" s="174">
        <f>+D53/D46</f>
        <v>0.71745181071532549</v>
      </c>
      <c r="F53" s="134">
        <f>+'Domestic Debt Colones'!F57</f>
        <v>1732971.03</v>
      </c>
      <c r="G53" s="174">
        <f>+F53/F46</f>
        <v>0.70087781176161723</v>
      </c>
      <c r="H53" s="134">
        <f>+'Domestic Debt Colones'!H57</f>
        <v>1880118.11</v>
      </c>
      <c r="I53" s="174">
        <f>+H53/H46</f>
        <v>0.67285118790075915</v>
      </c>
      <c r="J53" s="134">
        <f>+'Domestic Debt Colones'!J57</f>
        <v>2240474.34</v>
      </c>
      <c r="K53" s="174">
        <f>+J53/J46</f>
        <v>0.66996034438582519</v>
      </c>
      <c r="L53" s="134">
        <f>+'Domestic Debt Colones'!L57</f>
        <v>2398387.04</v>
      </c>
      <c r="M53" s="174">
        <f>+L53/L46</f>
        <v>0.67056599153155205</v>
      </c>
      <c r="N53" s="134">
        <f>+'Domestic Debt Colones'!N57</f>
        <v>2634801.87</v>
      </c>
      <c r="O53" s="174">
        <f>+N53/N46</f>
        <v>0.68659938342920879</v>
      </c>
      <c r="P53" s="134">
        <f>+'Domestic Debt Colones'!P57</f>
        <v>2611813.94</v>
      </c>
      <c r="Q53" s="174">
        <f>+P53/P46</f>
        <v>0.69750923804687448</v>
      </c>
      <c r="R53" s="134">
        <f>+'Domestic Debt Colones'!R57</f>
        <v>2752828.4192530001</v>
      </c>
      <c r="S53" s="174">
        <f>+R53/R46</f>
        <v>0.70857689047808925</v>
      </c>
      <c r="T53" s="134">
        <f>+'Domestic Debt Colones'!T57</f>
        <v>3611179.38</v>
      </c>
      <c r="U53" s="174">
        <f>+T53/T46</f>
        <v>0.78814138943981094</v>
      </c>
      <c r="V53" s="134">
        <f>+'Domestic Debt Colones'!V57</f>
        <v>4420051.5405248804</v>
      </c>
      <c r="W53" s="174">
        <f>+V53/V46</f>
        <v>0.79478846359788546</v>
      </c>
      <c r="X53" s="134">
        <f>+'Domestic Debt Colones'!X57</f>
        <v>5354702.1326660756</v>
      </c>
      <c r="Y53" s="174">
        <f>+X53/X46</f>
        <v>0.83933105199567515</v>
      </c>
      <c r="Z53" s="134">
        <f>+'Domestic Debt Colones'!Z57</f>
        <v>6631965.3008675929</v>
      </c>
      <c r="AA53" s="174">
        <f>+Z53/Z46</f>
        <v>0.82720457993733199</v>
      </c>
      <c r="AB53" s="134">
        <f>+'Domestic Debt Colones'!AB57</f>
        <v>7168650.6535445713</v>
      </c>
      <c r="AC53" s="174">
        <f>+AB53/AB46</f>
        <v>0.80229440813391806</v>
      </c>
      <c r="AD53" s="134">
        <f>+'Domestic Debt Colones'!AD57</f>
        <v>8117725.8890507501</v>
      </c>
      <c r="AE53" s="174">
        <f>+AD53/AD46</f>
        <v>0.77348645030989216</v>
      </c>
      <c r="AF53" s="74">
        <f>+'Domestic Debt Colones'!AF57</f>
        <v>9039699.8221732471</v>
      </c>
      <c r="AG53" s="211">
        <f>+AF53/AF46</f>
        <v>0.75325590183913727</v>
      </c>
      <c r="AH53" s="134">
        <f>+'Domestic Debt Colones'!AH57</f>
        <v>10809706.653715998</v>
      </c>
      <c r="AI53" s="174">
        <f>+AH53/AH46</f>
        <v>0.77021402758649804</v>
      </c>
      <c r="AJ53" s="41">
        <f>+'Domestic Debt Colones'!AJ57</f>
        <v>12692640.182747636</v>
      </c>
      <c r="AK53" s="40">
        <f>+AJ53/AJ46</f>
        <v>0.79000343518901417</v>
      </c>
      <c r="AL53" s="89">
        <f>+'Domestic Debt Colones'!AL57</f>
        <v>14831813.152678255</v>
      </c>
      <c r="AM53" s="90">
        <f>+AL53/AL46</f>
        <v>0.79835613617655532</v>
      </c>
      <c r="AN53" s="41">
        <f>+'Domestic Debt Colones'!AN57</f>
        <v>16581137.964136351</v>
      </c>
      <c r="AO53" s="40">
        <f>+AN53/AN46</f>
        <v>0.78150037966567987</v>
      </c>
      <c r="AP53" s="477">
        <f>+'Domestic Debt Colones'!AP57</f>
        <v>18521054.219445854</v>
      </c>
      <c r="AQ53" s="463">
        <f>+AP53/AP46</f>
        <v>0.76273102418171868</v>
      </c>
      <c r="AR53" s="565"/>
      <c r="AS53" s="109"/>
      <c r="AT53" s="77"/>
    </row>
    <row r="54" spans="1:46" s="68" customFormat="1" x14ac:dyDescent="0.25">
      <c r="A54" s="218" t="s">
        <v>71</v>
      </c>
      <c r="B54" s="226">
        <f>+B53/B66</f>
        <v>0.28089007957132728</v>
      </c>
      <c r="C54" s="174"/>
      <c r="D54" s="226">
        <f>+D53/D66</f>
        <v>0.28448877687874302</v>
      </c>
      <c r="E54" s="174"/>
      <c r="F54" s="226">
        <f>+F53/F66</f>
        <v>0.29050416889070407</v>
      </c>
      <c r="G54" s="174"/>
      <c r="H54" s="226">
        <f>+H53/H66</f>
        <v>0.27305231499796784</v>
      </c>
      <c r="I54" s="174"/>
      <c r="J54" s="226">
        <f>+J53/J66</f>
        <v>0.2749001789531792</v>
      </c>
      <c r="K54" s="174"/>
      <c r="L54" s="226">
        <f>+L53/L66</f>
        <v>0.25043139539483444</v>
      </c>
      <c r="M54" s="174"/>
      <c r="N54" s="226">
        <f>+N53/N66</f>
        <v>0.2268775743788953</v>
      </c>
      <c r="O54" s="174"/>
      <c r="P54" s="226">
        <f>+P53/P66</f>
        <v>0.18804838290347622</v>
      </c>
      <c r="Q54" s="174"/>
      <c r="R54" s="226">
        <f>+R53/R66</f>
        <v>0.16983359345397983</v>
      </c>
      <c r="S54" s="174"/>
      <c r="T54" s="226">
        <f>+T53/T66</f>
        <v>0.20487626861440419</v>
      </c>
      <c r="U54" s="174"/>
      <c r="V54" s="226">
        <f>+V53/V66</f>
        <v>0.22321226018092494</v>
      </c>
      <c r="W54" s="174"/>
      <c r="X54" s="226">
        <f>+X53/X66</f>
        <v>0.24763317925713524</v>
      </c>
      <c r="Y54" s="174"/>
      <c r="Z54" s="226">
        <f>+Z53/Z66</f>
        <v>0.2792069211144334</v>
      </c>
      <c r="AA54" s="174"/>
      <c r="AB54" s="226">
        <f>+AB53/AB66</f>
        <v>0.28153255406053723</v>
      </c>
      <c r="AC54" s="174"/>
      <c r="AD54" s="226">
        <f>+AD53/AD66</f>
        <v>0.28990503589965871</v>
      </c>
      <c r="AE54" s="174"/>
      <c r="AF54" s="223">
        <f>+AF53/AF66</f>
        <v>0.29960639437631015</v>
      </c>
      <c r="AG54" s="211"/>
      <c r="AH54" s="226">
        <f>+AH53/AH66</f>
        <v>0.33721017799101549</v>
      </c>
      <c r="AI54" s="90"/>
      <c r="AJ54" s="223">
        <f>+AJ53/AJ66</f>
        <v>0.3695775232852801</v>
      </c>
      <c r="AK54" s="40"/>
      <c r="AL54" s="226">
        <f>+AL53/AL66</f>
        <v>0.41182643341535397</v>
      </c>
      <c r="AM54" s="90"/>
      <c r="AN54" s="223">
        <f>+AN53/AN66</f>
        <v>0.43828167449623368</v>
      </c>
      <c r="AO54" s="40"/>
      <c r="AP54" s="464">
        <f>+AP53/AP66</f>
        <v>0.50749224073449539</v>
      </c>
      <c r="AQ54" s="463"/>
      <c r="AR54" s="565"/>
      <c r="AS54" s="109"/>
      <c r="AT54" s="255"/>
    </row>
    <row r="55" spans="1:46" s="68" customFormat="1" x14ac:dyDescent="0.25">
      <c r="A55" s="218" t="s">
        <v>95</v>
      </c>
      <c r="B55" s="226">
        <f>+B53/B69</f>
        <v>2.1357631544953026</v>
      </c>
      <c r="C55" s="174"/>
      <c r="D55" s="226">
        <f>+D53/D69</f>
        <v>2.0699969906877502</v>
      </c>
      <c r="E55" s="174"/>
      <c r="F55" s="226">
        <f>+F53/F69</f>
        <v>2.1427753076442468</v>
      </c>
      <c r="G55" s="174"/>
      <c r="H55" s="226">
        <f>+H53/H69</f>
        <v>1.973992962008553</v>
      </c>
      <c r="I55" s="174"/>
      <c r="J55" s="226">
        <f>+J53/J69</f>
        <v>2.0227466948635637</v>
      </c>
      <c r="K55" s="174"/>
      <c r="L55" s="226">
        <f>+L53/L69</f>
        <v>1.8151602729217782</v>
      </c>
      <c r="M55" s="174"/>
      <c r="N55" s="226">
        <f>+N53/N69</f>
        <v>1.6087562915399463</v>
      </c>
      <c r="O55" s="174"/>
      <c r="P55" s="226">
        <f>+P53/P69</f>
        <v>1.2410903721702518</v>
      </c>
      <c r="Q55" s="174"/>
      <c r="R55" s="226">
        <f>+R53/R69</f>
        <v>1.10575288840682</v>
      </c>
      <c r="S55" s="174"/>
      <c r="T55" s="226">
        <f>+T53/T69</f>
        <v>1.5307197475025116</v>
      </c>
      <c r="U55" s="174"/>
      <c r="V55" s="226">
        <f>+V53/V69</f>
        <v>1.6122010832479978</v>
      </c>
      <c r="W55" s="174"/>
      <c r="X55" s="226">
        <f>+X53/X69</f>
        <v>1.7706564351357372</v>
      </c>
      <c r="Y55" s="174"/>
      <c r="Z55" s="226">
        <f>+Z53/Z69</f>
        <v>2.0278957640735937</v>
      </c>
      <c r="AA55" s="174"/>
      <c r="AB55" s="226">
        <f>+AB53/AB69</f>
        <v>2.0272172652108136</v>
      </c>
      <c r="AC55" s="174"/>
      <c r="AD55" s="226">
        <f>+AD53/AD69</f>
        <v>2.1376389825807203</v>
      </c>
      <c r="AE55" s="174"/>
      <c r="AF55" s="223">
        <f>+AF53/AF69</f>
        <v>2.162528299661862</v>
      </c>
      <c r="AG55" s="211"/>
      <c r="AH55" s="226">
        <f>+AH53/AH69</f>
        <v>2.3699141403668009</v>
      </c>
      <c r="AI55" s="90"/>
      <c r="AJ55" s="223">
        <f>+AJ53/AJ69</f>
        <v>2.6784818642339272</v>
      </c>
      <c r="AK55" s="40"/>
      <c r="AL55" s="226">
        <f>+AL53/AL69</f>
        <v>3.0113850705714555</v>
      </c>
      <c r="AM55" s="90"/>
      <c r="AN55" s="223">
        <f>+AN53/AN69</f>
        <v>3.1548590326002652</v>
      </c>
      <c r="AO55" s="40"/>
      <c r="AP55" s="464">
        <f>+AP53/AP69</f>
        <v>3.9450918642655526</v>
      </c>
      <c r="AQ55" s="463"/>
      <c r="AR55" s="565"/>
      <c r="AS55" s="109"/>
      <c r="AT55" s="255"/>
    </row>
    <row r="56" spans="1:46" s="68" customFormat="1" x14ac:dyDescent="0.25">
      <c r="A56" s="218" t="s">
        <v>99</v>
      </c>
      <c r="B56" s="226">
        <f>+B53/B70</f>
        <v>2.152707821920143</v>
      </c>
      <c r="C56" s="174"/>
      <c r="D56" s="226">
        <f>+D53/D70</f>
        <v>2.0965571634578364</v>
      </c>
      <c r="E56" s="174"/>
      <c r="F56" s="226">
        <f>+F53/F70</f>
        <v>2.1623623498596061</v>
      </c>
      <c r="G56" s="174"/>
      <c r="H56" s="226">
        <f>+H53/H70</f>
        <v>2.0174175334016495</v>
      </c>
      <c r="I56" s="174"/>
      <c r="J56" s="226">
        <f>+J53/J70</f>
        <v>2.0631478167262842</v>
      </c>
      <c r="K56" s="174"/>
      <c r="L56" s="226">
        <f>+L53/L70</f>
        <v>1.8494835770968012</v>
      </c>
      <c r="M56" s="174"/>
      <c r="N56" s="226">
        <f>+N53/N70</f>
        <v>1.6354526165319907</v>
      </c>
      <c r="O56" s="174"/>
      <c r="P56" s="226">
        <f>+P53/P70</f>
        <v>1.2636455699894868</v>
      </c>
      <c r="Q56" s="174"/>
      <c r="R56" s="226">
        <f>+R53/R70</f>
        <v>1.1225450768163561</v>
      </c>
      <c r="S56" s="174"/>
      <c r="T56" s="226">
        <f>+T53/T70</f>
        <v>1.5587962094106553</v>
      </c>
      <c r="U56" s="174"/>
      <c r="V56" s="226">
        <f>+V53/V70</f>
        <v>1.7314219644335707</v>
      </c>
      <c r="W56" s="174"/>
      <c r="X56" s="226">
        <f>+X53/X70</f>
        <v>1.8880491822775369</v>
      </c>
      <c r="Y56" s="174"/>
      <c r="Z56" s="226">
        <f>+Z53/Z70</f>
        <v>2.1518342326966446</v>
      </c>
      <c r="AA56" s="174"/>
      <c r="AB56" s="226">
        <f>+AB53/AB70</f>
        <v>2.1408023596079047</v>
      </c>
      <c r="AC56" s="174"/>
      <c r="AD56" s="226">
        <f>+AD53/AD70</f>
        <v>2.2660341710774792</v>
      </c>
      <c r="AE56" s="174"/>
      <c r="AF56" s="223">
        <f>+AF53/AF70</f>
        <v>2.3028903209596279</v>
      </c>
      <c r="AG56" s="211"/>
      <c r="AH56" s="226">
        <f>+AH53/AH70</f>
        <v>2.5059310057228252</v>
      </c>
      <c r="AI56" s="90"/>
      <c r="AJ56" s="223">
        <f>+AJ53/AJ70</f>
        <v>2.8445974365849342</v>
      </c>
      <c r="AK56" s="40"/>
      <c r="AL56" s="226">
        <f>+AL53/AL70</f>
        <v>3.1878971597363273</v>
      </c>
      <c r="AM56" s="90"/>
      <c r="AN56" s="223">
        <f>+AN53/AN70</f>
        <v>3.3911241536034646</v>
      </c>
      <c r="AO56" s="40"/>
      <c r="AP56" s="464">
        <f>+AP53/AP70</f>
        <v>4.2662180400652954</v>
      </c>
      <c r="AQ56" s="463"/>
      <c r="AR56" s="565"/>
      <c r="AS56" s="109"/>
      <c r="AT56" s="255"/>
    </row>
    <row r="57" spans="1:46" s="68" customFormat="1" x14ac:dyDescent="0.25">
      <c r="A57" s="218" t="s">
        <v>96</v>
      </c>
      <c r="B57" s="226">
        <f>+B53/B71</f>
        <v>1.7175665760722332</v>
      </c>
      <c r="C57" s="174"/>
      <c r="D57" s="226">
        <f>+D53/D71</f>
        <v>1.6941807971277607</v>
      </c>
      <c r="E57" s="174"/>
      <c r="F57" s="226">
        <f>+F53/F71</f>
        <v>1.6224596262475852</v>
      </c>
      <c r="G57" s="174"/>
      <c r="H57" s="226">
        <f>+H53/H71</f>
        <v>1.602745820607923</v>
      </c>
      <c r="I57" s="174"/>
      <c r="J57" s="226">
        <f>+J53/J71</f>
        <v>1.684754776076945</v>
      </c>
      <c r="K57" s="174"/>
      <c r="L57" s="226">
        <f>+L53/L71</f>
        <v>1.5762373377486618</v>
      </c>
      <c r="M57" s="174"/>
      <c r="N57" s="226">
        <f>+N53/N71</f>
        <v>1.4975481838672255</v>
      </c>
      <c r="O57" s="174"/>
      <c r="P57" s="226">
        <f>+P53/P71</f>
        <v>1.2884278196754624</v>
      </c>
      <c r="Q57" s="174"/>
      <c r="R57" s="226">
        <f>+R53/R71</f>
        <v>1.1188395869375585</v>
      </c>
      <c r="S57" s="174"/>
      <c r="T57" s="226">
        <f>+T53/T71</f>
        <v>1.2298376718960113</v>
      </c>
      <c r="U57" s="174"/>
      <c r="V57" s="226">
        <f>+V53/V71</f>
        <v>1.1867255253305753</v>
      </c>
      <c r="W57" s="174"/>
      <c r="X57" s="226">
        <f>+X53/X71</f>
        <v>1.3837173955504607</v>
      </c>
      <c r="Y57" s="174"/>
      <c r="Z57" s="226">
        <f>+Z53/Z71</f>
        <v>1.5511583909501165</v>
      </c>
      <c r="AA57" s="174"/>
      <c r="AB57" s="226">
        <f>+AB53/AB71</f>
        <v>1.4713075117876777</v>
      </c>
      <c r="AC57" s="174"/>
      <c r="AD57" s="226">
        <f>+AD53/AD71</f>
        <v>1.5238896374081616</v>
      </c>
      <c r="AE57" s="174"/>
      <c r="AF57" s="223">
        <f>+AF53/AF71</f>
        <v>1.5460248620197219</v>
      </c>
      <c r="AG57" s="211"/>
      <c r="AH57" s="226">
        <f>+AH53/AH71</f>
        <v>1.7432137410702861</v>
      </c>
      <c r="AI57" s="90"/>
      <c r="AJ57" s="223">
        <f>+AJ53/AJ71</f>
        <v>1.8763116762895593</v>
      </c>
      <c r="AK57" s="40"/>
      <c r="AL57" s="226">
        <f>+AL53/AL71</f>
        <v>2.1202943643928527</v>
      </c>
      <c r="AM57" s="90"/>
      <c r="AN57" s="223">
        <f>+AN53/AN71</f>
        <v>2.1040975612200641</v>
      </c>
      <c r="AO57" s="40"/>
      <c r="AP57" s="464">
        <f>+AP53/AP71</f>
        <v>2.4108904238370061</v>
      </c>
      <c r="AQ57" s="463"/>
      <c r="AR57" s="565"/>
      <c r="AS57" s="109"/>
      <c r="AT57" s="255"/>
    </row>
    <row r="58" spans="1:46" x14ac:dyDescent="0.25">
      <c r="A58" s="218"/>
      <c r="B58" s="91"/>
      <c r="C58" s="273"/>
      <c r="D58" s="91"/>
      <c r="E58" s="273"/>
      <c r="F58" s="91"/>
      <c r="G58" s="273"/>
      <c r="H58" s="91"/>
      <c r="I58" s="273"/>
      <c r="J58" s="91"/>
      <c r="K58" s="273"/>
      <c r="L58" s="91"/>
      <c r="M58" s="273"/>
      <c r="N58" s="91"/>
      <c r="O58" s="288"/>
      <c r="P58" s="91"/>
      <c r="Q58" s="273"/>
      <c r="R58" s="91"/>
      <c r="S58" s="273"/>
      <c r="T58" s="91"/>
      <c r="U58" s="273"/>
      <c r="V58" s="29"/>
      <c r="W58" s="264"/>
      <c r="X58" s="29"/>
      <c r="Y58" s="264"/>
      <c r="Z58" s="91"/>
      <c r="AA58" s="273"/>
      <c r="AB58" s="91"/>
      <c r="AC58" s="273"/>
      <c r="AD58" s="91"/>
      <c r="AE58" s="273"/>
      <c r="AF58" s="29"/>
      <c r="AG58" s="264"/>
      <c r="AH58" s="91"/>
      <c r="AI58" s="456"/>
      <c r="AJ58" s="29"/>
      <c r="AK58" s="33"/>
      <c r="AL58" s="91"/>
      <c r="AM58" s="456"/>
      <c r="AN58" s="29"/>
      <c r="AO58" s="33"/>
      <c r="AP58" s="468"/>
      <c r="AQ58" s="478"/>
      <c r="AR58" s="565"/>
      <c r="AS58" s="109"/>
      <c r="AT58" s="77"/>
    </row>
    <row r="59" spans="1:46" x14ac:dyDescent="0.25">
      <c r="A59" s="6" t="s">
        <v>101</v>
      </c>
      <c r="B59" s="134">
        <f>+'EXTERNAL DEBT COLONES'!B67</f>
        <v>498362.31000000006</v>
      </c>
      <c r="C59" s="174">
        <f>+B59/B46</f>
        <v>0.27716746023717076</v>
      </c>
      <c r="D59" s="134">
        <f>+'EXTERNAL DEBT COLONES'!D67</f>
        <v>588656.54879999999</v>
      </c>
      <c r="E59" s="174">
        <f t="shared" ref="E59" si="234">+D59/D46</f>
        <v>0.28254818928467451</v>
      </c>
      <c r="F59" s="134">
        <f>+'EXTERNAL DEBT COLONES'!F67</f>
        <v>739601.22285000002</v>
      </c>
      <c r="G59" s="174">
        <f t="shared" ref="G59" si="235">+F59/F46</f>
        <v>0.29912218823838288</v>
      </c>
      <c r="H59" s="134">
        <f>+'EXTERNAL DEBT COLONES'!H67</f>
        <v>914137.35659999994</v>
      </c>
      <c r="I59" s="174">
        <f t="shared" ref="I59" si="236">+H59/H46</f>
        <v>0.32714881209924085</v>
      </c>
      <c r="J59" s="134">
        <f>+'EXTERNAL DEBT COLONES'!J67</f>
        <v>1103715.1464</v>
      </c>
      <c r="K59" s="174">
        <f t="shared" ref="K59" si="237">+J59/J46</f>
        <v>0.33003965561417475</v>
      </c>
      <c r="L59" s="134">
        <f>+'EXTERNAL DEBT COLONES'!L67</f>
        <v>1178273.6768999998</v>
      </c>
      <c r="M59" s="174">
        <f t="shared" ref="M59" si="238">+L59/L46</f>
        <v>0.329434008468448</v>
      </c>
      <c r="N59" s="134">
        <f>+'EXTERNAL DEBT COLONES'!N67</f>
        <v>1202664.2472000001</v>
      </c>
      <c r="O59" s="174">
        <f t="shared" ref="O59" si="239">+N59/N46</f>
        <v>0.31340061657079121</v>
      </c>
      <c r="P59" s="134">
        <f>+'EXTERNAL DEBT COLONES'!P67</f>
        <v>1132672.5807999999</v>
      </c>
      <c r="Q59" s="174">
        <f t="shared" ref="Q59" si="240">+P59/P46</f>
        <v>0.30249076195312546</v>
      </c>
      <c r="R59" s="134">
        <f>+'EXTERNAL DEBT COLONES'!R67</f>
        <v>1132181.7415999998</v>
      </c>
      <c r="S59" s="174">
        <f t="shared" ref="S59" si="241">+R59/R46</f>
        <v>0.29142310952191075</v>
      </c>
      <c r="T59" s="134">
        <f>+'EXTERNAL DEBT COLONES'!T67</f>
        <v>970713.44834990602</v>
      </c>
      <c r="U59" s="174">
        <f t="shared" ref="U59" si="242">+T59/T46</f>
        <v>0.21185861056018909</v>
      </c>
      <c r="V59" s="134">
        <f>+'EXTERNAL DEBT COLONES'!V67</f>
        <v>1141241.4864473345</v>
      </c>
      <c r="W59" s="174">
        <f t="shared" ref="W59" si="243">+V59/V46</f>
        <v>0.20521153640211456</v>
      </c>
      <c r="X59" s="134">
        <f>+'EXTERNAL DEBT COLONES'!X67</f>
        <v>1025023.8645244431</v>
      </c>
      <c r="Y59" s="174">
        <f t="shared" ref="Y59" si="244">+X59/X46</f>
        <v>0.16066894800432488</v>
      </c>
      <c r="Z59" s="134">
        <f>+'EXTERNAL DEBT COLONES'!Z67</f>
        <v>1385356.4859266996</v>
      </c>
      <c r="AA59" s="174">
        <f t="shared" ref="AA59" si="245">+Z59/Z46</f>
        <v>0.17279542006266799</v>
      </c>
      <c r="AB59" s="134">
        <f>+'EXTERNAL DEBT COLONES'!AB67</f>
        <v>1766536.4559086326</v>
      </c>
      <c r="AC59" s="174">
        <f t="shared" ref="AC59" si="246">+AB59/AB46</f>
        <v>0.19770559186608208</v>
      </c>
      <c r="AD59" s="134">
        <f>+'EXTERNAL DEBT COLONES'!AD67</f>
        <v>2377255.4849583702</v>
      </c>
      <c r="AE59" s="174">
        <f t="shared" ref="AE59" si="247">+AD59/AD46</f>
        <v>0.22651354969010773</v>
      </c>
      <c r="AF59" s="134">
        <f>+'EXTERNAL DEBT COLONES'!AF67</f>
        <v>2961135.219546393</v>
      </c>
      <c r="AG59" s="174">
        <f t="shared" ref="AG59" si="248">+AF59/AF46</f>
        <v>0.24674409816086282</v>
      </c>
      <c r="AH59" s="134">
        <f>+'EXTERNAL DEBT COLONES'!AH67</f>
        <v>3224972.3660737653</v>
      </c>
      <c r="AI59" s="174">
        <f t="shared" ref="AI59" si="249">+AH59/AH46</f>
        <v>0.22978597241350196</v>
      </c>
      <c r="AJ59" s="41">
        <f>+'EXTERNAL DEBT COLONES'!AJ67</f>
        <v>3373923.097082695</v>
      </c>
      <c r="AK59" s="40">
        <f t="shared" ref="AK59" si="250">+AJ59/AJ46</f>
        <v>0.20999656481098583</v>
      </c>
      <c r="AL59" s="89">
        <f>+'EXTERNAL DEBT COLONES'!AL67</f>
        <v>3746127.7944659423</v>
      </c>
      <c r="AM59" s="90">
        <f t="shared" ref="AM59" si="251">+AL59/AL46</f>
        <v>0.20164386382344474</v>
      </c>
      <c r="AN59" s="41">
        <f>+'EXTERNAL DEBT COLONES'!AN67</f>
        <v>4635918.8608771451</v>
      </c>
      <c r="AO59" s="40">
        <f t="shared" ref="AO59" si="252">+AN59/AN46</f>
        <v>0.21849962033432016</v>
      </c>
      <c r="AP59" s="477">
        <f>+'EXTERNAL DEBT COLONES'!AP67</f>
        <v>5761495.7650861247</v>
      </c>
      <c r="AQ59" s="463">
        <f t="shared" ref="AQ59" si="253">+AP59/AP46</f>
        <v>0.23726897581828127</v>
      </c>
      <c r="AR59" s="566"/>
      <c r="AS59" s="109"/>
      <c r="AT59" s="77"/>
    </row>
    <row r="60" spans="1:46" s="68" customFormat="1" x14ac:dyDescent="0.25">
      <c r="A60" s="218" t="s">
        <v>71</v>
      </c>
      <c r="B60" s="226">
        <f>+B59/B66</f>
        <v>0.10770626068680632</v>
      </c>
      <c r="C60" s="92"/>
      <c r="D60" s="226">
        <f>+D59/D66</f>
        <v>0.1120378924108604</v>
      </c>
      <c r="E60" s="92"/>
      <c r="F60" s="226">
        <f>+F59/F66</f>
        <v>0.12398201402973692</v>
      </c>
      <c r="G60" s="92"/>
      <c r="H60" s="226">
        <f>+H59/H66</f>
        <v>0.13276151116152635</v>
      </c>
      <c r="I60" s="92"/>
      <c r="J60" s="226">
        <f>+J59/J66</f>
        <v>0.13542288159332116</v>
      </c>
      <c r="K60" s="92"/>
      <c r="L60" s="226">
        <f>+L59/L66</f>
        <v>0.12303131902475144</v>
      </c>
      <c r="M60" s="92"/>
      <c r="N60" s="226">
        <f>+N59/N66</f>
        <v>0.10355903808317707</v>
      </c>
      <c r="O60" s="92"/>
      <c r="P60" s="226">
        <f>+P59/P66</f>
        <v>8.1551462727297866E-2</v>
      </c>
      <c r="Q60" s="92"/>
      <c r="R60" s="226">
        <f>+R59/R66</f>
        <v>6.9849065882242836E-2</v>
      </c>
      <c r="S60" s="92"/>
      <c r="T60" s="226">
        <f>+T59/T66</f>
        <v>5.5072354005230813E-2</v>
      </c>
      <c r="U60" s="92"/>
      <c r="V60" s="226">
        <f>+V59/V66</f>
        <v>5.7632606603473614E-2</v>
      </c>
      <c r="W60" s="92"/>
      <c r="X60" s="226">
        <f>+X59/X66</f>
        <v>4.7403181745282713E-2</v>
      </c>
      <c r="Y60" s="92"/>
      <c r="Z60" s="226">
        <f>+Z59/Z66</f>
        <v>5.8323754955548909E-2</v>
      </c>
      <c r="AA60" s="92"/>
      <c r="AB60" s="226">
        <f>+AB59/AB66</f>
        <v>6.9376727128849014E-2</v>
      </c>
      <c r="AC60" s="92"/>
      <c r="AD60" s="226">
        <f>+AD59/AD66</f>
        <v>8.489795616763629E-2</v>
      </c>
      <c r="AE60" s="92"/>
      <c r="AF60" s="223">
        <f>+AF59/AF66</f>
        <v>9.8142091423530406E-2</v>
      </c>
      <c r="AG60" s="35"/>
      <c r="AH60" s="226">
        <f>+AH59/AH66</f>
        <v>0.1006034243497254</v>
      </c>
      <c r="AI60" s="92"/>
      <c r="AJ60" s="223">
        <f>+AJ59/AJ66</f>
        <v>9.8240092212627111E-2</v>
      </c>
      <c r="AK60" s="35"/>
      <c r="AL60" s="226">
        <f>+AL59/AL66</f>
        <v>0.10401657793500806</v>
      </c>
      <c r="AM60" s="92"/>
      <c r="AN60" s="223">
        <f>+AN59/AN66</f>
        <v>0.12253913365708721</v>
      </c>
      <c r="AO60" s="35"/>
      <c r="AP60" s="464">
        <f>+AP59/AP66</f>
        <v>0.15786976060660471</v>
      </c>
      <c r="AQ60" s="472"/>
      <c r="AR60" s="565"/>
      <c r="AS60" s="109"/>
      <c r="AT60" s="255"/>
    </row>
    <row r="61" spans="1:46" s="68" customFormat="1" x14ac:dyDescent="0.25">
      <c r="A61" s="218" t="s">
        <v>98</v>
      </c>
      <c r="B61" s="226">
        <f>+B59/B68</f>
        <v>0.37458110515522364</v>
      </c>
      <c r="C61" s="92"/>
      <c r="D61" s="226">
        <f>+D59/D68</f>
        <v>0.41037222711361437</v>
      </c>
      <c r="E61" s="92"/>
      <c r="F61" s="226">
        <f>+F59/F68</f>
        <v>0.45707332050049504</v>
      </c>
      <c r="G61" s="92"/>
      <c r="H61" s="226">
        <f>+H59/H68</f>
        <v>0.47351707227058393</v>
      </c>
      <c r="I61" s="92"/>
      <c r="J61" s="226">
        <f>+J59/J68</f>
        <v>0.46895311764613773</v>
      </c>
      <c r="K61" s="92"/>
      <c r="L61" s="226">
        <f>+L59/L68</f>
        <v>0.42510547574971908</v>
      </c>
      <c r="M61" s="92"/>
      <c r="N61" s="226">
        <f>+N59/N68</f>
        <v>0.36774615659813237</v>
      </c>
      <c r="O61" s="92"/>
      <c r="P61" s="226">
        <f>+P59/P68</f>
        <v>0.33141847427056598</v>
      </c>
      <c r="Q61" s="92"/>
      <c r="R61" s="226">
        <f>+R59/R68</f>
        <v>0.27278957571018014</v>
      </c>
      <c r="S61" s="92"/>
      <c r="T61" s="226">
        <f>+T59/T68</f>
        <v>0.26075381696381345</v>
      </c>
      <c r="U61" s="92"/>
      <c r="V61" s="226">
        <f>+V59/V68</f>
        <v>0.29720373203481132</v>
      </c>
      <c r="W61" s="92"/>
      <c r="X61" s="226">
        <f>+X59/X68</f>
        <v>0.24172181030873782</v>
      </c>
      <c r="Y61" s="92"/>
      <c r="Z61" s="226">
        <f>+Z59/Z68</f>
        <v>0.25130020941012243</v>
      </c>
      <c r="AA61" s="92"/>
      <c r="AB61" s="226">
        <f>+AB59/AB68</f>
        <v>0.39652333635253256</v>
      </c>
      <c r="AC61" s="92"/>
      <c r="AD61" s="226">
        <f>+AD59/AD68</f>
        <v>0.46175624601861454</v>
      </c>
      <c r="AE61" s="92"/>
      <c r="AF61" s="223">
        <f>+AF59/AF68</f>
        <v>0.59223158814255406</v>
      </c>
      <c r="AG61" s="35"/>
      <c r="AH61" s="226">
        <f>+AH59/AH68</f>
        <v>0.56582285142761268</v>
      </c>
      <c r="AI61" s="92"/>
      <c r="AJ61" s="223">
        <f>+AJ59/AJ68</f>
        <v>0.5427254561014021</v>
      </c>
      <c r="AK61" s="35"/>
      <c r="AL61" s="226">
        <f>+AL59/AL68</f>
        <v>0.56368745191520608</v>
      </c>
      <c r="AM61" s="92"/>
      <c r="AN61" s="223">
        <f>+AN59/AN68</f>
        <v>0.69604170219129835</v>
      </c>
      <c r="AO61" s="35"/>
      <c r="AP61" s="464">
        <f>+AP59/AP68</f>
        <v>0.79923356269142598</v>
      </c>
      <c r="AQ61" s="472"/>
      <c r="AR61" s="389"/>
      <c r="AS61" s="109"/>
      <c r="AT61" s="255"/>
    </row>
    <row r="62" spans="1:46" s="68" customFormat="1" x14ac:dyDescent="0.25">
      <c r="A62" s="218" t="s">
        <v>102</v>
      </c>
      <c r="B62" s="226">
        <f>+B59/B69</f>
        <v>0.81895047142429733</v>
      </c>
      <c r="C62" s="92"/>
      <c r="D62" s="226">
        <f>+D59/D69</f>
        <v>0.81521001523490288</v>
      </c>
      <c r="E62" s="92"/>
      <c r="F62" s="226">
        <f>+F59/F69</f>
        <v>0.91449840210339239</v>
      </c>
      <c r="G62" s="92"/>
      <c r="H62" s="226">
        <f>+H59/H69</f>
        <v>0.95978050455431374</v>
      </c>
      <c r="I62" s="92"/>
      <c r="J62" s="226">
        <f>+J59/J69</f>
        <v>0.99645692190853408</v>
      </c>
      <c r="K62" s="92"/>
      <c r="L62" s="226">
        <f>+L59/L69</f>
        <v>0.89174746747228539</v>
      </c>
      <c r="M62" s="92"/>
      <c r="N62" s="226">
        <f>+N59/N69</f>
        <v>0.73432226397089706</v>
      </c>
      <c r="O62" s="92"/>
      <c r="P62" s="226">
        <f>+P59/P69</f>
        <v>0.53822709700833871</v>
      </c>
      <c r="Q62" s="92"/>
      <c r="R62" s="226">
        <f>+R59/R69</f>
        <v>0.45477343310607765</v>
      </c>
      <c r="S62" s="92"/>
      <c r="T62" s="226">
        <f>+T59/T69</f>
        <v>0.41146951956605948</v>
      </c>
      <c r="U62" s="92"/>
      <c r="V62" s="226">
        <f>+V59/V69</f>
        <v>0.41626454891506964</v>
      </c>
      <c r="W62" s="92"/>
      <c r="X62" s="226">
        <f>+X59/X69</f>
        <v>0.33894791099878535</v>
      </c>
      <c r="Y62" s="92"/>
      <c r="Z62" s="226">
        <f>+Z59/Z69</f>
        <v>0.42360875277425131</v>
      </c>
      <c r="AA62" s="92"/>
      <c r="AB62" s="226">
        <f>+AB59/AB69</f>
        <v>0.49955750058368148</v>
      </c>
      <c r="AC62" s="92"/>
      <c r="AD62" s="226">
        <f>+AD59/AD69</f>
        <v>0.62600216682052556</v>
      </c>
      <c r="AE62" s="92"/>
      <c r="AF62" s="223">
        <f>+AF59/AF69</f>
        <v>0.70837957425172904</v>
      </c>
      <c r="AG62" s="35"/>
      <c r="AH62" s="226">
        <f>+AH59/AH69</f>
        <v>0.70704116748839185</v>
      </c>
      <c r="AI62" s="92"/>
      <c r="AJ62" s="223">
        <f>+AJ59/AJ69</f>
        <v>0.71198676530194382</v>
      </c>
      <c r="AK62" s="35"/>
      <c r="AL62" s="226">
        <f>+AL59/AL69</f>
        <v>0.76059704882881696</v>
      </c>
      <c r="AM62" s="92"/>
      <c r="AN62" s="223">
        <f>+AN59/AN69</f>
        <v>0.88206675104412768</v>
      </c>
      <c r="AO62" s="35"/>
      <c r="AP62" s="464">
        <f>+AP59/AP69</f>
        <v>1.2272319814806831</v>
      </c>
      <c r="AQ62" s="472"/>
      <c r="AR62" s="389"/>
      <c r="AS62" s="109"/>
      <c r="AT62" s="255"/>
    </row>
    <row r="63" spans="1:46" s="68" customFormat="1" x14ac:dyDescent="0.25">
      <c r="A63" s="218" t="s">
        <v>99</v>
      </c>
      <c r="B63" s="226">
        <f>+B59/B70</f>
        <v>0.82544784139085636</v>
      </c>
      <c r="C63" s="92"/>
      <c r="D63" s="226">
        <f>+D59/D70</f>
        <v>0.82566999123774221</v>
      </c>
      <c r="E63" s="92"/>
      <c r="F63" s="226">
        <f>+F59/F70</f>
        <v>0.92285780345731705</v>
      </c>
      <c r="G63" s="92"/>
      <c r="H63" s="226">
        <f>+H59/H70</f>
        <v>0.98089408390533284</v>
      </c>
      <c r="I63" s="92"/>
      <c r="J63" s="226">
        <f>+J59/J70</f>
        <v>1.0163595511577657</v>
      </c>
      <c r="K63" s="92"/>
      <c r="L63" s="226">
        <f>+L59/L70</f>
        <v>0.90860973579644277</v>
      </c>
      <c r="M63" s="92"/>
      <c r="N63" s="226">
        <f>+N59/N70</f>
        <v>0.74650789203087864</v>
      </c>
      <c r="O63" s="92"/>
      <c r="P63" s="226">
        <f>+P59/P70</f>
        <v>0.54800867207886905</v>
      </c>
      <c r="Q63" s="92"/>
      <c r="R63" s="226">
        <f>+R59/R70</f>
        <v>0.46167971501809851</v>
      </c>
      <c r="S63" s="92"/>
      <c r="T63" s="226">
        <f>+T59/T70</f>
        <v>0.41901669357443538</v>
      </c>
      <c r="U63" s="92"/>
      <c r="V63" s="226">
        <f>+V59/V70</f>
        <v>0.4470469536930074</v>
      </c>
      <c r="W63" s="92"/>
      <c r="X63" s="226">
        <f>+X59/X70</f>
        <v>0.36141981781286553</v>
      </c>
      <c r="Y63" s="92"/>
      <c r="Z63" s="226">
        <f>+Z59/Z70</f>
        <v>0.44949835767618057</v>
      </c>
      <c r="AA63" s="92"/>
      <c r="AB63" s="226">
        <f>+AB59/AB70</f>
        <v>0.52754773470132144</v>
      </c>
      <c r="AC63" s="92"/>
      <c r="AD63" s="226">
        <f>+AD59/AD70</f>
        <v>0.66360237287181367</v>
      </c>
      <c r="AE63" s="92"/>
      <c r="AF63" s="223">
        <f>+AF59/AF70</f>
        <v>0.7543579731950264</v>
      </c>
      <c r="AG63" s="35"/>
      <c r="AH63" s="226">
        <f>+AH59/AH70</f>
        <v>0.74762049550765508</v>
      </c>
      <c r="AI63" s="92"/>
      <c r="AJ63" s="223">
        <f>+AJ59/AJ70</f>
        <v>0.75614315501052276</v>
      </c>
      <c r="AK63" s="35"/>
      <c r="AL63" s="226">
        <f>+AL59/AL70</f>
        <v>0.80517938252416654</v>
      </c>
      <c r="AM63" s="92"/>
      <c r="AN63" s="223">
        <f>+AN59/AN70</f>
        <v>0.94812409481602145</v>
      </c>
      <c r="AO63" s="35"/>
      <c r="AP63" s="464">
        <f>+AP59/AP70</f>
        <v>1.3271273265299932</v>
      </c>
      <c r="AQ63" s="472"/>
      <c r="AR63" s="389"/>
      <c r="AS63" s="109"/>
      <c r="AT63" s="255"/>
    </row>
    <row r="64" spans="1:46" s="68" customFormat="1" x14ac:dyDescent="0.25">
      <c r="A64" s="218" t="s">
        <v>96</v>
      </c>
      <c r="B64" s="226">
        <f>+B59/B71</f>
        <v>0.65859454229107273</v>
      </c>
      <c r="C64" s="92"/>
      <c r="D64" s="226">
        <f>+D59/D71</f>
        <v>0.66720539191621286</v>
      </c>
      <c r="E64" s="92"/>
      <c r="F64" s="226">
        <f>+F59/F71</f>
        <v>0.69243692065496787</v>
      </c>
      <c r="G64" s="92"/>
      <c r="H64" s="226">
        <f>+H59/H71</f>
        <v>0.77927541890026497</v>
      </c>
      <c r="I64" s="92"/>
      <c r="J64" s="226">
        <f>+J59/J71</f>
        <v>0.82995343045342118</v>
      </c>
      <c r="K64" s="92"/>
      <c r="L64" s="226">
        <f>+L59/L71</f>
        <v>0.77436999643568072</v>
      </c>
      <c r="M64" s="92"/>
      <c r="N64" s="226">
        <f>+N59/N71</f>
        <v>0.68356094615812768</v>
      </c>
      <c r="O64" s="92"/>
      <c r="P64" s="226">
        <f>+P59/P71</f>
        <v>0.55875605889687641</v>
      </c>
      <c r="Q64" s="92"/>
      <c r="R64" s="226">
        <f>+R59/R71</f>
        <v>0.46015572320113057</v>
      </c>
      <c r="S64" s="92"/>
      <c r="T64" s="226">
        <f>+T59/T71</f>
        <v>0.33059004878256626</v>
      </c>
      <c r="U64" s="92"/>
      <c r="V64" s="226">
        <f>+V59/V71</f>
        <v>0.30640828282568666</v>
      </c>
      <c r="W64" s="92"/>
      <c r="X64" s="226">
        <f>+X59/X71</f>
        <v>0.26487810471180129</v>
      </c>
      <c r="Y64" s="92"/>
      <c r="Z64" s="226">
        <f>+Z59/Z71</f>
        <v>0.32402270520342547</v>
      </c>
      <c r="AA64" s="92"/>
      <c r="AB64" s="226">
        <f>+AB59/AB71</f>
        <v>0.36256730632284434</v>
      </c>
      <c r="AC64" s="92"/>
      <c r="AD64" s="226">
        <f>+AD59/AD71</f>
        <v>0.44626722416016357</v>
      </c>
      <c r="AE64" s="92"/>
      <c r="AF64" s="223">
        <f>+AF59/AF71</f>
        <v>0.50643149211566973</v>
      </c>
      <c r="AG64" s="35"/>
      <c r="AH64" s="226">
        <f>+AH59/AH71</f>
        <v>0.52007111045692977</v>
      </c>
      <c r="AI64" s="92"/>
      <c r="AJ64" s="223">
        <f>+AJ59/AJ71</f>
        <v>0.49875606735972977</v>
      </c>
      <c r="AK64" s="35"/>
      <c r="AL64" s="226">
        <f>+AL59/AL71</f>
        <v>0.53553085985763493</v>
      </c>
      <c r="AM64" s="92"/>
      <c r="AN64" s="223">
        <f>+AN59/AN71</f>
        <v>0.58828444647669698</v>
      </c>
      <c r="AO64" s="35"/>
      <c r="AP64" s="464">
        <f>+AP59/AP71</f>
        <v>0.74997539570073135</v>
      </c>
      <c r="AQ64" s="472"/>
      <c r="AR64" s="389"/>
      <c r="AS64" s="109"/>
      <c r="AT64" s="255"/>
    </row>
    <row r="65" spans="1:46" s="30" customFormat="1" ht="12.75" customHeight="1" x14ac:dyDescent="0.25">
      <c r="A65" s="219"/>
      <c r="B65" s="32"/>
      <c r="C65" s="35"/>
      <c r="D65" s="32"/>
      <c r="E65" s="35"/>
      <c r="F65" s="32"/>
      <c r="G65" s="35"/>
      <c r="H65" s="32"/>
      <c r="I65" s="35"/>
      <c r="J65" s="32"/>
      <c r="K65" s="35"/>
      <c r="L65" s="32"/>
      <c r="M65" s="35"/>
      <c r="N65" s="32"/>
      <c r="O65" s="78"/>
      <c r="P65" s="32"/>
      <c r="Q65" s="35"/>
      <c r="R65" s="32"/>
      <c r="S65" s="35"/>
      <c r="T65" s="32"/>
      <c r="U65" s="35"/>
      <c r="V65" s="76"/>
      <c r="W65" s="35"/>
      <c r="X65" s="76"/>
      <c r="Y65" s="35"/>
      <c r="Z65" s="133"/>
      <c r="AA65" s="92"/>
      <c r="AB65" s="133"/>
      <c r="AC65" s="92"/>
      <c r="AD65" s="133"/>
      <c r="AE65" s="92"/>
      <c r="AF65" s="76"/>
      <c r="AG65" s="35"/>
      <c r="AH65" s="133"/>
      <c r="AI65" s="92"/>
      <c r="AJ65" s="76"/>
      <c r="AK65" s="35"/>
      <c r="AL65" s="133"/>
      <c r="AM65" s="92"/>
      <c r="AN65" s="76"/>
      <c r="AO65" s="35"/>
      <c r="AP65" s="473"/>
      <c r="AQ65" s="472"/>
      <c r="AR65" s="389"/>
      <c r="AS65" s="109"/>
      <c r="AT65" s="309"/>
    </row>
    <row r="66" spans="1:46" s="38" customFormat="1" ht="13.5" customHeight="1" x14ac:dyDescent="0.3">
      <c r="A66" s="268" t="s">
        <v>103</v>
      </c>
      <c r="B66" s="41">
        <f>+'Domestic Debt Colones'!B70</f>
        <v>4627050.5244738096</v>
      </c>
      <c r="C66" s="37"/>
      <c r="D66" s="41">
        <f>+'Domestic Debt Colones'!D70</f>
        <v>5254084.4542246899</v>
      </c>
      <c r="E66" s="37"/>
      <c r="F66" s="41">
        <f>+'Domestic Debt Colones'!F70</f>
        <v>5965391.2596758399</v>
      </c>
      <c r="G66" s="37"/>
      <c r="H66" s="41">
        <f>+'Domestic Debt Colones'!H70</f>
        <v>6885560.0437373798</v>
      </c>
      <c r="I66" s="37"/>
      <c r="J66" s="41">
        <f>+'Domestic Debt Colones'!J70</f>
        <v>8150137.80104376</v>
      </c>
      <c r="K66" s="37"/>
      <c r="L66" s="41">
        <f>+'Domestic Debt Colones'!L70</f>
        <v>9577022.2268604208</v>
      </c>
      <c r="M66" s="37"/>
      <c r="N66" s="41">
        <f>+'Domestic Debt Colones'!N70</f>
        <v>11613319.990806</v>
      </c>
      <c r="O66" s="37"/>
      <c r="P66" s="41">
        <f>+'Domestic Debt Colones'!P70</f>
        <v>13889052.911136299</v>
      </c>
      <c r="Q66" s="37"/>
      <c r="R66" s="41">
        <f>+'Domestic Debt Colones'!R70</f>
        <v>16208974.6985124</v>
      </c>
      <c r="S66" s="37"/>
      <c r="T66" s="41">
        <f>+'Domestic Debt Colones'!T70</f>
        <v>17626147.744796</v>
      </c>
      <c r="U66" s="37"/>
      <c r="V66" s="41">
        <f>+'Domestic Debt Colones'!V70</f>
        <v>19802010.5927076</v>
      </c>
      <c r="W66" s="37"/>
      <c r="X66" s="41">
        <f>+'Domestic Debt Colones'!X70</f>
        <v>21623524.556480799</v>
      </c>
      <c r="Y66" s="37"/>
      <c r="Z66" s="89">
        <f>+'Domestic Debt Colones'!Z70</f>
        <v>23752868.5692912</v>
      </c>
      <c r="AA66" s="94"/>
      <c r="AB66" s="41">
        <f>+'Domestic Debt Colones'!AB70</f>
        <v>25462954.639352702</v>
      </c>
      <c r="AC66" s="37"/>
      <c r="AD66" s="41">
        <f>+'Domestic Debt Colones'!AD70</f>
        <v>28001327.620471001</v>
      </c>
      <c r="AE66" s="37"/>
      <c r="AF66" s="41">
        <f>+'Domestic Debt Colones'!AF70</f>
        <v>30171918.863718402</v>
      </c>
      <c r="AG66" s="37"/>
      <c r="AH66" s="89">
        <f>+'Domestic Debt Colones'!AH70</f>
        <v>32056288.212048002</v>
      </c>
      <c r="AI66" s="94"/>
      <c r="AJ66" s="41">
        <f>+'Domestic Debt Colones'!AJ70</f>
        <v>34343647.497605197</v>
      </c>
      <c r="AK66" s="37"/>
      <c r="AL66" s="89">
        <f>+'Domestic Debt Colones'!AL70</f>
        <v>36014718.700000003</v>
      </c>
      <c r="AM66" s="94"/>
      <c r="AN66" s="41">
        <f>+'Domestic Debt Colones'!AN70</f>
        <v>37832149.799999997</v>
      </c>
      <c r="AO66" s="37"/>
      <c r="AP66" s="477">
        <f>+'Domestic Debt Colones'!AP70</f>
        <v>36495246.100000001</v>
      </c>
      <c r="AQ66" s="475"/>
      <c r="AR66" s="389"/>
      <c r="AS66" s="109"/>
      <c r="AT66" s="116"/>
    </row>
    <row r="67" spans="1:46" s="38" customFormat="1" ht="13.5" customHeight="1" x14ac:dyDescent="0.3">
      <c r="A67" s="268" t="s">
        <v>104</v>
      </c>
      <c r="B67" s="73">
        <f>+'Domestic Debt Colones'!B71</f>
        <v>2.9000000000000001E-2</v>
      </c>
      <c r="C67" s="37"/>
      <c r="D67" s="73">
        <f>+'Domestic Debt Colones'!D71</f>
        <v>5.6000000000000001E-2</v>
      </c>
      <c r="E67" s="37"/>
      <c r="F67" s="73">
        <f>+'Domestic Debt Colones'!F71</f>
        <v>2.9000000000000001E-2</v>
      </c>
      <c r="G67" s="37"/>
      <c r="H67" s="73">
        <f>+'Domestic Debt Colones'!H71</f>
        <v>5.6000000000000001E-2</v>
      </c>
      <c r="I67" s="37"/>
      <c r="J67" s="73">
        <f>+'Domestic Debt Colones'!J71</f>
        <v>4.2999999999999997E-2</v>
      </c>
      <c r="K67" s="37"/>
      <c r="L67" s="73">
        <f>+'Domestic Debt Colones'!L71</f>
        <v>5.8999999999999997E-2</v>
      </c>
      <c r="M67" s="37"/>
      <c r="N67" s="73">
        <f>+'Domestic Debt Colones'!N71</f>
        <v>8.7999999999999995E-2</v>
      </c>
      <c r="O67" s="37"/>
      <c r="P67" s="73">
        <f>+'Domestic Debt Colones'!P71</f>
        <v>6.8000000000000005E-2</v>
      </c>
      <c r="Q67" s="37"/>
      <c r="R67" s="73">
        <f>+'Domestic Debt Colones'!R71</f>
        <v>2.9000000000000001E-2</v>
      </c>
      <c r="S67" s="37"/>
      <c r="T67" s="73">
        <f>+'Domestic Debt Colones'!T71</f>
        <v>-1.2999999999999999E-2</v>
      </c>
      <c r="U67" s="37"/>
      <c r="V67" s="73">
        <f>+'Domestic Debt Colones'!V71</f>
        <v>4.2000000000000003E-2</v>
      </c>
      <c r="W67" s="37"/>
      <c r="X67" s="73">
        <f>+'Domestic Debt Colones'!X71</f>
        <v>4.4999999999999998E-2</v>
      </c>
      <c r="Y67" s="37"/>
      <c r="Z67" s="179">
        <f>+'Domestic Debt Colones'!Z71</f>
        <v>4.8000000000000001E-2</v>
      </c>
      <c r="AA67" s="94"/>
      <c r="AB67" s="179">
        <f>+'Domestic Debt Colones'!AB71</f>
        <v>3.4972883502778697E-2</v>
      </c>
      <c r="AC67" s="94"/>
      <c r="AD67" s="179">
        <f>+'Domestic Debt Colones'!AD71</f>
        <v>3.4972883502778697E-2</v>
      </c>
      <c r="AE67" s="94"/>
      <c r="AF67" s="179">
        <f>+'Domestic Debt Colones'!AF71</f>
        <v>3.5000000000000003E-2</v>
      </c>
      <c r="AG67" s="37"/>
      <c r="AH67" s="179">
        <f>+'Domestic Debt Colones'!AH71</f>
        <v>4.2999999999999997E-2</v>
      </c>
      <c r="AI67" s="94"/>
      <c r="AJ67" s="103">
        <f>+'Domestic Debt Colones'!AJ71</f>
        <v>3.2000000000000001E-2</v>
      </c>
      <c r="AK67" s="37"/>
      <c r="AL67" s="179">
        <f>+'Domestic Debt Colones'!AL71</f>
        <v>2.7E-2</v>
      </c>
      <c r="AM67" s="94"/>
      <c r="AN67" s="103">
        <f>+'Domestic Debt Colones'!AN71</f>
        <v>2.1000000000000001E-2</v>
      </c>
      <c r="AO67" s="37"/>
      <c r="AP67" s="527">
        <f>+'Domestic Debt Colones'!AP71</f>
        <v>2.1000000000000001E-2</v>
      </c>
      <c r="AQ67" s="475"/>
      <c r="AR67" s="567"/>
      <c r="AS67" s="109"/>
      <c r="AT67" s="116"/>
    </row>
    <row r="68" spans="1:46" s="38" customFormat="1" ht="13.5" customHeight="1" x14ac:dyDescent="0.3">
      <c r="A68" s="268" t="s">
        <v>105</v>
      </c>
      <c r="B68" s="41">
        <f>+'Domestic Debt Colones'!B72</f>
        <v>1330452.3456768659</v>
      </c>
      <c r="C68" s="37"/>
      <c r="D68" s="41">
        <f>+'Domestic Debt Colones'!D72</f>
        <v>1434445.3886179447</v>
      </c>
      <c r="E68" s="37"/>
      <c r="F68" s="41">
        <f>+'Domestic Debt Colones'!F72</f>
        <v>1618123.8100708593</v>
      </c>
      <c r="G68" s="37"/>
      <c r="H68" s="41">
        <f>+'Domestic Debt Colones'!H72</f>
        <v>1930526.7119864908</v>
      </c>
      <c r="I68" s="37"/>
      <c r="J68" s="41">
        <f>+'Domestic Debt Colones'!J72</f>
        <v>2353572.4678406776</v>
      </c>
      <c r="K68" s="37"/>
      <c r="L68" s="41">
        <f>+'Domestic Debt Colones'!L72</f>
        <v>2771720.7707616277</v>
      </c>
      <c r="M68" s="37"/>
      <c r="N68" s="41">
        <f>+'Domestic Debt Colones'!N72</f>
        <v>3270365.2386889635</v>
      </c>
      <c r="O68" s="37"/>
      <c r="P68" s="41">
        <f>+'Domestic Debt Colones'!P72</f>
        <v>3417650.7006525528</v>
      </c>
      <c r="Q68" s="37"/>
      <c r="R68" s="41">
        <f>+'Domestic Debt Colones'!R72</f>
        <v>4150384.9208771223</v>
      </c>
      <c r="S68" s="37"/>
      <c r="T68" s="41">
        <f>+'Domestic Debt Colones'!T72</f>
        <v>3722719.9956371812</v>
      </c>
      <c r="U68" s="37"/>
      <c r="V68" s="41">
        <f>+'Domestic Debt Colones'!V72</f>
        <v>3839929.8643856249</v>
      </c>
      <c r="W68" s="37"/>
      <c r="X68" s="41">
        <f>+'Domestic Debt Colones'!X72</f>
        <v>4240510.4579319386</v>
      </c>
      <c r="Y68" s="37"/>
      <c r="Z68" s="89">
        <f>+'Domestic Debt Colones'!Z72</f>
        <v>5512755</v>
      </c>
      <c r="AA68" s="94"/>
      <c r="AB68" s="89">
        <f>+'Domestic Debt Colones'!AB72</f>
        <v>4455063.0289715854</v>
      </c>
      <c r="AC68" s="94"/>
      <c r="AD68" s="89">
        <f>+'Domestic Debt Colones'!AD72</f>
        <v>5148290.9120465629</v>
      </c>
      <c r="AE68" s="94"/>
      <c r="AF68" s="41">
        <f>+'Domestic Debt Colones'!AF72</f>
        <v>4999961.6346597644</v>
      </c>
      <c r="AG68" s="37"/>
      <c r="AH68" s="89">
        <f>+'Domestic Debt Colones'!AH72</f>
        <v>5699614.9200000009</v>
      </c>
      <c r="AI68" s="94"/>
      <c r="AJ68" s="41">
        <f>+'Domestic Debt Colones'!AJ72</f>
        <v>6216629.5300000003</v>
      </c>
      <c r="AK68" s="37"/>
      <c r="AL68" s="89">
        <f>+'Domestic Debt Colones'!AL72</f>
        <v>6645753.3899999997</v>
      </c>
      <c r="AM68" s="94"/>
      <c r="AN68" s="41">
        <f>+'Domestic Debt Colones'!AN72</f>
        <v>6660403.8899999997</v>
      </c>
      <c r="AO68" s="37"/>
      <c r="AP68" s="477">
        <f>+'Domestic Debt Colones'!AP72</f>
        <v>7208776.0499999998</v>
      </c>
      <c r="AQ68" s="475"/>
      <c r="AR68" s="567"/>
      <c r="AS68" s="109"/>
      <c r="AT68" s="116"/>
    </row>
    <row r="69" spans="1:46" s="38" customFormat="1" ht="13.5" customHeight="1" x14ac:dyDescent="0.3">
      <c r="A69" s="268" t="s">
        <v>106</v>
      </c>
      <c r="B69" s="41">
        <f>+'Domestic Debt Colones'!B73</f>
        <v>608537.79</v>
      </c>
      <c r="C69" s="42"/>
      <c r="D69" s="41">
        <f>+'Domestic Debt Colones'!D73</f>
        <v>722091.9</v>
      </c>
      <c r="E69" s="42"/>
      <c r="F69" s="41">
        <f>+'Domestic Debt Colones'!F73</f>
        <v>808750.7</v>
      </c>
      <c r="G69" s="42"/>
      <c r="H69" s="41">
        <f>+'Domestic Debt Colones'!H73</f>
        <v>952444.18099999987</v>
      </c>
      <c r="I69" s="42"/>
      <c r="J69" s="41">
        <f>+'Domestic Debt Colones'!J73</f>
        <v>1107639.6000000001</v>
      </c>
      <c r="K69" s="42"/>
      <c r="L69" s="41">
        <f>+'Domestic Debt Colones'!L73</f>
        <v>1321308.68870297</v>
      </c>
      <c r="M69" s="42"/>
      <c r="N69" s="41">
        <f>+'Domestic Debt Colones'!N73</f>
        <v>1637788.0750837</v>
      </c>
      <c r="O69" s="42"/>
      <c r="P69" s="41">
        <f>+'Domestic Debt Colones'!P73</f>
        <v>2104451.05253118</v>
      </c>
      <c r="Q69" s="42"/>
      <c r="R69" s="41">
        <f>+'Domestic Debt Colones'!R73</f>
        <v>2489551.1900668</v>
      </c>
      <c r="S69" s="42"/>
      <c r="T69" s="41">
        <f>+'Domestic Debt Colones'!T73</f>
        <v>2359138.1674482999</v>
      </c>
      <c r="U69" s="42"/>
      <c r="V69" s="41">
        <f>+'Domestic Debt Colones'!V73</f>
        <v>2741625.4625137001</v>
      </c>
      <c r="W69" s="42"/>
      <c r="X69" s="41">
        <f>+'Domestic Debt Colones'!X73</f>
        <v>3024133.8897885</v>
      </c>
      <c r="Y69" s="42"/>
      <c r="Z69" s="89">
        <f>+'Domestic Debt Colones'!Z73</f>
        <v>3270367.9441321199</v>
      </c>
      <c r="AA69" s="95"/>
      <c r="AB69" s="41">
        <f>+'Domestic Debt Colones'!AB73</f>
        <v>3536202.4468546999</v>
      </c>
      <c r="AC69" s="42"/>
      <c r="AD69" s="41">
        <f>+'Domestic Debt Colones'!AD73</f>
        <v>3797519.5789377</v>
      </c>
      <c r="AE69" s="42"/>
      <c r="AF69" s="41">
        <f>+'Domestic Debt Colones'!AF73</f>
        <v>4180153.3064731299</v>
      </c>
      <c r="AG69" s="42"/>
      <c r="AH69" s="89">
        <f>+'Domestic Debt Colones'!AH73</f>
        <v>4561222.90238031</v>
      </c>
      <c r="AI69" s="95"/>
      <c r="AJ69" s="41">
        <f>+'Domestic Debt Colones'!AJ73</f>
        <v>4738744.1192840999</v>
      </c>
      <c r="AK69" s="42"/>
      <c r="AL69" s="89">
        <f>+'Domestic Debt Colones'!AL73</f>
        <v>4925246.2920206003</v>
      </c>
      <c r="AM69" s="95"/>
      <c r="AN69" s="41">
        <f>+'Domestic Debt Colones'!AN73</f>
        <v>5255746.0706794299</v>
      </c>
      <c r="AO69" s="42"/>
      <c r="AP69" s="477">
        <f>+'Domestic Debt Colones'!AP73</f>
        <v>4694707.9704806497</v>
      </c>
      <c r="AQ69" s="528"/>
      <c r="AR69" s="567"/>
      <c r="AS69" s="109"/>
      <c r="AT69" s="116"/>
    </row>
    <row r="70" spans="1:46" s="38" customFormat="1" ht="13.5" customHeight="1" x14ac:dyDescent="0.3">
      <c r="A70" s="268" t="s">
        <v>107</v>
      </c>
      <c r="B70" s="41">
        <f>+'Domestic Debt Colones'!B74</f>
        <v>603747.79</v>
      </c>
      <c r="C70" s="42"/>
      <c r="D70" s="41">
        <f>+'Domestic Debt Colones'!D74</f>
        <v>712944.1</v>
      </c>
      <c r="E70" s="42"/>
      <c r="F70" s="41">
        <f>+'Domestic Debt Colones'!F74</f>
        <v>801424.9</v>
      </c>
      <c r="G70" s="42"/>
      <c r="H70" s="41">
        <f>+'Domestic Debt Colones'!H74</f>
        <v>931942.98099999991</v>
      </c>
      <c r="I70" s="42"/>
      <c r="J70" s="41">
        <f>+'Domestic Debt Colones'!J74</f>
        <v>1085949.5</v>
      </c>
      <c r="K70" s="42"/>
      <c r="L70" s="41">
        <f>+'Domestic Debt Colones'!L74</f>
        <v>1296787.42201368</v>
      </c>
      <c r="M70" s="42"/>
      <c r="N70" s="41">
        <f>+'Domestic Debt Colones'!N74</f>
        <v>1611053.6272137</v>
      </c>
      <c r="O70" s="42"/>
      <c r="P70" s="41">
        <f>+'Domestic Debt Colones'!P74</f>
        <v>2066888.0594593701</v>
      </c>
      <c r="Q70" s="42"/>
      <c r="R70" s="41">
        <f>+'Domestic Debt Colones'!R74</f>
        <v>2452309.9126320002</v>
      </c>
      <c r="S70" s="42"/>
      <c r="T70" s="41">
        <f>+'Domestic Debt Colones'!T74</f>
        <v>2316646.2416311</v>
      </c>
      <c r="U70" s="42"/>
      <c r="V70" s="41">
        <f>+'Domestic Debt Colones'!V74</f>
        <v>2552844.7896125</v>
      </c>
      <c r="W70" s="42"/>
      <c r="X70" s="41">
        <f>+'Domestic Debt Colones'!X74</f>
        <v>2836103.096746</v>
      </c>
      <c r="Y70" s="42"/>
      <c r="Z70" s="89">
        <f>+'Domestic Debt Colones'!Z74</f>
        <v>3082005.6675817999</v>
      </c>
      <c r="AA70" s="95"/>
      <c r="AB70" s="89">
        <f>+'Domestic Debt Colones'!AB74</f>
        <v>3348581.2557015</v>
      </c>
      <c r="AC70" s="95"/>
      <c r="AD70" s="89">
        <f>+'Domestic Debt Colones'!AD74</f>
        <v>3582349.283458</v>
      </c>
      <c r="AE70" s="95"/>
      <c r="AF70" s="41">
        <f>+'Domestic Debt Colones'!AF74</f>
        <v>3925371.4082251</v>
      </c>
      <c r="AG70" s="42"/>
      <c r="AH70" s="89">
        <f>+'Domestic Debt Colones'!AH74</f>
        <v>4313648.9508409202</v>
      </c>
      <c r="AI70" s="95"/>
      <c r="AJ70" s="41">
        <f>+'Domestic Debt Colones'!AJ74</f>
        <v>4462016.3189016003</v>
      </c>
      <c r="AK70" s="42"/>
      <c r="AL70" s="89">
        <f>+'Domestic Debt Colones'!AL74</f>
        <v>4652538.1496011</v>
      </c>
      <c r="AM70" s="95"/>
      <c r="AN70" s="41">
        <f>+'Domestic Debt Colones'!AN74</f>
        <v>4889569.7158468701</v>
      </c>
      <c r="AO70" s="42"/>
      <c r="AP70" s="477">
        <f>+'Domestic Debt Colones'!AP74</f>
        <v>4341328.5597475898</v>
      </c>
      <c r="AQ70" s="528"/>
      <c r="AR70" s="578"/>
      <c r="AS70" s="109"/>
      <c r="AT70" s="116"/>
    </row>
    <row r="71" spans="1:46" s="38" customFormat="1" ht="13.5" customHeight="1" x14ac:dyDescent="0.3">
      <c r="A71" s="268" t="s">
        <v>108</v>
      </c>
      <c r="B71" s="41">
        <f>+'Domestic Debt Colones'!B75</f>
        <v>756705.8</v>
      </c>
      <c r="C71" s="42"/>
      <c r="D71" s="41">
        <f>+'Domestic Debt Colones'!D75</f>
        <v>882271.87</v>
      </c>
      <c r="E71" s="42"/>
      <c r="F71" s="41">
        <f>+'Domestic Debt Colones'!F75</f>
        <v>1068113.5</v>
      </c>
      <c r="G71" s="42"/>
      <c r="H71" s="41">
        <f>+'Domestic Debt Colones'!H75</f>
        <v>1173060.6848732068</v>
      </c>
      <c r="I71" s="42"/>
      <c r="J71" s="41">
        <f>+'Domestic Debt Colones'!J75</f>
        <v>1329851.8999999999</v>
      </c>
      <c r="K71" s="42"/>
      <c r="L71" s="41">
        <f>+'Domestic Debt Colones'!L75</f>
        <v>1521590.0439369199</v>
      </c>
      <c r="M71" s="42"/>
      <c r="N71" s="41">
        <f>+'Domestic Debt Colones'!N75</f>
        <v>1759410.4138913001</v>
      </c>
      <c r="O71" s="42"/>
      <c r="P71" s="41">
        <f>+'Domestic Debt Colones'!P75</f>
        <v>2027132.5254820101</v>
      </c>
      <c r="Q71" s="42"/>
      <c r="R71" s="41">
        <f>+'Domestic Debt Colones'!R75</f>
        <v>2460431.7289021998</v>
      </c>
      <c r="S71" s="42"/>
      <c r="T71" s="41">
        <f>+'Domestic Debt Colones'!T75</f>
        <v>2936305.7113323999</v>
      </c>
      <c r="U71" s="42"/>
      <c r="V71" s="41">
        <f>+'Domestic Debt Colones'!V75</f>
        <v>3724577.7951002</v>
      </c>
      <c r="W71" s="42"/>
      <c r="X71" s="41">
        <f>+'Domestic Debt Colones'!X75</f>
        <v>3869794.6198298</v>
      </c>
      <c r="Y71" s="42"/>
      <c r="Z71" s="89">
        <f>+'Domestic Debt Colones'!Z75</f>
        <v>4275492.0062066503</v>
      </c>
      <c r="AA71" s="95"/>
      <c r="AB71" s="41">
        <f>+'Domestic Debt Colones'!AB75</f>
        <v>4872299.3637370002</v>
      </c>
      <c r="AC71" s="42"/>
      <c r="AD71" s="41">
        <f>+'Domestic Debt Colones'!AD75</f>
        <v>5326977.5512466999</v>
      </c>
      <c r="AE71" s="42"/>
      <c r="AF71" s="41">
        <f>+'Domestic Debt Colones'!AF75</f>
        <v>5847059.8010718999</v>
      </c>
      <c r="AG71" s="42"/>
      <c r="AH71" s="89">
        <f>+'Domestic Debt Colones'!AH75</f>
        <v>6201021.9395581</v>
      </c>
      <c r="AI71" s="95"/>
      <c r="AJ71" s="41">
        <f>+'Domestic Debt Colones'!AJ75</f>
        <v>6764675.7962129004</v>
      </c>
      <c r="AK71" s="42"/>
      <c r="AL71" s="89">
        <f>+'Domestic Debt Colones'!AL75</f>
        <v>6995166.9927327996</v>
      </c>
      <c r="AM71" s="95"/>
      <c r="AN71" s="41">
        <f>+'Domestic Debt Colones'!AN75</f>
        <v>7880403.5847661709</v>
      </c>
      <c r="AO71" s="42"/>
      <c r="AP71" s="477">
        <f>+'Domestic Debt Colones'!AP75</f>
        <v>7682246.3751666602</v>
      </c>
      <c r="AQ71" s="528"/>
      <c r="AR71" s="578"/>
      <c r="AS71" s="109"/>
      <c r="AT71" s="116"/>
    </row>
    <row r="72" spans="1:46" s="38" customFormat="1" ht="14.4" thickBot="1" x14ac:dyDescent="0.35">
      <c r="A72" s="117"/>
      <c r="B72" s="44"/>
      <c r="C72" s="59"/>
      <c r="D72" s="44"/>
      <c r="E72" s="59"/>
      <c r="F72" s="44"/>
      <c r="G72" s="59"/>
      <c r="H72" s="44"/>
      <c r="I72" s="59"/>
      <c r="J72" s="44"/>
      <c r="K72" s="59"/>
      <c r="L72" s="44"/>
      <c r="M72" s="59"/>
      <c r="N72" s="44"/>
      <c r="O72" s="59"/>
      <c r="P72" s="44"/>
      <c r="Q72" s="59"/>
      <c r="R72" s="44"/>
      <c r="S72" s="59"/>
      <c r="T72" s="44"/>
      <c r="U72" s="59"/>
      <c r="V72" s="44"/>
      <c r="W72" s="59"/>
      <c r="X72" s="44"/>
      <c r="Y72" s="59"/>
      <c r="Z72" s="85"/>
      <c r="AA72" s="101"/>
      <c r="AB72" s="85"/>
      <c r="AC72" s="101"/>
      <c r="AD72" s="85"/>
      <c r="AE72" s="101"/>
      <c r="AF72" s="44"/>
      <c r="AG72" s="59"/>
      <c r="AH72" s="85"/>
      <c r="AI72" s="101"/>
      <c r="AJ72" s="44"/>
      <c r="AK72" s="59"/>
      <c r="AL72" s="85"/>
      <c r="AM72" s="101"/>
      <c r="AN72" s="44"/>
      <c r="AO72" s="59"/>
      <c r="AP72" s="459"/>
      <c r="AQ72" s="529"/>
      <c r="AR72" s="16"/>
      <c r="AT72" s="116"/>
    </row>
    <row r="73" spans="1:46" s="38" customFormat="1" ht="13.5" customHeight="1" x14ac:dyDescent="0.25">
      <c r="A73" s="104"/>
      <c r="B73" s="119"/>
      <c r="C73" s="149"/>
      <c r="D73" s="149"/>
      <c r="E73" s="120"/>
      <c r="F73" s="119"/>
      <c r="G73" s="149"/>
      <c r="H73" s="149"/>
      <c r="I73" s="120"/>
      <c r="J73" s="149"/>
      <c r="K73" s="120"/>
      <c r="L73" s="149"/>
      <c r="M73" s="120"/>
      <c r="N73" s="149"/>
      <c r="O73" s="120"/>
      <c r="P73" s="104"/>
      <c r="Q73" s="104"/>
      <c r="R73" s="104"/>
      <c r="S73" s="104"/>
      <c r="T73" s="104"/>
      <c r="U73" s="104"/>
      <c r="V73" s="104"/>
      <c r="W73" s="104"/>
      <c r="Z73" s="11"/>
      <c r="AA73" s="11"/>
      <c r="AB73" s="11"/>
      <c r="AC73" s="11"/>
      <c r="AD73" s="11"/>
      <c r="AE73" s="11"/>
      <c r="AL73" s="11"/>
      <c r="AM73" s="11"/>
      <c r="AR73" s="16"/>
    </row>
    <row r="74" spans="1:46" s="38" customFormat="1" ht="13.5" customHeight="1" x14ac:dyDescent="0.25">
      <c r="A74" s="163"/>
      <c r="B74" s="104"/>
      <c r="C74" s="104"/>
      <c r="D74" s="104"/>
      <c r="E74" s="104"/>
      <c r="F74" s="104"/>
      <c r="G74" s="104"/>
      <c r="H74" s="104"/>
      <c r="I74" s="104"/>
      <c r="J74" s="104"/>
      <c r="K74" s="104"/>
      <c r="L74" s="104"/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4"/>
      <c r="Z74" s="11"/>
      <c r="AA74" s="11"/>
      <c r="AB74" s="11"/>
      <c r="AC74" s="11"/>
      <c r="AD74" s="11"/>
      <c r="AE74" s="11"/>
      <c r="AL74" s="11"/>
      <c r="AM74" s="11"/>
      <c r="AR74" s="11"/>
    </row>
    <row r="75" spans="1:46" s="38" customFormat="1" ht="12.75" customHeight="1" x14ac:dyDescent="0.25">
      <c r="A75" s="163"/>
      <c r="B75" s="104"/>
      <c r="C75" s="104"/>
      <c r="D75" s="104"/>
      <c r="E75" s="104"/>
      <c r="F75" s="104"/>
      <c r="G75" s="104"/>
      <c r="H75" s="104"/>
      <c r="I75" s="104"/>
      <c r="J75" s="104"/>
      <c r="K75" s="104"/>
      <c r="L75" s="104"/>
      <c r="M75" s="104"/>
      <c r="N75" s="104"/>
      <c r="O75" s="104"/>
      <c r="P75" s="104"/>
      <c r="Q75" s="104"/>
      <c r="R75" s="104"/>
      <c r="S75" s="104"/>
      <c r="T75" s="104"/>
      <c r="U75" s="104"/>
      <c r="V75" s="104"/>
      <c r="W75" s="104"/>
      <c r="X75" s="104"/>
      <c r="Y75" s="104"/>
      <c r="Z75" s="11"/>
      <c r="AA75" s="11"/>
      <c r="AB75" s="11"/>
      <c r="AC75" s="11"/>
      <c r="AD75" s="11"/>
      <c r="AE75" s="11"/>
      <c r="AL75" s="11"/>
      <c r="AM75" s="11"/>
      <c r="AR75" s="11"/>
    </row>
    <row r="76" spans="1:46" s="38" customFormat="1" ht="18" customHeight="1" x14ac:dyDescent="0.25">
      <c r="A76" s="104"/>
      <c r="Z76" s="11"/>
      <c r="AA76" s="11"/>
      <c r="AB76" s="11"/>
      <c r="AC76" s="11"/>
      <c r="AD76" s="11"/>
      <c r="AE76" s="11"/>
      <c r="AL76" s="11"/>
      <c r="AM76" s="11"/>
      <c r="AR76" s="11"/>
    </row>
    <row r="77" spans="1:46" s="2" customFormat="1" ht="12" customHeight="1" x14ac:dyDescent="0.25">
      <c r="A77" s="28"/>
      <c r="B77" s="150"/>
      <c r="C77" s="62"/>
      <c r="D77" s="151"/>
      <c r="E77" s="66"/>
      <c r="F77" s="150"/>
      <c r="G77" s="62"/>
      <c r="H77" s="151"/>
      <c r="I77" s="66"/>
      <c r="J77" s="151"/>
      <c r="K77" s="62"/>
      <c r="P77" s="62"/>
      <c r="Q77" s="62"/>
      <c r="Z77" s="62"/>
      <c r="AA77" s="62"/>
      <c r="AB77" s="62"/>
      <c r="AC77" s="62"/>
      <c r="AD77" s="62"/>
      <c r="AE77" s="62"/>
      <c r="AF77" s="61"/>
      <c r="AG77" s="61"/>
      <c r="AH77" s="61"/>
      <c r="AI77" s="61"/>
      <c r="AJ77" s="61"/>
      <c r="AK77" s="61"/>
      <c r="AL77" s="62"/>
      <c r="AM77" s="62"/>
      <c r="AR77" s="585"/>
    </row>
    <row r="78" spans="1:46" s="2" customFormat="1" ht="12.75" customHeight="1" x14ac:dyDescent="0.2">
      <c r="A78" s="21"/>
      <c r="B78" s="150"/>
      <c r="C78" s="62"/>
      <c r="D78" s="62"/>
      <c r="E78" s="62"/>
      <c r="F78" s="150"/>
      <c r="G78" s="62"/>
      <c r="H78" s="62"/>
      <c r="I78" s="62"/>
      <c r="J78" s="62"/>
      <c r="K78" s="62"/>
      <c r="P78" s="62"/>
      <c r="Q78" s="62"/>
      <c r="Z78" s="62"/>
      <c r="AA78" s="62"/>
      <c r="AB78" s="62"/>
      <c r="AC78" s="62"/>
      <c r="AD78" s="62"/>
      <c r="AE78" s="62"/>
      <c r="AF78" s="61"/>
      <c r="AG78" s="61"/>
      <c r="AH78" s="61"/>
      <c r="AI78" s="61"/>
      <c r="AJ78" s="61"/>
      <c r="AK78" s="61"/>
      <c r="AL78" s="62"/>
      <c r="AM78" s="62"/>
      <c r="AR78" s="62"/>
    </row>
    <row r="79" spans="1:46" s="2" customFormat="1" ht="12.75" customHeight="1" x14ac:dyDescent="0.2">
      <c r="A79" s="21"/>
      <c r="B79" s="150"/>
      <c r="C79" s="62"/>
      <c r="D79" s="62"/>
      <c r="E79" s="62"/>
      <c r="F79" s="150"/>
      <c r="G79" s="62"/>
      <c r="H79" s="62"/>
      <c r="I79" s="62"/>
      <c r="J79" s="62"/>
      <c r="K79" s="62"/>
      <c r="P79" s="62"/>
      <c r="Q79" s="62"/>
      <c r="Z79" s="62"/>
      <c r="AA79" s="62"/>
      <c r="AB79" s="62"/>
      <c r="AC79" s="62"/>
      <c r="AD79" s="62"/>
      <c r="AE79" s="62"/>
      <c r="AF79" s="61"/>
      <c r="AG79" s="61"/>
      <c r="AH79" s="61"/>
      <c r="AI79" s="61"/>
      <c r="AJ79" s="61"/>
      <c r="AK79" s="61"/>
      <c r="AL79" s="62"/>
      <c r="AM79" s="62"/>
      <c r="AR79" s="62"/>
    </row>
    <row r="80" spans="1:46" ht="13.8" thickBot="1" x14ac:dyDescent="0.3">
      <c r="A80" s="195"/>
      <c r="D80" s="4"/>
      <c r="E80" s="4"/>
      <c r="H80" s="4"/>
      <c r="I80" s="4"/>
      <c r="X80" s="438"/>
      <c r="Y80" s="438"/>
      <c r="Z80" s="585"/>
      <c r="AA80" s="585"/>
      <c r="AB80" s="585"/>
      <c r="AC80" s="585"/>
      <c r="AD80" s="585"/>
      <c r="AE80" s="585"/>
      <c r="AN80" s="438"/>
      <c r="AO80" s="438"/>
      <c r="AR80" s="62"/>
    </row>
    <row r="81" spans="1:44" s="3" customFormat="1" ht="13.8" thickBot="1" x14ac:dyDescent="0.3">
      <c r="A81" s="67" t="s">
        <v>122</v>
      </c>
      <c r="B81" s="173">
        <v>318.3</v>
      </c>
      <c r="C81" s="8"/>
      <c r="D81" s="173">
        <v>341.94</v>
      </c>
      <c r="E81" s="8"/>
      <c r="F81" s="173">
        <v>379.05</v>
      </c>
      <c r="G81" s="8"/>
      <c r="H81" s="173">
        <v>419.01</v>
      </c>
      <c r="I81" s="8"/>
      <c r="J81" s="173">
        <v>459.64</v>
      </c>
      <c r="K81" s="8"/>
      <c r="L81" s="173">
        <v>497.71</v>
      </c>
      <c r="M81" s="8"/>
      <c r="N81" s="173">
        <v>518.22</v>
      </c>
      <c r="O81" s="8"/>
      <c r="P81" s="173">
        <v>497.17</v>
      </c>
      <c r="Q81" s="8"/>
      <c r="R81" s="173">
        <v>552.37</v>
      </c>
      <c r="S81" s="8"/>
      <c r="T81" s="173">
        <v>562.1</v>
      </c>
      <c r="U81" s="105"/>
      <c r="V81" s="173">
        <f>+'Domestic Debt Colones'!V89</f>
        <v>512.5</v>
      </c>
      <c r="W81" s="105"/>
      <c r="X81" s="173">
        <f>+'Domestic Debt Colones'!X89</f>
        <v>510.82</v>
      </c>
      <c r="Y81" s="105"/>
      <c r="Z81" s="173">
        <f>+'Domestic Debt Colones'!Z89</f>
        <v>509.23</v>
      </c>
      <c r="AA81" s="8"/>
      <c r="AB81" s="173">
        <f>+'Domestic Debt Colones'!AB89</f>
        <v>502.47</v>
      </c>
      <c r="AC81" s="105"/>
      <c r="AD81" s="173">
        <f>+'Domestic Debt Colones'!AD89</f>
        <v>542.22</v>
      </c>
      <c r="AE81" s="105"/>
      <c r="AF81" s="173">
        <f>+'Domestic Debt Colones'!AF89</f>
        <v>537.80999999999995</v>
      </c>
      <c r="AG81" s="105"/>
      <c r="AH81" s="173">
        <f>+'Domestic Debt Colones'!AH89</f>
        <v>556.44000000000005</v>
      </c>
      <c r="AI81" s="105"/>
      <c r="AJ81" s="173">
        <f>+'Domestic Debt Colones'!AJ89</f>
        <v>570.49</v>
      </c>
      <c r="AK81" s="105"/>
      <c r="AL81" s="173">
        <f>+'Domestic Debt Colones'!AL89</f>
        <v>609.87</v>
      </c>
      <c r="AM81" s="67"/>
      <c r="AN81" s="689">
        <f>+'Domestic Debt Colones'!AN89</f>
        <v>573.53</v>
      </c>
      <c r="AO81" s="143"/>
      <c r="AP81" s="123">
        <f>+'Domestic Debt Colones'!AP89</f>
        <v>615.74</v>
      </c>
      <c r="AQ81" s="143"/>
      <c r="AR81" s="585"/>
    </row>
    <row r="82" spans="1:44" x14ac:dyDescent="0.25">
      <c r="A82" s="585"/>
      <c r="B82" s="152"/>
      <c r="D82" s="4"/>
      <c r="E82" s="4"/>
      <c r="F82" s="152"/>
      <c r="H82" s="4"/>
      <c r="I82" s="4"/>
      <c r="X82" s="438"/>
      <c r="Y82" s="438"/>
      <c r="Z82" s="585"/>
      <c r="AA82" s="585"/>
      <c r="AB82" s="585"/>
      <c r="AC82" s="585"/>
      <c r="AD82" s="585"/>
      <c r="AE82" s="585"/>
      <c r="AN82" s="438"/>
      <c r="AO82" s="438"/>
      <c r="AR82" s="67"/>
    </row>
    <row r="83" spans="1:44" x14ac:dyDescent="0.25">
      <c r="A83" s="60">
        <f>+'EXTERNAL DEBT USD'!A96</f>
        <v>0</v>
      </c>
      <c r="D83" s="4"/>
      <c r="E83" s="4"/>
      <c r="H83" s="4"/>
      <c r="I83" s="4"/>
      <c r="X83" s="438"/>
      <c r="Y83" s="438"/>
      <c r="Z83" s="585"/>
      <c r="AA83" s="585"/>
      <c r="AB83" s="585"/>
      <c r="AC83" s="585"/>
      <c r="AD83" s="585"/>
      <c r="AE83" s="585"/>
      <c r="AN83" s="438"/>
      <c r="AO83" s="438"/>
      <c r="AR83" s="585"/>
    </row>
    <row r="84" spans="1:44" x14ac:dyDescent="0.25">
      <c r="A84" s="62"/>
      <c r="B84" s="8"/>
      <c r="C84" s="8"/>
      <c r="D84" s="126"/>
      <c r="F84" s="8"/>
      <c r="G84" s="8"/>
      <c r="H84" s="126"/>
      <c r="X84" s="438"/>
      <c r="Y84" s="438"/>
      <c r="Z84" s="585"/>
      <c r="AA84" s="585"/>
      <c r="AB84" s="585"/>
      <c r="AC84" s="585"/>
      <c r="AD84" s="585"/>
      <c r="AE84" s="585"/>
      <c r="AN84" s="438"/>
      <c r="AO84" s="438"/>
      <c r="AR84" s="585"/>
    </row>
    <row r="85" spans="1:44" x14ac:dyDescent="0.25">
      <c r="A85" s="61"/>
      <c r="B85" s="128"/>
      <c r="F85" s="128"/>
      <c r="X85" s="438"/>
      <c r="Y85" s="438"/>
      <c r="Z85" s="585"/>
      <c r="AA85" s="585"/>
      <c r="AB85" s="585"/>
      <c r="AC85" s="585"/>
      <c r="AD85" s="585"/>
      <c r="AE85" s="585"/>
      <c r="AN85" s="438"/>
      <c r="AO85" s="438"/>
      <c r="AR85" s="585"/>
    </row>
    <row r="86" spans="1:44" x14ac:dyDescent="0.25">
      <c r="A86" s="61"/>
      <c r="B86" s="128"/>
      <c r="F86" s="128"/>
      <c r="X86" s="438"/>
      <c r="Y86" s="438"/>
      <c r="Z86" s="585"/>
      <c r="AA86" s="585"/>
      <c r="AB86" s="585"/>
      <c r="AC86" s="585"/>
      <c r="AD86" s="585"/>
      <c r="AE86" s="585"/>
      <c r="AN86" s="438"/>
      <c r="AO86" s="438"/>
      <c r="AR86" s="585"/>
    </row>
    <row r="87" spans="1:44" x14ac:dyDescent="0.25">
      <c r="A87" s="585"/>
      <c r="B87" s="128"/>
      <c r="F87" s="128"/>
      <c r="X87" s="438"/>
      <c r="Y87" s="438"/>
      <c r="Z87" s="585"/>
      <c r="AA87" s="585"/>
      <c r="AB87" s="585"/>
      <c r="AC87" s="585"/>
      <c r="AD87" s="585"/>
      <c r="AE87" s="585"/>
      <c r="AN87" s="438"/>
      <c r="AO87" s="438"/>
      <c r="AR87" s="585"/>
    </row>
  </sheetData>
  <mergeCells count="26">
    <mergeCell ref="AP5:AQ5"/>
    <mergeCell ref="AL5:AM5"/>
    <mergeCell ref="A5:A7"/>
    <mergeCell ref="AF5:AG5"/>
    <mergeCell ref="AN5:AO5"/>
    <mergeCell ref="Z5:AA5"/>
    <mergeCell ref="B5:C5"/>
    <mergeCell ref="D5:E5"/>
    <mergeCell ref="AD5:AE5"/>
    <mergeCell ref="AB5:AC5"/>
    <mergeCell ref="A1:AO1"/>
    <mergeCell ref="A4:AO4"/>
    <mergeCell ref="A3:AO3"/>
    <mergeCell ref="A2:AO2"/>
    <mergeCell ref="F5:G5"/>
    <mergeCell ref="H5:I5"/>
    <mergeCell ref="J5:K5"/>
    <mergeCell ref="L5:M5"/>
    <mergeCell ref="N5:O5"/>
    <mergeCell ref="P5:Q5"/>
    <mergeCell ref="R5:S5"/>
    <mergeCell ref="T5:U5"/>
    <mergeCell ref="AJ5:AK5"/>
    <mergeCell ref="AH5:AI5"/>
    <mergeCell ref="V5:W5"/>
    <mergeCell ref="X5:Y5"/>
  </mergeCells>
  <hyperlinks>
    <hyperlink ref="AQ2" location="CONTENTS!B36" display="Å CONTENTS" xr:uid="{00000000-0004-0000-0900-000000000000}"/>
  </hyperlinks>
  <printOptions horizontalCentered="1" verticalCentered="1"/>
  <pageMargins left="0.23622047244094491" right="0.27559055118110237" top="0.27559055118110237" bottom="0.51181102362204722" header="0" footer="0.51181102362204722"/>
  <pageSetup scale="64" orientation="portrait" r:id="rId1"/>
  <headerFooter alignWithMargins="0"/>
  <rowBreaks count="1" manualBreakCount="1">
    <brk id="77" max="16383" man="1"/>
  </rowBreaks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  <pageSetUpPr fitToPage="1"/>
  </sheetPr>
  <dimension ref="A2:AT1691"/>
  <sheetViews>
    <sheetView showGridLines="0" zoomScaleNormal="100" workbookViewId="0">
      <pane xSplit="1" ySplit="7" topLeftCell="AE8" activePane="bottomRight" state="frozen"/>
      <selection pane="topRight" activeCell="A3" sqref="A3:M3"/>
      <selection pane="bottomLeft" activeCell="A3" sqref="A3:M3"/>
      <selection pane="bottomRight" activeCell="AS52" sqref="AS52"/>
    </sheetView>
  </sheetViews>
  <sheetFormatPr baseColWidth="10" defaultColWidth="11.44140625" defaultRowHeight="13.2" outlineLevelCol="1" x14ac:dyDescent="0.25"/>
  <cols>
    <col min="1" max="1" width="22.6640625" style="130" customWidth="1"/>
    <col min="2" max="2" width="12.88671875" style="4" customWidth="1" outlineLevel="1"/>
    <col min="3" max="3" width="8.33203125" style="4" customWidth="1" outlineLevel="1"/>
    <col min="4" max="4" width="12.88671875" customWidth="1" outlineLevel="1"/>
    <col min="5" max="5" width="10" customWidth="1" outlineLevel="1"/>
    <col min="6" max="6" width="12.88671875" style="4" customWidth="1" outlineLevel="1"/>
    <col min="7" max="7" width="8.33203125" style="4" customWidth="1" outlineLevel="1"/>
    <col min="8" max="8" width="12.88671875" customWidth="1" outlineLevel="1"/>
    <col min="9" max="9" width="10" customWidth="1" outlineLevel="1"/>
    <col min="10" max="10" width="11.5546875" style="4" customWidth="1" outlineLevel="1"/>
    <col min="11" max="11" width="8.33203125" style="4" customWidth="1" outlineLevel="1"/>
    <col min="12" max="12" width="11.88671875" customWidth="1" outlineLevel="1"/>
    <col min="13" max="13" width="8.33203125" customWidth="1" outlineLevel="1"/>
    <col min="14" max="15" width="11.44140625" customWidth="1" outlineLevel="1"/>
    <col min="16" max="16" width="14.109375" customWidth="1" outlineLevel="1"/>
    <col min="17" max="17" width="8.6640625" customWidth="1" outlineLevel="1"/>
    <col min="18" max="18" width="14.109375" customWidth="1" outlineLevel="1"/>
    <col min="19" max="19" width="8.6640625" customWidth="1" outlineLevel="1"/>
    <col min="20" max="21" width="11.44140625" customWidth="1" outlineLevel="1"/>
    <col min="22" max="23" width="11.44140625" customWidth="1"/>
    <col min="26" max="31" width="11.44140625" style="4"/>
    <col min="32" max="36" width="11.44140625" style="30"/>
    <col min="37" max="37" width="18.33203125" style="30" customWidth="1"/>
    <col min="38" max="39" width="11.44140625" style="4"/>
    <col min="44" max="44" width="11.44140625" style="4"/>
  </cols>
  <sheetData>
    <row r="2" spans="1:46" ht="26.4" x14ac:dyDescent="0.3">
      <c r="A2" s="810" t="s">
        <v>215</v>
      </c>
      <c r="B2" s="810"/>
      <c r="C2" s="810"/>
      <c r="D2" s="810"/>
      <c r="E2" s="810"/>
      <c r="F2" s="810"/>
      <c r="G2" s="810"/>
      <c r="H2" s="810"/>
      <c r="I2" s="810"/>
      <c r="J2" s="810"/>
      <c r="K2" s="810"/>
      <c r="L2" s="810"/>
      <c r="M2" s="810"/>
      <c r="N2" s="810"/>
      <c r="O2" s="810"/>
      <c r="P2" s="810"/>
      <c r="Q2" s="810"/>
      <c r="R2" s="810"/>
      <c r="S2" s="810"/>
      <c r="T2" s="810"/>
      <c r="U2" s="810"/>
      <c r="V2" s="810"/>
      <c r="W2" s="810"/>
      <c r="X2" s="810"/>
      <c r="Y2" s="810"/>
      <c r="Z2" s="810"/>
      <c r="AA2" s="810"/>
      <c r="AB2" s="810"/>
      <c r="AC2" s="810"/>
      <c r="AD2" s="810"/>
      <c r="AE2" s="810"/>
      <c r="AF2" s="810"/>
      <c r="AG2" s="810"/>
      <c r="AH2" s="810"/>
      <c r="AI2" s="810"/>
      <c r="AJ2" s="810"/>
      <c r="AK2" s="810"/>
      <c r="AL2" s="810"/>
      <c r="AM2" s="810"/>
      <c r="AN2" s="810"/>
      <c r="AO2" s="825"/>
      <c r="AP2" s="743"/>
      <c r="AQ2" s="316" t="s">
        <v>43</v>
      </c>
      <c r="AR2" s="537"/>
    </row>
    <row r="3" spans="1:46" x14ac:dyDescent="0.25">
      <c r="A3" s="771" t="s">
        <v>123</v>
      </c>
      <c r="B3" s="771"/>
      <c r="C3" s="771"/>
      <c r="D3" s="771"/>
      <c r="E3" s="771"/>
      <c r="F3" s="771"/>
      <c r="G3" s="771"/>
      <c r="H3" s="771"/>
      <c r="I3" s="771"/>
      <c r="J3" s="771"/>
      <c r="K3" s="771"/>
      <c r="L3" s="771"/>
      <c r="M3" s="771"/>
      <c r="N3" s="771"/>
      <c r="O3" s="771"/>
      <c r="P3" s="771"/>
      <c r="Q3" s="771"/>
      <c r="R3" s="771"/>
      <c r="S3" s="771"/>
      <c r="T3" s="771"/>
      <c r="U3" s="771"/>
      <c r="V3" s="771"/>
      <c r="W3" s="771"/>
      <c r="X3" s="771"/>
      <c r="Y3" s="771"/>
      <c r="Z3" s="771"/>
      <c r="AA3" s="771"/>
      <c r="AB3" s="771"/>
      <c r="AC3" s="771"/>
      <c r="AD3" s="771"/>
      <c r="AE3" s="771"/>
      <c r="AF3" s="771"/>
      <c r="AG3" s="771"/>
      <c r="AH3" s="771"/>
      <c r="AI3" s="771"/>
      <c r="AJ3" s="771"/>
      <c r="AK3" s="771"/>
      <c r="AL3" s="771"/>
      <c r="AM3" s="771"/>
      <c r="AN3" s="771"/>
      <c r="AO3" s="771"/>
      <c r="AP3" s="744"/>
      <c r="AQ3" s="744"/>
      <c r="AR3" s="437"/>
    </row>
    <row r="4" spans="1:46" ht="13.8" thickBot="1" x14ac:dyDescent="0.3">
      <c r="A4" s="811"/>
      <c r="B4" s="811"/>
      <c r="C4" s="811"/>
      <c r="D4" s="811"/>
      <c r="E4" s="811"/>
      <c r="F4" s="811"/>
      <c r="G4" s="811"/>
      <c r="H4" s="811"/>
      <c r="I4" s="811"/>
      <c r="J4" s="811"/>
      <c r="K4" s="811"/>
      <c r="L4" s="811"/>
      <c r="M4" s="811"/>
      <c r="N4" s="811"/>
      <c r="O4" s="811"/>
      <c r="P4" s="811"/>
      <c r="Q4" s="811"/>
      <c r="R4" s="811"/>
      <c r="S4" s="811"/>
      <c r="T4" s="811"/>
      <c r="U4" s="811"/>
      <c r="V4" s="811"/>
      <c r="W4" s="811"/>
      <c r="X4" s="811"/>
      <c r="Y4" s="811"/>
      <c r="Z4" s="811"/>
      <c r="AA4" s="811"/>
      <c r="AB4" s="811"/>
      <c r="AC4" s="811"/>
      <c r="AD4" s="811"/>
      <c r="AE4" s="811"/>
      <c r="AF4" s="811"/>
      <c r="AG4" s="811"/>
      <c r="AH4" s="811"/>
      <c r="AI4" s="811"/>
      <c r="AJ4" s="811"/>
      <c r="AK4" s="811"/>
      <c r="AL4" s="811"/>
      <c r="AM4" s="811"/>
      <c r="AN4" s="811"/>
      <c r="AO4" s="811"/>
      <c r="AP4" s="680"/>
      <c r="AQ4" s="680"/>
      <c r="AR4" s="195"/>
    </row>
    <row r="5" spans="1:46" x14ac:dyDescent="0.25">
      <c r="A5" s="826" t="s">
        <v>97</v>
      </c>
      <c r="B5" s="772" t="s">
        <v>46</v>
      </c>
      <c r="C5" s="773"/>
      <c r="D5" s="772" t="s">
        <v>47</v>
      </c>
      <c r="E5" s="773"/>
      <c r="F5" s="772" t="s">
        <v>48</v>
      </c>
      <c r="G5" s="773"/>
      <c r="H5" s="772" t="s">
        <v>49</v>
      </c>
      <c r="I5" s="773"/>
      <c r="J5" s="772" t="s">
        <v>50</v>
      </c>
      <c r="K5" s="773"/>
      <c r="L5" s="772" t="s">
        <v>51</v>
      </c>
      <c r="M5" s="773"/>
      <c r="N5" s="772" t="s">
        <v>52</v>
      </c>
      <c r="O5" s="773"/>
      <c r="P5" s="772" t="s">
        <v>53</v>
      </c>
      <c r="Q5" s="773"/>
      <c r="R5" s="772" t="s">
        <v>54</v>
      </c>
      <c r="S5" s="773"/>
      <c r="T5" s="772" t="s">
        <v>55</v>
      </c>
      <c r="U5" s="773"/>
      <c r="V5" s="772" t="s">
        <v>56</v>
      </c>
      <c r="W5" s="773"/>
      <c r="X5" s="772" t="s">
        <v>57</v>
      </c>
      <c r="Y5" s="773"/>
      <c r="Z5" s="772" t="s">
        <v>58</v>
      </c>
      <c r="AA5" s="773"/>
      <c r="AB5" s="772" t="s">
        <v>59</v>
      </c>
      <c r="AC5" s="773"/>
      <c r="AD5" s="772" t="s">
        <v>60</v>
      </c>
      <c r="AE5" s="773"/>
      <c r="AF5" s="772" t="s">
        <v>61</v>
      </c>
      <c r="AG5" s="773"/>
      <c r="AH5" s="772" t="s">
        <v>62</v>
      </c>
      <c r="AI5" s="773"/>
      <c r="AJ5" s="781" t="s">
        <v>63</v>
      </c>
      <c r="AK5" s="782"/>
      <c r="AL5" s="772" t="s">
        <v>64</v>
      </c>
      <c r="AM5" s="773"/>
      <c r="AN5" s="781" t="s">
        <v>65</v>
      </c>
      <c r="AO5" s="782"/>
      <c r="AP5" s="777" t="s">
        <v>66</v>
      </c>
      <c r="AQ5" s="778"/>
      <c r="AR5" s="532"/>
    </row>
    <row r="6" spans="1:46" x14ac:dyDescent="0.25">
      <c r="A6" s="827"/>
      <c r="B6" s="83" t="s">
        <v>67</v>
      </c>
      <c r="C6" s="421" t="s">
        <v>68</v>
      </c>
      <c r="D6" s="83" t="s">
        <v>67</v>
      </c>
      <c r="E6" s="421" t="s">
        <v>68</v>
      </c>
      <c r="F6" s="83" t="s">
        <v>67</v>
      </c>
      <c r="G6" s="421" t="s">
        <v>68</v>
      </c>
      <c r="H6" s="83" t="s">
        <v>67</v>
      </c>
      <c r="I6" s="421" t="s">
        <v>68</v>
      </c>
      <c r="J6" s="83" t="s">
        <v>67</v>
      </c>
      <c r="K6" s="421" t="s">
        <v>68</v>
      </c>
      <c r="L6" s="83" t="s">
        <v>67</v>
      </c>
      <c r="M6" s="421" t="s">
        <v>68</v>
      </c>
      <c r="N6" s="83" t="s">
        <v>67</v>
      </c>
      <c r="O6" s="421" t="s">
        <v>68</v>
      </c>
      <c r="P6" s="83" t="s">
        <v>67</v>
      </c>
      <c r="Q6" s="421" t="s">
        <v>68</v>
      </c>
      <c r="R6" s="83" t="s">
        <v>67</v>
      </c>
      <c r="S6" s="421" t="s">
        <v>68</v>
      </c>
      <c r="T6" s="83" t="s">
        <v>67</v>
      </c>
      <c r="U6" s="421" t="s">
        <v>68</v>
      </c>
      <c r="V6" s="83" t="s">
        <v>67</v>
      </c>
      <c r="W6" s="421" t="s">
        <v>68</v>
      </c>
      <c r="X6" s="83" t="s">
        <v>67</v>
      </c>
      <c r="Y6" s="421" t="s">
        <v>68</v>
      </c>
      <c r="Z6" s="83" t="s">
        <v>67</v>
      </c>
      <c r="AA6" s="421" t="s">
        <v>68</v>
      </c>
      <c r="AB6" s="83" t="s">
        <v>67</v>
      </c>
      <c r="AC6" s="421" t="s">
        <v>68</v>
      </c>
      <c r="AD6" s="83" t="s">
        <v>67</v>
      </c>
      <c r="AE6" s="421" t="s">
        <v>68</v>
      </c>
      <c r="AF6" s="83" t="s">
        <v>67</v>
      </c>
      <c r="AG6" s="421" t="s">
        <v>68</v>
      </c>
      <c r="AH6" s="83" t="s">
        <v>67</v>
      </c>
      <c r="AI6" s="421" t="s">
        <v>68</v>
      </c>
      <c r="AJ6" s="43" t="s">
        <v>67</v>
      </c>
      <c r="AK6" s="422" t="s">
        <v>68</v>
      </c>
      <c r="AL6" s="83" t="s">
        <v>67</v>
      </c>
      <c r="AM6" s="421" t="s">
        <v>68</v>
      </c>
      <c r="AN6" s="43" t="s">
        <v>67</v>
      </c>
      <c r="AO6" s="422" t="s">
        <v>68</v>
      </c>
      <c r="AP6" s="457" t="s">
        <v>67</v>
      </c>
      <c r="AQ6" s="458" t="s">
        <v>68</v>
      </c>
      <c r="AR6" s="437"/>
    </row>
    <row r="7" spans="1:46" s="1" customFormat="1" ht="13.8" thickBot="1" x14ac:dyDescent="0.3">
      <c r="A7" s="828"/>
      <c r="B7" s="85">
        <f>'PUBLIC DEBT COLONES'!B7/'PUBLIC DEBT USD'!B81</f>
        <v>5648.9315111529995</v>
      </c>
      <c r="C7" s="86">
        <v>1</v>
      </c>
      <c r="D7" s="85">
        <f>'PUBLIC DEBT COLONES'!D7/'PUBLIC DEBT USD'!D81</f>
        <v>6092.8367807217646</v>
      </c>
      <c r="E7" s="86">
        <v>1</v>
      </c>
      <c r="F7" s="85">
        <f>'PUBLIC DEBT COLONES'!F7/'PUBLIC DEBT USD'!F81</f>
        <v>6523.0767783933516</v>
      </c>
      <c r="G7" s="86">
        <v>1</v>
      </c>
      <c r="H7" s="85">
        <f>'PUBLIC DEBT COLONES'!H7/'PUBLIC DEBT USD'!H81</f>
        <v>6668.7083043364119</v>
      </c>
      <c r="I7" s="86">
        <v>1</v>
      </c>
      <c r="J7" s="85">
        <f>'PUBLIC DEBT COLONES'!J7/'PUBLIC DEBT USD'!J81</f>
        <v>7275.6711478548432</v>
      </c>
      <c r="K7" s="86">
        <v>1</v>
      </c>
      <c r="L7" s="85">
        <f>'PUBLIC DEBT COLONES'!L7/'PUBLIC DEBT USD'!L81</f>
        <v>7186.2343872938054</v>
      </c>
      <c r="M7" s="86">
        <v>1</v>
      </c>
      <c r="N7" s="85">
        <f>'PUBLIC DEBT COLONES'!N7/'PUBLIC DEBT USD'!N81</f>
        <v>7405.0907282621283</v>
      </c>
      <c r="O7" s="86">
        <v>1</v>
      </c>
      <c r="P7" s="85">
        <f>'PUBLIC DEBT COLONES'!P7/'PUBLIC DEBT USD'!P81</f>
        <v>7531.6019084015525</v>
      </c>
      <c r="Q7" s="86">
        <v>1</v>
      </c>
      <c r="R7" s="85">
        <f>'PUBLIC DEBT COLONES'!R7/'PUBLIC DEBT USD'!R81</f>
        <v>7033.3475041240472</v>
      </c>
      <c r="S7" s="86">
        <v>1</v>
      </c>
      <c r="T7" s="85">
        <v>8151.3837899838209</v>
      </c>
      <c r="U7" s="86">
        <v>1</v>
      </c>
      <c r="V7" s="44">
        <f>'PUBLIC DEBT COLONES'!V7/'PUBLIC DEBT USD'!V81</f>
        <v>10851.303467262858</v>
      </c>
      <c r="W7" s="45">
        <v>1</v>
      </c>
      <c r="X7" s="44">
        <f>'PUBLIC DEBT COLONES'!X7/'PUBLIC DEBT USD'!X81</f>
        <v>12489.186009143179</v>
      </c>
      <c r="Y7" s="45">
        <v>1</v>
      </c>
      <c r="Z7" s="85">
        <f>'PUBLIC DEBT COLONES'!Z7/'PUBLIC DEBT USD'!Z81</f>
        <v>15744.009164413512</v>
      </c>
      <c r="AA7" s="86">
        <v>1</v>
      </c>
      <c r="AB7" s="85">
        <f>'PUBLIC DEBT COLONES'!AB7/'PUBLIC DEBT USD'!AB81</f>
        <v>17782.528527978193</v>
      </c>
      <c r="AC7" s="86">
        <v>1</v>
      </c>
      <c r="AD7" s="85">
        <f>'PUBLIC DEBT COLONES'!AD7/'PUBLIC DEBT USD'!AD81</f>
        <v>19355.577761810928</v>
      </c>
      <c r="AE7" s="86">
        <v>1</v>
      </c>
      <c r="AF7" s="44">
        <f>'PUBLIC DEBT COLONES'!AF7/'PUBLIC DEBT USD'!AF81</f>
        <v>22314.265338538964</v>
      </c>
      <c r="AG7" s="45">
        <v>1</v>
      </c>
      <c r="AH7" s="85">
        <f>'PUBLIC DEBT COLONES'!AH7/'PUBLIC DEBT USD'!AH81</f>
        <v>25222.26838435368</v>
      </c>
      <c r="AI7" s="86">
        <v>1</v>
      </c>
      <c r="AJ7" s="44">
        <f>'PUBLIC DEBT COLONES'!AJ7/'PUBLIC DEBT USD'!AJ81</f>
        <v>28162.743045154744</v>
      </c>
      <c r="AK7" s="45">
        <v>1</v>
      </c>
      <c r="AL7" s="85">
        <f>'PUBLIC DEBT COLONES'!AL7/'PUBLIC DEBT USD'!AL81</f>
        <v>30462.132826904413</v>
      </c>
      <c r="AM7" s="86">
        <v>1</v>
      </c>
      <c r="AN7" s="44">
        <f>'PUBLIC DEBT COLONES'!AN7/'PUBLIC DEBT USD'!AN81</f>
        <v>36993.804726890477</v>
      </c>
      <c r="AO7" s="45">
        <v>1</v>
      </c>
      <c r="AP7" s="459">
        <f>'PUBLIC DEBT COLONES'!AP7/'PUBLIC DEBT USD'!AP81</f>
        <v>39436.369221638968</v>
      </c>
      <c r="AQ7" s="460">
        <v>1</v>
      </c>
      <c r="AR7" s="565"/>
      <c r="AS7" s="109"/>
      <c r="AT7" s="147"/>
    </row>
    <row r="8" spans="1:46" s="1" customFormat="1" x14ac:dyDescent="0.25">
      <c r="A8" s="6"/>
      <c r="B8" s="89"/>
      <c r="C8" s="90"/>
      <c r="D8" s="89"/>
      <c r="E8" s="90"/>
      <c r="F8" s="89"/>
      <c r="G8" s="90"/>
      <c r="H8" s="89"/>
      <c r="I8" s="90"/>
      <c r="J8" s="89"/>
      <c r="K8" s="90"/>
      <c r="L8" s="89"/>
      <c r="M8" s="90"/>
      <c r="N8" s="89"/>
      <c r="O8" s="90"/>
      <c r="P8" s="89"/>
      <c r="Q8" s="90"/>
      <c r="R8" s="89"/>
      <c r="S8" s="90"/>
      <c r="T8" s="89"/>
      <c r="U8" s="90"/>
      <c r="V8" s="41"/>
      <c r="W8" s="40"/>
      <c r="X8" s="41"/>
      <c r="Y8" s="40"/>
      <c r="Z8" s="89"/>
      <c r="AA8" s="90"/>
      <c r="AB8" s="89"/>
      <c r="AC8" s="90"/>
      <c r="AD8" s="89"/>
      <c r="AE8" s="90"/>
      <c r="AF8" s="41"/>
      <c r="AG8" s="40"/>
      <c r="AH8" s="89"/>
      <c r="AI8" s="90"/>
      <c r="AJ8" s="41"/>
      <c r="AK8" s="40"/>
      <c r="AL8" s="89"/>
      <c r="AM8" s="90"/>
      <c r="AN8" s="41"/>
      <c r="AO8" s="40"/>
      <c r="AP8" s="477"/>
      <c r="AQ8" s="463"/>
      <c r="AR8" s="565"/>
      <c r="AS8" s="109"/>
      <c r="AT8" s="147"/>
    </row>
    <row r="9" spans="1:46" s="1" customFormat="1" x14ac:dyDescent="0.25">
      <c r="A9" s="396" t="s">
        <v>69</v>
      </c>
      <c r="B9" s="134"/>
      <c r="C9" s="174"/>
      <c r="D9" s="134"/>
      <c r="E9" s="174"/>
      <c r="F9" s="134"/>
      <c r="G9" s="174"/>
      <c r="H9" s="134"/>
      <c r="I9" s="174"/>
      <c r="J9" s="134"/>
      <c r="K9" s="174"/>
      <c r="L9" s="134"/>
      <c r="M9" s="174"/>
      <c r="N9" s="134"/>
      <c r="O9" s="174"/>
      <c r="P9" s="134"/>
      <c r="Q9" s="174"/>
      <c r="R9" s="134"/>
      <c r="S9" s="174"/>
      <c r="T9" s="134"/>
      <c r="U9" s="174"/>
      <c r="V9" s="74"/>
      <c r="W9" s="211"/>
      <c r="X9" s="74"/>
      <c r="Y9" s="211"/>
      <c r="Z9" s="134"/>
      <c r="AA9" s="174"/>
      <c r="AB9" s="134"/>
      <c r="AC9" s="174"/>
      <c r="AD9" s="134"/>
      <c r="AE9" s="174"/>
      <c r="AF9" s="74"/>
      <c r="AG9" s="211"/>
      <c r="AH9" s="89"/>
      <c r="AI9" s="90"/>
      <c r="AJ9" s="41"/>
      <c r="AK9" s="40"/>
      <c r="AL9" s="89"/>
      <c r="AM9" s="90"/>
      <c r="AN9" s="41"/>
      <c r="AO9" s="40"/>
      <c r="AP9" s="477"/>
      <c r="AQ9" s="463"/>
      <c r="AR9" s="565"/>
      <c r="AS9" s="109"/>
      <c r="AT9" s="147"/>
    </row>
    <row r="10" spans="1:46" ht="15" customHeight="1" x14ac:dyDescent="0.25">
      <c r="A10" s="5" t="s">
        <v>70</v>
      </c>
      <c r="B10" s="134">
        <f>'PUBLIC DEBT COLONES'!B10/B81</f>
        <v>3614.6050581212698</v>
      </c>
      <c r="C10" s="174">
        <f>+B10/B7</f>
        <v>0.6398741161907795</v>
      </c>
      <c r="D10" s="134">
        <f>'PUBLIC DEBT COLONES'!D10/D81</f>
        <v>3814.2419430309415</v>
      </c>
      <c r="E10" s="174">
        <f>+D10/D7</f>
        <v>0.62602069943831684</v>
      </c>
      <c r="F10" s="134">
        <f>'PUBLIC DEBT COLONES'!F10/F81</f>
        <v>3784.7477377654659</v>
      </c>
      <c r="G10" s="174">
        <f>+F10/F7</f>
        <v>0.58020898210210214</v>
      </c>
      <c r="H10" s="134">
        <f>'PUBLIC DEBT COLONES'!H10/H81</f>
        <v>3652.709458008163</v>
      </c>
      <c r="I10" s="174">
        <f>+H10/H7</f>
        <v>0.54773867611407479</v>
      </c>
      <c r="J10" s="134">
        <f>'PUBLIC DEBT COLONES'!J10/J81</f>
        <v>3975.1346053433126</v>
      </c>
      <c r="K10" s="174">
        <f>+J10/J7</f>
        <v>0.54635985114793706</v>
      </c>
      <c r="L10" s="134">
        <f>'PUBLIC DEBT COLONES'!L10/L81</f>
        <v>4094.8804122882802</v>
      </c>
      <c r="M10" s="174">
        <f>+L10/L7</f>
        <v>0.56982282953761709</v>
      </c>
      <c r="N10" s="134">
        <f>'PUBLIC DEBT COLONES'!N10/N81</f>
        <v>4292.8586893597312</v>
      </c>
      <c r="O10" s="174">
        <f>+N10/N7</f>
        <v>0.57971723060403413</v>
      </c>
      <c r="P10" s="134">
        <f>'PUBLIC DEBT COLONES'!P10/P81</f>
        <v>4643.7162741114707</v>
      </c>
      <c r="Q10" s="174">
        <f>+P10/P7</f>
        <v>0.61656422240418396</v>
      </c>
      <c r="R10" s="134">
        <f>'PUBLIC DEBT COLONES'!R10/R81</f>
        <v>4263.4162698040473</v>
      </c>
      <c r="S10" s="174">
        <f>+R10/R7</f>
        <v>0.60617170803862119</v>
      </c>
      <c r="T10" s="134">
        <v>5262.6968015542561</v>
      </c>
      <c r="U10" s="174">
        <v>0.64562004895670622</v>
      </c>
      <c r="V10" s="74">
        <f>'PUBLIC DEBT COLONES'!V10/V81</f>
        <v>7170.5480315137556</v>
      </c>
      <c r="W10" s="211">
        <f>+V10/V7</f>
        <v>0.66080061746927266</v>
      </c>
      <c r="X10" s="74">
        <f>'PUBLIC DEBT COLONES'!X10/X81</f>
        <v>8790.3005109930127</v>
      </c>
      <c r="Y10" s="211">
        <f>+X10/X7</f>
        <v>0.70383294031794719</v>
      </c>
      <c r="Z10" s="134">
        <f>'PUBLIC DEBT COLONES'!Z10/Z81</f>
        <v>10911.791865287483</v>
      </c>
      <c r="AA10" s="174">
        <f>+Z10/Z7</f>
        <v>0.69307580752376707</v>
      </c>
      <c r="AB10" s="134">
        <f>'PUBLIC DEBT COLONES'!AB10/AB81</f>
        <v>12305.576994105077</v>
      </c>
      <c r="AC10" s="174">
        <f>+AB10/AB7</f>
        <v>0.69200378195620837</v>
      </c>
      <c r="AD10" s="134">
        <f>'PUBLIC DEBT COLONES'!AD10/AD81</f>
        <v>12339.387341982319</v>
      </c>
      <c r="AE10" s="174">
        <f>+AD10/AD7</f>
        <v>0.63751066973202219</v>
      </c>
      <c r="AF10" s="74">
        <f>'PUBLIC DEBT COLONES'!AF10/AF81</f>
        <v>14070.162669107769</v>
      </c>
      <c r="AG10" s="211">
        <f>+AF10/AF7</f>
        <v>0.630545637763265</v>
      </c>
      <c r="AH10" s="134">
        <f>'PUBLIC DEBT COLONES'!AH10/AH81</f>
        <v>15684.592985480142</v>
      </c>
      <c r="AI10" s="90">
        <f>+AH10/AH7</f>
        <v>0.62185497142714907</v>
      </c>
      <c r="AJ10" s="74">
        <f>'PUBLIC DEBT COLONES'!AJ10/AJ81</f>
        <v>16889.458863877968</v>
      </c>
      <c r="AK10" s="40">
        <f>+AJ10/AJ7</f>
        <v>0.59970929808926099</v>
      </c>
      <c r="AL10" s="134">
        <f>'PUBLIC DEBT COLONES'!AL10/AL81</f>
        <v>17859.638707465721</v>
      </c>
      <c r="AM10" s="90">
        <f>+AL10/AL7</f>
        <v>0.58628983101576981</v>
      </c>
      <c r="AN10" s="74">
        <f>'PUBLIC DEBT COLONES'!AN10/AN81</f>
        <v>21521.947317375831</v>
      </c>
      <c r="AO10" s="40">
        <f>+AN10/AN7</f>
        <v>0.58177166355997201</v>
      </c>
      <c r="AP10" s="461">
        <f>'PUBLIC DEBT COLONES'!AP10/AP81</f>
        <v>23202.264209474324</v>
      </c>
      <c r="AQ10" s="463">
        <f>+AP10/AP7</f>
        <v>0.58834686527742275</v>
      </c>
      <c r="AR10" s="565"/>
      <c r="AS10" s="109"/>
      <c r="AT10" s="77"/>
    </row>
    <row r="11" spans="1:46" s="68" customFormat="1" x14ac:dyDescent="0.25">
      <c r="A11" s="415" t="s">
        <v>71</v>
      </c>
      <c r="B11" s="226">
        <f>+B10/B66</f>
        <v>0.2486527397776446</v>
      </c>
      <c r="C11" s="249"/>
      <c r="D11" s="226">
        <f>+D10/D66</f>
        <v>0.24823390285462366</v>
      </c>
      <c r="E11" s="249"/>
      <c r="F11" s="226">
        <f>+F10/F66</f>
        <v>0.24048860628765475</v>
      </c>
      <c r="G11" s="249"/>
      <c r="H11" s="226">
        <f>+H10/H66</f>
        <v>0.22227992788938863</v>
      </c>
      <c r="I11" s="249"/>
      <c r="J11" s="226">
        <f>+J10/J66</f>
        <v>0.22418404628275188</v>
      </c>
      <c r="K11" s="249"/>
      <c r="L11" s="226">
        <f>+L10/L66</f>
        <v>0.21280758065736746</v>
      </c>
      <c r="M11" s="249"/>
      <c r="N11" s="226">
        <f>+N10/N66</f>
        <v>0.19155979786669108</v>
      </c>
      <c r="O11" s="249"/>
      <c r="P11" s="226">
        <f>+P10/P66</f>
        <v>0.16622561918162626</v>
      </c>
      <c r="Q11" s="249"/>
      <c r="R11" s="226">
        <f>+R10/R66</f>
        <v>0.14528884699707709</v>
      </c>
      <c r="S11" s="249"/>
      <c r="T11" s="226">
        <v>0.17620646513520541</v>
      </c>
      <c r="U11" s="249"/>
      <c r="V11" s="223">
        <f>+V10/V66</f>
        <v>0.18558246138420617</v>
      </c>
      <c r="W11" s="250"/>
      <c r="X11" s="223">
        <f>+X10/X66</f>
        <v>0.20765630946503916</v>
      </c>
      <c r="Y11" s="250"/>
      <c r="Z11" s="226">
        <f>+Z10/Z66</f>
        <v>0.23393434588124601</v>
      </c>
      <c r="AA11" s="249"/>
      <c r="AB11" s="226">
        <f>+AB10/AB66</f>
        <v>0.24283054970658982</v>
      </c>
      <c r="AC11" s="249"/>
      <c r="AD11" s="226">
        <f>+AD10/AD66</f>
        <v>0.23894090649038704</v>
      </c>
      <c r="AE11" s="249"/>
      <c r="AF11" s="223">
        <f>+AF10/AF66</f>
        <v>0.2507985726480334</v>
      </c>
      <c r="AG11" s="250"/>
      <c r="AH11" s="226">
        <f>+AH10/AH66</f>
        <v>0.27225656517401858</v>
      </c>
      <c r="AI11" s="248"/>
      <c r="AJ11" s="223">
        <f>+AJ10/AJ66</f>
        <v>0.2805545738240417</v>
      </c>
      <c r="AK11" s="224"/>
      <c r="AL11" s="226">
        <f>+AL10/AL66</f>
        <v>0.30243351195526952</v>
      </c>
      <c r="AM11" s="248"/>
      <c r="AN11" s="223">
        <f>+AN10/AN66</f>
        <v>0.32626965451840545</v>
      </c>
      <c r="AO11" s="224"/>
      <c r="AP11" s="464">
        <f>+AP10/AP66</f>
        <v>0.39146364776374859</v>
      </c>
      <c r="AQ11" s="467"/>
      <c r="AR11" s="565"/>
      <c r="AS11" s="109"/>
      <c r="AT11" s="255"/>
    </row>
    <row r="12" spans="1:46" x14ac:dyDescent="0.25">
      <c r="A12" s="5" t="s">
        <v>72</v>
      </c>
      <c r="B12" s="134">
        <f>'PUBLIC DEBT COLONES'!B12/B81</f>
        <v>1585.3264530317306</v>
      </c>
      <c r="C12" s="258">
        <f>+B12/B7</f>
        <v>0.28064182578629826</v>
      </c>
      <c r="D12" s="134">
        <f>'PUBLIC DEBT COLONES'!D12/D81</f>
        <v>1881.9732526908228</v>
      </c>
      <c r="E12" s="258">
        <f>+D12/D7</f>
        <v>0.30888292603628259</v>
      </c>
      <c r="F12" s="134">
        <f>'PUBLIC DEBT COLONES'!F12/F81</f>
        <v>2333.5172492378861</v>
      </c>
      <c r="G12" s="258">
        <f>+F12/F7</f>
        <v>0.35773260510550614</v>
      </c>
      <c r="H12" s="134">
        <f>'PUBLIC DEBT COLONES'!H12/H81</f>
        <v>2601.9079245982498</v>
      </c>
      <c r="I12" s="258">
        <f>+H12/H7</f>
        <v>0.39016670183434571</v>
      </c>
      <c r="J12" s="134">
        <f>'PUBLIC DEBT COLONES'!J12/J81</f>
        <v>2905.7530326615301</v>
      </c>
      <c r="K12" s="258">
        <f>+J12/J7</f>
        <v>0.39937938007523355</v>
      </c>
      <c r="L12" s="134">
        <f>'PUBLIC DEBT COLONES'!L12/L81</f>
        <v>2772.1086388555254</v>
      </c>
      <c r="M12" s="258">
        <f>+L12/L7</f>
        <v>0.3857526055310655</v>
      </c>
      <c r="N12" s="134">
        <f>'PUBLIC DEBT COLONES'!N12/N81</f>
        <v>2827.9944370523972</v>
      </c>
      <c r="O12" s="258">
        <f>+N12/N7</f>
        <v>0.38189868846024094</v>
      </c>
      <c r="P12" s="134">
        <f>'PUBLIC DEBT COLONES'!P12/P81</f>
        <v>2627.8491784600815</v>
      </c>
      <c r="Q12" s="258">
        <f>+P12/P7</f>
        <v>0.3489097286898154</v>
      </c>
      <c r="R12" s="134">
        <f>'PUBLIC DEBT COLONES'!R12/R81</f>
        <v>2527.1908485200001</v>
      </c>
      <c r="S12" s="258">
        <f>+R12/R7</f>
        <v>0.35931551043627036</v>
      </c>
      <c r="T12" s="134">
        <v>2681.1938885397444</v>
      </c>
      <c r="U12" s="258">
        <v>0.32892499698447719</v>
      </c>
      <c r="V12" s="74">
        <f>'PUBLIC DEBT COLONES'!V12/V81</f>
        <v>3498.9975831704846</v>
      </c>
      <c r="W12" s="259">
        <f>+V12/V7</f>
        <v>0.32244951896576851</v>
      </c>
      <c r="X12" s="74">
        <f>'PUBLIC DEBT COLONES'!X12/X81</f>
        <v>3552.5098153407921</v>
      </c>
      <c r="Y12" s="259">
        <f>+X12/X7</f>
        <v>0.28444686569165062</v>
      </c>
      <c r="Z12" s="134">
        <f>'PUBLIC DEBT COLONES'!Z12/Z81</f>
        <v>4720.3021846226966</v>
      </c>
      <c r="AA12" s="258">
        <f>+Z12/Z7</f>
        <v>0.29981576708505014</v>
      </c>
      <c r="AB12" s="134">
        <f>'PUBLIC DEBT COLONES'!AB12/AB81</f>
        <v>5393.5064194326833</v>
      </c>
      <c r="AC12" s="258">
        <f>+AB12/AB7</f>
        <v>0.30330368434088517</v>
      </c>
      <c r="AD12" s="134">
        <f>'PUBLIC DEBT COLONES'!AD12/AD81</f>
        <v>6943.6745382418812</v>
      </c>
      <c r="AE12" s="258">
        <f>+AD12/AD7</f>
        <v>0.35874281944411585</v>
      </c>
      <c r="AF12" s="74">
        <f>'PUBLIC DEBT COLONES'!AF12/AF81</f>
        <v>8153.828527130242</v>
      </c>
      <c r="AG12" s="259">
        <f>+AF12/AF7</f>
        <v>0.36540878238315855</v>
      </c>
      <c r="AH12" s="134">
        <f>'PUBLIC DEBT COLONES'!AH12/AH81</f>
        <v>9372.9249509304664</v>
      </c>
      <c r="AI12" s="453">
        <f>+AH12/AH7</f>
        <v>0.37161308444187535</v>
      </c>
      <c r="AJ12" s="74">
        <f>'PUBLIC DEBT COLONES'!AJ12/AJ81</f>
        <v>11093.73629882975</v>
      </c>
      <c r="AK12" s="618">
        <f>+AJ12/AJ7</f>
        <v>0.39391533278710117</v>
      </c>
      <c r="AL12" s="134">
        <f>'PUBLIC DEBT COLONES'!AL12/AL81</f>
        <v>12420.553446778664</v>
      </c>
      <c r="AM12" s="453">
        <f>+AL12/AL7</f>
        <v>0.40773748566314194</v>
      </c>
      <c r="AN12" s="74">
        <f>'PUBLIC DEBT COLONES'!AN12/AN81</f>
        <v>15284.295689827044</v>
      </c>
      <c r="AO12" s="618">
        <f>+AN12/AN7</f>
        <v>0.41315825183877403</v>
      </c>
      <c r="AP12" s="461">
        <f>'PUBLIC DEBT COLONES'!AP12/AP81</f>
        <v>15355.259981803838</v>
      </c>
      <c r="AQ12" s="466">
        <f>+AP12/AP7</f>
        <v>0.38936799418589269</v>
      </c>
      <c r="AR12" s="565"/>
      <c r="AS12" s="109"/>
      <c r="AT12" s="77"/>
    </row>
    <row r="13" spans="1:46" s="68" customFormat="1" x14ac:dyDescent="0.25">
      <c r="A13" s="397" t="s">
        <v>71</v>
      </c>
      <c r="B13" s="226">
        <f>+B12/B66</f>
        <v>0.10905638642391619</v>
      </c>
      <c r="C13" s="249"/>
      <c r="D13" s="226">
        <f>+D12/D66</f>
        <v>0.12248031786159405</v>
      </c>
      <c r="E13" s="249"/>
      <c r="F13" s="226">
        <f>+F12/F66</f>
        <v>0.1482752219963667</v>
      </c>
      <c r="G13" s="249"/>
      <c r="H13" s="226">
        <f>+H12/H66</f>
        <v>0.15833504211142635</v>
      </c>
      <c r="I13" s="249"/>
      <c r="J13" s="226">
        <f>+J12/J66</f>
        <v>0.16387456955163382</v>
      </c>
      <c r="K13" s="249"/>
      <c r="L13" s="226">
        <f>+L12/L66</f>
        <v>0.14406421515605949</v>
      </c>
      <c r="M13" s="249"/>
      <c r="N13" s="226">
        <f>+N12/N66</f>
        <v>0.12619330891851036</v>
      </c>
      <c r="O13" s="249"/>
      <c r="P13" s="226">
        <f>+P12/P66</f>
        <v>9.4066008993849509E-2</v>
      </c>
      <c r="Q13" s="249"/>
      <c r="R13" s="226">
        <f>+R12/R66</f>
        <v>8.6121697082117546E-2</v>
      </c>
      <c r="S13" s="249"/>
      <c r="T13" s="226">
        <v>8.9772167247441526E-2</v>
      </c>
      <c r="U13" s="249"/>
      <c r="V13" s="223">
        <f>+V12/V66</f>
        <v>9.0558292198634649E-2</v>
      </c>
      <c r="W13" s="250"/>
      <c r="X13" s="223">
        <f>+X12/X66</f>
        <v>8.3922168152208126E-2</v>
      </c>
      <c r="Y13" s="250"/>
      <c r="Z13" s="226">
        <f>+Z12/Z66</f>
        <v>0.10119701856065733</v>
      </c>
      <c r="AA13" s="249"/>
      <c r="AB13" s="226">
        <f>+AB12/AB66</f>
        <v>0.1064320778541525</v>
      </c>
      <c r="AC13" s="249"/>
      <c r="AD13" s="226">
        <f>+AD12/AD66</f>
        <v>0.13445788211031198</v>
      </c>
      <c r="AE13" s="249"/>
      <c r="AF13" s="223">
        <f>+AF12/AF66</f>
        <v>0.14534078989086477</v>
      </c>
      <c r="AG13" s="250"/>
      <c r="AH13" s="226">
        <f>+AH12/AH66</f>
        <v>0.16269726317645136</v>
      </c>
      <c r="AI13" s="248"/>
      <c r="AJ13" s="223">
        <f>+AJ12/AJ66</f>
        <v>0.18428053169252623</v>
      </c>
      <c r="AK13" s="224"/>
      <c r="AL13" s="226">
        <f>+AL12/AL66</f>
        <v>0.21032853244490016</v>
      </c>
      <c r="AM13" s="248"/>
      <c r="AN13" s="223">
        <f>+AN12/AN66</f>
        <v>0.23170774469143451</v>
      </c>
      <c r="AO13" s="224"/>
      <c r="AP13" s="464">
        <f>+AP12/AP66</f>
        <v>0.25907066786969535</v>
      </c>
      <c r="AQ13" s="467"/>
      <c r="AR13" s="565"/>
      <c r="AS13" s="109"/>
      <c r="AT13" s="255"/>
    </row>
    <row r="14" spans="1:46" x14ac:dyDescent="0.25">
      <c r="A14" s="133" t="s">
        <v>175</v>
      </c>
      <c r="B14" s="134">
        <f>+B7-(B10+B12)</f>
        <v>448.99999999999909</v>
      </c>
      <c r="C14" s="174">
        <f>+B14/B7</f>
        <v>7.9484058022922285E-2</v>
      </c>
      <c r="D14" s="134">
        <f>+D7-(D10+D12)</f>
        <v>396.62158499999987</v>
      </c>
      <c r="E14" s="174">
        <f>+D14/D7</f>
        <v>6.5096374525400569E-2</v>
      </c>
      <c r="F14" s="134">
        <f>+F7-(F10+F12)</f>
        <v>404.8117913899996</v>
      </c>
      <c r="G14" s="174">
        <f>+F14/F7</f>
        <v>6.2058412792391757E-2</v>
      </c>
      <c r="H14" s="134">
        <f>+H7-(H10+H12)</f>
        <v>414.09092172999863</v>
      </c>
      <c r="I14" s="174">
        <f>+H14/H7</f>
        <v>6.209462205157943E-2</v>
      </c>
      <c r="J14" s="134">
        <f>+J7-(J10+J12)</f>
        <v>394.78350985000088</v>
      </c>
      <c r="K14" s="174">
        <f>+J14/J7</f>
        <v>5.4260768776829442E-2</v>
      </c>
      <c r="L14" s="134">
        <f>+L7-(L10+L12)</f>
        <v>319.24533614999928</v>
      </c>
      <c r="M14" s="174">
        <f>+L14/L7</f>
        <v>4.4424564931317356E-2</v>
      </c>
      <c r="N14" s="134">
        <f>+N7-(N10+N12)</f>
        <v>284.23760184999992</v>
      </c>
      <c r="O14" s="174">
        <f>+N14/N7</f>
        <v>3.8384080935724943E-2</v>
      </c>
      <c r="P14" s="134">
        <f>+P7-(P10+P12)</f>
        <v>260.0364558299998</v>
      </c>
      <c r="Q14" s="174">
        <f>+P14/P7</f>
        <v>3.4526048906000646E-2</v>
      </c>
      <c r="R14" s="134">
        <f>+R7-(R10+R12)</f>
        <v>242.74038579999979</v>
      </c>
      <c r="S14" s="174">
        <f>+R14/R7</f>
        <v>3.4512781525108414E-2</v>
      </c>
      <c r="T14" s="134">
        <v>207.49309988982077</v>
      </c>
      <c r="U14" s="174">
        <v>2.5454954058816634E-2</v>
      </c>
      <c r="V14" s="74">
        <f>+V7-(V10+V12)</f>
        <v>181.75785257861753</v>
      </c>
      <c r="W14" s="211">
        <f>+V14/V7</f>
        <v>1.6749863564958827E-2</v>
      </c>
      <c r="X14" s="74">
        <f>+X7-(X10+X12)</f>
        <v>146.37568280937376</v>
      </c>
      <c r="Y14" s="211">
        <f>+X14/X7</f>
        <v>1.172019399040209E-2</v>
      </c>
      <c r="Z14" s="134">
        <f>+Z7-(Z10+Z12)</f>
        <v>111.91511450333201</v>
      </c>
      <c r="AA14" s="174">
        <f>+Z14/Z7</f>
        <v>7.1084253911828195E-3</v>
      </c>
      <c r="AB14" s="134">
        <f>+AB7-(AB10+AB12)</f>
        <v>83.445114440433827</v>
      </c>
      <c r="AC14" s="174">
        <f>+AB14/AB7</f>
        <v>4.6925337029064913E-3</v>
      </c>
      <c r="AD14" s="134">
        <f>+AD7-(AD10+AD12)</f>
        <v>72.5158815867253</v>
      </c>
      <c r="AE14" s="174">
        <f>+AD14/AD7</f>
        <v>3.7465108238618986E-3</v>
      </c>
      <c r="AF14" s="74">
        <f>+AF7-(AF10+AF12)</f>
        <v>90.274142300953827</v>
      </c>
      <c r="AG14" s="211">
        <f>+AF14/AF7</f>
        <v>4.0455798535765086E-3</v>
      </c>
      <c r="AH14" s="134">
        <f>+AH7-(AH10+AH12)</f>
        <v>164.75044794307178</v>
      </c>
      <c r="AI14" s="90">
        <f>+AH14/AH7</f>
        <v>6.5319441309756527E-3</v>
      </c>
      <c r="AJ14" s="74">
        <f>+AJ7-(AJ10+AJ12)</f>
        <v>179.5478824470265</v>
      </c>
      <c r="AK14" s="40">
        <f>+AJ14/AJ7</f>
        <v>6.3753691236378618E-3</v>
      </c>
      <c r="AL14" s="134">
        <f>+AL7-(AL10+AL12)</f>
        <v>181.94067266002821</v>
      </c>
      <c r="AM14" s="90">
        <f>+AL14/AL7</f>
        <v>5.9726833210882943E-3</v>
      </c>
      <c r="AN14" s="74">
        <f>+AN7-(AN10+AN12)</f>
        <v>187.56171968760464</v>
      </c>
      <c r="AO14" s="40">
        <f>+AN14/AN7</f>
        <v>5.0700846012539944E-3</v>
      </c>
      <c r="AP14" s="461">
        <f>+AP7-(AP10+AP12)</f>
        <v>878.84503036080423</v>
      </c>
      <c r="AQ14" s="463">
        <f>+AP14/AP7</f>
        <v>2.2285140536684518E-2</v>
      </c>
      <c r="AR14" s="565"/>
      <c r="AS14" s="109"/>
      <c r="AT14" s="77"/>
    </row>
    <row r="15" spans="1:46" s="68" customFormat="1" x14ac:dyDescent="0.25">
      <c r="A15" s="415" t="s">
        <v>71</v>
      </c>
      <c r="B15" s="226">
        <f>+B14/B66</f>
        <v>3.0887214056572736E-2</v>
      </c>
      <c r="C15" s="249"/>
      <c r="D15" s="226">
        <f>+D14/D66</f>
        <v>2.5812448573385674E-2</v>
      </c>
      <c r="E15" s="249"/>
      <c r="F15" s="226">
        <f>+F14/F66</f>
        <v>2.5722354636419524E-2</v>
      </c>
      <c r="G15" s="249"/>
      <c r="H15" s="226">
        <f>+H14/H66</f>
        <v>2.5198856158679148E-2</v>
      </c>
      <c r="I15" s="249"/>
      <c r="J15" s="226">
        <f>+J14/J66</f>
        <v>2.2264444712114639E-2</v>
      </c>
      <c r="K15" s="249"/>
      <c r="L15" s="226">
        <f>+L14/L66</f>
        <v>1.6590918606158925E-2</v>
      </c>
      <c r="M15" s="249"/>
      <c r="N15" s="226">
        <f>+N14/N66</f>
        <v>1.2683505676870965E-2</v>
      </c>
      <c r="O15" s="249"/>
      <c r="P15" s="226">
        <f>+P14/P66</f>
        <v>9.3082174552983309E-3</v>
      </c>
      <c r="Q15" s="249"/>
      <c r="R15" s="226">
        <f>+R14/R66</f>
        <v>8.2721152570280395E-3</v>
      </c>
      <c r="S15" s="249"/>
      <c r="T15" s="226">
        <v>6.9473175161323154E-3</v>
      </c>
      <c r="U15" s="249"/>
      <c r="V15" s="223">
        <f>+V14/V66</f>
        <v>4.7041132015577126E-3</v>
      </c>
      <c r="W15" s="250"/>
      <c r="X15" s="223">
        <f>+X14/X66</f>
        <v>3.4578833851706403E-3</v>
      </c>
      <c r="Y15" s="250"/>
      <c r="Z15" s="226">
        <f>+Z14/Z66</f>
        <v>2.3993116280789655E-3</v>
      </c>
      <c r="AA15" s="249"/>
      <c r="AB15" s="226">
        <f>+AB14/AB66</f>
        <v>1.6466536286438855E-3</v>
      </c>
      <c r="AC15" s="249"/>
      <c r="AD15" s="226">
        <f>+AD14/AD66</f>
        <v>1.404203466595946E-3</v>
      </c>
      <c r="AE15" s="249"/>
      <c r="AF15" s="223">
        <f>+AF14/AF66</f>
        <v>1.6091232609423969E-3</v>
      </c>
      <c r="AG15" s="250"/>
      <c r="AH15" s="226">
        <f>+AH14/AH66</f>
        <v>2.8597739902709108E-3</v>
      </c>
      <c r="AI15" s="248"/>
      <c r="AJ15" s="223">
        <f>+AJ14/AJ66</f>
        <v>2.9825099813392468E-3</v>
      </c>
      <c r="AK15" s="224"/>
      <c r="AL15" s="226">
        <f>+AL14/AL66</f>
        <v>3.0809669501922665E-3</v>
      </c>
      <c r="AM15" s="248"/>
      <c r="AN15" s="223">
        <f>+AN14/AN66</f>
        <v>2.843408943480973E-3</v>
      </c>
      <c r="AO15" s="224"/>
      <c r="AP15" s="464">
        <f>+AP14/AP66</f>
        <v>1.4827685707656087E-2</v>
      </c>
      <c r="AQ15" s="467"/>
      <c r="AR15" s="565"/>
      <c r="AS15" s="109"/>
      <c r="AT15" s="255"/>
    </row>
    <row r="16" spans="1:46" x14ac:dyDescent="0.25">
      <c r="A16" s="397"/>
      <c r="B16" s="91"/>
      <c r="C16" s="269"/>
      <c r="D16" s="91"/>
      <c r="E16" s="269"/>
      <c r="F16" s="91"/>
      <c r="G16" s="269"/>
      <c r="H16" s="91"/>
      <c r="I16" s="269"/>
      <c r="J16" s="91"/>
      <c r="K16" s="269"/>
      <c r="L16" s="91"/>
      <c r="M16" s="269"/>
      <c r="N16" s="91"/>
      <c r="O16" s="269"/>
      <c r="P16" s="91"/>
      <c r="Q16" s="269"/>
      <c r="R16" s="91"/>
      <c r="S16" s="269"/>
      <c r="T16" s="91"/>
      <c r="U16" s="269"/>
      <c r="V16" s="29"/>
      <c r="W16" s="261"/>
      <c r="X16" s="29"/>
      <c r="Y16" s="261"/>
      <c r="Z16" s="91"/>
      <c r="AA16" s="269"/>
      <c r="AB16" s="91"/>
      <c r="AC16" s="269"/>
      <c r="AD16" s="91"/>
      <c r="AE16" s="269"/>
      <c r="AF16" s="29"/>
      <c r="AG16" s="261"/>
      <c r="AH16" s="91"/>
      <c r="AI16" s="454"/>
      <c r="AJ16" s="29"/>
      <c r="AK16" s="619"/>
      <c r="AL16" s="91"/>
      <c r="AM16" s="454"/>
      <c r="AN16" s="29"/>
      <c r="AO16" s="619"/>
      <c r="AP16" s="468"/>
      <c r="AQ16" s="469"/>
      <c r="AR16" s="566"/>
      <c r="AS16" s="109"/>
      <c r="AT16" s="77"/>
    </row>
    <row r="17" spans="1:46" x14ac:dyDescent="0.25">
      <c r="A17" s="398" t="s">
        <v>77</v>
      </c>
      <c r="B17" s="134"/>
      <c r="C17" s="269"/>
      <c r="D17" s="134"/>
      <c r="E17" s="269"/>
      <c r="F17" s="134"/>
      <c r="G17" s="269"/>
      <c r="H17" s="134"/>
      <c r="I17" s="269"/>
      <c r="J17" s="134"/>
      <c r="K17" s="269"/>
      <c r="L17" s="134"/>
      <c r="M17" s="269"/>
      <c r="N17" s="134"/>
      <c r="O17" s="269"/>
      <c r="P17" s="134"/>
      <c r="Q17" s="269"/>
      <c r="R17" s="134"/>
      <c r="S17" s="269"/>
      <c r="T17" s="134"/>
      <c r="U17" s="269"/>
      <c r="V17" s="74"/>
      <c r="W17" s="261"/>
      <c r="X17" s="74"/>
      <c r="Y17" s="261"/>
      <c r="Z17" s="134"/>
      <c r="AA17" s="269"/>
      <c r="AB17" s="134"/>
      <c r="AC17" s="269"/>
      <c r="AD17" s="134"/>
      <c r="AE17" s="269"/>
      <c r="AF17" s="74"/>
      <c r="AG17" s="261"/>
      <c r="AH17" s="134"/>
      <c r="AI17" s="454"/>
      <c r="AJ17" s="74"/>
      <c r="AK17" s="619"/>
      <c r="AL17" s="134"/>
      <c r="AM17" s="454"/>
      <c r="AN17" s="74"/>
      <c r="AO17" s="619"/>
      <c r="AP17" s="461"/>
      <c r="AQ17" s="469"/>
      <c r="AR17" s="566"/>
      <c r="AS17" s="109"/>
      <c r="AT17" s="77"/>
    </row>
    <row r="18" spans="1:46" x14ac:dyDescent="0.25">
      <c r="A18" s="32" t="s">
        <v>78</v>
      </c>
      <c r="B18" s="134">
        <f>'PUBLIC DEBT COLONES'!B18/B81</f>
        <v>2759.9460748093466</v>
      </c>
      <c r="C18" s="258">
        <f>+B18/B7</f>
        <v>0.48857842750619856</v>
      </c>
      <c r="D18" s="134">
        <f>'PUBLIC DEBT COLONES'!D18/D81</f>
        <v>2263.9437310758435</v>
      </c>
      <c r="E18" s="271">
        <f>+D18/D7</f>
        <v>0.37157465603528839</v>
      </c>
      <c r="F18" s="134">
        <f>'PUBLIC DEBT COLONES'!F18/F81</f>
        <v>2031.8788443980566</v>
      </c>
      <c r="G18" s="258">
        <f>+F18/F7</f>
        <v>0.31149086748884058</v>
      </c>
      <c r="H18" s="134">
        <f>'PUBLIC DEBT COLONES'!H18/H81</f>
        <v>1701.7638934656432</v>
      </c>
      <c r="I18" s="271">
        <f>+H18/H7</f>
        <v>0.25518643428429005</v>
      </c>
      <c r="J18" s="134">
        <f>'PUBLIC DEBT COLONES'!J18/J81</f>
        <v>1470.1775553497155</v>
      </c>
      <c r="K18" s="271">
        <f>+J18/J7</f>
        <v>0.20206762035735798</v>
      </c>
      <c r="L18" s="134">
        <f>'PUBLIC DEBT COLONES'!L18/L81</f>
        <v>1314.7696998793601</v>
      </c>
      <c r="M18" s="271">
        <f>+L18/L7</f>
        <v>0.18295669595804495</v>
      </c>
      <c r="N18" s="134">
        <f>'PUBLIC DEBT COLONES'!N18/N81</f>
        <v>1238.7150081082618</v>
      </c>
      <c r="O18" s="271">
        <f>+N18/N7</f>
        <v>0.16727884283451189</v>
      </c>
      <c r="P18" s="134">
        <f>'PUBLIC DEBT COLONES'!P18/P81</f>
        <v>1332.2802463161515</v>
      </c>
      <c r="Q18" s="174">
        <f>+P18/P7</f>
        <v>0.17689201613669783</v>
      </c>
      <c r="R18" s="134">
        <f>'PUBLIC DEBT COLONES'!R18/R81</f>
        <v>1201.7407383064576</v>
      </c>
      <c r="S18" s="174">
        <f>+R18/R7</f>
        <v>0.17086326782542871</v>
      </c>
      <c r="T18" s="134">
        <v>1171.7746051108475</v>
      </c>
      <c r="U18" s="174">
        <v>0.14375161755365873</v>
      </c>
      <c r="V18" s="74">
        <f>'PUBLIC DEBT COLONES'!V18/V81</f>
        <v>1735.7163010281151</v>
      </c>
      <c r="W18" s="211">
        <f>+V18/V7</f>
        <v>0.15995463644202493</v>
      </c>
      <c r="X18" s="74">
        <f>'PUBLIC DEBT COLONES'!X18/X81</f>
        <v>1646.6773528141296</v>
      </c>
      <c r="Y18" s="211">
        <f>+X18/X7</f>
        <v>0.13184825268905576</v>
      </c>
      <c r="Z18" s="134">
        <f>'PUBLIC DEBT COLONES'!Z18/Z81</f>
        <v>1758.1283828485134</v>
      </c>
      <c r="AA18" s="174">
        <f>+Z18/Z7</f>
        <v>0.11166967476254047</v>
      </c>
      <c r="AB18" s="134">
        <f>'PUBLIC DEBT COLONES'!AB18/AB81</f>
        <v>2295.0888613047223</v>
      </c>
      <c r="AC18" s="174">
        <f>+AB18/AB7</f>
        <v>0.12906425864543039</v>
      </c>
      <c r="AD18" s="134">
        <f>'PUBLIC DEBT COLONES'!AD18/AD81</f>
        <v>2619.1678588416144</v>
      </c>
      <c r="AE18" s="174">
        <f>+AD18/AD7</f>
        <v>0.13531850565625081</v>
      </c>
      <c r="AF18" s="74">
        <f>'PUBLIC DEBT COLONES'!AF18/AF81</f>
        <v>2507.4243792631728</v>
      </c>
      <c r="AG18" s="211">
        <f>+AF18/AF7</f>
        <v>0.11236867274015069</v>
      </c>
      <c r="AH18" s="134">
        <f>'PUBLIC DEBT COLONES'!AH18/AH81</f>
        <v>3767.1163523381615</v>
      </c>
      <c r="AI18" s="90">
        <f>+AH18/AH7</f>
        <v>0.14935676264055001</v>
      </c>
      <c r="AJ18" s="74">
        <f>'PUBLIC DEBT COLONES'!AJ18/AJ81</f>
        <v>5944.9953720628419</v>
      </c>
      <c r="AK18" s="40">
        <f>+AJ18/AJ7</f>
        <v>0.21109432992840688</v>
      </c>
      <c r="AL18" s="134">
        <f>'PUBLIC DEBT COLONES'!AL18/AL81</f>
        <v>6723.0753460003289</v>
      </c>
      <c r="AM18" s="90">
        <f>+AL18/AL7</f>
        <v>0.22070271258427618</v>
      </c>
      <c r="AN18" s="74">
        <f>'PUBLIC DEBT COLONES'!AN18/AN81</f>
        <v>7376.9649980831819</v>
      </c>
      <c r="AO18" s="40">
        <f>+AN18/AN7</f>
        <v>0.19941082169147445</v>
      </c>
      <c r="AP18" s="461">
        <f>'PUBLIC DEBT COLONES'!AP18/AP81</f>
        <v>8537.434840166763</v>
      </c>
      <c r="AQ18" s="463">
        <f>+AP18/AP7</f>
        <v>0.21648632997081846</v>
      </c>
      <c r="AR18" s="565"/>
      <c r="AS18" s="109"/>
      <c r="AT18" s="77"/>
    </row>
    <row r="19" spans="1:46" s="68" customFormat="1" x14ac:dyDescent="0.25">
      <c r="A19" s="415" t="s">
        <v>71</v>
      </c>
      <c r="B19" s="226">
        <f>+B18/B66</f>
        <v>0.18985978885798258</v>
      </c>
      <c r="C19" s="249"/>
      <c r="D19" s="226">
        <f>+D18/D66</f>
        <v>0.14733926075010295</v>
      </c>
      <c r="E19" s="289"/>
      <c r="F19" s="226">
        <f>+F18/F66</f>
        <v>0.12910866068002641</v>
      </c>
      <c r="G19" s="249"/>
      <c r="H19" s="226">
        <f>+H18/H66</f>
        <v>0.10355818328090606</v>
      </c>
      <c r="I19" s="289"/>
      <c r="J19" s="226">
        <f>+J18/J66</f>
        <v>8.2913004422379435E-2</v>
      </c>
      <c r="K19" s="289"/>
      <c r="L19" s="226">
        <f>+L18/L66</f>
        <v>6.8327504293730343E-2</v>
      </c>
      <c r="M19" s="289"/>
      <c r="N19" s="226">
        <f>+N18/N66</f>
        <v>5.5275054162811525E-2</v>
      </c>
      <c r="O19" s="289"/>
      <c r="P19" s="226">
        <f>+P18/P66</f>
        <v>4.7690060243770135E-2</v>
      </c>
      <c r="Q19" s="249"/>
      <c r="R19" s="226">
        <f>+R18/R66</f>
        <v>4.0952962415276004E-2</v>
      </c>
      <c r="S19" s="249"/>
      <c r="T19" s="226">
        <v>3.9233546770318338E-2</v>
      </c>
      <c r="U19" s="249"/>
      <c r="V19" s="223">
        <f>+V18/V66</f>
        <v>4.4922438563107396E-2</v>
      </c>
      <c r="W19" s="250"/>
      <c r="X19" s="223">
        <f>+X18/X66</f>
        <v>3.8900028677906276E-2</v>
      </c>
      <c r="Y19" s="250"/>
      <c r="Z19" s="226">
        <f>+Z18/Z66</f>
        <v>3.7691940819115324E-2</v>
      </c>
      <c r="AA19" s="249"/>
      <c r="AB19" s="226">
        <f>+AB18/AB66</f>
        <v>4.5289846228509005E-2</v>
      </c>
      <c r="AC19" s="249"/>
      <c r="AD19" s="226">
        <f>+AD18/AD66</f>
        <v>5.0717780802037989E-2</v>
      </c>
      <c r="AE19" s="249"/>
      <c r="AF19" s="223">
        <f>+AF18/AF66</f>
        <v>4.4694469433732759E-2</v>
      </c>
      <c r="AG19" s="250"/>
      <c r="AH19" s="226">
        <f>+AH18/AH66</f>
        <v>6.5390422285610192E-2</v>
      </c>
      <c r="AI19" s="248"/>
      <c r="AJ19" s="223">
        <f>+AJ18/AJ66</f>
        <v>9.8753646072235815E-2</v>
      </c>
      <c r="AK19" s="224"/>
      <c r="AL19" s="226">
        <f>+AL18/AL66</f>
        <v>0.11384795187266644</v>
      </c>
      <c r="AM19" s="248"/>
      <c r="AN19" s="223">
        <f>+AN18/AN66</f>
        <v>0.11183373817553048</v>
      </c>
      <c r="AO19" s="224"/>
      <c r="AP19" s="464">
        <f>+AP18/AP66</f>
        <v>0.14404177777237354</v>
      </c>
      <c r="AQ19" s="467"/>
      <c r="AR19" s="565"/>
      <c r="AS19" s="109"/>
      <c r="AT19" s="255"/>
    </row>
    <row r="20" spans="1:46" x14ac:dyDescent="0.25">
      <c r="A20" s="32" t="s">
        <v>79</v>
      </c>
      <c r="B20" s="153">
        <f>'PUBLIC DEBT COLONES'!B20/B81</f>
        <v>2153.8685654671226</v>
      </c>
      <c r="C20" s="258">
        <f>+B20/B7</f>
        <v>0.3812877818069878</v>
      </c>
      <c r="D20" s="153">
        <f>'PUBLIC DEBT COLONES'!D20/D81</f>
        <v>2665.9104211145996</v>
      </c>
      <c r="E20" s="271">
        <f>+D20/D7</f>
        <v>0.43754830747309015</v>
      </c>
      <c r="F20" s="153">
        <f>'PUBLIC DEBT COLONES'!F20/F81</f>
        <v>3514.3797042103065</v>
      </c>
      <c r="G20" s="258">
        <f>+F20/F7</f>
        <v>0.53876105151040488</v>
      </c>
      <c r="H20" s="153">
        <f>'PUBLIC DEBT COLONES'!H20/H81</f>
        <v>3945.7251798261636</v>
      </c>
      <c r="I20" s="271">
        <f>+H20/H7</f>
        <v>0.59167757828909773</v>
      </c>
      <c r="J20" s="153">
        <f>'PUBLIC DEBT COLONES'!J20/J81</f>
        <v>4779.0346463733722</v>
      </c>
      <c r="K20" s="271">
        <f>+J20/J7</f>
        <v>0.65685138171513169</v>
      </c>
      <c r="L20" s="153">
        <f>'PUBLIC DEBT COLONES'!L20/L81</f>
        <v>4914.7703674289114</v>
      </c>
      <c r="M20" s="271">
        <f>+L20/L7</f>
        <v>0.68391456534160133</v>
      </c>
      <c r="N20" s="153">
        <f>'PUBLIC DEBT COLONES'!N20/N81</f>
        <v>5548.1075714911367</v>
      </c>
      <c r="O20" s="271">
        <f>+N20/N7</f>
        <v>0.74922884473465468</v>
      </c>
      <c r="P20" s="134">
        <f>'PUBLIC DEBT COLONES'!P20/P81</f>
        <v>5111.8428117927442</v>
      </c>
      <c r="Q20" s="258">
        <f>+P20/P7</f>
        <v>0.67871919864623342</v>
      </c>
      <c r="R20" s="134">
        <f>'PUBLIC DEBT COLONES'!R20/R81</f>
        <v>4342.5473781995324</v>
      </c>
      <c r="S20" s="258">
        <f>+R20/R7</f>
        <v>0.61742255386261702</v>
      </c>
      <c r="T20" s="134">
        <v>5441.1114189091131</v>
      </c>
      <c r="U20" s="258">
        <v>0.66750769674162436</v>
      </c>
      <c r="V20" s="74">
        <f>'PUBLIC DEBT COLONES'!V20/V81</f>
        <v>7156.8553218876059</v>
      </c>
      <c r="W20" s="259">
        <f>+V20/V7</f>
        <v>0.65953876817462709</v>
      </c>
      <c r="X20" s="74">
        <f>'PUBLIC DEBT COLONES'!X20/X81</f>
        <v>8335.4577554417938</v>
      </c>
      <c r="Y20" s="259">
        <f>+X20/X7</f>
        <v>0.66741401315822413</v>
      </c>
      <c r="Z20" s="134">
        <f>'PUBLIC DEBT COLONES'!Z20/Z81</f>
        <v>11329.20694325389</v>
      </c>
      <c r="AA20" s="258">
        <f>+Z20/Z7</f>
        <v>0.7195884367789569</v>
      </c>
      <c r="AB20" s="134">
        <f>'PUBLIC DEBT COLONES'!AB20/AB81</f>
        <v>12433.473205962859</v>
      </c>
      <c r="AC20" s="258">
        <f>+AB20/AB7</f>
        <v>0.69919602189309682</v>
      </c>
      <c r="AD20" s="134">
        <f>'PUBLIC DEBT COLONES'!AD20/AD81</f>
        <v>13775.053935058098</v>
      </c>
      <c r="AE20" s="258">
        <f>+AD20/AD7</f>
        <v>0.71168394478188335</v>
      </c>
      <c r="AF20" s="74">
        <f>'PUBLIC DEBT COLONES'!AF20/AF81</f>
        <v>17057.917565341257</v>
      </c>
      <c r="AG20" s="259">
        <f>+AF20/AF7</f>
        <v>0.76444002554189094</v>
      </c>
      <c r="AH20" s="134">
        <f>'PUBLIC DEBT COLONES'!AH20/AH81</f>
        <v>19233.722988808215</v>
      </c>
      <c r="AI20" s="453">
        <f>+AH20/AH7</f>
        <v>0.76256911930806415</v>
      </c>
      <c r="AJ20" s="74">
        <f>'PUBLIC DEBT COLONES'!AJ20/AJ81</f>
        <v>20042.238851445931</v>
      </c>
      <c r="AK20" s="618">
        <f>+AJ20/AJ7</f>
        <v>0.71165790986024335</v>
      </c>
      <c r="AL20" s="134">
        <f>'PUBLIC DEBT COLONES'!AL20/AL81</f>
        <v>21780.470848909048</v>
      </c>
      <c r="AM20" s="453">
        <f>+AL20/AL7</f>
        <v>0.71500150605581869</v>
      </c>
      <c r="AN20" s="74">
        <f>'PUBLIC DEBT COLONES'!AN20/AN81</f>
        <v>27448.870581296549</v>
      </c>
      <c r="AO20" s="618">
        <f>+AN20/AN7</f>
        <v>0.74198560499358968</v>
      </c>
      <c r="AP20" s="461">
        <f>'PUBLIC DEBT COLONES'!AP20/AP81</f>
        <v>28956.09534809805</v>
      </c>
      <c r="AQ20" s="466">
        <f>+AP20/AP7</f>
        <v>0.73424851018510273</v>
      </c>
      <c r="AR20" s="565"/>
      <c r="AS20" s="109"/>
      <c r="AT20" s="77"/>
    </row>
    <row r="21" spans="1:46" s="68" customFormat="1" x14ac:dyDescent="0.25">
      <c r="A21" s="415" t="s">
        <v>71</v>
      </c>
      <c r="B21" s="226">
        <f>+B20/B66</f>
        <v>0.1481670365953372</v>
      </c>
      <c r="C21" s="92"/>
      <c r="D21" s="226">
        <f>+D20/D66</f>
        <v>0.17349957301560776</v>
      </c>
      <c r="E21" s="148"/>
      <c r="F21" s="226">
        <f>+F20/F66</f>
        <v>0.2233090117467508</v>
      </c>
      <c r="G21" s="92"/>
      <c r="H21" s="226">
        <f>+H20/H66</f>
        <v>0.24011094189828242</v>
      </c>
      <c r="I21" s="148"/>
      <c r="J21" s="226">
        <f>+J20/J66</f>
        <v>0.26952126926955039</v>
      </c>
      <c r="K21" s="148"/>
      <c r="L21" s="226">
        <f>+L20/L66</f>
        <v>0.25541659000356565</v>
      </c>
      <c r="M21" s="148"/>
      <c r="N21" s="226">
        <f>+N20/N66</f>
        <v>0.24757264141299129</v>
      </c>
      <c r="O21" s="148"/>
      <c r="P21" s="226">
        <f>+P20/P66</f>
        <v>0.18298259118166724</v>
      </c>
      <c r="Q21" s="249"/>
      <c r="R21" s="226">
        <f>+R20/R66</f>
        <v>0.14798547964395423</v>
      </c>
      <c r="S21" s="249"/>
      <c r="T21" s="226">
        <v>0.1821801721979541</v>
      </c>
      <c r="U21" s="249"/>
      <c r="V21" s="223">
        <f>+V20/V66</f>
        <v>0.18522807748714948</v>
      </c>
      <c r="W21" s="250"/>
      <c r="X21" s="223">
        <f>+X20/X66</f>
        <v>0.19691140172422231</v>
      </c>
      <c r="Y21" s="250"/>
      <c r="Z21" s="226">
        <f>+Z20/Z66</f>
        <v>0.24288317155814304</v>
      </c>
      <c r="AA21" s="249"/>
      <c r="AB21" s="226">
        <f>+AB20/AB66</f>
        <v>0.24535437345298491</v>
      </c>
      <c r="AC21" s="249"/>
      <c r="AD21" s="226">
        <f>+AD20/AD66</f>
        <v>0.26674127191050545</v>
      </c>
      <c r="AE21" s="249"/>
      <c r="AF21" s="223">
        <f>+AF20/AF66</f>
        <v>0.30405486264407855</v>
      </c>
      <c r="AG21" s="250"/>
      <c r="AH21" s="226">
        <f>+AH20/AH66</f>
        <v>0.33386313315806976</v>
      </c>
      <c r="AI21" s="248"/>
      <c r="AJ21" s="223">
        <f>+AJ20/AJ66</f>
        <v>0.33292610644104359</v>
      </c>
      <c r="AK21" s="224"/>
      <c r="AL21" s="226">
        <f>+AL20/AL66</f>
        <v>0.36882853000387755</v>
      </c>
      <c r="AM21" s="248"/>
      <c r="AN21" s="223">
        <f>+AN20/AN66</f>
        <v>0.41612096663063569</v>
      </c>
      <c r="AO21" s="224"/>
      <c r="AP21" s="464">
        <f>+AP20/AP66</f>
        <v>0.48854105821848098</v>
      </c>
      <c r="AQ21" s="467"/>
      <c r="AR21" s="565"/>
      <c r="AS21" s="109"/>
      <c r="AT21" s="255"/>
    </row>
    <row r="22" spans="1:46" x14ac:dyDescent="0.25">
      <c r="A22" s="32" t="s">
        <v>80</v>
      </c>
      <c r="B22" s="134">
        <f>+B7-(B18+B20)</f>
        <v>735.11687087653081</v>
      </c>
      <c r="C22" s="258">
        <f>+B22/B7</f>
        <v>0.13013379068681372</v>
      </c>
      <c r="D22" s="134">
        <f>+D7-(D18+D20)</f>
        <v>1162.982628531322</v>
      </c>
      <c r="E22" s="271">
        <f>+D22/D7</f>
        <v>0.19087703649162152</v>
      </c>
      <c r="F22" s="134">
        <f>+F7-(F18+F20)</f>
        <v>976.81822978498894</v>
      </c>
      <c r="G22" s="258">
        <f>+F22/F7</f>
        <v>0.1497480810007546</v>
      </c>
      <c r="H22" s="134">
        <f>+H7-(H18+H20)</f>
        <v>1021.2192310446053</v>
      </c>
      <c r="I22" s="271">
        <f>+H22/H7</f>
        <v>0.15313598742661222</v>
      </c>
      <c r="J22" s="134">
        <f>+J7-(J18+J20)</f>
        <v>1026.4589461317555</v>
      </c>
      <c r="K22" s="271">
        <f>+J22/J7</f>
        <v>0.14108099792751028</v>
      </c>
      <c r="L22" s="134">
        <f>+L7-(L18+L20)</f>
        <v>956.69431998553409</v>
      </c>
      <c r="M22" s="271">
        <f>+L22/L7</f>
        <v>0.1331287387003538</v>
      </c>
      <c r="N22" s="134">
        <f>+N7-(N18+N20)</f>
        <v>618.2681486627298</v>
      </c>
      <c r="O22" s="271">
        <f>+N22/N7</f>
        <v>8.3492312430833479E-2</v>
      </c>
      <c r="P22" s="134">
        <f>+P7-(P18+P20)</f>
        <v>1087.4788502926567</v>
      </c>
      <c r="Q22" s="174">
        <f>+P22/P7</f>
        <v>0.14438878521706874</v>
      </c>
      <c r="R22" s="134">
        <f>+R7-(R18+R20)</f>
        <v>1489.0593876180574</v>
      </c>
      <c r="S22" s="174">
        <f>+R22/R7</f>
        <v>0.21171417831195433</v>
      </c>
      <c r="T22" s="134">
        <v>1538.4977659638598</v>
      </c>
      <c r="U22" s="174">
        <v>0.18874068570471683</v>
      </c>
      <c r="V22" s="74">
        <f>+V7-(V18+V20)</f>
        <v>1958.7318443471377</v>
      </c>
      <c r="W22" s="211">
        <f>+V22/V7</f>
        <v>0.18050659538334796</v>
      </c>
      <c r="X22" s="74">
        <f>+X7-(X18+X20)</f>
        <v>2507.0509008872559</v>
      </c>
      <c r="Y22" s="211">
        <f>+X22/X7</f>
        <v>0.2007377341527202</v>
      </c>
      <c r="Z22" s="134">
        <f>+Z7-(Z18+Z20)</f>
        <v>2656.6738383111078</v>
      </c>
      <c r="AA22" s="174">
        <f>+Z22/Z7</f>
        <v>0.16874188845850263</v>
      </c>
      <c r="AB22" s="134">
        <f>+AB7-(AB18+AB20)</f>
        <v>3053.9664607106115</v>
      </c>
      <c r="AC22" s="174">
        <f>+AB22/AB7</f>
        <v>0.17173971946147279</v>
      </c>
      <c r="AD22" s="134">
        <f>+AD7-(AD18+AD20)</f>
        <v>2961.355967911215</v>
      </c>
      <c r="AE22" s="174">
        <f>+AD22/AD7</f>
        <v>0.15299754956186581</v>
      </c>
      <c r="AF22" s="74">
        <f>+AF7-(AF18+AF20)</f>
        <v>2748.9233939345359</v>
      </c>
      <c r="AG22" s="211">
        <f>+AF22/AF7</f>
        <v>0.12319130171795846</v>
      </c>
      <c r="AH22" s="134">
        <f>+AH7-(AH18+AH20)</f>
        <v>2221.429043207303</v>
      </c>
      <c r="AI22" s="90">
        <f>+AH22/AH7</f>
        <v>8.8074118051385847E-2</v>
      </c>
      <c r="AJ22" s="74">
        <f>+AJ7-(AJ18+AJ20)</f>
        <v>2175.5088216459735</v>
      </c>
      <c r="AK22" s="40">
        <f>+AJ22/AJ7</f>
        <v>7.7247760211349825E-2</v>
      </c>
      <c r="AL22" s="134">
        <f>+AL7-(AL18+AL20)</f>
        <v>1958.5866319950364</v>
      </c>
      <c r="AM22" s="90">
        <f>+AL22/AL7</f>
        <v>6.4295781359905185E-2</v>
      </c>
      <c r="AN22" s="74">
        <f>+AN7-(AN18+AN20)</f>
        <v>2167.9691475107466</v>
      </c>
      <c r="AO22" s="40">
        <f>+AN22/AN7</f>
        <v>5.8603573314935854E-2</v>
      </c>
      <c r="AP22" s="461">
        <f>+AP7-(AP18+AP20)</f>
        <v>1942.8390333741554</v>
      </c>
      <c r="AQ22" s="463">
        <f>+AP22/AP7</f>
        <v>4.9265159844078858E-2</v>
      </c>
      <c r="AR22" s="565"/>
      <c r="AS22" s="109"/>
      <c r="AT22" s="77"/>
    </row>
    <row r="23" spans="1:46" s="68" customFormat="1" x14ac:dyDescent="0.25">
      <c r="A23" s="415" t="s">
        <v>71</v>
      </c>
      <c r="B23" s="226">
        <f>+B22/B66</f>
        <v>5.0569514804813795E-2</v>
      </c>
      <c r="C23" s="92"/>
      <c r="D23" s="226">
        <f>+D22/D66</f>
        <v>7.5687835523892771E-2</v>
      </c>
      <c r="E23" s="148"/>
      <c r="F23" s="226">
        <f>+F22/F66</f>
        <v>6.2068510493663777E-2</v>
      </c>
      <c r="G23" s="92"/>
      <c r="H23" s="226">
        <f>+H22/H66</f>
        <v>6.2144700980305695E-2</v>
      </c>
      <c r="I23" s="148"/>
      <c r="J23" s="226">
        <f>+J22/J66</f>
        <v>5.7888786854570488E-2</v>
      </c>
      <c r="K23" s="148"/>
      <c r="L23" s="226">
        <f>+L22/L66</f>
        <v>4.9718620122289905E-2</v>
      </c>
      <c r="M23" s="148"/>
      <c r="N23" s="226">
        <f>+N22/N66</f>
        <v>2.758891688626959E-2</v>
      </c>
      <c r="O23" s="148"/>
      <c r="P23" s="226">
        <f>+P22/P66</f>
        <v>3.8927194205336732E-2</v>
      </c>
      <c r="Q23" s="249"/>
      <c r="R23" s="226">
        <f>+R22/R66</f>
        <v>5.0744217276992451E-2</v>
      </c>
      <c r="S23" s="249"/>
      <c r="T23" s="226">
        <v>5.1512230930506782E-2</v>
      </c>
      <c r="U23" s="249"/>
      <c r="V23" s="223">
        <f>+V22/V66</f>
        <v>5.0694350734141691E-2</v>
      </c>
      <c r="W23" s="250"/>
      <c r="X23" s="223">
        <f>+X22/X66</f>
        <v>5.9224930600289355E-2</v>
      </c>
      <c r="Y23" s="250"/>
      <c r="Z23" s="226">
        <f>+Z22/Z66</f>
        <v>5.6955563692723934E-2</v>
      </c>
      <c r="AA23" s="249"/>
      <c r="AB23" s="226">
        <f>+AB22/AB66</f>
        <v>6.0265061507892251E-2</v>
      </c>
      <c r="AC23" s="249"/>
      <c r="AD23" s="226">
        <f>+AD22/AD66</f>
        <v>5.7343939354751565E-2</v>
      </c>
      <c r="AE23" s="249"/>
      <c r="AF23" s="223">
        <f>+AF22/AF66</f>
        <v>4.8999153722029266E-2</v>
      </c>
      <c r="AG23" s="250"/>
      <c r="AH23" s="226">
        <f>+AH22/AH66</f>
        <v>3.8560046897060912E-2</v>
      </c>
      <c r="AI23" s="248"/>
      <c r="AJ23" s="223">
        <f>+AJ22/AJ66</f>
        <v>3.6137862984627782E-2</v>
      </c>
      <c r="AK23" s="224"/>
      <c r="AL23" s="226">
        <f>+AL22/AL66</f>
        <v>3.3166529473817957E-2</v>
      </c>
      <c r="AM23" s="248"/>
      <c r="AN23" s="223">
        <f>+AN22/AN66</f>
        <v>3.2866103347154715E-2</v>
      </c>
      <c r="AO23" s="224"/>
      <c r="AP23" s="464">
        <f>+AP22/AP66</f>
        <v>3.2779165350245505E-2</v>
      </c>
      <c r="AQ23" s="467"/>
      <c r="AR23" s="565"/>
      <c r="AS23" s="109"/>
      <c r="AT23" s="255"/>
    </row>
    <row r="24" spans="1:46" x14ac:dyDescent="0.25">
      <c r="A24" s="4"/>
      <c r="B24" s="91"/>
      <c r="C24" s="92"/>
      <c r="D24" s="91"/>
      <c r="E24" s="92"/>
      <c r="F24" s="91"/>
      <c r="G24" s="92"/>
      <c r="H24" s="91"/>
      <c r="I24" s="92"/>
      <c r="J24" s="91"/>
      <c r="K24" s="92"/>
      <c r="L24" s="91"/>
      <c r="M24" s="92"/>
      <c r="N24" s="91"/>
      <c r="O24" s="92"/>
      <c r="P24" s="91"/>
      <c r="Q24" s="92"/>
      <c r="R24" s="91"/>
      <c r="S24" s="92"/>
      <c r="T24" s="91"/>
      <c r="U24" s="92"/>
      <c r="V24" s="29"/>
      <c r="W24" s="35"/>
      <c r="X24" s="29"/>
      <c r="Y24" s="35"/>
      <c r="Z24" s="91"/>
      <c r="AA24" s="92"/>
      <c r="AB24" s="91"/>
      <c r="AC24" s="92"/>
      <c r="AD24" s="91"/>
      <c r="AE24" s="92"/>
      <c r="AF24" s="29"/>
      <c r="AG24" s="35"/>
      <c r="AH24" s="91"/>
      <c r="AI24" s="92"/>
      <c r="AJ24" s="29"/>
      <c r="AK24" s="35"/>
      <c r="AL24" s="91"/>
      <c r="AM24" s="92"/>
      <c r="AN24" s="29"/>
      <c r="AO24" s="35"/>
      <c r="AP24" s="468"/>
      <c r="AQ24" s="472"/>
      <c r="AR24" s="389"/>
      <c r="AS24" s="109"/>
      <c r="AT24" s="77"/>
    </row>
    <row r="25" spans="1:46" x14ac:dyDescent="0.25">
      <c r="A25" s="397"/>
      <c r="B25" s="91"/>
      <c r="C25" s="92"/>
      <c r="D25" s="91"/>
      <c r="E25" s="92"/>
      <c r="F25" s="91"/>
      <c r="G25" s="92"/>
      <c r="H25" s="91"/>
      <c r="I25" s="92"/>
      <c r="J25" s="91"/>
      <c r="K25" s="92"/>
      <c r="L25" s="91"/>
      <c r="M25" s="92"/>
      <c r="N25" s="91"/>
      <c r="O25" s="92"/>
      <c r="P25" s="91"/>
      <c r="Q25" s="92"/>
      <c r="R25" s="91"/>
      <c r="S25" s="92"/>
      <c r="T25" s="91"/>
      <c r="U25" s="92"/>
      <c r="V25" s="29"/>
      <c r="W25" s="35"/>
      <c r="X25" s="29"/>
      <c r="Y25" s="35"/>
      <c r="Z25" s="91"/>
      <c r="AA25" s="92"/>
      <c r="AB25" s="91"/>
      <c r="AC25" s="92"/>
      <c r="AD25" s="91"/>
      <c r="AE25" s="92"/>
      <c r="AF25" s="29"/>
      <c r="AG25" s="35"/>
      <c r="AH25" s="91"/>
      <c r="AI25" s="92"/>
      <c r="AJ25" s="29"/>
      <c r="AK25" s="35"/>
      <c r="AL25" s="91"/>
      <c r="AM25" s="92"/>
      <c r="AN25" s="29"/>
      <c r="AO25" s="35"/>
      <c r="AP25" s="468"/>
      <c r="AQ25" s="472"/>
      <c r="AR25" s="389"/>
      <c r="AS25" s="109"/>
      <c r="AT25" s="77"/>
    </row>
    <row r="26" spans="1:46" x14ac:dyDescent="0.25">
      <c r="A26" s="398" t="s">
        <v>83</v>
      </c>
      <c r="B26" s="91"/>
      <c r="C26" s="92"/>
      <c r="D26" s="91"/>
      <c r="E26" s="92"/>
      <c r="F26" s="91"/>
      <c r="G26" s="92"/>
      <c r="H26" s="91"/>
      <c r="I26" s="92"/>
      <c r="J26" s="91"/>
      <c r="K26" s="92"/>
      <c r="L26" s="91"/>
      <c r="M26" s="92"/>
      <c r="N26" s="91"/>
      <c r="O26" s="92"/>
      <c r="P26" s="91"/>
      <c r="Q26" s="92"/>
      <c r="R26" s="91"/>
      <c r="S26" s="92"/>
      <c r="T26" s="91"/>
      <c r="U26" s="92"/>
      <c r="V26" s="29"/>
      <c r="W26" s="35"/>
      <c r="X26" s="29"/>
      <c r="Y26" s="35"/>
      <c r="Z26" s="91"/>
      <c r="AA26" s="92"/>
      <c r="AB26" s="91"/>
      <c r="AC26" s="92"/>
      <c r="AD26" s="91"/>
      <c r="AE26" s="92"/>
      <c r="AF26" s="29"/>
      <c r="AG26" s="35"/>
      <c r="AH26" s="91"/>
      <c r="AI26" s="92"/>
      <c r="AJ26" s="29"/>
      <c r="AK26" s="35"/>
      <c r="AL26" s="91"/>
      <c r="AM26" s="92"/>
      <c r="AN26" s="29"/>
      <c r="AO26" s="35"/>
      <c r="AP26" s="468"/>
      <c r="AQ26" s="472"/>
      <c r="AR26" s="389"/>
      <c r="AS26" s="109"/>
      <c r="AT26" s="77"/>
    </row>
    <row r="27" spans="1:46" x14ac:dyDescent="0.25">
      <c r="A27" s="133" t="s">
        <v>84</v>
      </c>
      <c r="B27" s="134">
        <f>'PUBLIC DEBT COLONES'!B27/B81</f>
        <v>1781.809550738297</v>
      </c>
      <c r="C27" s="258">
        <f>+B27/B7</f>
        <v>0.31542417308837456</v>
      </c>
      <c r="D27" s="134">
        <f>'PUBLIC DEBT COLONES'!D27/D81</f>
        <v>1299.9667953442124</v>
      </c>
      <c r="E27" s="258">
        <f>+D27/D7</f>
        <v>0.21335985881936212</v>
      </c>
      <c r="F27" s="134">
        <f>'PUBLIC DEBT COLONES'!F27/F81</f>
        <v>1709.7136921250496</v>
      </c>
      <c r="G27" s="258">
        <f>+F27/F7</f>
        <v>0.26210234069116017</v>
      </c>
      <c r="H27" s="134">
        <f>'PUBLIC DEBT COLONES'!H27/H81</f>
        <v>1305.690959642968</v>
      </c>
      <c r="I27" s="258">
        <f>+H27/H7</f>
        <v>0.19579368298264388</v>
      </c>
      <c r="J27" s="134">
        <f>'PUBLIC DEBT COLONES'!J27/J81</f>
        <v>1538.6606474632322</v>
      </c>
      <c r="K27" s="258">
        <f>+J27/J7</f>
        <v>0.21148023545798803</v>
      </c>
      <c r="L27" s="134">
        <f>'PUBLIC DEBT COLONES'!L27/L81</f>
        <v>1961.1429462940266</v>
      </c>
      <c r="M27" s="258">
        <f>+L27/L7</f>
        <v>0.27290272493220952</v>
      </c>
      <c r="N27" s="134">
        <f>'PUBLIC DEBT COLONES'!N27/N81</f>
        <v>1629.0305584500791</v>
      </c>
      <c r="O27" s="258">
        <f>+N27/N7</f>
        <v>0.21998792698551983</v>
      </c>
      <c r="P27" s="134">
        <f>'PUBLIC DEBT COLONES'!P27/P81</f>
        <v>1652.1092201862543</v>
      </c>
      <c r="Q27" s="258">
        <f>+P27/P7</f>
        <v>0.21935694959439045</v>
      </c>
      <c r="R27" s="134">
        <f>'PUBLIC DEBT COLONES'!R27/R81</f>
        <v>1616.1021955386618</v>
      </c>
      <c r="S27" s="258">
        <f>+R27/R7</f>
        <v>0.22977710039082389</v>
      </c>
      <c r="T27" s="134">
        <v>1533.9627078901131</v>
      </c>
      <c r="U27" s="258">
        <v>0.18818433132482376</v>
      </c>
      <c r="V27" s="74">
        <f>'PUBLIC DEBT COLONES'!V27/V81</f>
        <v>2527.2833130335298</v>
      </c>
      <c r="W27" s="259">
        <f>+V27/V7</f>
        <v>0.23290135794819991</v>
      </c>
      <c r="X27" s="74">
        <f>'PUBLIC DEBT COLONES'!X27/X81</f>
        <v>2471.3252758989297</v>
      </c>
      <c r="Y27" s="259">
        <f>+X27/X7</f>
        <v>0.19787720945862308</v>
      </c>
      <c r="Z27" s="134">
        <f>'PUBLIC DEBT COLONES'!Z27/Z81</f>
        <v>2432.3869941599482</v>
      </c>
      <c r="AA27" s="258">
        <f>+Z27/Z7</f>
        <v>0.15449603520670704</v>
      </c>
      <c r="AB27" s="134">
        <f>'PUBLIC DEBT COLONES'!AB27/AB81</f>
        <v>2448.5438276996138</v>
      </c>
      <c r="AC27" s="258">
        <f>+AB27/AB7</f>
        <v>0.13769379443689295</v>
      </c>
      <c r="AD27" s="134">
        <f>'PUBLIC DEBT COLONES'!AD27/AD81</f>
        <v>3069.4410600945821</v>
      </c>
      <c r="AE27" s="258">
        <f>+AD27/AD7</f>
        <v>0.15858173276287682</v>
      </c>
      <c r="AF27" s="74">
        <f>'PUBLIC DEBT COLONES'!AF27/AF81</f>
        <v>3397.3586521368052</v>
      </c>
      <c r="AG27" s="259">
        <f>+AF27/AF7</f>
        <v>0.15225052676366752</v>
      </c>
      <c r="AH27" s="134">
        <f>'PUBLIC DEBT COLONES'!AH27/AH81</f>
        <v>3016.7407514066849</v>
      </c>
      <c r="AI27" s="453">
        <f>+AH27/AH7</f>
        <v>0.1196062426041776</v>
      </c>
      <c r="AJ27" s="74">
        <f>'PUBLIC DEBT COLONES'!AJ27/AJ81</f>
        <v>4107.5122898816917</v>
      </c>
      <c r="AK27" s="618">
        <f>+AJ27/AJ7</f>
        <v>0.1458491555064757</v>
      </c>
      <c r="AL27" s="134">
        <f>'PUBLIC DEBT COLONES'!AL27/AL81</f>
        <v>3960.3152877464895</v>
      </c>
      <c r="AM27" s="453">
        <f>+AL27/AL7</f>
        <v>0.13000781364359049</v>
      </c>
      <c r="AN27" s="74">
        <f>'PUBLIC DEBT COLONES'!AN27/AN81</f>
        <v>2856.5122913232308</v>
      </c>
      <c r="AO27" s="618">
        <f>+AN27/AN7</f>
        <v>7.7215963927247971E-2</v>
      </c>
      <c r="AP27" s="461">
        <f>'PUBLIC DEBT COLONES'!AP27/AP81</f>
        <v>3917.4521114971285</v>
      </c>
      <c r="AQ27" s="466">
        <f>+AP27/AP7</f>
        <v>9.933602379773844E-2</v>
      </c>
      <c r="AR27" s="565"/>
      <c r="AS27" s="109"/>
      <c r="AT27" s="77"/>
    </row>
    <row r="28" spans="1:46" s="68" customFormat="1" x14ac:dyDescent="0.25">
      <c r="A28" s="397" t="s">
        <v>85</v>
      </c>
      <c r="B28" s="226">
        <f>+B27/B66</f>
        <v>0.12257267929109041</v>
      </c>
      <c r="C28" s="249"/>
      <c r="D28" s="226">
        <f>+D27/D66</f>
        <v>8.4602874177741677E-2</v>
      </c>
      <c r="E28" s="249"/>
      <c r="F28" s="226">
        <f>+F27/F66</f>
        <v>0.10863779872759194</v>
      </c>
      <c r="G28" s="249"/>
      <c r="H28" s="226">
        <f>+H27/H66</f>
        <v>7.9455783629045748E-2</v>
      </c>
      <c r="I28" s="249"/>
      <c r="J28" s="226">
        <f>+J27/J66</f>
        <v>8.6775217458216161E-2</v>
      </c>
      <c r="K28" s="249"/>
      <c r="L28" s="226">
        <f>+L27/L66</f>
        <v>0.10191899242568457</v>
      </c>
      <c r="M28" s="249"/>
      <c r="N28" s="226">
        <f>+N27/N66</f>
        <v>7.2692065375648901E-2</v>
      </c>
      <c r="O28" s="249"/>
      <c r="P28" s="226">
        <f>+P27/P66</f>
        <v>5.9138599748685169E-2</v>
      </c>
      <c r="Q28" s="249"/>
      <c r="R28" s="226">
        <f>+R27/R66</f>
        <v>5.5073586476238882E-2</v>
      </c>
      <c r="S28" s="249"/>
      <c r="T28" s="226">
        <v>5.136038738289412E-2</v>
      </c>
      <c r="U28" s="249"/>
      <c r="V28" s="223">
        <f>+V27/V66</f>
        <v>6.5409150846867728E-2</v>
      </c>
      <c r="W28" s="250"/>
      <c r="X28" s="223">
        <f>+X27/X66</f>
        <v>5.8380971803985389E-2</v>
      </c>
      <c r="Y28" s="250"/>
      <c r="Z28" s="226">
        <f>+Z27/Z66</f>
        <v>5.214715121345162E-2</v>
      </c>
      <c r="AA28" s="249"/>
      <c r="AB28" s="226">
        <f>+AB27/AB66</f>
        <v>4.8318030430089205E-2</v>
      </c>
      <c r="AC28" s="249"/>
      <c r="AD28" s="226">
        <f>+AD27/AD66</f>
        <v>5.9436907926742423E-2</v>
      </c>
      <c r="AE28" s="249"/>
      <c r="AF28" s="223">
        <f>+AF27/AF66</f>
        <v>6.0557416482476853E-2</v>
      </c>
      <c r="AG28" s="250"/>
      <c r="AH28" s="226">
        <f>+AH27/AH66</f>
        <v>5.2365239936975595E-2</v>
      </c>
      <c r="AI28" s="248"/>
      <c r="AJ28" s="223">
        <f>+AJ27/AJ66</f>
        <v>6.8230804151422922E-2</v>
      </c>
      <c r="AK28" s="224"/>
      <c r="AL28" s="226">
        <f>+AL27/AL66</f>
        <v>6.7063622088986391E-2</v>
      </c>
      <c r="AM28" s="248"/>
      <c r="AN28" s="223">
        <f>+AN27/AN66</f>
        <v>4.3304319292016884E-2</v>
      </c>
      <c r="AO28" s="224"/>
      <c r="AP28" s="464">
        <f>+AP27/AP66</f>
        <v>6.6094415599330394E-2</v>
      </c>
      <c r="AQ28" s="467"/>
      <c r="AR28" s="565"/>
      <c r="AS28" s="109"/>
      <c r="AT28" s="255"/>
    </row>
    <row r="29" spans="1:46" x14ac:dyDescent="0.25">
      <c r="A29" s="133" t="s">
        <v>86</v>
      </c>
      <c r="B29" s="134">
        <f>'PUBLIC DEBT COLONES'!B29/B81</f>
        <v>1195.7097392397111</v>
      </c>
      <c r="C29" s="258">
        <f>+B29/B7</f>
        <v>0.21167007192049592</v>
      </c>
      <c r="D29" s="134">
        <f>'PUBLIC DEBT COLONES'!D29/D81</f>
        <v>1568.8876995964204</v>
      </c>
      <c r="E29" s="258">
        <f>+D29/D7</f>
        <v>0.2574970832241083</v>
      </c>
      <c r="F29" s="134">
        <f>'PUBLIC DEBT COLONES'!F29/F81</f>
        <v>1552.2802400738688</v>
      </c>
      <c r="G29" s="258">
        <f>+F29/F7</f>
        <v>0.23796749491214772</v>
      </c>
      <c r="H29" s="134">
        <f>'PUBLIC DEBT COLONES'!H29/H81</f>
        <v>1999.3903797045418</v>
      </c>
      <c r="I29" s="258">
        <f>+H29/H7</f>
        <v>0.29981673938330949</v>
      </c>
      <c r="J29" s="134">
        <f>'PUBLIC DEBT COLONES'!J29/J81</f>
        <v>2497.0389870333306</v>
      </c>
      <c r="K29" s="258">
        <f>+J29/J7</f>
        <v>0.34320393765591739</v>
      </c>
      <c r="L29" s="134">
        <f>'PUBLIC DEBT COLONES'!L29/L81</f>
        <v>2130.4752878182076</v>
      </c>
      <c r="M29" s="258">
        <f>+L29/L7</f>
        <v>0.29646615640385515</v>
      </c>
      <c r="N29" s="134">
        <f>'PUBLIC DEBT COLONES'!N29/N81</f>
        <v>3347.7451545675585</v>
      </c>
      <c r="O29" s="258">
        <f>+N29/N7</f>
        <v>0.45208698683334397</v>
      </c>
      <c r="P29" s="134">
        <f>'PUBLIC DEBT COLONES'!P29/P81</f>
        <v>3503.2858478991088</v>
      </c>
      <c r="Q29" s="258">
        <f>+P29/P7</f>
        <v>0.46514485105634301</v>
      </c>
      <c r="R29" s="134">
        <f>'PUBLIC DEBT COLONES'!R29/R81</f>
        <v>2869.2011118906134</v>
      </c>
      <c r="S29" s="258">
        <f>+R29/R7</f>
        <v>0.40794246412653995</v>
      </c>
      <c r="T29" s="134">
        <v>4173.2084618595545</v>
      </c>
      <c r="U29" s="258">
        <v>0.5119631916960492</v>
      </c>
      <c r="V29" s="74">
        <f>'PUBLIC DEBT COLONES'!V29/V81</f>
        <v>4630.5807365696628</v>
      </c>
      <c r="W29" s="259">
        <f>+V29/V7</f>
        <v>0.4267303693551282</v>
      </c>
      <c r="X29" s="74">
        <f>'PUBLIC DEBT COLONES'!X29/X81</f>
        <v>5524.1368091868753</v>
      </c>
      <c r="Y29" s="259">
        <f>+X29/X7</f>
        <v>0.44231359875197013</v>
      </c>
      <c r="Z29" s="134">
        <f>'PUBLIC DEBT COLONES'!Z29/Z81</f>
        <v>5960.2279360615912</v>
      </c>
      <c r="AA29" s="258">
        <f>+Z29/Z7</f>
        <v>0.37857116785307832</v>
      </c>
      <c r="AB29" s="134">
        <f>'PUBLIC DEBT COLONES'!AB29/AB81</f>
        <v>6479.6725314992536</v>
      </c>
      <c r="AC29" s="258">
        <f>+AB29/AB7</f>
        <v>0.36438420561532869</v>
      </c>
      <c r="AD29" s="134">
        <f>'PUBLIC DEBT COLONES'!AD29/AD81</f>
        <v>5712.5438390528452</v>
      </c>
      <c r="AE29" s="258">
        <f>+AD29/AD7</f>
        <v>0.29513682874007752</v>
      </c>
      <c r="AF29" s="74">
        <f>'PUBLIC DEBT COLONES'!AF29/AF81</f>
        <v>6810.768816923669</v>
      </c>
      <c r="AG29" s="259">
        <f>+AF29/AF7</f>
        <v>0.30522039213904978</v>
      </c>
      <c r="AH29" s="134">
        <f>'PUBLIC DEBT COLONES'!AH29/AH81</f>
        <v>8078.1271060095114</v>
      </c>
      <c r="AI29" s="453">
        <f>+AH29/AH7</f>
        <v>0.32027758102124854</v>
      </c>
      <c r="AJ29" s="74">
        <f>'PUBLIC DEBT COLONES'!AJ29/AJ81</f>
        <v>8964.5556566613959</v>
      </c>
      <c r="AK29" s="618">
        <f>+AJ29/AJ7</f>
        <v>0.3183125891639203</v>
      </c>
      <c r="AL29" s="134">
        <f>'PUBLIC DEBT COLONES'!AL29/AL81</f>
        <v>12130.09711412801</v>
      </c>
      <c r="AM29" s="453">
        <f>+AL29/AL7</f>
        <v>0.39820248907241995</v>
      </c>
      <c r="AN29" s="74">
        <f>'PUBLIC DEBT COLONES'!AN29/AN81</f>
        <v>13229.525254608627</v>
      </c>
      <c r="AO29" s="618">
        <f>+AN29/AN7</f>
        <v>0.35761461553567098</v>
      </c>
      <c r="AP29" s="461">
        <f>'PUBLIC DEBT COLONES'!AP29/AP81</f>
        <v>14075.070013648805</v>
      </c>
      <c r="AQ29" s="466">
        <f>+AP29/AP7</f>
        <v>0.35690582808332494</v>
      </c>
      <c r="AR29" s="565"/>
      <c r="AS29" s="109"/>
      <c r="AT29" s="77"/>
    </row>
    <row r="30" spans="1:46" s="68" customFormat="1" x14ac:dyDescent="0.25">
      <c r="A30" s="397" t="s">
        <v>85</v>
      </c>
      <c r="B30" s="226">
        <f>+B29/B66</f>
        <v>8.2254215290480631E-2</v>
      </c>
      <c r="C30" s="249"/>
      <c r="D30" s="226">
        <f>+D29/D66</f>
        <v>0.10210446076264348</v>
      </c>
      <c r="E30" s="249"/>
      <c r="F30" s="226">
        <f>+F29/F66</f>
        <v>9.8634238625275553E-2</v>
      </c>
      <c r="G30" s="249"/>
      <c r="H30" s="226">
        <f>+H29/H66</f>
        <v>0.12166977815580472</v>
      </c>
      <c r="I30" s="249"/>
      <c r="J30" s="226">
        <f>+J29/J66</f>
        <v>0.14082449009058631</v>
      </c>
      <c r="K30" s="249"/>
      <c r="L30" s="226">
        <f>+L29/L66</f>
        <v>0.11071905550412525</v>
      </c>
      <c r="M30" s="249"/>
      <c r="N30" s="226">
        <f>+N29/N66</f>
        <v>0.1493860924673957</v>
      </c>
      <c r="O30" s="249"/>
      <c r="P30" s="226">
        <f>+P29/P66</f>
        <v>0.12540298004073949</v>
      </c>
      <c r="Q30" s="249"/>
      <c r="R30" s="226">
        <f>+R29/R66</f>
        <v>9.7776734658020711E-2</v>
      </c>
      <c r="S30" s="249"/>
      <c r="T30" s="226">
        <v>0.13972804040685502</v>
      </c>
      <c r="U30" s="249"/>
      <c r="V30" s="223">
        <f>+V29/V66</f>
        <v>0.11984503373439817</v>
      </c>
      <c r="W30" s="250"/>
      <c r="X30" s="223">
        <f>+X29/X66</f>
        <v>0.13049859459766489</v>
      </c>
      <c r="Y30" s="250"/>
      <c r="Z30" s="226">
        <f>+Z29/Z66</f>
        <v>0.12777938222605228</v>
      </c>
      <c r="AA30" s="249"/>
      <c r="AB30" s="226">
        <f>+AB29/AB66</f>
        <v>0.12786579966924047</v>
      </c>
      <c r="AC30" s="249"/>
      <c r="AD30" s="226">
        <f>+AD29/AD66</f>
        <v>0.11061816648103388</v>
      </c>
      <c r="AE30" s="249"/>
      <c r="AF30" s="223">
        <f>+AF29/AF66</f>
        <v>0.1214009488085406</v>
      </c>
      <c r="AG30" s="250"/>
      <c r="AH30" s="226">
        <f>+AH29/AH66</f>
        <v>0.14022188149589132</v>
      </c>
      <c r="AI30" s="248"/>
      <c r="AJ30" s="223">
        <f>+AJ29/AJ66</f>
        <v>0.14891223644563018</v>
      </c>
      <c r="AK30" s="224"/>
      <c r="AL30" s="226">
        <f>+AL29/AL66</f>
        <v>0.20540997109032672</v>
      </c>
      <c r="AM30" s="248"/>
      <c r="AN30" s="223">
        <f>+AN29/AN66</f>
        <v>0.20055771769215416</v>
      </c>
      <c r="AO30" s="224"/>
      <c r="AP30" s="464">
        <f>+AP29/AP66</f>
        <v>0.23747157606382369</v>
      </c>
      <c r="AQ30" s="467"/>
      <c r="AR30" s="565"/>
      <c r="AS30" s="109"/>
      <c r="AT30" s="255"/>
    </row>
    <row r="31" spans="1:46" x14ac:dyDescent="0.25">
      <c r="A31" s="133" t="s">
        <v>87</v>
      </c>
      <c r="B31" s="134">
        <f>+B7-(B29+B27)</f>
        <v>2671.4122211749914</v>
      </c>
      <c r="C31" s="258">
        <f>+B31/B7</f>
        <v>0.47290575499112952</v>
      </c>
      <c r="D31" s="134">
        <f>+D7-(D29+D27)</f>
        <v>3223.9822857811318</v>
      </c>
      <c r="E31" s="258">
        <f>+D31/D7</f>
        <v>0.52914305795652961</v>
      </c>
      <c r="F31" s="134">
        <f>+F7-(F29+F27)</f>
        <v>3261.0828461944329</v>
      </c>
      <c r="G31" s="258">
        <f>+F31/F7</f>
        <v>0.49993016439669208</v>
      </c>
      <c r="H31" s="134">
        <f>+H7-(H29+H27)</f>
        <v>3363.6269649889018</v>
      </c>
      <c r="I31" s="258">
        <f>+H31/H7</f>
        <v>0.50438957763404657</v>
      </c>
      <c r="J31" s="134">
        <f>+J7-(J29+J27)</f>
        <v>3239.9715133582804</v>
      </c>
      <c r="K31" s="258">
        <f>+J31/J7</f>
        <v>0.44531582688609456</v>
      </c>
      <c r="L31" s="134">
        <f>+L7-(L29+L27)</f>
        <v>3094.6161531815715</v>
      </c>
      <c r="M31" s="258">
        <f>+L31/L7</f>
        <v>0.43063111866393533</v>
      </c>
      <c r="N31" s="134">
        <f>+N7-(N29+N27)</f>
        <v>2428.3150152444905</v>
      </c>
      <c r="O31" s="258">
        <f>+N31/N7</f>
        <v>0.32792508618113614</v>
      </c>
      <c r="P31" s="134">
        <f>+P7-(P29+P27)</f>
        <v>2376.2068403161893</v>
      </c>
      <c r="Q31" s="258">
        <f>+P31/P7</f>
        <v>0.31549819934926654</v>
      </c>
      <c r="R31" s="134">
        <f>+R7-(R29+R27)</f>
        <v>2548.0441966947719</v>
      </c>
      <c r="S31" s="258">
        <f>+R31/R7</f>
        <v>0.36228043548263617</v>
      </c>
      <c r="T31" s="134">
        <v>2444.2126202341533</v>
      </c>
      <c r="U31" s="258">
        <v>0.29985247697912709</v>
      </c>
      <c r="V31" s="74">
        <f>+V7-(V29+V27)</f>
        <v>3693.4394176596652</v>
      </c>
      <c r="W31" s="259">
        <f>+V31/V7</f>
        <v>0.34036827269667186</v>
      </c>
      <c r="X31" s="74">
        <f>+X7-(X29+X27)</f>
        <v>4493.7239240573745</v>
      </c>
      <c r="Y31" s="259">
        <f>+X31/X7</f>
        <v>0.35980919178940685</v>
      </c>
      <c r="Z31" s="134">
        <f>+Z7-(Z29+Z27)</f>
        <v>7351.3942341919719</v>
      </c>
      <c r="AA31" s="258">
        <f>+Z31/Z7</f>
        <v>0.46693279694021461</v>
      </c>
      <c r="AB31" s="134">
        <f>+AB7-(AB29+AB27)</f>
        <v>8854.3121687793246</v>
      </c>
      <c r="AC31" s="258">
        <f>+AB31/AB7</f>
        <v>0.49792199994777836</v>
      </c>
      <c r="AD31" s="134">
        <f>+AD7-(AD29+AD27)</f>
        <v>10573.5928626635</v>
      </c>
      <c r="AE31" s="258">
        <f>+AD31/AD7</f>
        <v>0.54628143849704558</v>
      </c>
      <c r="AF31" s="74">
        <f>+AF7-(AF29+AF27)</f>
        <v>12106.137869478491</v>
      </c>
      <c r="AG31" s="259">
        <f>+AF31/AF7</f>
        <v>0.54252908109728271</v>
      </c>
      <c r="AH31" s="134">
        <f>+AH7-(AH29+AH27)</f>
        <v>14127.400526937483</v>
      </c>
      <c r="AI31" s="453">
        <f>+AH31/AH7</f>
        <v>0.56011617637457378</v>
      </c>
      <c r="AJ31" s="74">
        <f>+AJ7-(AJ29+AJ27)</f>
        <v>15090.675098611657</v>
      </c>
      <c r="AK31" s="618">
        <f>+AJ31/AJ7</f>
        <v>0.53583825532960394</v>
      </c>
      <c r="AL31" s="134">
        <f>+AL7-(AL29+AL27)</f>
        <v>14371.720425029915</v>
      </c>
      <c r="AM31" s="453">
        <f>+AL31/AL7</f>
        <v>0.47178969728398956</v>
      </c>
      <c r="AN31" s="74">
        <f>+AN7-(AN29+AN27)</f>
        <v>20907.767180958621</v>
      </c>
      <c r="AO31" s="618">
        <f>+AN31/AN7</f>
        <v>0.56516942053708108</v>
      </c>
      <c r="AP31" s="461">
        <f>+AP7-(AP29+AP27)</f>
        <v>21443.847096493035</v>
      </c>
      <c r="AQ31" s="466">
        <f>+AP31/AP7</f>
        <v>0.54375814811893664</v>
      </c>
      <c r="AR31" s="565"/>
      <c r="AS31" s="109"/>
      <c r="AT31" s="77"/>
    </row>
    <row r="32" spans="1:46" s="68" customFormat="1" x14ac:dyDescent="0.25">
      <c r="A32" s="397" t="s">
        <v>85</v>
      </c>
      <c r="B32" s="226">
        <f>+B31/B66</f>
        <v>0.18376944567656248</v>
      </c>
      <c r="C32" s="249"/>
      <c r="D32" s="226">
        <f>+D31/D66</f>
        <v>0.20981933434921826</v>
      </c>
      <c r="E32" s="249"/>
      <c r="F32" s="226">
        <f>+F31/F66</f>
        <v>0.20721414556757345</v>
      </c>
      <c r="G32" s="249"/>
      <c r="H32" s="226">
        <f>+H31/H66</f>
        <v>0.20468826437464366</v>
      </c>
      <c r="I32" s="249"/>
      <c r="J32" s="226">
        <f>+J31/J66</f>
        <v>0.18272335299769785</v>
      </c>
      <c r="K32" s="249"/>
      <c r="L32" s="226">
        <f>+L31/L66</f>
        <v>0.16082466648977611</v>
      </c>
      <c r="M32" s="249"/>
      <c r="N32" s="226">
        <f>+N31/N66</f>
        <v>0.10835845461902777</v>
      </c>
      <c r="O32" s="249"/>
      <c r="P32" s="226">
        <f>+P31/P66</f>
        <v>8.5058265841349456E-2</v>
      </c>
      <c r="Q32" s="249"/>
      <c r="R32" s="226">
        <f>+R31/R66</f>
        <v>8.683233820196308E-2</v>
      </c>
      <c r="S32" s="249"/>
      <c r="T32" s="226">
        <v>8.1837522109030086E-2</v>
      </c>
      <c r="U32" s="249"/>
      <c r="V32" s="223">
        <f>+V31/V66</f>
        <v>9.5590682203132646E-2</v>
      </c>
      <c r="W32" s="250"/>
      <c r="X32" s="223">
        <f>+X31/X66</f>
        <v>0.10615679460076766</v>
      </c>
      <c r="Y32" s="250"/>
      <c r="Z32" s="226">
        <f>+Z31/Z66</f>
        <v>0.15760414263047839</v>
      </c>
      <c r="AA32" s="249"/>
      <c r="AB32" s="226">
        <f>+AB31/AB66</f>
        <v>0.17472545109005649</v>
      </c>
      <c r="AC32" s="249"/>
      <c r="AD32" s="226">
        <f>+AD31/AD66</f>
        <v>0.20474791765951869</v>
      </c>
      <c r="AE32" s="249"/>
      <c r="AF32" s="223">
        <f>+AF31/AF66</f>
        <v>0.2157901205088231</v>
      </c>
      <c r="AG32" s="250"/>
      <c r="AH32" s="226">
        <f>+AH31/AH66</f>
        <v>0.24522648090787394</v>
      </c>
      <c r="AI32" s="248"/>
      <c r="AJ32" s="223">
        <f>+AJ31/AJ66</f>
        <v>0.2506745749008541</v>
      </c>
      <c r="AK32" s="224"/>
      <c r="AL32" s="226">
        <f>+AL31/AL66</f>
        <v>0.24336941817104885</v>
      </c>
      <c r="AM32" s="248"/>
      <c r="AN32" s="223">
        <f>+AN31/AN66</f>
        <v>0.31695877116914989</v>
      </c>
      <c r="AO32" s="224"/>
      <c r="AP32" s="464">
        <f>+AP31/AP66</f>
        <v>0.36179600967794595</v>
      </c>
      <c r="AQ32" s="467"/>
      <c r="AR32" s="565"/>
      <c r="AS32" s="109"/>
      <c r="AT32" s="255"/>
    </row>
    <row r="33" spans="1:46" x14ac:dyDescent="0.25">
      <c r="A33" s="397"/>
      <c r="B33" s="5"/>
      <c r="C33" s="92"/>
      <c r="D33" s="133"/>
      <c r="E33" s="92"/>
      <c r="F33" s="5"/>
      <c r="G33" s="92"/>
      <c r="H33" s="133"/>
      <c r="I33" s="92"/>
      <c r="J33" s="133"/>
      <c r="K33" s="92"/>
      <c r="L33" s="133"/>
      <c r="M33" s="92"/>
      <c r="N33" s="133"/>
      <c r="O33" s="92"/>
      <c r="P33" s="133"/>
      <c r="Q33" s="92"/>
      <c r="R33" s="133"/>
      <c r="S33" s="92"/>
      <c r="T33" s="133"/>
      <c r="U33" s="92"/>
      <c r="V33" s="76"/>
      <c r="W33" s="35"/>
      <c r="X33" s="76"/>
      <c r="Y33" s="35"/>
      <c r="Z33" s="133"/>
      <c r="AA33" s="92"/>
      <c r="AB33" s="133"/>
      <c r="AC33" s="92"/>
      <c r="AD33" s="133"/>
      <c r="AE33" s="92"/>
      <c r="AF33" s="76"/>
      <c r="AG33" s="35"/>
      <c r="AH33" s="133"/>
      <c r="AI33" s="92"/>
      <c r="AJ33" s="76"/>
      <c r="AK33" s="35"/>
      <c r="AL33" s="133"/>
      <c r="AM33" s="92"/>
      <c r="AN33" s="76"/>
      <c r="AO33" s="35"/>
      <c r="AP33" s="473"/>
      <c r="AQ33" s="472"/>
      <c r="AR33" s="389"/>
      <c r="AS33" s="109"/>
      <c r="AT33" s="77"/>
    </row>
    <row r="34" spans="1:46" x14ac:dyDescent="0.25">
      <c r="A34" s="31" t="s">
        <v>88</v>
      </c>
      <c r="B34" s="659" t="s">
        <v>124</v>
      </c>
      <c r="C34" s="92"/>
      <c r="D34" s="659" t="s">
        <v>124</v>
      </c>
      <c r="E34" s="92"/>
      <c r="F34" s="659" t="s">
        <v>124</v>
      </c>
      <c r="G34" s="92"/>
      <c r="H34" s="659" t="s">
        <v>124</v>
      </c>
      <c r="I34" s="92"/>
      <c r="J34" s="659" t="s">
        <v>124</v>
      </c>
      <c r="K34" s="92"/>
      <c r="L34" s="659" t="s">
        <v>124</v>
      </c>
      <c r="M34" s="92"/>
      <c r="N34" s="659" t="s">
        <v>124</v>
      </c>
      <c r="O34" s="92"/>
      <c r="P34" s="659" t="s">
        <v>124</v>
      </c>
      <c r="Q34" s="92"/>
      <c r="R34" s="659" t="s">
        <v>124</v>
      </c>
      <c r="S34" s="92"/>
      <c r="T34" s="659" t="s">
        <v>124</v>
      </c>
      <c r="U34" s="92"/>
      <c r="V34" s="659" t="s">
        <v>124</v>
      </c>
      <c r="W34" s="35"/>
      <c r="X34" s="659" t="s">
        <v>124</v>
      </c>
      <c r="Y34" s="35"/>
      <c r="Z34" s="659" t="s">
        <v>124</v>
      </c>
      <c r="AA34" s="92"/>
      <c r="AB34" s="659" t="s">
        <v>124</v>
      </c>
      <c r="AC34" s="92"/>
      <c r="AD34" s="659" t="s">
        <v>124</v>
      </c>
      <c r="AE34" s="92"/>
      <c r="AF34" s="659" t="s">
        <v>124</v>
      </c>
      <c r="AG34" s="35"/>
      <c r="AH34" s="659" t="s">
        <v>124</v>
      </c>
      <c r="AI34" s="35"/>
      <c r="AJ34" s="659" t="s">
        <v>124</v>
      </c>
      <c r="AK34" s="92"/>
      <c r="AL34" s="659" t="s">
        <v>124</v>
      </c>
      <c r="AM34" s="92"/>
      <c r="AN34" s="691">
        <v>8.0045067574801454</v>
      </c>
      <c r="AO34" s="695" t="s">
        <v>89</v>
      </c>
      <c r="AP34" s="656">
        <v>8.0045067574801454</v>
      </c>
      <c r="AQ34" s="660" t="s">
        <v>89</v>
      </c>
      <c r="AR34" s="389"/>
      <c r="AS34" s="109"/>
      <c r="AT34" s="77"/>
    </row>
    <row r="35" spans="1:46" s="1" customFormat="1" x14ac:dyDescent="0.25">
      <c r="A35" s="31" t="s">
        <v>185</v>
      </c>
      <c r="B35" s="659" t="s">
        <v>124</v>
      </c>
      <c r="C35" s="547"/>
      <c r="D35" s="659" t="s">
        <v>124</v>
      </c>
      <c r="E35" s="547"/>
      <c r="F35" s="659" t="s">
        <v>124</v>
      </c>
      <c r="G35" s="547"/>
      <c r="H35" s="659" t="s">
        <v>124</v>
      </c>
      <c r="I35" s="547"/>
      <c r="J35" s="659" t="s">
        <v>124</v>
      </c>
      <c r="K35" s="547"/>
      <c r="L35" s="659" t="s">
        <v>124</v>
      </c>
      <c r="M35" s="547"/>
      <c r="N35" s="659" t="s">
        <v>124</v>
      </c>
      <c r="O35" s="547"/>
      <c r="P35" s="659" t="s">
        <v>124</v>
      </c>
      <c r="Q35" s="547"/>
      <c r="R35" s="659" t="s">
        <v>124</v>
      </c>
      <c r="S35" s="547"/>
      <c r="T35" s="659" t="s">
        <v>124</v>
      </c>
      <c r="U35" s="547"/>
      <c r="V35" s="659" t="s">
        <v>124</v>
      </c>
      <c r="W35" s="548"/>
      <c r="X35" s="659" t="s">
        <v>124</v>
      </c>
      <c r="Y35" s="548"/>
      <c r="Z35" s="659" t="s">
        <v>124</v>
      </c>
      <c r="AA35" s="547"/>
      <c r="AB35" s="659" t="s">
        <v>124</v>
      </c>
      <c r="AC35" s="547"/>
      <c r="AD35" s="659" t="s">
        <v>124</v>
      </c>
      <c r="AE35" s="547"/>
      <c r="AF35" s="661">
        <v>7.1</v>
      </c>
      <c r="AG35" s="548" t="s">
        <v>89</v>
      </c>
      <c r="AH35" s="661">
        <v>6.65</v>
      </c>
      <c r="AI35" s="548" t="s">
        <v>89</v>
      </c>
      <c r="AJ35" s="662">
        <v>5.83</v>
      </c>
      <c r="AK35" s="547" t="s">
        <v>89</v>
      </c>
      <c r="AL35" s="642">
        <v>5.2965009096543465</v>
      </c>
      <c r="AM35" s="547" t="s">
        <v>89</v>
      </c>
      <c r="AN35" s="691">
        <v>5.9964798566575706</v>
      </c>
      <c r="AO35" s="548" t="s">
        <v>89</v>
      </c>
      <c r="AP35" s="656">
        <v>5.9964798566575706</v>
      </c>
      <c r="AQ35" s="550" t="s">
        <v>89</v>
      </c>
      <c r="AR35" s="106"/>
      <c r="AS35" s="109"/>
      <c r="AT35" s="147"/>
    </row>
    <row r="36" spans="1:46" s="1" customFormat="1" x14ac:dyDescent="0.25">
      <c r="A36" s="395" t="s">
        <v>81</v>
      </c>
      <c r="B36" s="659" t="s">
        <v>124</v>
      </c>
      <c r="C36" s="547"/>
      <c r="D36" s="659" t="s">
        <v>124</v>
      </c>
      <c r="E36" s="547"/>
      <c r="F36" s="659" t="s">
        <v>124</v>
      </c>
      <c r="G36" s="547"/>
      <c r="H36" s="659" t="s">
        <v>124</v>
      </c>
      <c r="I36" s="547"/>
      <c r="J36" s="659" t="s">
        <v>124</v>
      </c>
      <c r="K36" s="547"/>
      <c r="L36" s="659" t="s">
        <v>124</v>
      </c>
      <c r="M36" s="547"/>
      <c r="N36" s="659" t="s">
        <v>124</v>
      </c>
      <c r="O36" s="547"/>
      <c r="P36" s="659" t="s">
        <v>124</v>
      </c>
      <c r="Q36" s="547"/>
      <c r="R36" s="659" t="s">
        <v>124</v>
      </c>
      <c r="S36" s="547"/>
      <c r="T36" s="659" t="s">
        <v>124</v>
      </c>
      <c r="U36" s="547"/>
      <c r="V36" s="659" t="s">
        <v>124</v>
      </c>
      <c r="W36" s="548"/>
      <c r="X36" s="659" t="s">
        <v>124</v>
      </c>
      <c r="Y36" s="548"/>
      <c r="Z36" s="659" t="s">
        <v>124</v>
      </c>
      <c r="AA36" s="547"/>
      <c r="AB36" s="659" t="s">
        <v>124</v>
      </c>
      <c r="AC36" s="547"/>
      <c r="AD36" s="659" t="s">
        <v>124</v>
      </c>
      <c r="AE36" s="547"/>
      <c r="AF36" s="659" t="s">
        <v>124</v>
      </c>
      <c r="AG36" s="548"/>
      <c r="AH36" s="659" t="s">
        <v>124</v>
      </c>
      <c r="AI36" s="548"/>
      <c r="AJ36" s="659" t="s">
        <v>124</v>
      </c>
      <c r="AK36" s="547"/>
      <c r="AL36" s="545">
        <v>3.3641195443076574E-2</v>
      </c>
      <c r="AM36" s="547"/>
      <c r="AN36" s="549">
        <v>6.4420497270748805E-2</v>
      </c>
      <c r="AO36" s="548"/>
      <c r="AP36" s="546">
        <v>6.4420497270748805E-2</v>
      </c>
      <c r="AQ36" s="550"/>
      <c r="AR36" s="106"/>
      <c r="AS36" s="109"/>
      <c r="AT36" s="147"/>
    </row>
    <row r="37" spans="1:46" s="1" customFormat="1" x14ac:dyDescent="0.25">
      <c r="A37" s="215" t="s">
        <v>217</v>
      </c>
      <c r="B37" s="659" t="s">
        <v>124</v>
      </c>
      <c r="C37" s="547"/>
      <c r="D37" s="659" t="s">
        <v>124</v>
      </c>
      <c r="E37" s="547"/>
      <c r="F37" s="659" t="s">
        <v>124</v>
      </c>
      <c r="G37" s="547"/>
      <c r="H37" s="659" t="s">
        <v>124</v>
      </c>
      <c r="I37" s="547"/>
      <c r="J37" s="659" t="s">
        <v>124</v>
      </c>
      <c r="K37" s="547"/>
      <c r="L37" s="659" t="s">
        <v>124</v>
      </c>
      <c r="M37" s="547"/>
      <c r="N37" s="659" t="s">
        <v>124</v>
      </c>
      <c r="O37" s="547"/>
      <c r="P37" s="659" t="s">
        <v>124</v>
      </c>
      <c r="Q37" s="547"/>
      <c r="R37" s="659" t="s">
        <v>124</v>
      </c>
      <c r="S37" s="547"/>
      <c r="T37" s="659" t="s">
        <v>124</v>
      </c>
      <c r="U37" s="547"/>
      <c r="V37" s="659" t="s">
        <v>124</v>
      </c>
      <c r="W37" s="548"/>
      <c r="X37" s="659" t="s">
        <v>124</v>
      </c>
      <c r="Y37" s="548"/>
      <c r="Z37" s="659" t="s">
        <v>124</v>
      </c>
      <c r="AA37" s="547"/>
      <c r="AB37" s="659" t="s">
        <v>124</v>
      </c>
      <c r="AC37" s="547"/>
      <c r="AD37" s="659" t="s">
        <v>124</v>
      </c>
      <c r="AE37" s="547"/>
      <c r="AF37" s="659" t="s">
        <v>124</v>
      </c>
      <c r="AG37" s="548"/>
      <c r="AH37" s="659" t="s">
        <v>124</v>
      </c>
      <c r="AI37" s="548"/>
      <c r="AJ37" s="659" t="s">
        <v>124</v>
      </c>
      <c r="AK37" s="547"/>
      <c r="AL37" s="659" t="s">
        <v>124</v>
      </c>
      <c r="AM37" s="547"/>
      <c r="AN37" s="691">
        <v>5.15</v>
      </c>
      <c r="AO37" s="548"/>
      <c r="AP37" s="656">
        <v>5.15</v>
      </c>
      <c r="AQ37" s="550"/>
      <c r="AR37" s="106"/>
      <c r="AS37" s="109"/>
      <c r="AT37" s="147"/>
    </row>
    <row r="38" spans="1:46" s="1" customFormat="1" x14ac:dyDescent="0.25">
      <c r="A38" s="215" t="s">
        <v>91</v>
      </c>
      <c r="B38" s="659" t="s">
        <v>124</v>
      </c>
      <c r="C38" s="547"/>
      <c r="D38" s="659" t="s">
        <v>124</v>
      </c>
      <c r="E38" s="547"/>
      <c r="F38" s="659" t="s">
        <v>124</v>
      </c>
      <c r="G38" s="547"/>
      <c r="H38" s="659" t="s">
        <v>124</v>
      </c>
      <c r="I38" s="547"/>
      <c r="J38" s="659" t="s">
        <v>124</v>
      </c>
      <c r="K38" s="547"/>
      <c r="L38" s="659" t="s">
        <v>124</v>
      </c>
      <c r="M38" s="547"/>
      <c r="N38" s="659" t="s">
        <v>124</v>
      </c>
      <c r="O38" s="547"/>
      <c r="P38" s="659" t="s">
        <v>124</v>
      </c>
      <c r="Q38" s="547"/>
      <c r="R38" s="659" t="s">
        <v>124</v>
      </c>
      <c r="S38" s="547"/>
      <c r="T38" s="659" t="s">
        <v>124</v>
      </c>
      <c r="U38" s="547"/>
      <c r="V38" s="659" t="s">
        <v>124</v>
      </c>
      <c r="W38" s="548"/>
      <c r="X38" s="659" t="s">
        <v>124</v>
      </c>
      <c r="Y38" s="548"/>
      <c r="Z38" s="659" t="s">
        <v>124</v>
      </c>
      <c r="AA38" s="547"/>
      <c r="AB38" s="659" t="s">
        <v>124</v>
      </c>
      <c r="AC38" s="547"/>
      <c r="AD38" s="659" t="s">
        <v>124</v>
      </c>
      <c r="AE38" s="547"/>
      <c r="AF38" s="659" t="s">
        <v>124</v>
      </c>
      <c r="AG38" s="548"/>
      <c r="AH38" s="659" t="s">
        <v>124</v>
      </c>
      <c r="AI38" s="548"/>
      <c r="AJ38" s="659" t="s">
        <v>124</v>
      </c>
      <c r="AK38" s="547"/>
      <c r="AL38" s="659" t="s">
        <v>124</v>
      </c>
      <c r="AM38" s="547"/>
      <c r="AN38" s="691">
        <v>4.99</v>
      </c>
      <c r="AO38" s="548"/>
      <c r="AP38" s="656">
        <v>4.99</v>
      </c>
      <c r="AQ38" s="550"/>
      <c r="AR38" s="106"/>
      <c r="AS38" s="109"/>
      <c r="AT38" s="147"/>
    </row>
    <row r="39" spans="1:46" x14ac:dyDescent="0.25">
      <c r="A39" s="399"/>
      <c r="B39" s="5"/>
      <c r="C39" s="92"/>
      <c r="D39" s="133"/>
      <c r="E39" s="92"/>
      <c r="F39" s="5"/>
      <c r="G39" s="92"/>
      <c r="H39" s="133"/>
      <c r="I39" s="92"/>
      <c r="J39" s="133"/>
      <c r="K39" s="92"/>
      <c r="L39" s="133"/>
      <c r="M39" s="92"/>
      <c r="N39" s="133"/>
      <c r="O39" s="92"/>
      <c r="P39" s="133"/>
      <c r="Q39" s="92"/>
      <c r="R39" s="133"/>
      <c r="S39" s="92"/>
      <c r="T39" s="133"/>
      <c r="U39" s="92"/>
      <c r="V39" s="76"/>
      <c r="W39" s="35"/>
      <c r="X39" s="76"/>
      <c r="Y39" s="35"/>
      <c r="Z39" s="133"/>
      <c r="AA39" s="92"/>
      <c r="AB39" s="133"/>
      <c r="AC39" s="92"/>
      <c r="AD39" s="133"/>
      <c r="AE39" s="92"/>
      <c r="AF39" s="214"/>
      <c r="AG39" s="35"/>
      <c r="AH39" s="524"/>
      <c r="AI39" s="92"/>
      <c r="AJ39" s="632"/>
      <c r="AK39" s="35"/>
      <c r="AL39" s="524"/>
      <c r="AM39" s="92"/>
      <c r="AN39" s="632"/>
      <c r="AO39" s="35"/>
      <c r="AP39" s="526"/>
      <c r="AQ39" s="472"/>
      <c r="AR39" s="389"/>
      <c r="AS39" s="109"/>
      <c r="AT39" s="77"/>
    </row>
    <row r="40" spans="1:46" x14ac:dyDescent="0.25">
      <c r="A40" s="6" t="s">
        <v>93</v>
      </c>
      <c r="B40" s="93"/>
      <c r="C40" s="92"/>
      <c r="D40" s="93"/>
      <c r="E40" s="92"/>
      <c r="F40" s="93"/>
      <c r="G40" s="92"/>
      <c r="H40" s="93"/>
      <c r="I40" s="92"/>
      <c r="J40" s="93"/>
      <c r="K40" s="92"/>
      <c r="L40" s="93"/>
      <c r="M40" s="92"/>
      <c r="N40" s="93"/>
      <c r="O40" s="92"/>
      <c r="P40" s="93"/>
      <c r="Q40" s="92"/>
      <c r="R40" s="93"/>
      <c r="S40" s="92"/>
      <c r="T40" s="93"/>
      <c r="U40" s="92"/>
      <c r="V40" s="39"/>
      <c r="W40" s="35"/>
      <c r="X40" s="39"/>
      <c r="Y40" s="35"/>
      <c r="Z40" s="93"/>
      <c r="AA40" s="92"/>
      <c r="AB40" s="93"/>
      <c r="AC40" s="92"/>
      <c r="AD40" s="93"/>
      <c r="AE40" s="92"/>
      <c r="AF40" s="39"/>
      <c r="AG40" s="35"/>
      <c r="AH40" s="524"/>
      <c r="AI40" s="92"/>
      <c r="AJ40" s="632"/>
      <c r="AK40" s="35"/>
      <c r="AL40" s="524"/>
      <c r="AM40" s="92"/>
      <c r="AN40" s="632"/>
      <c r="AO40" s="35"/>
      <c r="AP40" s="526"/>
      <c r="AQ40" s="472"/>
      <c r="AR40" s="389"/>
      <c r="AS40" s="109"/>
      <c r="AT40" s="77"/>
    </row>
    <row r="41" spans="1:46" x14ac:dyDescent="0.25">
      <c r="A41" s="6" t="s">
        <v>94</v>
      </c>
      <c r="B41" s="134">
        <f>'PUBLIC DEBT COLONES'!B41/B81</f>
        <v>551.84668551680795</v>
      </c>
      <c r="C41" s="92"/>
      <c r="D41" s="134">
        <f>'PUBLIC DEBT COLONES'!D41/D81</f>
        <v>625.44832426741527</v>
      </c>
      <c r="E41" s="92"/>
      <c r="F41" s="134">
        <f>'PUBLIC DEBT COLONES'!F41/F81</f>
        <v>684.38622872971894</v>
      </c>
      <c r="G41" s="92"/>
      <c r="H41" s="134">
        <f>'PUBLIC DEBT COLONES'!H41/H81</f>
        <v>709.45108708622706</v>
      </c>
      <c r="I41" s="92"/>
      <c r="J41" s="134">
        <f>'PUBLIC DEBT COLONES'!J41/J81</f>
        <v>727.35930293272997</v>
      </c>
      <c r="K41" s="92"/>
      <c r="L41" s="134">
        <f>'PUBLIC DEBT COLONES'!L41/L81</f>
        <v>790.9293636734451</v>
      </c>
      <c r="M41" s="92"/>
      <c r="N41" s="134">
        <f>'PUBLIC DEBT COLONES'!N41/N81</f>
        <v>842.89294415454663</v>
      </c>
      <c r="O41" s="92"/>
      <c r="P41" s="134">
        <f>'PUBLIC DEBT COLONES'!P41/P81</f>
        <v>844.65130497942755</v>
      </c>
      <c r="Q41" s="92"/>
      <c r="R41" s="134">
        <f>'PUBLIC DEBT COLONES'!R41/R81</f>
        <v>615.87486541502551</v>
      </c>
      <c r="S41" s="92"/>
      <c r="T41" s="134">
        <f>'PUBLIC DEBT COLONES'!T41/T81</f>
        <v>641.7149598240253</v>
      </c>
      <c r="U41" s="92"/>
      <c r="V41" s="74">
        <f>'PUBLIC DEBT COLONES'!V41/V81</f>
        <v>785.68932077385398</v>
      </c>
      <c r="W41" s="35"/>
      <c r="X41" s="74">
        <f>'PUBLIC DEBT COLONES'!X41/X81</f>
        <v>881.89082391163538</v>
      </c>
      <c r="Y41" s="35"/>
      <c r="Z41" s="134">
        <f>'PUBLIC DEBT COLONES'!Z41/Z81</f>
        <v>929.64596157205403</v>
      </c>
      <c r="AA41" s="92"/>
      <c r="AB41" s="134">
        <f>'PUBLIC DEBT COLONES'!AB41/AB81</f>
        <v>1259.904001684921</v>
      </c>
      <c r="AC41" s="92"/>
      <c r="AD41" s="134">
        <f>'PUBLIC DEBT COLONES'!AD41/AD81</f>
        <v>1289.2376817089532</v>
      </c>
      <c r="AE41" s="92"/>
      <c r="AF41" s="74">
        <f>'PUBLIC DEBT COLONES'!AF41/AF81</f>
        <v>1491.3698321749634</v>
      </c>
      <c r="AG41" s="35"/>
      <c r="AH41" s="134">
        <f>'PUBLIC DEBT COLONES'!AH41/AH81</f>
        <v>1576.7893624672893</v>
      </c>
      <c r="AI41" s="92"/>
      <c r="AJ41" s="74">
        <f>'PUBLIC DEBT COLONES'!AJ41/AJ81</f>
        <v>1792.0068894680544</v>
      </c>
      <c r="AK41" s="35"/>
      <c r="AL41" s="134">
        <f>'PUBLIC DEBT COLONES'!AL41/AL81</f>
        <v>2014.6924605508118</v>
      </c>
      <c r="AM41" s="92"/>
      <c r="AN41" s="74">
        <f>'PUBLIC DEBT COLONES'!AN41/AN81</f>
        <v>2645.4578735625814</v>
      </c>
      <c r="AO41" s="35"/>
      <c r="AP41" s="461">
        <f>'PUBLIC DEBT COLONES'!AP41/AP81</f>
        <v>2730.5493121660352</v>
      </c>
      <c r="AQ41" s="472"/>
      <c r="AR41" s="389"/>
      <c r="AS41" s="109"/>
      <c r="AT41" s="77"/>
    </row>
    <row r="42" spans="1:46" s="68" customFormat="1" x14ac:dyDescent="0.25">
      <c r="A42" s="397" t="s">
        <v>71</v>
      </c>
      <c r="B42" s="226">
        <f>+B41/B66</f>
        <v>3.7962153011064273E-2</v>
      </c>
      <c r="C42" s="92"/>
      <c r="D42" s="226">
        <f>+D41/D66</f>
        <v>4.0704674974920765E-2</v>
      </c>
      <c r="E42" s="92"/>
      <c r="F42" s="226">
        <f>+F41/F66</f>
        <v>4.3486938024262414E-2</v>
      </c>
      <c r="G42" s="92"/>
      <c r="H42" s="226">
        <f>+H41/H66</f>
        <v>4.3172537616656646E-2</v>
      </c>
      <c r="I42" s="92"/>
      <c r="J42" s="226">
        <f>+J41/J66</f>
        <v>4.1020586174283377E-2</v>
      </c>
      <c r="K42" s="92"/>
      <c r="L42" s="226">
        <f>+L41/L66</f>
        <v>4.1103951131056263E-2</v>
      </c>
      <c r="M42" s="92"/>
      <c r="N42" s="226">
        <f>+N41/N66</f>
        <v>3.7612326351601173E-2</v>
      </c>
      <c r="O42" s="92"/>
      <c r="P42" s="226">
        <f>+P41/P66</f>
        <v>3.0234983766237667E-2</v>
      </c>
      <c r="Q42" s="92"/>
      <c r="R42" s="226">
        <f>+R41/R66</f>
        <v>2.0987804949841714E-2</v>
      </c>
      <c r="S42" s="92"/>
      <c r="T42" s="226">
        <v>2.1486064853571178E-2</v>
      </c>
      <c r="U42" s="92"/>
      <c r="V42" s="223">
        <f>+V41/V66</f>
        <v>2.0334590521070024E-2</v>
      </c>
      <c r="W42" s="35"/>
      <c r="X42" s="223">
        <f>+X41/X66</f>
        <v>2.0833211972167864E-2</v>
      </c>
      <c r="Y42" s="35"/>
      <c r="Z42" s="226">
        <f>+Z41/Z66</f>
        <v>1.993037647770152E-2</v>
      </c>
      <c r="AA42" s="92"/>
      <c r="AB42" s="226">
        <f>+AB41/AB66</f>
        <v>2.4862156520839465E-2</v>
      </c>
      <c r="AC42" s="92"/>
      <c r="AD42" s="226">
        <f>+AD41/AD66</f>
        <v>2.4964903994951014E-2</v>
      </c>
      <c r="AE42" s="92"/>
      <c r="AF42" s="223">
        <f>+AF41/AF66</f>
        <v>2.6583447114015245E-2</v>
      </c>
      <c r="AG42" s="35"/>
      <c r="AH42" s="226">
        <f>+AH41/AH66</f>
        <v>2.7370251572717694E-2</v>
      </c>
      <c r="AI42" s="92"/>
      <c r="AJ42" s="223">
        <f>+AJ41/AJ66</f>
        <v>2.976742672553687E-2</v>
      </c>
      <c r="AK42" s="35"/>
      <c r="AL42" s="226">
        <f>+AL41/AL66</f>
        <v>3.4116620517047752E-2</v>
      </c>
      <c r="AM42" s="92"/>
      <c r="AN42" s="223">
        <f>+AN41/AN66</f>
        <v>4.0104764393387643E-2</v>
      </c>
      <c r="AO42" s="35"/>
      <c r="AP42" s="464">
        <f>+AP41/AP66</f>
        <v>4.6069244987859234E-2</v>
      </c>
      <c r="AQ42" s="472"/>
      <c r="AR42" s="389"/>
      <c r="AS42" s="109"/>
      <c r="AT42" s="255"/>
    </row>
    <row r="43" spans="1:46" s="68" customFormat="1" x14ac:dyDescent="0.25">
      <c r="A43" s="397" t="s">
        <v>95</v>
      </c>
      <c r="B43" s="226">
        <f>+B41/B69</f>
        <v>0.28864731638112395</v>
      </c>
      <c r="C43" s="92"/>
      <c r="D43" s="226">
        <f>+D41/D69</f>
        <v>0.29617532062054702</v>
      </c>
      <c r="E43" s="92"/>
      <c r="F43" s="226">
        <f>+F41/F69</f>
        <v>0.32076213349799881</v>
      </c>
      <c r="G43" s="92"/>
      <c r="H43" s="226">
        <f>+H41/H69</f>
        <v>0.31210973401915304</v>
      </c>
      <c r="I43" s="92"/>
      <c r="J43" s="226">
        <f>+J41/J69</f>
        <v>0.30183412546824795</v>
      </c>
      <c r="K43" s="92"/>
      <c r="L43" s="226">
        <f>+L41/L69</f>
        <v>0.29792693937427334</v>
      </c>
      <c r="M43" s="92"/>
      <c r="N43" s="226">
        <f>+N41/N69</f>
        <v>0.2667036035766997</v>
      </c>
      <c r="O43" s="92"/>
      <c r="P43" s="226">
        <f>+P41/P69</f>
        <v>0.19954623738648353</v>
      </c>
      <c r="Q43" s="92"/>
      <c r="R43" s="226">
        <f>+R41/R69</f>
        <v>0.13664744101934678</v>
      </c>
      <c r="S43" s="92"/>
      <c r="T43" s="226">
        <v>0.15650722086861291</v>
      </c>
      <c r="U43" s="92"/>
      <c r="V43" s="223">
        <f>+V41/V69</f>
        <v>0.14687118368364221</v>
      </c>
      <c r="W43" s="35"/>
      <c r="X43" s="223">
        <f>+X41/X69</f>
        <v>0.14896412893347372</v>
      </c>
      <c r="Y43" s="35"/>
      <c r="Z43" s="226">
        <f>+Z41/Z69</f>
        <v>0.1447554590488036</v>
      </c>
      <c r="AA43" s="92"/>
      <c r="AB43" s="226">
        <f>+AB41/AB69</f>
        <v>0.17902367673822112</v>
      </c>
      <c r="AC43" s="92"/>
      <c r="AD43" s="226">
        <f>+AD41/AD69</f>
        <v>0.18408080359964271</v>
      </c>
      <c r="AE43" s="92"/>
      <c r="AF43" s="223">
        <f>+AF41/AF69</f>
        <v>0.19187660131985465</v>
      </c>
      <c r="AG43" s="35"/>
      <c r="AH43" s="226">
        <f>+AH41/AH69</f>
        <v>0.19235820998649866</v>
      </c>
      <c r="AI43" s="92"/>
      <c r="AJ43" s="223">
        <f>+AJ41/AJ69</f>
        <v>0.21573690932421064</v>
      </c>
      <c r="AK43" s="35"/>
      <c r="AL43" s="226">
        <f>+AL41/AL69</f>
        <v>0.24946985755955867</v>
      </c>
      <c r="AM43" s="92"/>
      <c r="AN43" s="223">
        <f>+AN41/AN69</f>
        <v>0.2886839344634104</v>
      </c>
      <c r="AO43" s="35"/>
      <c r="AP43" s="464">
        <f>+AP41/AP69</f>
        <v>0.35812843824255591</v>
      </c>
      <c r="AQ43" s="472"/>
      <c r="AR43" s="389"/>
      <c r="AS43" s="109"/>
      <c r="AT43" s="255"/>
    </row>
    <row r="44" spans="1:46" s="68" customFormat="1" x14ac:dyDescent="0.25">
      <c r="A44" s="397" t="s">
        <v>96</v>
      </c>
      <c r="B44" s="226">
        <f>+B41/B71</f>
        <v>0.23212825909356052</v>
      </c>
      <c r="C44" s="92"/>
      <c r="D44" s="226">
        <f>+D41/D71</f>
        <v>0.24240351219630291</v>
      </c>
      <c r="E44" s="92"/>
      <c r="F44" s="226">
        <f>+F41/F71</f>
        <v>0.24287362719411371</v>
      </c>
      <c r="G44" s="92"/>
      <c r="H44" s="226">
        <f>+H41/H71</f>
        <v>0.25341152749666218</v>
      </c>
      <c r="I44" s="92"/>
      <c r="J44" s="226">
        <f>+J41/J71</f>
        <v>0.25139899412859429</v>
      </c>
      <c r="K44" s="92"/>
      <c r="L44" s="226">
        <f>+L41/L71</f>
        <v>0.25871190151545831</v>
      </c>
      <c r="M44" s="92"/>
      <c r="N44" s="226">
        <f>+N41/N71</f>
        <v>0.24826724797751243</v>
      </c>
      <c r="O44" s="92"/>
      <c r="P44" s="226">
        <f>+P41/P71</f>
        <v>0.20715729436424984</v>
      </c>
      <c r="Q44" s="92"/>
      <c r="R44" s="226">
        <f>+R41/R71</f>
        <v>0.13826467746011575</v>
      </c>
      <c r="S44" s="92"/>
      <c r="T44" s="226">
        <v>0.12851535230249087</v>
      </c>
      <c r="U44" s="92"/>
      <c r="V44" s="223">
        <f>+V41/V71</f>
        <v>0.10811044876719175</v>
      </c>
      <c r="W44" s="35"/>
      <c r="X44" s="223">
        <f>+X41/X71</f>
        <v>0.11641120910193285</v>
      </c>
      <c r="Y44" s="35"/>
      <c r="Z44" s="226">
        <f>+Z41/Z71</f>
        <v>0.11072494401208237</v>
      </c>
      <c r="AA44" s="92"/>
      <c r="AB44" s="226">
        <f>+AB41/AB71</f>
        <v>0.1299312534936419</v>
      </c>
      <c r="AC44" s="92"/>
      <c r="AD44" s="226">
        <f>+AD41/AD71</f>
        <v>0.13122834647813117</v>
      </c>
      <c r="AE44" s="92"/>
      <c r="AF44" s="223">
        <f>+AF41/AF71</f>
        <v>0.1371755440734467</v>
      </c>
      <c r="AG44" s="35"/>
      <c r="AH44" s="226">
        <f>+AH41/AH71</f>
        <v>0.14149098026152498</v>
      </c>
      <c r="AI44" s="92"/>
      <c r="AJ44" s="223">
        <f>+AJ41/AJ71</f>
        <v>0.15112653454064445</v>
      </c>
      <c r="AK44" s="35"/>
      <c r="AL44" s="226">
        <f>+AL41/AL71</f>
        <v>0.17564991546200492</v>
      </c>
      <c r="AM44" s="92"/>
      <c r="AN44" s="223">
        <f>+AN41/AN71</f>
        <v>0.19253448607091453</v>
      </c>
      <c r="AO44" s="35"/>
      <c r="AP44" s="464">
        <f>+AP41/AP71</f>
        <v>0.21885635416589197</v>
      </c>
      <c r="AQ44" s="472"/>
      <c r="AR44" s="389"/>
      <c r="AS44" s="109"/>
      <c r="AT44" s="255"/>
    </row>
    <row r="45" spans="1:46" x14ac:dyDescent="0.25">
      <c r="A45" s="397"/>
      <c r="B45" s="133"/>
      <c r="C45" s="92"/>
      <c r="D45" s="133"/>
      <c r="E45" s="92"/>
      <c r="F45" s="133"/>
      <c r="G45" s="92"/>
      <c r="H45" s="133"/>
      <c r="I45" s="92"/>
      <c r="J45" s="133"/>
      <c r="K45" s="92"/>
      <c r="L45" s="133"/>
      <c r="M45" s="92"/>
      <c r="N45" s="133"/>
      <c r="O45" s="92"/>
      <c r="P45" s="133"/>
      <c r="Q45" s="92"/>
      <c r="R45" s="133"/>
      <c r="S45" s="92"/>
      <c r="T45" s="133"/>
      <c r="U45" s="92"/>
      <c r="V45" s="76"/>
      <c r="W45" s="35"/>
      <c r="X45" s="76"/>
      <c r="Y45" s="35"/>
      <c r="Z45" s="133"/>
      <c r="AA45" s="92"/>
      <c r="AB45" s="133"/>
      <c r="AC45" s="92"/>
      <c r="AD45" s="133"/>
      <c r="AE45" s="92"/>
      <c r="AF45" s="76"/>
      <c r="AG45" s="35"/>
      <c r="AH45" s="133"/>
      <c r="AI45" s="92"/>
      <c r="AJ45" s="76"/>
      <c r="AK45" s="35"/>
      <c r="AL45" s="133"/>
      <c r="AM45" s="92"/>
      <c r="AN45" s="76"/>
      <c r="AO45" s="35"/>
      <c r="AP45" s="473"/>
      <c r="AQ45" s="472"/>
      <c r="AR45" s="389"/>
      <c r="AS45" s="109"/>
      <c r="AT45" s="77"/>
    </row>
    <row r="46" spans="1:46" s="1" customFormat="1" x14ac:dyDescent="0.25">
      <c r="A46" s="6" t="s">
        <v>97</v>
      </c>
      <c r="B46" s="153">
        <f>+B53+B59</f>
        <v>5648.9315111530004</v>
      </c>
      <c r="C46" s="174">
        <v>1</v>
      </c>
      <c r="D46" s="153">
        <f>+D53+D59</f>
        <v>6092.8367807217637</v>
      </c>
      <c r="E46" s="174">
        <v>1</v>
      </c>
      <c r="F46" s="153">
        <f>+F53+F59</f>
        <v>6523.0767783933516</v>
      </c>
      <c r="G46" s="174">
        <v>1</v>
      </c>
      <c r="H46" s="153">
        <f>+H53+H59</f>
        <v>6668.7083043364119</v>
      </c>
      <c r="I46" s="174">
        <v>1</v>
      </c>
      <c r="J46" s="153">
        <f>+J53+J59</f>
        <v>7275.6711478548432</v>
      </c>
      <c r="K46" s="174">
        <v>1</v>
      </c>
      <c r="L46" s="153">
        <f>+L53+L59</f>
        <v>7186.2343872938054</v>
      </c>
      <c r="M46" s="174">
        <v>1</v>
      </c>
      <c r="N46" s="153">
        <f>+N53+N59</f>
        <v>7405.0907282621283</v>
      </c>
      <c r="O46" s="174">
        <v>1</v>
      </c>
      <c r="P46" s="153">
        <f>+P53+P59</f>
        <v>7531.6019084015525</v>
      </c>
      <c r="Q46" s="174">
        <v>1</v>
      </c>
      <c r="R46" s="153">
        <f>+R53+R59</f>
        <v>7033.3475041240472</v>
      </c>
      <c r="S46" s="174">
        <v>1</v>
      </c>
      <c r="T46" s="153">
        <v>8151.3837899838209</v>
      </c>
      <c r="U46" s="174">
        <v>1</v>
      </c>
      <c r="V46" s="75">
        <f>+V53+V59</f>
        <v>10851.303467262858</v>
      </c>
      <c r="W46" s="211">
        <v>1</v>
      </c>
      <c r="X46" s="75">
        <f>+X53+X59</f>
        <v>12489.186009143179</v>
      </c>
      <c r="Y46" s="211">
        <v>1</v>
      </c>
      <c r="Z46" s="153">
        <f>+Z53+Z59</f>
        <v>15744.00916441351</v>
      </c>
      <c r="AA46" s="174">
        <v>1</v>
      </c>
      <c r="AB46" s="153">
        <f>+AB53+AB59</f>
        <v>17782.528527978197</v>
      </c>
      <c r="AC46" s="174">
        <v>1</v>
      </c>
      <c r="AD46" s="153">
        <f>+AD53+AD59</f>
        <v>19355.577761810924</v>
      </c>
      <c r="AE46" s="174">
        <v>1</v>
      </c>
      <c r="AF46" s="75">
        <f>+AF53+AF59</f>
        <v>22314.265338538964</v>
      </c>
      <c r="AG46" s="211">
        <v>1</v>
      </c>
      <c r="AH46" s="93">
        <f>+AH53+AH59</f>
        <v>25222.26838435368</v>
      </c>
      <c r="AI46" s="90">
        <v>1</v>
      </c>
      <c r="AJ46" s="39">
        <f>+AJ53+AJ59</f>
        <v>28162.743045154748</v>
      </c>
      <c r="AK46" s="40">
        <v>1</v>
      </c>
      <c r="AL46" s="93">
        <f>+AL53+AL59</f>
        <v>30462.132826904417</v>
      </c>
      <c r="AM46" s="90">
        <v>1</v>
      </c>
      <c r="AN46" s="39">
        <f>+AN53+AN59</f>
        <v>36993.804726890477</v>
      </c>
      <c r="AO46" s="40">
        <v>1</v>
      </c>
      <c r="AP46" s="476">
        <f>+AP53+AP59</f>
        <v>39436.369221638968</v>
      </c>
      <c r="AQ46" s="463">
        <v>1</v>
      </c>
      <c r="AR46" s="565"/>
      <c r="AS46" s="109"/>
      <c r="AT46" s="147"/>
    </row>
    <row r="47" spans="1:46" s="1" customFormat="1" x14ac:dyDescent="0.25">
      <c r="A47" s="397" t="s">
        <v>71</v>
      </c>
      <c r="B47" s="226">
        <f>+B46/B66</f>
        <v>0.38859634025813361</v>
      </c>
      <c r="C47" s="174"/>
      <c r="D47" s="226">
        <f>+D46/D66</f>
        <v>0.3965266692896034</v>
      </c>
      <c r="E47" s="174"/>
      <c r="F47" s="226">
        <f>+F46/F66</f>
        <v>0.41448618292044098</v>
      </c>
      <c r="G47" s="174"/>
      <c r="H47" s="226">
        <f>+H46/H66</f>
        <v>0.40581382615949413</v>
      </c>
      <c r="I47" s="174"/>
      <c r="J47" s="226">
        <f>+J46/J66</f>
        <v>0.41032306054650031</v>
      </c>
      <c r="K47" s="174"/>
      <c r="L47" s="226">
        <f>+L46/L66</f>
        <v>0.37346271441958589</v>
      </c>
      <c r="M47" s="174"/>
      <c r="N47" s="226">
        <f>+N46/N66</f>
        <v>0.3304366124620724</v>
      </c>
      <c r="O47" s="174"/>
      <c r="P47" s="226">
        <f>+P46/P66</f>
        <v>0.2695998456307741</v>
      </c>
      <c r="Q47" s="174"/>
      <c r="R47" s="226">
        <f>+R46/R66</f>
        <v>0.23968265933622268</v>
      </c>
      <c r="S47" s="174"/>
      <c r="T47" s="226">
        <v>0.27292594989877922</v>
      </c>
      <c r="U47" s="174"/>
      <c r="V47" s="223">
        <f>+V46/V66</f>
        <v>0.28084486678439857</v>
      </c>
      <c r="W47" s="211"/>
      <c r="X47" s="223">
        <f>+X46/X66</f>
        <v>0.29503636100241792</v>
      </c>
      <c r="Y47" s="211"/>
      <c r="Z47" s="226">
        <f>+Z46/Z66</f>
        <v>0.33753067606998227</v>
      </c>
      <c r="AA47" s="174"/>
      <c r="AB47" s="226">
        <f>+AB46/AB66</f>
        <v>0.35090928118938625</v>
      </c>
      <c r="AC47" s="174"/>
      <c r="AD47" s="226">
        <f>+AD46/AD66</f>
        <v>0.37480299206729495</v>
      </c>
      <c r="AE47" s="174"/>
      <c r="AF47" s="223">
        <f>+AF46/AF66</f>
        <v>0.39774848579984051</v>
      </c>
      <c r="AG47" s="211"/>
      <c r="AH47" s="226">
        <f>+AH46/AH66</f>
        <v>0.4378136023407409</v>
      </c>
      <c r="AI47" s="90"/>
      <c r="AJ47" s="223">
        <f>+AJ46/AJ66</f>
        <v>0.46781761549790724</v>
      </c>
      <c r="AK47" s="40"/>
      <c r="AL47" s="226">
        <f>+AL46/AL66</f>
        <v>0.51584301135036204</v>
      </c>
      <c r="AM47" s="90"/>
      <c r="AN47" s="223">
        <f>+AN46/AN66</f>
        <v>0.56082080815332092</v>
      </c>
      <c r="AO47" s="40"/>
      <c r="AP47" s="464">
        <f>+AP46/AP66</f>
        <v>0.66536200134110002</v>
      </c>
      <c r="AQ47" s="463"/>
      <c r="AR47" s="565"/>
      <c r="AS47" s="109"/>
      <c r="AT47" s="147"/>
    </row>
    <row r="48" spans="1:46" s="1" customFormat="1" x14ac:dyDescent="0.25">
      <c r="A48" s="397" t="s">
        <v>98</v>
      </c>
      <c r="B48" s="226">
        <f>+B46/B68</f>
        <v>1.3514613325629803</v>
      </c>
      <c r="C48" s="174"/>
      <c r="D48" s="226">
        <f>+D46/D68</f>
        <v>1.4523972995634873</v>
      </c>
      <c r="E48" s="174"/>
      <c r="F48" s="226">
        <f>+F46/F68</f>
        <v>1.5280488658909999</v>
      </c>
      <c r="G48" s="174"/>
      <c r="H48" s="226">
        <f>+H46/H68</f>
        <v>1.4474057516276175</v>
      </c>
      <c r="I48" s="174"/>
      <c r="J48" s="226">
        <f>+J46/J68</f>
        <v>1.4208993060953758</v>
      </c>
      <c r="K48" s="174"/>
      <c r="L48" s="226">
        <f>+L46/L68</f>
        <v>1.2904116297101553</v>
      </c>
      <c r="M48" s="174"/>
      <c r="N48" s="226">
        <f>+N46/N68</f>
        <v>1.1734059767398881</v>
      </c>
      <c r="O48" s="174"/>
      <c r="P48" s="226">
        <f>+P46/P68</f>
        <v>1.0956317215463367</v>
      </c>
      <c r="Q48" s="174"/>
      <c r="R48" s="226">
        <f>+R46/R68</f>
        <v>0.93606020523801459</v>
      </c>
      <c r="S48" s="174"/>
      <c r="T48" s="226">
        <v>0.92137264496256599</v>
      </c>
      <c r="U48" s="174"/>
      <c r="V48" s="223">
        <f>+V46/V68</f>
        <v>1.4482798445231504</v>
      </c>
      <c r="W48" s="211"/>
      <c r="X48" s="223">
        <f>+X46/X68</f>
        <v>1.5044712329991181</v>
      </c>
      <c r="Y48" s="211"/>
      <c r="Z48" s="226">
        <f>+Z46/Z68</f>
        <v>1.4286759677326235</v>
      </c>
      <c r="AA48" s="174"/>
      <c r="AB48" s="226">
        <f>+AB46/AB68</f>
        <v>2.0056252967347623</v>
      </c>
      <c r="AC48" s="174"/>
      <c r="AD48" s="226">
        <f>+AD46/AD68</f>
        <v>2.0385369733966967</v>
      </c>
      <c r="AE48" s="174"/>
      <c r="AF48" s="223">
        <f>+AF46/AF68</f>
        <v>2.4001854251300205</v>
      </c>
      <c r="AG48" s="211"/>
      <c r="AH48" s="226">
        <f>+AH46/AH68</f>
        <v>2.4623907433714418</v>
      </c>
      <c r="AI48" s="90"/>
      <c r="AJ48" s="223">
        <f>+AJ46/AJ68</f>
        <v>2.5844492103473202</v>
      </c>
      <c r="AK48" s="40"/>
      <c r="AL48" s="226">
        <f>+AL46/AL68</f>
        <v>2.659519192151599</v>
      </c>
      <c r="AM48" s="90"/>
      <c r="AN48" s="223">
        <f>+AN46/AN68</f>
        <v>3.1855510830009885</v>
      </c>
      <c r="AO48" s="40"/>
      <c r="AP48" s="464">
        <f>+AP46/AP68</f>
        <v>3.3684705719956409</v>
      </c>
      <c r="AQ48" s="463"/>
      <c r="AR48" s="565"/>
      <c r="AS48" s="109"/>
      <c r="AT48" s="147"/>
    </row>
    <row r="49" spans="1:46" s="1" customFormat="1" x14ac:dyDescent="0.25">
      <c r="A49" s="397" t="s">
        <v>95</v>
      </c>
      <c r="B49" s="226">
        <f>+B46/B69</f>
        <v>2.9547136259196001</v>
      </c>
      <c r="C49" s="174"/>
      <c r="D49" s="226">
        <f>+D46/D69</f>
        <v>2.8852070059226533</v>
      </c>
      <c r="E49" s="174"/>
      <c r="F49" s="226">
        <f>+F46/F69</f>
        <v>3.0572737097476392</v>
      </c>
      <c r="G49" s="174"/>
      <c r="H49" s="226">
        <f>+H46/H69</f>
        <v>2.9337734665628665</v>
      </c>
      <c r="I49" s="174"/>
      <c r="J49" s="226">
        <f>+J46/J69</f>
        <v>3.0192036167720975</v>
      </c>
      <c r="K49" s="174"/>
      <c r="L49" s="226">
        <f>+L46/L69</f>
        <v>2.7069077403940636</v>
      </c>
      <c r="M49" s="174"/>
      <c r="N49" s="226">
        <f>+N46/N69</f>
        <v>2.3430785555108433</v>
      </c>
      <c r="O49" s="174"/>
      <c r="P49" s="226">
        <f>+P46/P69</f>
        <v>1.7793174691785902</v>
      </c>
      <c r="Q49" s="174"/>
      <c r="R49" s="226">
        <f>+R46/R69</f>
        <v>1.5605263215128975</v>
      </c>
      <c r="S49" s="174"/>
      <c r="T49" s="226">
        <v>1.988027226608907</v>
      </c>
      <c r="U49" s="174"/>
      <c r="V49" s="223">
        <f>+V46/V69</f>
        <v>2.0284656321630674</v>
      </c>
      <c r="W49" s="211"/>
      <c r="X49" s="223">
        <f>+X46/X69</f>
        <v>2.1096043461345224</v>
      </c>
      <c r="Y49" s="211"/>
      <c r="Z49" s="226">
        <f>+Z46/Z69</f>
        <v>2.4515045168478449</v>
      </c>
      <c r="AA49" s="174"/>
      <c r="AB49" s="226">
        <f>+AB46/AB69</f>
        <v>2.526774765794495</v>
      </c>
      <c r="AC49" s="174"/>
      <c r="AD49" s="226">
        <f>+AD46/AD69</f>
        <v>2.7636411494012458</v>
      </c>
      <c r="AE49" s="174"/>
      <c r="AF49" s="223">
        <f>+AF46/AF69</f>
        <v>2.8709078739135903</v>
      </c>
      <c r="AG49" s="211"/>
      <c r="AH49" s="226">
        <f>+AH46/AH69</f>
        <v>3.0769553078551932</v>
      </c>
      <c r="AI49" s="90"/>
      <c r="AJ49" s="223">
        <f>+AJ46/AJ69</f>
        <v>3.3904686295358712</v>
      </c>
      <c r="AK49" s="40"/>
      <c r="AL49" s="226">
        <f>+AL46/AL69</f>
        <v>3.7719821194002723</v>
      </c>
      <c r="AM49" s="90"/>
      <c r="AN49" s="223">
        <f>+AN46/AN69</f>
        <v>4.036925783644393</v>
      </c>
      <c r="AO49" s="40"/>
      <c r="AP49" s="464">
        <f>+AP46/AP69</f>
        <v>5.1723238457462353</v>
      </c>
      <c r="AQ49" s="463"/>
      <c r="AR49" s="565"/>
      <c r="AS49" s="109"/>
      <c r="AT49" s="147"/>
    </row>
    <row r="50" spans="1:46" s="1" customFormat="1" x14ac:dyDescent="0.25">
      <c r="A50" s="397" t="s">
        <v>99</v>
      </c>
      <c r="B50" s="226">
        <f>+B46/B70</f>
        <v>2.9781556633109996</v>
      </c>
      <c r="C50" s="174"/>
      <c r="D50" s="226">
        <f>+D46/D70</f>
        <v>2.9222271546955785</v>
      </c>
      <c r="E50" s="174"/>
      <c r="F50" s="226">
        <f>+F46/F70</f>
        <v>3.0852201533169232</v>
      </c>
      <c r="G50" s="174"/>
      <c r="H50" s="226">
        <f>+H46/H70</f>
        <v>2.9983116173069821</v>
      </c>
      <c r="I50" s="174"/>
      <c r="J50" s="226">
        <f>+J46/J70</f>
        <v>3.0795073678840499</v>
      </c>
      <c r="K50" s="174"/>
      <c r="L50" s="226">
        <f>+L46/L70</f>
        <v>2.7580933128932434</v>
      </c>
      <c r="M50" s="174"/>
      <c r="N50" s="226">
        <f>+N46/N70</f>
        <v>2.3819605085628694</v>
      </c>
      <c r="O50" s="174"/>
      <c r="P50" s="226">
        <f>+P46/P70</f>
        <v>1.8116542420683559</v>
      </c>
      <c r="Q50" s="174"/>
      <c r="R50" s="226">
        <f>+R46/R70</f>
        <v>1.5842247918344545</v>
      </c>
      <c r="S50" s="174"/>
      <c r="T50" s="226">
        <v>1.9903882365868091</v>
      </c>
      <c r="U50" s="174"/>
      <c r="V50" s="223">
        <f>+V46/V70</f>
        <v>2.1784689181265784</v>
      </c>
      <c r="W50" s="211"/>
      <c r="X50" s="223">
        <f>+X46/X70</f>
        <v>2.2494690000904023</v>
      </c>
      <c r="Y50" s="211"/>
      <c r="Z50" s="226">
        <f>+Z46/Z70</f>
        <v>2.601332590372825</v>
      </c>
      <c r="AA50" s="174"/>
      <c r="AB50" s="226">
        <f>+AB46/AB70</f>
        <v>2.6683500943092264</v>
      </c>
      <c r="AC50" s="174"/>
      <c r="AD50" s="226">
        <f>+AD46/AD70</f>
        <v>2.9296365439492922</v>
      </c>
      <c r="AE50" s="174"/>
      <c r="AF50" s="223">
        <f>+AF46/AF70</f>
        <v>3.0572482941546539</v>
      </c>
      <c r="AG50" s="211"/>
      <c r="AH50" s="226">
        <f>+AH46/AH70</f>
        <v>3.2535515012304805</v>
      </c>
      <c r="AI50" s="90"/>
      <c r="AJ50" s="223">
        <f>+AJ46/AJ70</f>
        <v>3.6007405915954571</v>
      </c>
      <c r="AK50" s="40"/>
      <c r="AL50" s="226">
        <f>+AL46/AL70</f>
        <v>3.9930765422604941</v>
      </c>
      <c r="AM50" s="90"/>
      <c r="AN50" s="223">
        <f>+AN46/AN70</f>
        <v>4.3392482484194863</v>
      </c>
      <c r="AO50" s="40"/>
      <c r="AP50" s="464">
        <f>+AP46/AP70</f>
        <v>5.5933453665952886</v>
      </c>
      <c r="AQ50" s="463"/>
      <c r="AR50" s="565"/>
      <c r="AS50" s="109"/>
      <c r="AT50" s="147"/>
    </row>
    <row r="51" spans="1:46" s="1" customFormat="1" x14ac:dyDescent="0.25">
      <c r="A51" s="397" t="s">
        <v>96</v>
      </c>
      <c r="B51" s="226">
        <f>+B46/B71</f>
        <v>2.376161118363306</v>
      </c>
      <c r="C51" s="174"/>
      <c r="D51" s="226">
        <f>+D46/D71</f>
        <v>2.3613861890439733</v>
      </c>
      <c r="E51" s="174"/>
      <c r="F51" s="226">
        <f>+F46/F71</f>
        <v>2.3148965469025526</v>
      </c>
      <c r="G51" s="174"/>
      <c r="H51" s="226">
        <f>+H46/H71</f>
        <v>2.3820212395081883</v>
      </c>
      <c r="I51" s="174"/>
      <c r="J51" s="226">
        <f>+J46/J71</f>
        <v>2.5147082065303663</v>
      </c>
      <c r="K51" s="174"/>
      <c r="L51" s="226">
        <f>+L46/L71</f>
        <v>2.3506073341843425</v>
      </c>
      <c r="M51" s="174"/>
      <c r="N51" s="226">
        <f>+N46/N71</f>
        <v>2.1811091300253533</v>
      </c>
      <c r="O51" s="174"/>
      <c r="P51" s="226">
        <f>+P46/P71</f>
        <v>1.8471838785723387</v>
      </c>
      <c r="Q51" s="174"/>
      <c r="R51" s="226">
        <f>+R46/R71</f>
        <v>1.5789953101386891</v>
      </c>
      <c r="S51" s="174"/>
      <c r="T51" s="226">
        <v>1.6324615439250045</v>
      </c>
      <c r="U51" s="174"/>
      <c r="V51" s="223">
        <f>+V46/V71</f>
        <v>1.493133808156262</v>
      </c>
      <c r="W51" s="211"/>
      <c r="X51" s="223">
        <f>+X46/X71</f>
        <v>1.6485955002622619</v>
      </c>
      <c r="Y51" s="211"/>
      <c r="Z51" s="226">
        <f>+Z46/Z71</f>
        <v>1.8751810961535418</v>
      </c>
      <c r="AA51" s="174"/>
      <c r="AB51" s="226">
        <f>+AB46/AB71</f>
        <v>1.8338748181105222</v>
      </c>
      <c r="AC51" s="174"/>
      <c r="AD51" s="226">
        <f>+AD46/AD71</f>
        <v>1.9701568615683249</v>
      </c>
      <c r="AE51" s="174"/>
      <c r="AF51" s="223">
        <f>+AF46/AF71</f>
        <v>2.0524563541353915</v>
      </c>
      <c r="AG51" s="211"/>
      <c r="AH51" s="226">
        <f>+AH46/AH71</f>
        <v>2.2632848515272159</v>
      </c>
      <c r="AI51" s="90"/>
      <c r="AJ51" s="223">
        <f>+AJ46/AJ71</f>
        <v>2.3750677436492893</v>
      </c>
      <c r="AK51" s="40"/>
      <c r="AL51" s="226">
        <f>+AL46/AL71</f>
        <v>2.6558252242504876</v>
      </c>
      <c r="AM51" s="90"/>
      <c r="AN51" s="223">
        <f>+AN46/AN71</f>
        <v>2.6923820076967608</v>
      </c>
      <c r="AO51" s="40"/>
      <c r="AP51" s="464">
        <f>+AP46/AP71</f>
        <v>3.1608658195377375</v>
      </c>
      <c r="AQ51" s="463"/>
      <c r="AR51" s="565"/>
      <c r="AS51" s="109"/>
      <c r="AT51" s="147"/>
    </row>
    <row r="52" spans="1:46" s="1" customFormat="1" x14ac:dyDescent="0.25">
      <c r="A52" s="397"/>
      <c r="B52" s="153"/>
      <c r="C52" s="174"/>
      <c r="D52" s="153"/>
      <c r="E52" s="174"/>
      <c r="F52" s="153"/>
      <c r="G52" s="174"/>
      <c r="H52" s="153"/>
      <c r="I52" s="174"/>
      <c r="J52" s="153"/>
      <c r="K52" s="174"/>
      <c r="L52" s="153"/>
      <c r="M52" s="174"/>
      <c r="N52" s="153"/>
      <c r="O52" s="174"/>
      <c r="P52" s="153"/>
      <c r="Q52" s="174"/>
      <c r="R52" s="153"/>
      <c r="S52" s="174"/>
      <c r="T52" s="153"/>
      <c r="U52" s="174"/>
      <c r="V52" s="75"/>
      <c r="W52" s="211"/>
      <c r="X52" s="75"/>
      <c r="Y52" s="211"/>
      <c r="Z52" s="153"/>
      <c r="AA52" s="174"/>
      <c r="AB52" s="153"/>
      <c r="AC52" s="174"/>
      <c r="AD52" s="153"/>
      <c r="AE52" s="174"/>
      <c r="AF52" s="75"/>
      <c r="AG52" s="211"/>
      <c r="AH52" s="93"/>
      <c r="AI52" s="90"/>
      <c r="AJ52" s="39"/>
      <c r="AK52" s="40"/>
      <c r="AL52" s="93"/>
      <c r="AM52" s="90"/>
      <c r="AN52" s="39"/>
      <c r="AO52" s="40"/>
      <c r="AP52" s="476"/>
      <c r="AQ52" s="463"/>
      <c r="AR52" s="565"/>
      <c r="AS52" s="109"/>
      <c r="AT52" s="147"/>
    </row>
    <row r="53" spans="1:46" ht="19.5" customHeight="1" x14ac:dyDescent="0.25">
      <c r="A53" s="6" t="s">
        <v>100</v>
      </c>
      <c r="B53" s="134">
        <f>'PUBLIC DEBT COLONES'!B53/B81</f>
        <v>4083.2315111530006</v>
      </c>
      <c r="C53" s="174">
        <f>+B53/B46</f>
        <v>0.72283253976282935</v>
      </c>
      <c r="D53" s="134">
        <f>'PUBLIC DEBT COLONES'!D53/D81</f>
        <v>4371.3167807217642</v>
      </c>
      <c r="E53" s="174">
        <f>+D53/D46</f>
        <v>0.71745181071532549</v>
      </c>
      <c r="F53" s="134">
        <f>'PUBLIC DEBT COLONES'!F53/F81</f>
        <v>4571.8797783933514</v>
      </c>
      <c r="G53" s="174">
        <f>+F53/F46</f>
        <v>0.70087781176161712</v>
      </c>
      <c r="H53" s="134">
        <f>'PUBLIC DEBT COLONES'!H53/H81</f>
        <v>4487.048304336412</v>
      </c>
      <c r="I53" s="174">
        <f>+H53/H46</f>
        <v>0.67285118790075915</v>
      </c>
      <c r="J53" s="134">
        <f>'PUBLIC DEBT COLONES'!J53/J81</f>
        <v>4874.411147854843</v>
      </c>
      <c r="K53" s="174">
        <f>+J53/J46</f>
        <v>0.66996034438582519</v>
      </c>
      <c r="L53" s="134">
        <f>'PUBLIC DEBT COLONES'!L53/L81</f>
        <v>4818.844387293806</v>
      </c>
      <c r="M53" s="174">
        <f>+L53/L46</f>
        <v>0.67056599153155205</v>
      </c>
      <c r="N53" s="134">
        <f>'PUBLIC DEBT COLONES'!N53/N81</f>
        <v>5084.3307282621281</v>
      </c>
      <c r="O53" s="174">
        <f>+N53/N46</f>
        <v>0.68659938342920879</v>
      </c>
      <c r="P53" s="134">
        <f>'PUBLIC DEBT COLONES'!P53/P81</f>
        <v>5253.3619084015527</v>
      </c>
      <c r="Q53" s="174">
        <f>+P53/P46</f>
        <v>0.69750923804687448</v>
      </c>
      <c r="R53" s="134">
        <f>'PUBLIC DEBT COLONES'!R53/R81</f>
        <v>4983.6675041240469</v>
      </c>
      <c r="S53" s="174">
        <f>+R53/R46</f>
        <v>0.70857689047808914</v>
      </c>
      <c r="T53" s="134">
        <v>6424.4429460950005</v>
      </c>
      <c r="U53" s="174">
        <v>0.78814138943981094</v>
      </c>
      <c r="V53" s="74">
        <f>'PUBLIC DEBT COLONES'!V53/V81</f>
        <v>8624.4908107802548</v>
      </c>
      <c r="W53" s="211">
        <f>+V53/V46</f>
        <v>0.79478846359788546</v>
      </c>
      <c r="X53" s="74">
        <f>'PUBLIC DEBT COLONES'!X53/X81</f>
        <v>10482.561631623812</v>
      </c>
      <c r="Y53" s="211">
        <f>+X53/X46</f>
        <v>0.83933105199567515</v>
      </c>
      <c r="Z53" s="134">
        <f>'PUBLIC DEBT COLONES'!Z53/Z81</f>
        <v>13023.516487378183</v>
      </c>
      <c r="AA53" s="174">
        <f>+Z53/Z46</f>
        <v>0.82720457993733199</v>
      </c>
      <c r="AB53" s="134">
        <f>'PUBLIC DEBT COLONES'!AB53/AB81</f>
        <v>14266.823200478777</v>
      </c>
      <c r="AC53" s="174">
        <f>+AB53/AB46</f>
        <v>0.80229440813391784</v>
      </c>
      <c r="AD53" s="134">
        <f>'PUBLIC DEBT COLONES'!AD53/AD81</f>
        <v>14971.277136680221</v>
      </c>
      <c r="AE53" s="174">
        <f>+AD53/AD46</f>
        <v>0.77348645030989227</v>
      </c>
      <c r="AF53" s="74">
        <f>'PUBLIC DEBT COLONES'!AF53/AF81</f>
        <v>16808.352061458969</v>
      </c>
      <c r="AG53" s="211">
        <f>+AF53/AF46</f>
        <v>0.75325590183913727</v>
      </c>
      <c r="AH53" s="89">
        <f>'PUBLIC DEBT COLONES'!AH53/AH81</f>
        <v>19426.544917180643</v>
      </c>
      <c r="AI53" s="90">
        <f>+AH53/AH46</f>
        <v>0.77021402758649804</v>
      </c>
      <c r="AJ53" s="41">
        <f>'PUBLIC DEBT COLONES'!AJ53/AJ81</f>
        <v>22248.663750017768</v>
      </c>
      <c r="AK53" s="40">
        <f>+AJ53/AJ46</f>
        <v>0.79000343518901417</v>
      </c>
      <c r="AL53" s="89">
        <f>'PUBLIC DEBT COLONES'!AL53/AL81</f>
        <v>24319.630663384418</v>
      </c>
      <c r="AM53" s="90">
        <f>+AL53/AL46</f>
        <v>0.79835613617655532</v>
      </c>
      <c r="AN53" s="41">
        <f>'PUBLIC DEBT COLONES'!AN53/AN81</f>
        <v>28910.672439342932</v>
      </c>
      <c r="AO53" s="40">
        <f>+AN53/AN46</f>
        <v>0.78150037966567987</v>
      </c>
      <c r="AP53" s="477">
        <f>'PUBLIC DEBT COLONES'!AP53/AP81</f>
        <v>30079.342286429099</v>
      </c>
      <c r="AQ53" s="463">
        <f>+AP53/AP46</f>
        <v>0.76273102418171868</v>
      </c>
      <c r="AR53" s="565"/>
      <c r="AS53" s="109"/>
      <c r="AT53" s="77"/>
    </row>
    <row r="54" spans="1:46" s="68" customFormat="1" x14ac:dyDescent="0.25">
      <c r="A54" s="397" t="s">
        <v>71</v>
      </c>
      <c r="B54" s="226">
        <f>+B53/B66</f>
        <v>0.28089007957132728</v>
      </c>
      <c r="C54" s="174"/>
      <c r="D54" s="226">
        <f>+D53/D66</f>
        <v>0.28448877687874302</v>
      </c>
      <c r="E54" s="174"/>
      <c r="F54" s="226">
        <f>+F53/F66</f>
        <v>0.29050416889070402</v>
      </c>
      <c r="G54" s="174"/>
      <c r="H54" s="226">
        <f>+H53/H66</f>
        <v>0.27305231499796784</v>
      </c>
      <c r="I54" s="174"/>
      <c r="J54" s="226">
        <f>+J53/J66</f>
        <v>0.27490017895317914</v>
      </c>
      <c r="K54" s="174"/>
      <c r="L54" s="226">
        <f>+L53/L66</f>
        <v>0.2504313953948345</v>
      </c>
      <c r="M54" s="174"/>
      <c r="N54" s="226">
        <f>+N53/N66</f>
        <v>0.22687757437889533</v>
      </c>
      <c r="O54" s="174"/>
      <c r="P54" s="226">
        <f>+P53/P66</f>
        <v>0.18804838290347625</v>
      </c>
      <c r="Q54" s="174"/>
      <c r="R54" s="226">
        <f>+R53/R66</f>
        <v>0.1698335934539798</v>
      </c>
      <c r="S54" s="174"/>
      <c r="T54" s="226">
        <v>0.21510423736740408</v>
      </c>
      <c r="U54" s="174"/>
      <c r="V54" s="223">
        <f>+V53/V66</f>
        <v>0.22321226018092494</v>
      </c>
      <c r="W54" s="211"/>
      <c r="X54" s="223">
        <f>+X53/X66</f>
        <v>0.24763317925713524</v>
      </c>
      <c r="Y54" s="211"/>
      <c r="Z54" s="226">
        <f>+Z53/Z66</f>
        <v>0.2792069211144334</v>
      </c>
      <c r="AA54" s="174"/>
      <c r="AB54" s="226">
        <f>+AB53/AB66</f>
        <v>0.28153255406053723</v>
      </c>
      <c r="AC54" s="174"/>
      <c r="AD54" s="226">
        <f>+AD53/AD66</f>
        <v>0.28990503589965866</v>
      </c>
      <c r="AE54" s="174"/>
      <c r="AF54" s="223">
        <f>+AF53/AF66</f>
        <v>0.29960639437631015</v>
      </c>
      <c r="AG54" s="211"/>
      <c r="AH54" s="226">
        <f>+AH53/AH66</f>
        <v>0.33721017799101549</v>
      </c>
      <c r="AI54" s="90"/>
      <c r="AJ54" s="223">
        <f>+AJ53/AJ66</f>
        <v>0.3695775232852801</v>
      </c>
      <c r="AK54" s="40"/>
      <c r="AL54" s="226">
        <f>+AL53/AL66</f>
        <v>0.41182643341535397</v>
      </c>
      <c r="AM54" s="90"/>
      <c r="AN54" s="223">
        <f>+AN53/AN66</f>
        <v>0.43828167449623373</v>
      </c>
      <c r="AO54" s="40"/>
      <c r="AP54" s="464">
        <f>+AP53/AP66</f>
        <v>0.50749224073449528</v>
      </c>
      <c r="AQ54" s="463"/>
      <c r="AR54" s="565"/>
      <c r="AS54" s="109"/>
      <c r="AT54" s="255"/>
    </row>
    <row r="55" spans="1:46" s="68" customFormat="1" x14ac:dyDescent="0.25">
      <c r="A55" s="397" t="s">
        <v>95</v>
      </c>
      <c r="B55" s="226">
        <f>+B53/B69</f>
        <v>2.1357631544953026</v>
      </c>
      <c r="C55" s="174"/>
      <c r="D55" s="226">
        <f>+D53/D69</f>
        <v>2.0699969906877507</v>
      </c>
      <c r="E55" s="174"/>
      <c r="F55" s="226">
        <f>+F53/F69</f>
        <v>2.1427753076442468</v>
      </c>
      <c r="G55" s="174"/>
      <c r="H55" s="226">
        <f>+H53/H69</f>
        <v>1.9739929620085528</v>
      </c>
      <c r="I55" s="174"/>
      <c r="J55" s="226">
        <f>+J53/J69</f>
        <v>2.0227466948635637</v>
      </c>
      <c r="K55" s="174"/>
      <c r="L55" s="226">
        <f>+L53/L69</f>
        <v>1.8151602729217784</v>
      </c>
      <c r="M55" s="174"/>
      <c r="N55" s="226">
        <f>+N53/N69</f>
        <v>1.6087562915399463</v>
      </c>
      <c r="O55" s="174"/>
      <c r="P55" s="226">
        <f>+P53/P69</f>
        <v>1.2410903721702515</v>
      </c>
      <c r="Q55" s="174"/>
      <c r="R55" s="226">
        <f>+R53/R69</f>
        <v>1.1057528884068197</v>
      </c>
      <c r="S55" s="174"/>
      <c r="T55" s="226">
        <v>1.5668465406237178</v>
      </c>
      <c r="U55" s="174"/>
      <c r="V55" s="223">
        <f>+V53/V69</f>
        <v>1.612201083247998</v>
      </c>
      <c r="W55" s="211"/>
      <c r="X55" s="223">
        <f>+X53/X69</f>
        <v>1.770656435135737</v>
      </c>
      <c r="Y55" s="211"/>
      <c r="Z55" s="226">
        <f>+Z53/Z69</f>
        <v>2.0278957640735933</v>
      </c>
      <c r="AA55" s="174"/>
      <c r="AB55" s="226">
        <f>+AB53/AB69</f>
        <v>2.0272172652108136</v>
      </c>
      <c r="AC55" s="174"/>
      <c r="AD55" s="226">
        <f>+AD53/AD69</f>
        <v>2.1376389825807203</v>
      </c>
      <c r="AE55" s="174"/>
      <c r="AF55" s="223">
        <f>+AF53/AF69</f>
        <v>2.1625282996618616</v>
      </c>
      <c r="AG55" s="211"/>
      <c r="AH55" s="226">
        <f>+AH53/AH69</f>
        <v>2.3699141403668014</v>
      </c>
      <c r="AI55" s="90"/>
      <c r="AJ55" s="223">
        <f>+AJ53/AJ69</f>
        <v>2.6784818642339272</v>
      </c>
      <c r="AK55" s="40"/>
      <c r="AL55" s="226">
        <f>+AL53/AL69</f>
        <v>3.0113850705714555</v>
      </c>
      <c r="AM55" s="90"/>
      <c r="AN55" s="223">
        <f>+AN53/AN69</f>
        <v>3.1548590326002652</v>
      </c>
      <c r="AO55" s="40"/>
      <c r="AP55" s="464">
        <f>+AP53/AP69</f>
        <v>3.9450918642655521</v>
      </c>
      <c r="AQ55" s="463"/>
      <c r="AR55" s="565"/>
      <c r="AS55" s="109"/>
      <c r="AT55" s="255"/>
    </row>
    <row r="56" spans="1:46" s="68" customFormat="1" x14ac:dyDescent="0.25">
      <c r="A56" s="397" t="s">
        <v>99</v>
      </c>
      <c r="B56" s="226">
        <f>+B53/B70</f>
        <v>2.1527078219201434</v>
      </c>
      <c r="C56" s="174"/>
      <c r="D56" s="226">
        <f>+D53/D70</f>
        <v>2.0965571634578368</v>
      </c>
      <c r="E56" s="174"/>
      <c r="F56" s="226">
        <f>+F53/F70</f>
        <v>2.1623623498596061</v>
      </c>
      <c r="G56" s="174"/>
      <c r="H56" s="226">
        <f>+H53/H70</f>
        <v>2.0174175334016495</v>
      </c>
      <c r="I56" s="174"/>
      <c r="J56" s="226">
        <f>+J53/J70</f>
        <v>2.0631478167262842</v>
      </c>
      <c r="K56" s="174"/>
      <c r="L56" s="226">
        <f>+L53/L70</f>
        <v>1.8494835770968012</v>
      </c>
      <c r="M56" s="174"/>
      <c r="N56" s="226">
        <f>+N53/N70</f>
        <v>1.6354526165319909</v>
      </c>
      <c r="O56" s="174"/>
      <c r="P56" s="226">
        <f>+P53/P70</f>
        <v>1.2636455699894868</v>
      </c>
      <c r="Q56" s="174"/>
      <c r="R56" s="226">
        <f>+R53/R70</f>
        <v>1.1225450768163558</v>
      </c>
      <c r="S56" s="174"/>
      <c r="T56" s="226">
        <v>1.5687073503081828</v>
      </c>
      <c r="U56" s="174"/>
      <c r="V56" s="223">
        <f>+V53/V70</f>
        <v>1.7314219644335709</v>
      </c>
      <c r="W56" s="211"/>
      <c r="X56" s="223">
        <f>+X53/X70</f>
        <v>1.8880491822775369</v>
      </c>
      <c r="Y56" s="211"/>
      <c r="Z56" s="226">
        <f>+Z53/Z70</f>
        <v>2.1518342326966446</v>
      </c>
      <c r="AA56" s="174"/>
      <c r="AB56" s="226">
        <f>+AB53/AB70</f>
        <v>2.1408023596079047</v>
      </c>
      <c r="AC56" s="174"/>
      <c r="AD56" s="226">
        <f>+AD53/AD70</f>
        <v>2.2660341710774787</v>
      </c>
      <c r="AE56" s="174"/>
      <c r="AF56" s="223">
        <f>+AF53/AF70</f>
        <v>2.3028903209596279</v>
      </c>
      <c r="AG56" s="211"/>
      <c r="AH56" s="226">
        <f>+AH53/AH70</f>
        <v>2.5059310057228252</v>
      </c>
      <c r="AI56" s="90"/>
      <c r="AJ56" s="223">
        <f>+AJ53/AJ70</f>
        <v>2.8445974365849342</v>
      </c>
      <c r="AK56" s="40"/>
      <c r="AL56" s="226">
        <f>+AL53/AL70</f>
        <v>3.1878971597363277</v>
      </c>
      <c r="AM56" s="90"/>
      <c r="AN56" s="223">
        <f>+AN53/AN70</f>
        <v>3.3911241536034646</v>
      </c>
      <c r="AO56" s="40"/>
      <c r="AP56" s="464">
        <f>+AP53/AP70</f>
        <v>4.2662180400652954</v>
      </c>
      <c r="AQ56" s="463"/>
      <c r="AR56" s="565"/>
      <c r="AS56" s="109"/>
      <c r="AT56" s="255"/>
    </row>
    <row r="57" spans="1:46" s="68" customFormat="1" x14ac:dyDescent="0.25">
      <c r="A57" s="397" t="s">
        <v>96</v>
      </c>
      <c r="B57" s="226">
        <f>+B53/B71</f>
        <v>1.7175665760722334</v>
      </c>
      <c r="C57" s="174"/>
      <c r="D57" s="226">
        <f>+D53/D71</f>
        <v>1.6941807971277607</v>
      </c>
      <c r="E57" s="174"/>
      <c r="F57" s="226">
        <f>+F53/F71</f>
        <v>1.622459626247585</v>
      </c>
      <c r="G57" s="174"/>
      <c r="H57" s="226">
        <f>+H53/H71</f>
        <v>1.602745820607923</v>
      </c>
      <c r="I57" s="174"/>
      <c r="J57" s="226">
        <f>+J53/J71</f>
        <v>1.684754776076945</v>
      </c>
      <c r="K57" s="174"/>
      <c r="L57" s="226">
        <f>+L53/L71</f>
        <v>1.5762373377486618</v>
      </c>
      <c r="M57" s="174"/>
      <c r="N57" s="226">
        <f>+N53/N71</f>
        <v>1.4975481838672255</v>
      </c>
      <c r="O57" s="174"/>
      <c r="P57" s="226">
        <f>+P53/P71</f>
        <v>1.2884278196754624</v>
      </c>
      <c r="Q57" s="174"/>
      <c r="R57" s="226">
        <f>+R53/R71</f>
        <v>1.1188395869375585</v>
      </c>
      <c r="S57" s="174"/>
      <c r="T57" s="226">
        <v>1.286610509436112</v>
      </c>
      <c r="U57" s="174"/>
      <c r="V57" s="223">
        <f>+V53/V71</f>
        <v>1.1867255253305753</v>
      </c>
      <c r="W57" s="211"/>
      <c r="X57" s="223">
        <f>+X53/X71</f>
        <v>1.3837173955504607</v>
      </c>
      <c r="Y57" s="211"/>
      <c r="Z57" s="226">
        <f>+Z53/Z71</f>
        <v>1.5511583909501163</v>
      </c>
      <c r="AA57" s="174"/>
      <c r="AB57" s="226">
        <f>+AB53/AB71</f>
        <v>1.4713075117876777</v>
      </c>
      <c r="AC57" s="174"/>
      <c r="AD57" s="226">
        <f>+AD53/AD71</f>
        <v>1.5238896374081614</v>
      </c>
      <c r="AE57" s="174"/>
      <c r="AF57" s="223">
        <f>+AF53/AF71</f>
        <v>1.5460248620197219</v>
      </c>
      <c r="AG57" s="211"/>
      <c r="AH57" s="226">
        <f>+AH53/AH71</f>
        <v>1.7432137410702864</v>
      </c>
      <c r="AI57" s="90"/>
      <c r="AJ57" s="223">
        <f>+AJ53/AJ71</f>
        <v>1.8763116762895593</v>
      </c>
      <c r="AK57" s="40"/>
      <c r="AL57" s="226">
        <f>+AL53/AL71</f>
        <v>2.1202943643928527</v>
      </c>
      <c r="AM57" s="90"/>
      <c r="AN57" s="223">
        <f>+AN53/AN71</f>
        <v>2.1040975612200641</v>
      </c>
      <c r="AO57" s="40"/>
      <c r="AP57" s="464">
        <f>+AP53/AP71</f>
        <v>2.4108904238370061</v>
      </c>
      <c r="AQ57" s="463"/>
      <c r="AR57" s="565"/>
      <c r="AS57" s="109"/>
      <c r="AT57" s="255"/>
    </row>
    <row r="58" spans="1:46" x14ac:dyDescent="0.25">
      <c r="A58" s="397"/>
      <c r="B58" s="91"/>
      <c r="C58" s="273"/>
      <c r="D58" s="91"/>
      <c r="E58" s="273"/>
      <c r="F58" s="91"/>
      <c r="G58" s="273"/>
      <c r="H58" s="91"/>
      <c r="I58" s="273"/>
      <c r="J58" s="91"/>
      <c r="K58" s="273"/>
      <c r="L58" s="91"/>
      <c r="M58" s="273"/>
      <c r="N58" s="91"/>
      <c r="O58" s="273"/>
      <c r="P58" s="91"/>
      <c r="Q58" s="273"/>
      <c r="R58" s="91"/>
      <c r="S58" s="273"/>
      <c r="T58" s="91"/>
      <c r="U58" s="273"/>
      <c r="V58" s="29"/>
      <c r="W58" s="264"/>
      <c r="X58" s="29"/>
      <c r="Y58" s="264"/>
      <c r="Z58" s="91"/>
      <c r="AA58" s="273"/>
      <c r="AB58" s="91"/>
      <c r="AC58" s="273"/>
      <c r="AD58" s="91"/>
      <c r="AE58" s="273"/>
      <c r="AF58" s="29"/>
      <c r="AG58" s="264"/>
      <c r="AH58" s="91"/>
      <c r="AI58" s="456"/>
      <c r="AJ58" s="29"/>
      <c r="AK58" s="33"/>
      <c r="AL58" s="91"/>
      <c r="AM58" s="456"/>
      <c r="AN58" s="29"/>
      <c r="AO58" s="33"/>
      <c r="AP58" s="468"/>
      <c r="AQ58" s="478"/>
      <c r="AR58" s="566"/>
      <c r="AS58" s="109"/>
      <c r="AT58" s="77"/>
    </row>
    <row r="59" spans="1:46" x14ac:dyDescent="0.25">
      <c r="A59" s="6" t="s">
        <v>101</v>
      </c>
      <c r="B59" s="134">
        <f>'PUBLIC DEBT COLONES'!B59/B81</f>
        <v>1565.7</v>
      </c>
      <c r="C59" s="174">
        <f>+B59/B46</f>
        <v>0.27716746023717076</v>
      </c>
      <c r="D59" s="134">
        <f>'PUBLIC DEBT COLONES'!D59/D81</f>
        <v>1721.52</v>
      </c>
      <c r="E59" s="174">
        <f>+D59/D46</f>
        <v>0.28254818928467457</v>
      </c>
      <c r="F59" s="134">
        <f>'PUBLIC DEBT COLONES'!F59/F81</f>
        <v>1951.1969999999999</v>
      </c>
      <c r="G59" s="174">
        <f>+F59/F46</f>
        <v>0.29912218823838282</v>
      </c>
      <c r="H59" s="134">
        <f>'PUBLIC DEBT COLONES'!H59/H81</f>
        <v>2181.66</v>
      </c>
      <c r="I59" s="174">
        <f>+H59/H46</f>
        <v>0.32714881209924085</v>
      </c>
      <c r="J59" s="134">
        <f>'PUBLIC DEBT COLONES'!J59/J81</f>
        <v>2401.2600000000002</v>
      </c>
      <c r="K59" s="174">
        <f>+J59/J46</f>
        <v>0.33003965561417481</v>
      </c>
      <c r="L59" s="134">
        <f>'PUBLIC DEBT COLONES'!L59/L81</f>
        <v>2367.39</v>
      </c>
      <c r="M59" s="174">
        <f>+L59/L46</f>
        <v>0.329434008468448</v>
      </c>
      <c r="N59" s="134">
        <f>'PUBLIC DEBT COLONES'!N59/N81</f>
        <v>2320.7600000000002</v>
      </c>
      <c r="O59" s="174">
        <f>+N59/N46</f>
        <v>0.31340061657079121</v>
      </c>
      <c r="P59" s="134">
        <f>'PUBLIC DEBT COLONES'!P59/P81</f>
        <v>2278.2399999999998</v>
      </c>
      <c r="Q59" s="174">
        <f>+P59/P46</f>
        <v>0.30249076195312552</v>
      </c>
      <c r="R59" s="134">
        <f>'PUBLIC DEBT COLONES'!R59/R81</f>
        <v>2049.6799999999998</v>
      </c>
      <c r="S59" s="174">
        <f>+R59/R46</f>
        <v>0.29142310952191075</v>
      </c>
      <c r="T59" s="134">
        <v>1726.9408438888204</v>
      </c>
      <c r="U59" s="174">
        <v>0.21185861056018906</v>
      </c>
      <c r="V59" s="74">
        <f>'PUBLIC DEBT COLONES'!V59/V81</f>
        <v>2226.8126564826039</v>
      </c>
      <c r="W59" s="211">
        <f>+V59/V46</f>
        <v>0.20521153640211456</v>
      </c>
      <c r="X59" s="74">
        <f>'PUBLIC DEBT COLONES'!X59/X81</f>
        <v>2006.624377519367</v>
      </c>
      <c r="Y59" s="211">
        <f>+X59/X46</f>
        <v>0.16066894800432488</v>
      </c>
      <c r="Z59" s="134">
        <f>'PUBLIC DEBT COLONES'!Z59/Z81</f>
        <v>2720.4926770353268</v>
      </c>
      <c r="AA59" s="174">
        <f>+Z59/Z46</f>
        <v>0.17279542006266799</v>
      </c>
      <c r="AB59" s="134">
        <f>'PUBLIC DEBT COLONES'!AB59/AB81</f>
        <v>3515.7053274994178</v>
      </c>
      <c r="AC59" s="174">
        <f>+AB59/AB46</f>
        <v>0.19770559186608203</v>
      </c>
      <c r="AD59" s="134">
        <f>'PUBLIC DEBT COLONES'!AD59/AD81</f>
        <v>4384.3006251307033</v>
      </c>
      <c r="AE59" s="174">
        <f>+AD59/AD46</f>
        <v>0.22651354969010776</v>
      </c>
      <c r="AF59" s="74">
        <f>'PUBLIC DEBT COLONES'!AF59/AF81</f>
        <v>5505.913277079997</v>
      </c>
      <c r="AG59" s="211">
        <f>+AF59/AF46</f>
        <v>0.24674409816086282</v>
      </c>
      <c r="AH59" s="89">
        <f>'PUBLIC DEBT COLONES'!AH59/AH81</f>
        <v>5795.7234671730375</v>
      </c>
      <c r="AI59" s="90">
        <f>+AH59/AH46</f>
        <v>0.22978597241350196</v>
      </c>
      <c r="AJ59" s="41">
        <f>'PUBLIC DEBT COLONES'!AJ59/AJ81</f>
        <v>5914.0792951369785</v>
      </c>
      <c r="AK59" s="40">
        <f>+AJ59/AJ46</f>
        <v>0.2099965648109858</v>
      </c>
      <c r="AL59" s="89">
        <f>'PUBLIC DEBT COLONES'!AL59/AL81</f>
        <v>6142.5021635200001</v>
      </c>
      <c r="AM59" s="90">
        <f>+AL59/AL46</f>
        <v>0.20164386382344474</v>
      </c>
      <c r="AN59" s="41">
        <f>'PUBLIC DEBT COLONES'!AN59/AN81</f>
        <v>8083.132287547548</v>
      </c>
      <c r="AO59" s="40">
        <f>+AN59/AN46</f>
        <v>0.21849962033432016</v>
      </c>
      <c r="AP59" s="477">
        <f>'PUBLIC DEBT COLONES'!AP59/AP81</f>
        <v>9357.0269352098694</v>
      </c>
      <c r="AQ59" s="463">
        <f>+AP59/AP46</f>
        <v>0.2372689758182813</v>
      </c>
      <c r="AR59" s="565"/>
      <c r="AS59" s="109"/>
      <c r="AT59" s="77"/>
    </row>
    <row r="60" spans="1:46" s="68" customFormat="1" x14ac:dyDescent="0.25">
      <c r="A60" s="397" t="s">
        <v>71</v>
      </c>
      <c r="B60" s="226">
        <f>+B59/B66</f>
        <v>0.1077062606868063</v>
      </c>
      <c r="C60" s="92"/>
      <c r="D60" s="226">
        <f>+D59/D66</f>
        <v>0.1120378924108604</v>
      </c>
      <c r="E60" s="92"/>
      <c r="F60" s="226">
        <f>+F59/F66</f>
        <v>0.12398201402973691</v>
      </c>
      <c r="G60" s="92"/>
      <c r="H60" s="226">
        <f>+H59/H66</f>
        <v>0.13276151116152635</v>
      </c>
      <c r="I60" s="92"/>
      <c r="J60" s="226">
        <f>+J59/J66</f>
        <v>0.13542288159332116</v>
      </c>
      <c r="K60" s="92"/>
      <c r="L60" s="226">
        <f>+L59/L66</f>
        <v>0.12303131902475145</v>
      </c>
      <c r="M60" s="92"/>
      <c r="N60" s="226">
        <f>+N59/N66</f>
        <v>0.10355903808317707</v>
      </c>
      <c r="O60" s="92"/>
      <c r="P60" s="226">
        <f>+P59/P66</f>
        <v>8.155146272729788E-2</v>
      </c>
      <c r="Q60" s="92"/>
      <c r="R60" s="226">
        <f>+R59/R66</f>
        <v>6.984906588224285E-2</v>
      </c>
      <c r="S60" s="92"/>
      <c r="T60" s="226">
        <v>5.7821712531375143E-2</v>
      </c>
      <c r="U60" s="92"/>
      <c r="V60" s="223">
        <f>+V59/V66</f>
        <v>5.7632606603473614E-2</v>
      </c>
      <c r="W60" s="35"/>
      <c r="X60" s="223">
        <f>+X59/X66</f>
        <v>4.7403181745282706E-2</v>
      </c>
      <c r="Y60" s="35"/>
      <c r="Z60" s="226">
        <f>+Z59/Z66</f>
        <v>5.8323754955548902E-2</v>
      </c>
      <c r="AA60" s="92"/>
      <c r="AB60" s="226">
        <f>+AB59/AB66</f>
        <v>6.9376727128849014E-2</v>
      </c>
      <c r="AC60" s="92"/>
      <c r="AD60" s="226">
        <f>+AD59/AD66</f>
        <v>8.4897956167636277E-2</v>
      </c>
      <c r="AE60" s="92"/>
      <c r="AF60" s="223">
        <f>+AF59/AF66</f>
        <v>9.8142091423530406E-2</v>
      </c>
      <c r="AG60" s="35"/>
      <c r="AH60" s="226">
        <f>+AH59/AH66</f>
        <v>0.1006034243497254</v>
      </c>
      <c r="AI60" s="92"/>
      <c r="AJ60" s="223">
        <f>+AJ59/AJ66</f>
        <v>9.8240092212627111E-2</v>
      </c>
      <c r="AK60" s="35"/>
      <c r="AL60" s="226">
        <f>+AL59/AL66</f>
        <v>0.10401657793500806</v>
      </c>
      <c r="AM60" s="92"/>
      <c r="AN60" s="223">
        <f>+AN59/AN66</f>
        <v>0.12253913365708723</v>
      </c>
      <c r="AO60" s="35"/>
      <c r="AP60" s="464">
        <f>+AP59/AP66</f>
        <v>0.15786976060660471</v>
      </c>
      <c r="AQ60" s="472"/>
      <c r="AR60" s="389"/>
      <c r="AS60" s="109"/>
      <c r="AT60" s="255"/>
    </row>
    <row r="61" spans="1:46" s="68" customFormat="1" x14ac:dyDescent="0.25">
      <c r="A61" s="397" t="s">
        <v>98</v>
      </c>
      <c r="B61" s="226">
        <f>+B59/B68</f>
        <v>0.37458110515522358</v>
      </c>
      <c r="C61" s="92"/>
      <c r="D61" s="226">
        <f>+D59/D68</f>
        <v>0.41037222711361432</v>
      </c>
      <c r="E61" s="92"/>
      <c r="F61" s="226">
        <f>+F59/F68</f>
        <v>0.45707332050049504</v>
      </c>
      <c r="G61" s="92"/>
      <c r="H61" s="226">
        <f>+H59/H68</f>
        <v>0.47351707227058393</v>
      </c>
      <c r="I61" s="92"/>
      <c r="J61" s="226">
        <f>+J59/J68</f>
        <v>0.46895311764613773</v>
      </c>
      <c r="K61" s="92"/>
      <c r="L61" s="226">
        <f>+L59/L68</f>
        <v>0.42510547574971913</v>
      </c>
      <c r="M61" s="92"/>
      <c r="N61" s="226">
        <f>+N59/N68</f>
        <v>0.36774615659813242</v>
      </c>
      <c r="O61" s="92"/>
      <c r="P61" s="226">
        <f>+P59/P68</f>
        <v>0.33141847427056603</v>
      </c>
      <c r="Q61" s="92"/>
      <c r="R61" s="226">
        <f>+R59/R68</f>
        <v>0.2727895757101802</v>
      </c>
      <c r="S61" s="92"/>
      <c r="T61" s="226">
        <v>0.19520072836993563</v>
      </c>
      <c r="U61" s="92"/>
      <c r="V61" s="223">
        <f>+V59/V68</f>
        <v>0.29720373203481126</v>
      </c>
      <c r="W61" s="35"/>
      <c r="X61" s="223">
        <f>+X59/X68</f>
        <v>0.24172181030873782</v>
      </c>
      <c r="Y61" s="35"/>
      <c r="Z61" s="226">
        <f>+Z59/Z68</f>
        <v>0.24686866397779736</v>
      </c>
      <c r="AA61" s="92"/>
      <c r="AB61" s="226">
        <f>+AB59/AB68</f>
        <v>0.39652333635253262</v>
      </c>
      <c r="AC61" s="92"/>
      <c r="AD61" s="226">
        <f>+AD59/AD68</f>
        <v>0.46175624601861448</v>
      </c>
      <c r="AE61" s="92"/>
      <c r="AF61" s="223">
        <f>+AF59/AF68</f>
        <v>0.59223158814255406</v>
      </c>
      <c r="AG61" s="35"/>
      <c r="AH61" s="226">
        <f>+AH59/AH68</f>
        <v>0.56582285142761279</v>
      </c>
      <c r="AI61" s="92"/>
      <c r="AJ61" s="223">
        <f>+AJ59/AJ68</f>
        <v>0.5427254561014021</v>
      </c>
      <c r="AK61" s="35"/>
      <c r="AL61" s="226">
        <f>+AL59/AL68</f>
        <v>0.53627572581805483</v>
      </c>
      <c r="AM61" s="92"/>
      <c r="AN61" s="223">
        <f>+AN59/AN68</f>
        <v>0.69604170219129835</v>
      </c>
      <c r="AO61" s="35"/>
      <c r="AP61" s="464">
        <f>+AP59/AP68</f>
        <v>0.79923356269142598</v>
      </c>
      <c r="AQ61" s="472"/>
      <c r="AR61" s="389"/>
      <c r="AS61" s="109"/>
      <c r="AT61" s="255"/>
    </row>
    <row r="62" spans="1:46" s="68" customFormat="1" x14ac:dyDescent="0.25">
      <c r="A62" s="397" t="s">
        <v>102</v>
      </c>
      <c r="B62" s="226">
        <f>+B59/B69</f>
        <v>0.81895047142429722</v>
      </c>
      <c r="C62" s="92"/>
      <c r="D62" s="226">
        <f>+D59/D69</f>
        <v>0.81521001523490288</v>
      </c>
      <c r="E62" s="92"/>
      <c r="F62" s="226">
        <f>+F59/F69</f>
        <v>0.91449840210339239</v>
      </c>
      <c r="G62" s="92"/>
      <c r="H62" s="226">
        <f>+H59/H69</f>
        <v>0.95978050455431363</v>
      </c>
      <c r="I62" s="92"/>
      <c r="J62" s="226">
        <f>+J59/J69</f>
        <v>0.99645692190853408</v>
      </c>
      <c r="K62" s="92"/>
      <c r="L62" s="226">
        <f>+L59/L69</f>
        <v>0.8917474674722855</v>
      </c>
      <c r="M62" s="92"/>
      <c r="N62" s="226">
        <f>+N59/N69</f>
        <v>0.73432226397089717</v>
      </c>
      <c r="O62" s="92"/>
      <c r="P62" s="226">
        <f>+P59/P69</f>
        <v>0.53822709700833871</v>
      </c>
      <c r="Q62" s="92"/>
      <c r="R62" s="226">
        <f>+R59/R69</f>
        <v>0.45477343310607765</v>
      </c>
      <c r="S62" s="92"/>
      <c r="T62" s="226">
        <v>0.42118068598518921</v>
      </c>
      <c r="U62" s="92"/>
      <c r="V62" s="223">
        <f>+V59/V69</f>
        <v>0.41626454891506964</v>
      </c>
      <c r="W62" s="35"/>
      <c r="X62" s="223">
        <f>+X59/X69</f>
        <v>0.33894791099878535</v>
      </c>
      <c r="Y62" s="35"/>
      <c r="Z62" s="226">
        <f>+Z59/Z69</f>
        <v>0.42360875277425125</v>
      </c>
      <c r="AA62" s="92"/>
      <c r="AB62" s="226">
        <f>+AB59/AB69</f>
        <v>0.49955750058368148</v>
      </c>
      <c r="AC62" s="92"/>
      <c r="AD62" s="226">
        <f>+AD59/AD69</f>
        <v>0.62600216682052556</v>
      </c>
      <c r="AE62" s="92"/>
      <c r="AF62" s="223">
        <f>+AF59/AF69</f>
        <v>0.70837957425172893</v>
      </c>
      <c r="AG62" s="35"/>
      <c r="AH62" s="226">
        <f>+AH59/AH69</f>
        <v>0.70704116748839185</v>
      </c>
      <c r="AI62" s="92"/>
      <c r="AJ62" s="223">
        <f>+AJ59/AJ69</f>
        <v>0.71198676530194371</v>
      </c>
      <c r="AK62" s="35"/>
      <c r="AL62" s="226">
        <f>+AL59/AL69</f>
        <v>0.76059704882881707</v>
      </c>
      <c r="AM62" s="92"/>
      <c r="AN62" s="223">
        <f>+AN59/AN69</f>
        <v>0.88206675104412768</v>
      </c>
      <c r="AO62" s="35"/>
      <c r="AP62" s="464">
        <f>+AP59/AP69</f>
        <v>1.2272319814806834</v>
      </c>
      <c r="AQ62" s="472"/>
      <c r="AR62" s="389"/>
      <c r="AS62" s="109"/>
      <c r="AT62" s="255"/>
    </row>
    <row r="63" spans="1:46" s="68" customFormat="1" x14ac:dyDescent="0.25">
      <c r="A63" s="397" t="s">
        <v>99</v>
      </c>
      <c r="B63" s="226">
        <f>+B59/B70</f>
        <v>0.82544784139085625</v>
      </c>
      <c r="C63" s="92"/>
      <c r="D63" s="226">
        <f>+D59/D70</f>
        <v>0.82566999123774232</v>
      </c>
      <c r="E63" s="92"/>
      <c r="F63" s="226">
        <f>+F59/F70</f>
        <v>0.92285780345731694</v>
      </c>
      <c r="G63" s="92"/>
      <c r="H63" s="226">
        <f>+H59/H70</f>
        <v>0.98089408390533284</v>
      </c>
      <c r="I63" s="92"/>
      <c r="J63" s="226">
        <f>+J59/J70</f>
        <v>1.0163595511577657</v>
      </c>
      <c r="K63" s="92"/>
      <c r="L63" s="226">
        <f>+L59/L70</f>
        <v>0.90860973579644266</v>
      </c>
      <c r="M63" s="92"/>
      <c r="N63" s="226">
        <f>+N59/N70</f>
        <v>0.74650789203087864</v>
      </c>
      <c r="O63" s="92"/>
      <c r="P63" s="226">
        <f>+P59/P70</f>
        <v>0.54800867207886905</v>
      </c>
      <c r="Q63" s="92"/>
      <c r="R63" s="226">
        <f>+R59/R70</f>
        <v>0.46167971501809851</v>
      </c>
      <c r="S63" s="92"/>
      <c r="T63" s="226">
        <v>0.42168088627862627</v>
      </c>
      <c r="U63" s="92"/>
      <c r="V63" s="223">
        <f>+V59/V70</f>
        <v>0.4470469536930074</v>
      </c>
      <c r="W63" s="35"/>
      <c r="X63" s="223">
        <f>+X59/X70</f>
        <v>0.36141981781286553</v>
      </c>
      <c r="Y63" s="35"/>
      <c r="Z63" s="226">
        <f>+Z59/Z70</f>
        <v>0.44949835767618052</v>
      </c>
      <c r="AA63" s="92"/>
      <c r="AB63" s="226">
        <f>+AB59/AB70</f>
        <v>0.52754773470132144</v>
      </c>
      <c r="AC63" s="92"/>
      <c r="AD63" s="226">
        <f>+AD59/AD70</f>
        <v>0.66360237287181356</v>
      </c>
      <c r="AE63" s="92"/>
      <c r="AF63" s="223">
        <f>+AF59/AF70</f>
        <v>0.75435797319502629</v>
      </c>
      <c r="AG63" s="35"/>
      <c r="AH63" s="226">
        <f>+AH59/AH70</f>
        <v>0.74762049550765508</v>
      </c>
      <c r="AI63" s="92"/>
      <c r="AJ63" s="223">
        <f>+AJ59/AJ70</f>
        <v>0.75614315501052276</v>
      </c>
      <c r="AK63" s="35"/>
      <c r="AL63" s="226">
        <f>+AL59/AL70</f>
        <v>0.80517938252416665</v>
      </c>
      <c r="AM63" s="92"/>
      <c r="AN63" s="223">
        <f>+AN59/AN70</f>
        <v>0.94812409481602145</v>
      </c>
      <c r="AO63" s="35"/>
      <c r="AP63" s="464">
        <f>+AP59/AP70</f>
        <v>1.3271273265299934</v>
      </c>
      <c r="AQ63" s="472"/>
      <c r="AR63" s="389"/>
      <c r="AS63" s="109"/>
      <c r="AT63" s="255"/>
    </row>
    <row r="64" spans="1:46" s="68" customFormat="1" x14ac:dyDescent="0.25">
      <c r="A64" s="415" t="s">
        <v>96</v>
      </c>
      <c r="B64" s="226">
        <f>+B59/B71</f>
        <v>0.65859454229107273</v>
      </c>
      <c r="C64" s="92"/>
      <c r="D64" s="226">
        <f>+D59/D71</f>
        <v>0.66720539191621286</v>
      </c>
      <c r="E64" s="92"/>
      <c r="F64" s="226">
        <f>+F59/F71</f>
        <v>0.69243692065496776</v>
      </c>
      <c r="G64" s="92"/>
      <c r="H64" s="226">
        <f>+H59/H71</f>
        <v>0.77927541890026497</v>
      </c>
      <c r="I64" s="92"/>
      <c r="J64" s="226">
        <f>+J59/J71</f>
        <v>0.82995343045342118</v>
      </c>
      <c r="K64" s="92"/>
      <c r="L64" s="226">
        <f>+L59/L71</f>
        <v>0.77436999643568072</v>
      </c>
      <c r="M64" s="92"/>
      <c r="N64" s="226">
        <f>+N59/N71</f>
        <v>0.68356094615812768</v>
      </c>
      <c r="O64" s="92"/>
      <c r="P64" s="226">
        <f>+P59/P71</f>
        <v>0.55875605889687641</v>
      </c>
      <c r="Q64" s="92"/>
      <c r="R64" s="226">
        <f>+R59/R71</f>
        <v>0.46015572320113063</v>
      </c>
      <c r="S64" s="92"/>
      <c r="T64" s="226">
        <v>0.34585103448889254</v>
      </c>
      <c r="U64" s="92"/>
      <c r="V64" s="223">
        <f>+V59/V71</f>
        <v>0.30640828282568666</v>
      </c>
      <c r="W64" s="35"/>
      <c r="X64" s="223">
        <f>+X59/X71</f>
        <v>0.26487810471180129</v>
      </c>
      <c r="Y64" s="35"/>
      <c r="Z64" s="226">
        <f>+Z59/Z71</f>
        <v>0.32402270520342541</v>
      </c>
      <c r="AA64" s="92"/>
      <c r="AB64" s="226">
        <f>+AB59/AB71</f>
        <v>0.36256730632284434</v>
      </c>
      <c r="AC64" s="92"/>
      <c r="AD64" s="226">
        <f>+AD59/AD71</f>
        <v>0.44626722416016351</v>
      </c>
      <c r="AE64" s="92"/>
      <c r="AF64" s="223">
        <f>+AF59/AF71</f>
        <v>0.50643149211566962</v>
      </c>
      <c r="AG64" s="35"/>
      <c r="AH64" s="226">
        <f>+AH59/AH71</f>
        <v>0.52007111045692977</v>
      </c>
      <c r="AI64" s="92"/>
      <c r="AJ64" s="223">
        <f>+AJ59/AJ71</f>
        <v>0.49875606735972977</v>
      </c>
      <c r="AK64" s="35"/>
      <c r="AL64" s="226">
        <f>+AL59/AL71</f>
        <v>0.53553085985763493</v>
      </c>
      <c r="AM64" s="92"/>
      <c r="AN64" s="223">
        <f>+AN59/AN71</f>
        <v>0.58828444647669698</v>
      </c>
      <c r="AO64" s="35"/>
      <c r="AP64" s="464">
        <f>+AP59/AP71</f>
        <v>0.74997539570073135</v>
      </c>
      <c r="AQ64" s="472"/>
      <c r="AR64" s="389"/>
      <c r="AS64" s="109"/>
      <c r="AT64" s="255"/>
    </row>
    <row r="65" spans="1:46" x14ac:dyDescent="0.25">
      <c r="A65" s="415"/>
      <c r="B65" s="5"/>
      <c r="C65" s="92"/>
      <c r="D65" s="133"/>
      <c r="E65" s="92"/>
      <c r="F65" s="5"/>
      <c r="G65" s="92"/>
      <c r="H65" s="133"/>
      <c r="I65" s="92"/>
      <c r="J65" s="133"/>
      <c r="K65" s="92"/>
      <c r="L65" s="133"/>
      <c r="M65" s="92"/>
      <c r="N65" s="133"/>
      <c r="O65" s="92"/>
      <c r="P65" s="133"/>
      <c r="Q65" s="92"/>
      <c r="R65" s="133"/>
      <c r="S65" s="92"/>
      <c r="T65" s="133"/>
      <c r="U65" s="92"/>
      <c r="V65" s="76"/>
      <c r="W65" s="35"/>
      <c r="X65" s="76"/>
      <c r="Y65" s="35"/>
      <c r="Z65" s="133"/>
      <c r="AA65" s="92"/>
      <c r="AB65" s="133"/>
      <c r="AC65" s="92"/>
      <c r="AD65" s="133"/>
      <c r="AE65" s="92"/>
      <c r="AF65" s="76"/>
      <c r="AG65" s="35"/>
      <c r="AH65" s="133"/>
      <c r="AI65" s="92"/>
      <c r="AJ65" s="76"/>
      <c r="AK65" s="35"/>
      <c r="AL65" s="133"/>
      <c r="AM65" s="92"/>
      <c r="AN65" s="76"/>
      <c r="AO65" s="35"/>
      <c r="AP65" s="473"/>
      <c r="AQ65" s="472"/>
      <c r="AR65" s="389"/>
      <c r="AS65" s="109"/>
      <c r="AT65" s="77"/>
    </row>
    <row r="66" spans="1:46" s="1" customFormat="1" ht="13.5" customHeight="1" x14ac:dyDescent="0.3">
      <c r="A66" s="394" t="s">
        <v>103</v>
      </c>
      <c r="B66" s="89">
        <f>+'Domestic Debt USD'!B71</f>
        <v>14536.759423417561</v>
      </c>
      <c r="C66" s="94"/>
      <c r="D66" s="89">
        <f>+'Domestic Debt USD'!D71</f>
        <v>15365.515746109522</v>
      </c>
      <c r="E66" s="94"/>
      <c r="F66" s="89">
        <f>+'Domestic Debt USD'!F71</f>
        <v>15737.742407798021</v>
      </c>
      <c r="G66" s="94"/>
      <c r="H66" s="89">
        <f>+'Domestic Debt USD'!H71</f>
        <v>16432.925332897496</v>
      </c>
      <c r="I66" s="94"/>
      <c r="J66" s="89">
        <f>+'Domestic Debt USD'!J71</f>
        <v>17731.567750943697</v>
      </c>
      <c r="K66" s="94"/>
      <c r="L66" s="89">
        <f>+'Domestic Debt USD'!L71</f>
        <v>19242.173608849371</v>
      </c>
      <c r="M66" s="94"/>
      <c r="N66" s="89">
        <f>+'Domestic Debt USD'!N71</f>
        <v>22410.018893145767</v>
      </c>
      <c r="O66" s="94"/>
      <c r="P66" s="89">
        <f>+'Domestic Debt USD'!P71</f>
        <v>27936.224854951623</v>
      </c>
      <c r="Q66" s="94"/>
      <c r="R66" s="89">
        <f>+'Domestic Debt USD'!R71</f>
        <v>29344.415334852361</v>
      </c>
      <c r="S66" s="94"/>
      <c r="T66" s="89">
        <f>+'Domestic Debt USD'!T71</f>
        <v>31357.672557900729</v>
      </c>
      <c r="U66" s="94"/>
      <c r="V66" s="89">
        <f>+'Domestic Debt USD'!V71</f>
        <v>38638.069449185561</v>
      </c>
      <c r="W66" s="94"/>
      <c r="X66" s="89">
        <f>+'Domestic Debt USD'!X71</f>
        <v>42331.006140090052</v>
      </c>
      <c r="Y66" s="94"/>
      <c r="Z66" s="89">
        <f>+'Domestic Debt USD'!Z71</f>
        <v>46644.676412016575</v>
      </c>
      <c r="AA66" s="94"/>
      <c r="AB66" s="89">
        <f>+'Domestic Debt USD'!AB71</f>
        <v>50675.571953256316</v>
      </c>
      <c r="AC66" s="94"/>
      <c r="AD66" s="89">
        <f>+'Domestic Debt USD'!AD71</f>
        <v>51642.004390230904</v>
      </c>
      <c r="AE66" s="94"/>
      <c r="AF66" s="41">
        <f>+'Domestic Debt USD'!AF71</f>
        <v>56101.44635413697</v>
      </c>
      <c r="AG66" s="37"/>
      <c r="AH66" s="89">
        <f>+'Domestic Debt USD'!AH71</f>
        <v>57609.604291654083</v>
      </c>
      <c r="AI66" s="94"/>
      <c r="AJ66" s="41">
        <f>+'Domestic Debt USD'!AJ71</f>
        <v>60200.262051228237</v>
      </c>
      <c r="AK66" s="37"/>
      <c r="AL66" s="89">
        <f>+'Domestic Debt USD'!AL71</f>
        <v>59053.107547510132</v>
      </c>
      <c r="AM66" s="94"/>
      <c r="AN66" s="41">
        <f>+'Domestic Debt USD'!AN71</f>
        <v>65963.680714173621</v>
      </c>
      <c r="AO66" s="37"/>
      <c r="AP66" s="477">
        <f>+'Domestic Debt USD'!AP71</f>
        <v>59270.546172085626</v>
      </c>
      <c r="AQ66" s="475"/>
      <c r="AR66" s="567"/>
      <c r="AS66" s="109"/>
      <c r="AT66" s="147"/>
    </row>
    <row r="67" spans="1:46" s="1" customFormat="1" ht="13.5" customHeight="1" x14ac:dyDescent="0.3">
      <c r="A67" s="394" t="s">
        <v>104</v>
      </c>
      <c r="B67" s="73">
        <f>+'Domestic Debt USD'!B72</f>
        <v>2.9000000000000001E-2</v>
      </c>
      <c r="C67" s="94"/>
      <c r="D67" s="73">
        <f>+'Domestic Debt USD'!D72</f>
        <v>5.6000000000000001E-2</v>
      </c>
      <c r="E67" s="94"/>
      <c r="F67" s="73">
        <f>+'Domestic Debt USD'!F72</f>
        <v>2.9000000000000001E-2</v>
      </c>
      <c r="G67" s="94"/>
      <c r="H67" s="73">
        <f>+'Domestic Debt USD'!H72</f>
        <v>5.6000000000000001E-2</v>
      </c>
      <c r="I67" s="94"/>
      <c r="J67" s="73">
        <f>+'Domestic Debt USD'!J72</f>
        <v>4.2999999999999997E-2</v>
      </c>
      <c r="K67" s="94"/>
      <c r="L67" s="73">
        <f>+'Domestic Debt USD'!L72</f>
        <v>5.8999999999999997E-2</v>
      </c>
      <c r="M67" s="94"/>
      <c r="N67" s="73">
        <f>+'Domestic Debt USD'!N72</f>
        <v>8.7999999999999995E-2</v>
      </c>
      <c r="O67" s="94"/>
      <c r="P67" s="73">
        <f>+'Domestic Debt USD'!P72</f>
        <v>6.8000000000000005E-2</v>
      </c>
      <c r="Q67" s="94"/>
      <c r="R67" s="73">
        <f>+'Domestic Debt USD'!R72</f>
        <v>2.9000000000000001E-2</v>
      </c>
      <c r="S67" s="94"/>
      <c r="T67" s="73">
        <f>+'Domestic Debt USD'!T72</f>
        <v>-1.2999999999999999E-2</v>
      </c>
      <c r="U67" s="94"/>
      <c r="V67" s="73">
        <f>+'Domestic Debt USD'!V72</f>
        <v>4.2000000000000003E-2</v>
      </c>
      <c r="W67" s="94"/>
      <c r="X67" s="73">
        <f>+'Domestic Debt USD'!X72</f>
        <v>4.4999999999999998E-2</v>
      </c>
      <c r="Y67" s="94"/>
      <c r="Z67" s="518">
        <f>+'Domestic Debt USD'!Z72</f>
        <v>4.8000000000000001E-2</v>
      </c>
      <c r="AA67" s="94"/>
      <c r="AB67" s="73">
        <f>+'Domestic Debt USD'!AB72</f>
        <v>3.4972883502778697E-2</v>
      </c>
      <c r="AC67" s="94"/>
      <c r="AD67" s="73">
        <f>+'Domestic Debt USD'!AD72</f>
        <v>3.4972883502778697E-2</v>
      </c>
      <c r="AE67" s="94"/>
      <c r="AF67" s="73">
        <f>+'Domestic Debt USD'!AF72</f>
        <v>3.5000000000000003E-2</v>
      </c>
      <c r="AG67" s="37"/>
      <c r="AH67" s="517">
        <f>+'Domestic Debt USD'!AH72</f>
        <v>4.2999999999999997E-2</v>
      </c>
      <c r="AI67" s="94"/>
      <c r="AJ67" s="53">
        <f>+'Domestic Debt USD'!AJ72</f>
        <v>3.2000000000000001E-2</v>
      </c>
      <c r="AK67" s="37"/>
      <c r="AL67" s="517">
        <f>+'Domestic Debt USD'!AL72</f>
        <v>2.7E-2</v>
      </c>
      <c r="AM67" s="94"/>
      <c r="AN67" s="53">
        <f>+'Domestic Debt USD'!AN72</f>
        <v>2.1000000000000001E-2</v>
      </c>
      <c r="AO67" s="37"/>
      <c r="AP67" s="510">
        <f>+'Domestic Debt USD'!AP72</f>
        <v>2.1000000000000001E-2</v>
      </c>
      <c r="AQ67" s="475"/>
      <c r="AR67" s="567"/>
      <c r="AS67" s="109"/>
      <c r="AT67" s="147"/>
    </row>
    <row r="68" spans="1:46" s="1" customFormat="1" ht="13.5" customHeight="1" x14ac:dyDescent="0.3">
      <c r="A68" s="394" t="s">
        <v>105</v>
      </c>
      <c r="B68" s="89">
        <f>+'Domestic Debt USD'!B73</f>
        <v>4179.8691350199997</v>
      </c>
      <c r="C68" s="94"/>
      <c r="D68" s="89">
        <f>+'Domestic Debt USD'!D73</f>
        <v>4195.0207305900003</v>
      </c>
      <c r="E68" s="94"/>
      <c r="F68" s="89">
        <f>+'Domestic Debt USD'!F73</f>
        <v>4268.8927847800005</v>
      </c>
      <c r="G68" s="94"/>
      <c r="H68" s="89">
        <f>+'Domestic Debt USD'!H73</f>
        <v>4607.3523590999994</v>
      </c>
      <c r="I68" s="94"/>
      <c r="J68" s="89">
        <f>+'Domestic Debt USD'!J73</f>
        <v>5120.4692103400002</v>
      </c>
      <c r="K68" s="94"/>
      <c r="L68" s="89">
        <f>+'Domestic Debt USD'!L73</f>
        <v>5568.9473202500003</v>
      </c>
      <c r="M68" s="94"/>
      <c r="N68" s="89">
        <f>+'Domestic Debt USD'!N73</f>
        <v>6310.7661585599999</v>
      </c>
      <c r="O68" s="94"/>
      <c r="P68" s="89">
        <f>+'Domestic Debt USD'!P73</f>
        <v>6874.2094266600006</v>
      </c>
      <c r="Q68" s="94"/>
      <c r="R68" s="89">
        <f>+'Domestic Debt USD'!R73</f>
        <v>7513.77685406</v>
      </c>
      <c r="S68" s="94"/>
      <c r="T68" s="89">
        <f>+'Domestic Debt USD'!T73</f>
        <v>6622.8784836100003</v>
      </c>
      <c r="U68" s="94"/>
      <c r="V68" s="89">
        <f>+'Domestic Debt USD'!V73</f>
        <v>7492.5460768499997</v>
      </c>
      <c r="W68" s="94"/>
      <c r="X68" s="89">
        <f>+'Domestic Debt USD'!X73</f>
        <v>8301.3790727300002</v>
      </c>
      <c r="Y68" s="94"/>
      <c r="Z68" s="89">
        <f>+'Domestic Debt USD'!Z73</f>
        <v>11020</v>
      </c>
      <c r="AA68" s="94"/>
      <c r="AB68" s="89">
        <f>+'Domestic Debt USD'!AB73</f>
        <v>8866.3264055</v>
      </c>
      <c r="AC68" s="94"/>
      <c r="AD68" s="89">
        <f>+'Domestic Debt USD'!AD73</f>
        <v>9494.8377264699993</v>
      </c>
      <c r="AE68" s="94"/>
      <c r="AF68" s="41">
        <f>+'Domestic Debt USD'!AF73</f>
        <v>9296.8922754499999</v>
      </c>
      <c r="AG68" s="37"/>
      <c r="AH68" s="89">
        <f>+'Domestic Debt USD'!AH73</f>
        <v>10243</v>
      </c>
      <c r="AI68" s="94"/>
      <c r="AJ68" s="41">
        <f>+'Domestic Debt USD'!AJ73</f>
        <v>10897</v>
      </c>
      <c r="AK68" s="37"/>
      <c r="AL68" s="89">
        <f>+'Domestic Debt USD'!AL73</f>
        <v>11454</v>
      </c>
      <c r="AM68" s="94"/>
      <c r="AN68" s="41">
        <f>+'Domestic Debt USD'!AN73</f>
        <v>11613</v>
      </c>
      <c r="AO68" s="37"/>
      <c r="AP68" s="477">
        <f>+'Domestic Debt USD'!AP73</f>
        <v>11707.5</v>
      </c>
      <c r="AQ68" s="475"/>
      <c r="AR68" s="567"/>
      <c r="AS68" s="109"/>
      <c r="AT68" s="147"/>
    </row>
    <row r="69" spans="1:46" s="1" customFormat="1" ht="13.5" customHeight="1" x14ac:dyDescent="0.3">
      <c r="A69" s="394" t="s">
        <v>106</v>
      </c>
      <c r="B69" s="89">
        <f>+'Domestic Debt USD'!B74</f>
        <v>1911.8372290292177</v>
      </c>
      <c r="C69" s="95"/>
      <c r="D69" s="89">
        <f>+'Domestic Debt USD'!D74</f>
        <v>2111.750307071416</v>
      </c>
      <c r="E69" s="95"/>
      <c r="F69" s="89">
        <f>+'Domestic Debt USD'!F74</f>
        <v>2133.6253792375674</v>
      </c>
      <c r="G69" s="95"/>
      <c r="H69" s="89">
        <f>+'Domestic Debt USD'!H74</f>
        <v>2273.0822199947493</v>
      </c>
      <c r="I69" s="95"/>
      <c r="J69" s="89">
        <f>+'Domestic Debt USD'!J74</f>
        <v>2409.7981028631107</v>
      </c>
      <c r="K69" s="95"/>
      <c r="L69" s="89">
        <f>+'Domestic Debt USD'!L74</f>
        <v>2654.7762526430452</v>
      </c>
      <c r="M69" s="95"/>
      <c r="N69" s="89">
        <f>+'Domestic Debt USD'!N74</f>
        <v>3160.4107812969391</v>
      </c>
      <c r="O69" s="95"/>
      <c r="P69" s="89">
        <f>+'Domestic Debt USD'!P74</f>
        <v>4232.8600931898145</v>
      </c>
      <c r="Q69" s="95"/>
      <c r="R69" s="89">
        <f>+'Domestic Debt USD'!R74</f>
        <v>4507.0354835831058</v>
      </c>
      <c r="S69" s="95"/>
      <c r="T69" s="89">
        <f>+'Domestic Debt USD'!T74</f>
        <v>4197.0079477820673</v>
      </c>
      <c r="U69" s="95"/>
      <c r="V69" s="89">
        <f>+'Domestic Debt USD'!V74</f>
        <v>5349.5130975877073</v>
      </c>
      <c r="W69" s="95"/>
      <c r="X69" s="89">
        <f>+'Domestic Debt USD'!X74</f>
        <v>5920.1556121304966</v>
      </c>
      <c r="Y69" s="95"/>
      <c r="Z69" s="89">
        <f>+'Domestic Debt USD'!Z74</f>
        <v>6422.18240113921</v>
      </c>
      <c r="AA69" s="95"/>
      <c r="AB69" s="89">
        <f>+'Domestic Debt USD'!AB74</f>
        <v>7037.6389572605322</v>
      </c>
      <c r="AC69" s="95"/>
      <c r="AD69" s="89">
        <f>+'Domestic Debt USD'!AD74</f>
        <v>7003.6508777575518</v>
      </c>
      <c r="AE69" s="95"/>
      <c r="AF69" s="41">
        <f>+'Domestic Debt USD'!AF74</f>
        <v>7772.5466363086043</v>
      </c>
      <c r="AG69" s="42"/>
      <c r="AH69" s="89">
        <f>+'Domestic Debt USD'!AH74</f>
        <v>8197.1513593205182</v>
      </c>
      <c r="AI69" s="95"/>
      <c r="AJ69" s="41">
        <f>+'Domestic Debt USD'!AJ74</f>
        <v>8306.4455455557509</v>
      </c>
      <c r="AK69" s="42"/>
      <c r="AL69" s="89">
        <f>+'Domestic Debt USD'!AL74</f>
        <v>8075.8953416639615</v>
      </c>
      <c r="AM69" s="95"/>
      <c r="AN69" s="41">
        <f>+'Domestic Debt USD'!AN74</f>
        <v>9163.8555449225496</v>
      </c>
      <c r="AO69" s="42"/>
      <c r="AP69" s="477">
        <f>+'Domestic Debt USD'!AP74</f>
        <v>7624.4973048375123</v>
      </c>
      <c r="AQ69" s="528"/>
      <c r="AR69" s="578"/>
      <c r="AS69" s="109"/>
      <c r="AT69" s="147"/>
    </row>
    <row r="70" spans="1:46" s="1" customFormat="1" ht="13.5" customHeight="1" x14ac:dyDescent="0.3">
      <c r="A70" s="394" t="s">
        <v>107</v>
      </c>
      <c r="B70" s="89">
        <f>+'Domestic Debt USD'!B75</f>
        <v>1896.7885328306629</v>
      </c>
      <c r="C70" s="95"/>
      <c r="D70" s="89">
        <f>+'Domestic Debt USD'!D75</f>
        <v>2084.9976604082585</v>
      </c>
      <c r="E70" s="95"/>
      <c r="F70" s="89">
        <f>+'Domestic Debt USD'!F75</f>
        <v>2114.2986413401927</v>
      </c>
      <c r="G70" s="95"/>
      <c r="H70" s="89">
        <f>+'Domestic Debt USD'!H75</f>
        <v>2224.1545094389153</v>
      </c>
      <c r="I70" s="95"/>
      <c r="J70" s="89">
        <f>+'Domestic Debt USD'!J75</f>
        <v>2362.6087807849622</v>
      </c>
      <c r="K70" s="95"/>
      <c r="L70" s="89">
        <f>+'Domestic Debt USD'!L75</f>
        <v>2605.508070992506</v>
      </c>
      <c r="M70" s="95"/>
      <c r="N70" s="89">
        <f>+'Domestic Debt USD'!N75</f>
        <v>3108.8217884560609</v>
      </c>
      <c r="O70" s="95"/>
      <c r="P70" s="89">
        <f>+'Domestic Debt USD'!P75</f>
        <v>4157.3064735590842</v>
      </c>
      <c r="Q70" s="95"/>
      <c r="R70" s="89">
        <f>+'Domestic Debt USD'!R75</f>
        <v>4439.6145928127889</v>
      </c>
      <c r="S70" s="95"/>
      <c r="T70" s="89">
        <f>+'Domestic Debt USD'!T75</f>
        <v>4121.4129899147838</v>
      </c>
      <c r="U70" s="95"/>
      <c r="V70" s="89">
        <f>+'Domestic Debt USD'!V75</f>
        <v>4981.1605650975607</v>
      </c>
      <c r="W70" s="95"/>
      <c r="X70" s="89">
        <f>+'Domestic Debt USD'!X75</f>
        <v>5552.0596232449789</v>
      </c>
      <c r="Y70" s="95"/>
      <c r="Z70" s="89">
        <f>+'Domestic Debt USD'!Z75</f>
        <v>6052.2861331457298</v>
      </c>
      <c r="AA70" s="95"/>
      <c r="AB70" s="89">
        <f>+'Domestic Debt USD'!AB75</f>
        <v>6664.2411600722426</v>
      </c>
      <c r="AC70" s="95"/>
      <c r="AD70" s="89">
        <f>+'Domestic Debt USD'!AD75</f>
        <v>6606.8187884216741</v>
      </c>
      <c r="AE70" s="95"/>
      <c r="AF70" s="41">
        <f>+'Domestic Debt USD'!AF75</f>
        <v>7298.8070289230409</v>
      </c>
      <c r="AG70" s="42"/>
      <c r="AH70" s="89">
        <f>+'Domestic Debt USD'!AH75</f>
        <v>7752.2265668192795</v>
      </c>
      <c r="AI70" s="95"/>
      <c r="AJ70" s="41">
        <f>+'Domestic Debt USD'!AJ75</f>
        <v>7821.375166789252</v>
      </c>
      <c r="AK70" s="42"/>
      <c r="AL70" s="89">
        <f>+'Domestic Debt USD'!AL75</f>
        <v>7628.7375171775948</v>
      </c>
      <c r="AM70" s="95"/>
      <c r="AN70" s="41">
        <f>+'Domestic Debt USD'!AN75</f>
        <v>8525.3948631228886</v>
      </c>
      <c r="AO70" s="42"/>
      <c r="AP70" s="477">
        <f>+'Domestic Debt USD'!AP75</f>
        <v>7050.5871954844406</v>
      </c>
      <c r="AQ70" s="528"/>
      <c r="AR70" s="578"/>
      <c r="AS70" s="109"/>
      <c r="AT70" s="147"/>
    </row>
    <row r="71" spans="1:46" s="1" customFormat="1" ht="13.5" customHeight="1" x14ac:dyDescent="0.3">
      <c r="A71" s="394" t="s">
        <v>108</v>
      </c>
      <c r="B71" s="89">
        <f>+'Domestic Debt USD'!B76</f>
        <v>2377.3352183474708</v>
      </c>
      <c r="C71" s="95"/>
      <c r="D71" s="89">
        <f>+'Domestic Debt USD'!D76</f>
        <v>2580.1949757267357</v>
      </c>
      <c r="E71" s="95"/>
      <c r="F71" s="89">
        <f>+'Domestic Debt USD'!F76</f>
        <v>2817.8696741854637</v>
      </c>
      <c r="G71" s="95"/>
      <c r="H71" s="89">
        <f>+'Domestic Debt USD'!H76</f>
        <v>2799.600689418407</v>
      </c>
      <c r="I71" s="95"/>
      <c r="J71" s="89">
        <f>+'Domestic Debt USD'!J76</f>
        <v>2893.2466713079803</v>
      </c>
      <c r="K71" s="95"/>
      <c r="L71" s="89">
        <f>+'Domestic Debt USD'!L76</f>
        <v>3057.1819813484158</v>
      </c>
      <c r="M71" s="95"/>
      <c r="N71" s="89">
        <f>+'Domestic Debt USD'!N76</f>
        <v>3395.1032648128207</v>
      </c>
      <c r="O71" s="95"/>
      <c r="P71" s="89">
        <f>+'Domestic Debt USD'!P76</f>
        <v>4077.3428112758415</v>
      </c>
      <c r="Q71" s="95"/>
      <c r="R71" s="89">
        <f>+'Domestic Debt USD'!R76</f>
        <v>4454.3181724246424</v>
      </c>
      <c r="S71" s="95"/>
      <c r="T71" s="89">
        <f>+'Domestic Debt USD'!T76</f>
        <v>5223.8137543718194</v>
      </c>
      <c r="U71" s="95"/>
      <c r="V71" s="89">
        <f>+'Domestic Debt USD'!V76</f>
        <v>7267.4688684881949</v>
      </c>
      <c r="W71" s="95"/>
      <c r="X71" s="89">
        <f>+'Domestic Debt USD'!X76</f>
        <v>7575.6521276179474</v>
      </c>
      <c r="Y71" s="95"/>
      <c r="Z71" s="89">
        <f>+'Domestic Debt USD'!Z76</f>
        <v>8395.9939638407996</v>
      </c>
      <c r="AA71" s="95"/>
      <c r="AB71" s="89">
        <f>+'Domestic Debt USD'!AB76</f>
        <v>9696.6970440762634</v>
      </c>
      <c r="AC71" s="95"/>
      <c r="AD71" s="89">
        <f>+'Domestic Debt USD'!AD76</f>
        <v>9824.3841083816533</v>
      </c>
      <c r="AE71" s="95"/>
      <c r="AF71" s="41">
        <f>+'Domestic Debt USD'!AF76</f>
        <v>10871.980441181646</v>
      </c>
      <c r="AG71" s="42"/>
      <c r="AH71" s="89">
        <f>+'Domestic Debt USD'!AH76</f>
        <v>11144.098087049995</v>
      </c>
      <c r="AI71" s="95"/>
      <c r="AJ71" s="41">
        <f>+'Domestic Debt USD'!AJ76</f>
        <v>11857.658848030465</v>
      </c>
      <c r="AK71" s="42"/>
      <c r="AL71" s="89">
        <f>+'Domestic Debt USD'!AL76</f>
        <v>11469.93128491777</v>
      </c>
      <c r="AM71" s="95"/>
      <c r="AN71" s="41">
        <f>+'Domestic Debt USD'!AN76</f>
        <v>13740.176773257146</v>
      </c>
      <c r="AO71" s="42"/>
      <c r="AP71" s="477">
        <f>+'Domestic Debt USD'!AP76</f>
        <v>12476.445212535584</v>
      </c>
      <c r="AQ71" s="528"/>
      <c r="AR71" s="578"/>
      <c r="AS71" s="109"/>
      <c r="AT71" s="147"/>
    </row>
    <row r="72" spans="1:46" s="1" customFormat="1" ht="14.4" thickBot="1" x14ac:dyDescent="0.35">
      <c r="A72" s="424"/>
      <c r="B72" s="85"/>
      <c r="C72" s="101"/>
      <c r="D72" s="85"/>
      <c r="E72" s="101"/>
      <c r="F72" s="85"/>
      <c r="G72" s="101"/>
      <c r="H72" s="85"/>
      <c r="I72" s="101"/>
      <c r="J72" s="85"/>
      <c r="K72" s="101"/>
      <c r="L72" s="85"/>
      <c r="M72" s="101"/>
      <c r="N72" s="85"/>
      <c r="O72" s="101"/>
      <c r="P72" s="85"/>
      <c r="Q72" s="101"/>
      <c r="R72" s="85"/>
      <c r="S72" s="101"/>
      <c r="T72" s="85"/>
      <c r="U72" s="101"/>
      <c r="V72" s="44"/>
      <c r="W72" s="59"/>
      <c r="X72" s="154"/>
      <c r="Y72" s="59"/>
      <c r="Z72" s="180"/>
      <c r="AA72" s="101"/>
      <c r="AB72" s="180"/>
      <c r="AC72" s="101"/>
      <c r="AD72" s="180"/>
      <c r="AE72" s="101"/>
      <c r="AF72" s="154"/>
      <c r="AG72" s="59"/>
      <c r="AH72" s="180"/>
      <c r="AI72" s="101"/>
      <c r="AJ72" s="154"/>
      <c r="AK72" s="59"/>
      <c r="AL72" s="180"/>
      <c r="AM72" s="101"/>
      <c r="AN72" s="154"/>
      <c r="AO72" s="59"/>
      <c r="AP72" s="530"/>
      <c r="AQ72" s="529"/>
      <c r="AR72" s="16"/>
      <c r="AT72" s="147"/>
    </row>
    <row r="73" spans="1:46" s="1" customFormat="1" ht="15" customHeight="1" x14ac:dyDescent="0.25">
      <c r="A73" s="7"/>
      <c r="B73" s="145"/>
      <c r="C73" s="146"/>
      <c r="D73" s="145"/>
      <c r="E73" s="145"/>
      <c r="F73" s="145"/>
      <c r="G73" s="146"/>
      <c r="H73" s="145"/>
      <c r="I73" s="145"/>
      <c r="J73" s="145"/>
      <c r="K73" s="145"/>
      <c r="L73" s="145"/>
      <c r="M73" s="145"/>
      <c r="N73" s="145"/>
      <c r="O73" s="145"/>
      <c r="P73" s="145"/>
      <c r="Q73" s="145"/>
      <c r="R73" s="145"/>
      <c r="S73" s="145"/>
      <c r="T73" s="145"/>
      <c r="U73" s="145"/>
      <c r="V73" s="155"/>
      <c r="W73" s="155"/>
      <c r="Z73" s="11"/>
      <c r="AA73" s="11"/>
      <c r="AB73" s="11"/>
      <c r="AC73" s="11"/>
      <c r="AD73" s="11"/>
      <c r="AE73" s="11"/>
      <c r="AF73" s="38"/>
      <c r="AG73" s="38"/>
      <c r="AH73" s="38"/>
      <c r="AI73" s="38"/>
      <c r="AJ73" s="38"/>
      <c r="AK73" s="38"/>
      <c r="AL73" s="11"/>
      <c r="AM73" s="11"/>
      <c r="AN73" s="38"/>
      <c r="AO73" s="38"/>
      <c r="AR73" s="11"/>
    </row>
    <row r="74" spans="1:46" s="1" customFormat="1" ht="13.5" customHeight="1" x14ac:dyDescent="0.25">
      <c r="A74" s="1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1"/>
      <c r="AA74" s="11"/>
      <c r="AB74" s="11"/>
      <c r="AC74" s="11"/>
      <c r="AD74" s="11"/>
      <c r="AE74" s="11"/>
      <c r="AF74" s="38"/>
      <c r="AG74" s="38"/>
      <c r="AH74" s="38"/>
      <c r="AI74" s="38"/>
      <c r="AJ74" s="38"/>
      <c r="AK74" s="38"/>
      <c r="AL74" s="11"/>
      <c r="AM74" s="11"/>
      <c r="AN74" s="38"/>
      <c r="AO74" s="38"/>
      <c r="AR74" s="11"/>
    </row>
    <row r="75" spans="1:46" s="1" customFormat="1" ht="12.75" customHeight="1" x14ac:dyDescent="0.25">
      <c r="A75" s="1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1"/>
      <c r="AA75" s="11"/>
      <c r="AB75" s="11"/>
      <c r="AC75" s="11"/>
      <c r="AD75" s="11"/>
      <c r="AE75" s="11"/>
      <c r="AF75" s="38"/>
      <c r="AG75" s="38"/>
      <c r="AH75" s="38"/>
      <c r="AI75" s="38"/>
      <c r="AJ75" s="38"/>
      <c r="AK75" s="38"/>
      <c r="AL75" s="11"/>
      <c r="AM75" s="11"/>
      <c r="AN75" s="38"/>
      <c r="AO75" s="38"/>
      <c r="AR75" s="11"/>
    </row>
    <row r="76" spans="1:46" ht="13.5" customHeight="1" x14ac:dyDescent="0.25">
      <c r="A76" s="584"/>
      <c r="B76"/>
      <c r="C76"/>
      <c r="F76"/>
      <c r="G76"/>
      <c r="J76"/>
      <c r="K76"/>
      <c r="V76" s="63"/>
      <c r="W76" s="64"/>
      <c r="X76" s="63"/>
      <c r="AN76" s="30"/>
      <c r="AO76" s="30"/>
    </row>
    <row r="77" spans="1:46" s="2" customFormat="1" ht="12" customHeight="1" x14ac:dyDescent="0.2">
      <c r="A77" s="28"/>
      <c r="C77" s="62"/>
      <c r="D77" s="151"/>
      <c r="E77" s="66"/>
      <c r="G77" s="62"/>
      <c r="H77" s="151"/>
      <c r="I77" s="66"/>
      <c r="J77" s="151"/>
      <c r="K77" s="66"/>
      <c r="L77" s="62"/>
      <c r="M77" s="66"/>
      <c r="N77" s="150"/>
      <c r="P77" s="62"/>
      <c r="Q77" s="62"/>
      <c r="R77" s="62"/>
      <c r="S77" s="62"/>
      <c r="Z77" s="62"/>
      <c r="AA77" s="62"/>
      <c r="AB77" s="62"/>
      <c r="AC77" s="62"/>
      <c r="AD77" s="62"/>
      <c r="AE77" s="62"/>
      <c r="AF77" s="61"/>
      <c r="AG77" s="61"/>
      <c r="AH77" s="61"/>
      <c r="AI77" s="61"/>
      <c r="AJ77" s="61"/>
      <c r="AK77" s="61"/>
      <c r="AL77" s="62"/>
      <c r="AM77" s="62"/>
      <c r="AN77" s="61"/>
      <c r="AO77" s="61"/>
      <c r="AR77" s="62"/>
    </row>
    <row r="78" spans="1:46" s="2" customFormat="1" ht="12.75" customHeight="1" x14ac:dyDescent="0.2">
      <c r="A78" s="21"/>
      <c r="B78" s="150"/>
      <c r="C78" s="62"/>
      <c r="D78" s="62"/>
      <c r="E78" s="62"/>
      <c r="F78" s="150"/>
      <c r="G78" s="62"/>
      <c r="H78" s="62"/>
      <c r="I78" s="62"/>
      <c r="J78" s="62"/>
      <c r="K78" s="62"/>
      <c r="P78" s="62"/>
      <c r="Q78" s="62"/>
      <c r="R78" s="62"/>
      <c r="S78" s="62"/>
      <c r="Z78" s="62"/>
      <c r="AA78" s="62"/>
      <c r="AB78" s="62"/>
      <c r="AC78" s="62"/>
      <c r="AD78" s="62"/>
      <c r="AE78" s="62"/>
      <c r="AF78" s="61"/>
      <c r="AG78" s="61"/>
      <c r="AH78" s="61"/>
      <c r="AI78" s="61"/>
      <c r="AJ78" s="61"/>
      <c r="AK78" s="61"/>
      <c r="AL78" s="62"/>
      <c r="AM78" s="62"/>
      <c r="AN78" s="61"/>
      <c r="AO78" s="61"/>
      <c r="AR78" s="62"/>
    </row>
    <row r="79" spans="1:46" s="2" customFormat="1" ht="12.75" customHeight="1" x14ac:dyDescent="0.2">
      <c r="A79" s="21"/>
      <c r="B79" s="150"/>
      <c r="C79" s="62"/>
      <c r="D79" s="62"/>
      <c r="E79" s="62"/>
      <c r="F79" s="150"/>
      <c r="G79" s="62"/>
      <c r="H79" s="62"/>
      <c r="I79" s="62"/>
      <c r="J79" s="62"/>
      <c r="K79" s="62"/>
      <c r="P79" s="62"/>
      <c r="Q79" s="62"/>
      <c r="R79" s="62"/>
      <c r="S79" s="62"/>
      <c r="Z79" s="62"/>
      <c r="AA79" s="62"/>
      <c r="AB79" s="62"/>
      <c r="AC79" s="62"/>
      <c r="AD79" s="62"/>
      <c r="AE79" s="62"/>
      <c r="AF79" s="61"/>
      <c r="AG79" s="61"/>
      <c r="AH79" s="61"/>
      <c r="AI79" s="61"/>
      <c r="AJ79" s="61"/>
      <c r="AK79" s="61"/>
      <c r="AL79" s="62"/>
      <c r="AM79" s="62"/>
      <c r="AN79" s="61"/>
      <c r="AO79" s="61"/>
      <c r="AR79" s="62"/>
    </row>
    <row r="80" spans="1:46" ht="13.8" thickBot="1" x14ac:dyDescent="0.3">
      <c r="A80" s="195"/>
      <c r="D80" s="4"/>
      <c r="E80" s="4"/>
      <c r="H80" s="4"/>
      <c r="I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AN80" s="30"/>
      <c r="AO80" s="30"/>
    </row>
    <row r="81" spans="1:44" s="3" customFormat="1" ht="13.8" thickBot="1" x14ac:dyDescent="0.3">
      <c r="A81" s="67" t="s">
        <v>122</v>
      </c>
      <c r="B81" s="173">
        <v>318.3</v>
      </c>
      <c r="C81" s="8"/>
      <c r="D81" s="173">
        <v>341.94</v>
      </c>
      <c r="E81" s="8"/>
      <c r="F81" s="173">
        <v>379.05</v>
      </c>
      <c r="G81" s="8"/>
      <c r="H81" s="173">
        <v>419.01</v>
      </c>
      <c r="I81" s="8"/>
      <c r="J81" s="173">
        <v>459.64</v>
      </c>
      <c r="K81" s="8"/>
      <c r="L81" s="173">
        <v>497.71</v>
      </c>
      <c r="M81" s="8"/>
      <c r="N81" s="173">
        <v>518.22</v>
      </c>
      <c r="O81" s="8"/>
      <c r="P81" s="173">
        <v>497.17</v>
      </c>
      <c r="Q81" s="8"/>
      <c r="R81" s="173">
        <v>552.37</v>
      </c>
      <c r="S81" s="8"/>
      <c r="T81" s="173">
        <v>562.1</v>
      </c>
      <c r="U81" s="8"/>
      <c r="V81" s="173">
        <f>+'Domestic Debt Colones'!V89</f>
        <v>512.5</v>
      </c>
      <c r="W81" s="8"/>
      <c r="X81" s="173">
        <f>+'Domestic Debt Colones'!X89</f>
        <v>510.82</v>
      </c>
      <c r="Y81" s="8"/>
      <c r="Z81" s="173">
        <f>+'Domestic Debt Colones'!Z89</f>
        <v>509.23</v>
      </c>
      <c r="AA81" s="8"/>
      <c r="AB81" s="173">
        <f>+'Domestic Debt Colones'!AB89</f>
        <v>502.47</v>
      </c>
      <c r="AC81" s="8"/>
      <c r="AD81" s="173">
        <f>+'Domestic Debt Colones'!AD89</f>
        <v>542.22</v>
      </c>
      <c r="AE81" s="8"/>
      <c r="AF81" s="173">
        <f>+'Domestic Debt Colones'!AF89</f>
        <v>537.80999999999995</v>
      </c>
      <c r="AG81" s="8"/>
      <c r="AH81" s="173">
        <f>+'Domestic Debt Colones'!AH89</f>
        <v>556.44000000000005</v>
      </c>
      <c r="AI81" s="8"/>
      <c r="AJ81" s="173">
        <f>+'Domestic Debt Colones'!AJ89</f>
        <v>570.49</v>
      </c>
      <c r="AK81" s="8"/>
      <c r="AL81" s="173">
        <f>+'Domestic Debt Colones'!AL89</f>
        <v>609.87</v>
      </c>
      <c r="AM81" s="8"/>
      <c r="AN81" s="689">
        <f>+'Domestic Debt Colones'!AN89</f>
        <v>573.53</v>
      </c>
      <c r="AO81" s="105"/>
      <c r="AP81" s="123">
        <f>+'Domestic Debt Colones'!AP89</f>
        <v>615.74</v>
      </c>
      <c r="AR81" s="8"/>
    </row>
    <row r="82" spans="1:44" x14ac:dyDescent="0.25">
      <c r="A82" s="585"/>
      <c r="B82" s="152"/>
      <c r="D82" s="4"/>
      <c r="E82" s="4"/>
      <c r="F82" s="152"/>
      <c r="H82" s="4"/>
      <c r="I82" s="4"/>
      <c r="P82" s="4"/>
      <c r="Q82" s="4"/>
      <c r="R82" s="4"/>
      <c r="S82" s="4"/>
      <c r="AN82" s="30"/>
      <c r="AO82" s="30"/>
    </row>
    <row r="83" spans="1:44" x14ac:dyDescent="0.25">
      <c r="A83" s="60">
        <f>+'PUBLIC DEBT COLONES'!A83</f>
        <v>0</v>
      </c>
      <c r="D83" s="4"/>
      <c r="E83" s="4"/>
      <c r="H83" s="4"/>
      <c r="I83" s="4"/>
      <c r="P83" s="4"/>
      <c r="Q83" s="4"/>
      <c r="R83" s="4"/>
      <c r="S83" s="4"/>
      <c r="AN83" s="30"/>
      <c r="AO83" s="30"/>
    </row>
    <row r="84" spans="1:44" x14ac:dyDescent="0.25">
      <c r="A84" s="62"/>
      <c r="B84" s="126"/>
      <c r="C84" s="127"/>
      <c r="D84" s="126"/>
      <c r="E84" s="126"/>
      <c r="F84" s="126"/>
      <c r="G84" s="127"/>
      <c r="H84" s="126"/>
      <c r="I84" s="126"/>
      <c r="R84" s="4"/>
      <c r="S84" s="4"/>
      <c r="AN84" s="30"/>
      <c r="AO84" s="30"/>
    </row>
    <row r="85" spans="1:44" x14ac:dyDescent="0.25">
      <c r="A85" s="61"/>
      <c r="B85" s="8"/>
      <c r="C85" s="8"/>
      <c r="D85" s="126"/>
      <c r="E85" s="4"/>
      <c r="F85" s="8"/>
      <c r="G85" s="8"/>
      <c r="H85" s="126"/>
      <c r="I85" s="4"/>
      <c r="R85" s="4"/>
      <c r="S85" s="4"/>
      <c r="AN85" s="30"/>
      <c r="AO85" s="30"/>
    </row>
    <row r="86" spans="1:44" x14ac:dyDescent="0.25">
      <c r="A86" s="61"/>
      <c r="B86" s="128"/>
      <c r="D86" s="4"/>
      <c r="E86" s="4"/>
      <c r="F86" s="128"/>
      <c r="H86" s="4"/>
      <c r="I86" s="4"/>
      <c r="AN86" s="30"/>
      <c r="AO86" s="30"/>
    </row>
    <row r="87" spans="1:44" x14ac:dyDescent="0.25">
      <c r="A87" s="585"/>
      <c r="B87" s="128"/>
      <c r="D87" s="4"/>
      <c r="E87" s="4"/>
      <c r="F87" s="128"/>
      <c r="H87" s="4"/>
      <c r="I87" s="4"/>
      <c r="AN87" s="30"/>
      <c r="AO87" s="30"/>
    </row>
    <row r="88" spans="1:44" x14ac:dyDescent="0.25">
      <c r="A88" s="585"/>
      <c r="B88" s="128"/>
      <c r="D88" s="4"/>
      <c r="E88" s="4"/>
      <c r="F88" s="128"/>
      <c r="H88" s="4"/>
      <c r="I88" s="4"/>
      <c r="AN88" s="30"/>
      <c r="AO88" s="30"/>
    </row>
    <row r="89" spans="1:44" x14ac:dyDescent="0.25">
      <c r="A89" s="585"/>
      <c r="D89" s="4"/>
      <c r="E89" s="4"/>
      <c r="H89" s="4"/>
      <c r="I89" s="4"/>
      <c r="AN89" s="30"/>
      <c r="AO89" s="30"/>
    </row>
    <row r="90" spans="1:44" x14ac:dyDescent="0.25">
      <c r="A90" s="585"/>
      <c r="D90" s="4"/>
      <c r="E90" s="4"/>
      <c r="H90" s="4"/>
      <c r="I90" s="4"/>
      <c r="AN90" s="30"/>
      <c r="AO90" s="30"/>
    </row>
    <row r="91" spans="1:44" x14ac:dyDescent="0.25">
      <c r="A91" s="585"/>
      <c r="D91" s="4"/>
      <c r="E91" s="4"/>
      <c r="H91" s="4"/>
      <c r="I91" s="4"/>
      <c r="AN91" s="30"/>
      <c r="AO91" s="30"/>
    </row>
    <row r="92" spans="1:44" x14ac:dyDescent="0.25">
      <c r="A92" s="585"/>
      <c r="D92" s="4"/>
      <c r="E92" s="4"/>
      <c r="H92" s="4"/>
      <c r="I92" s="4"/>
      <c r="AN92" s="30"/>
      <c r="AO92" s="30"/>
    </row>
    <row r="93" spans="1:44" x14ac:dyDescent="0.25">
      <c r="A93" s="585"/>
      <c r="D93" s="4"/>
      <c r="E93" s="4"/>
      <c r="H93" s="4"/>
      <c r="I93" s="4"/>
      <c r="AN93" s="30"/>
      <c r="AO93" s="30"/>
    </row>
    <row r="94" spans="1:44" x14ac:dyDescent="0.25">
      <c r="A94" s="585"/>
      <c r="D94" s="4"/>
      <c r="E94" s="4"/>
      <c r="H94" s="4"/>
      <c r="I94" s="4"/>
      <c r="AN94" s="30"/>
      <c r="AO94" s="30"/>
    </row>
    <row r="95" spans="1:44" x14ac:dyDescent="0.25">
      <c r="A95" s="585"/>
      <c r="D95" s="4"/>
      <c r="E95" s="4"/>
      <c r="H95" s="4"/>
      <c r="I95" s="4"/>
      <c r="AN95" s="30"/>
      <c r="AO95" s="30"/>
    </row>
    <row r="96" spans="1:44" x14ac:dyDescent="0.25">
      <c r="A96" s="585"/>
      <c r="D96" s="4"/>
      <c r="E96" s="4"/>
      <c r="H96" s="4"/>
      <c r="I96" s="4"/>
      <c r="AN96" s="30"/>
      <c r="AO96" s="30"/>
    </row>
    <row r="97" spans="1:41" x14ac:dyDescent="0.25">
      <c r="A97" s="585"/>
      <c r="D97" s="4"/>
      <c r="E97" s="4"/>
      <c r="H97" s="4"/>
      <c r="I97" s="4"/>
      <c r="AN97" s="30"/>
      <c r="AO97" s="30"/>
    </row>
    <row r="98" spans="1:41" x14ac:dyDescent="0.25">
      <c r="A98" s="585"/>
      <c r="D98" s="4"/>
      <c r="E98" s="4"/>
      <c r="H98" s="4"/>
      <c r="I98" s="4"/>
      <c r="AN98" s="30"/>
      <c r="AO98" s="30"/>
    </row>
    <row r="99" spans="1:41" x14ac:dyDescent="0.25">
      <c r="A99" s="585"/>
      <c r="D99" s="4"/>
      <c r="E99" s="4"/>
      <c r="H99" s="4"/>
      <c r="I99" s="4"/>
      <c r="AN99" s="30"/>
      <c r="AO99" s="30"/>
    </row>
    <row r="100" spans="1:41" x14ac:dyDescent="0.25">
      <c r="A100" s="585"/>
      <c r="D100" s="4"/>
      <c r="E100" s="4"/>
      <c r="H100" s="4"/>
      <c r="I100" s="4"/>
      <c r="AN100" s="30"/>
      <c r="AO100" s="30"/>
    </row>
    <row r="101" spans="1:41" x14ac:dyDescent="0.25">
      <c r="A101" s="585"/>
      <c r="D101" s="4"/>
      <c r="E101" s="4"/>
      <c r="H101" s="4"/>
      <c r="I101" s="4"/>
      <c r="AN101" s="30"/>
      <c r="AO101" s="30"/>
    </row>
    <row r="102" spans="1:41" x14ac:dyDescent="0.25">
      <c r="A102" s="585"/>
      <c r="D102" s="4"/>
      <c r="E102" s="4"/>
      <c r="H102" s="4"/>
      <c r="I102" s="4"/>
      <c r="AN102" s="30"/>
      <c r="AO102" s="30"/>
    </row>
    <row r="103" spans="1:41" x14ac:dyDescent="0.25">
      <c r="A103" s="585"/>
      <c r="D103" s="4"/>
      <c r="E103" s="4"/>
      <c r="H103" s="4"/>
      <c r="I103" s="4"/>
      <c r="AN103" s="30"/>
      <c r="AO103" s="30"/>
    </row>
    <row r="104" spans="1:41" x14ac:dyDescent="0.25">
      <c r="A104" s="585"/>
      <c r="D104" s="4"/>
      <c r="E104" s="4"/>
      <c r="H104" s="4"/>
      <c r="I104" s="4"/>
      <c r="AN104" s="30"/>
      <c r="AO104" s="30"/>
    </row>
    <row r="105" spans="1:41" x14ac:dyDescent="0.25">
      <c r="A105" s="585"/>
      <c r="D105" s="4"/>
      <c r="E105" s="4"/>
      <c r="H105" s="4"/>
      <c r="I105" s="4"/>
      <c r="AN105" s="30"/>
      <c r="AO105" s="30"/>
    </row>
    <row r="106" spans="1:41" x14ac:dyDescent="0.25">
      <c r="A106" s="585"/>
      <c r="D106" s="4"/>
      <c r="E106" s="4"/>
      <c r="H106" s="4"/>
      <c r="I106" s="4"/>
      <c r="AN106" s="30"/>
      <c r="AO106" s="30"/>
    </row>
    <row r="107" spans="1:41" x14ac:dyDescent="0.25">
      <c r="A107" s="585"/>
      <c r="D107" s="4"/>
      <c r="E107" s="4"/>
      <c r="H107" s="4"/>
      <c r="I107" s="4"/>
      <c r="AN107" s="30"/>
      <c r="AO107" s="30"/>
    </row>
    <row r="108" spans="1:41" x14ac:dyDescent="0.25">
      <c r="A108" s="585"/>
      <c r="D108" s="4"/>
      <c r="E108" s="4"/>
      <c r="H108" s="4"/>
      <c r="I108" s="4"/>
      <c r="AN108" s="30"/>
      <c r="AO108" s="30"/>
    </row>
    <row r="109" spans="1:41" x14ac:dyDescent="0.25">
      <c r="A109" s="585"/>
      <c r="D109" s="4"/>
      <c r="E109" s="4"/>
      <c r="H109" s="4"/>
      <c r="I109" s="4"/>
      <c r="AN109" s="30"/>
      <c r="AO109" s="30"/>
    </row>
    <row r="110" spans="1:41" x14ac:dyDescent="0.25">
      <c r="A110" s="585"/>
      <c r="D110" s="4"/>
      <c r="E110" s="4"/>
      <c r="H110" s="4"/>
      <c r="I110" s="4"/>
      <c r="AN110" s="30"/>
      <c r="AO110" s="30"/>
    </row>
    <row r="111" spans="1:41" x14ac:dyDescent="0.25">
      <c r="A111" s="585"/>
      <c r="D111" s="4"/>
      <c r="E111" s="4"/>
      <c r="H111" s="4"/>
      <c r="I111" s="4"/>
      <c r="AN111" s="30"/>
      <c r="AO111" s="30"/>
    </row>
    <row r="112" spans="1:41" x14ac:dyDescent="0.25">
      <c r="A112" s="585"/>
      <c r="D112" s="4"/>
      <c r="E112" s="4"/>
      <c r="H112" s="4"/>
      <c r="I112" s="4"/>
      <c r="AN112" s="30"/>
      <c r="AO112" s="30"/>
    </row>
    <row r="113" spans="4:41" x14ac:dyDescent="0.25">
      <c r="D113" s="4"/>
      <c r="E113" s="4"/>
      <c r="H113" s="4"/>
      <c r="I113" s="4"/>
      <c r="AN113" s="30"/>
      <c r="AO113" s="30"/>
    </row>
    <row r="114" spans="4:41" x14ac:dyDescent="0.25">
      <c r="D114" s="4"/>
      <c r="E114" s="4"/>
      <c r="H114" s="4"/>
      <c r="I114" s="4"/>
      <c r="AN114" s="30"/>
      <c r="AO114" s="30"/>
    </row>
    <row r="115" spans="4:41" x14ac:dyDescent="0.25">
      <c r="D115" s="4"/>
      <c r="E115" s="4"/>
      <c r="H115" s="4"/>
      <c r="I115" s="4"/>
      <c r="AN115" s="30"/>
      <c r="AO115" s="30"/>
    </row>
    <row r="116" spans="4:41" x14ac:dyDescent="0.25">
      <c r="D116" s="4"/>
      <c r="E116" s="4"/>
      <c r="H116" s="4"/>
      <c r="I116" s="4"/>
      <c r="AN116" s="30"/>
      <c r="AO116" s="30"/>
    </row>
    <row r="117" spans="4:41" x14ac:dyDescent="0.25">
      <c r="D117" s="4"/>
      <c r="E117" s="4"/>
      <c r="H117" s="4"/>
      <c r="I117" s="4"/>
      <c r="AN117" s="30"/>
      <c r="AO117" s="30"/>
    </row>
    <row r="118" spans="4:41" x14ac:dyDescent="0.25">
      <c r="D118" s="4"/>
      <c r="E118" s="4"/>
      <c r="H118" s="4"/>
      <c r="I118" s="4"/>
      <c r="AN118" s="30"/>
      <c r="AO118" s="30"/>
    </row>
    <row r="119" spans="4:41" x14ac:dyDescent="0.25">
      <c r="D119" s="4"/>
      <c r="E119" s="4"/>
      <c r="H119" s="4"/>
      <c r="I119" s="4"/>
      <c r="AN119" s="30"/>
      <c r="AO119" s="30"/>
    </row>
    <row r="120" spans="4:41" x14ac:dyDescent="0.25">
      <c r="D120" s="4"/>
      <c r="E120" s="4"/>
      <c r="H120" s="4"/>
      <c r="I120" s="4"/>
      <c r="AN120" s="30"/>
      <c r="AO120" s="30"/>
    </row>
    <row r="121" spans="4:41" x14ac:dyDescent="0.25">
      <c r="D121" s="4"/>
      <c r="E121" s="4"/>
      <c r="H121" s="4"/>
      <c r="I121" s="4"/>
      <c r="AN121" s="30"/>
      <c r="AO121" s="30"/>
    </row>
    <row r="122" spans="4:41" x14ac:dyDescent="0.25">
      <c r="D122" s="4"/>
      <c r="E122" s="4"/>
      <c r="H122" s="4"/>
      <c r="I122" s="4"/>
      <c r="AN122" s="30"/>
      <c r="AO122" s="30"/>
    </row>
    <row r="123" spans="4:41" x14ac:dyDescent="0.25">
      <c r="D123" s="4"/>
      <c r="E123" s="4"/>
      <c r="H123" s="4"/>
      <c r="I123" s="4"/>
      <c r="AN123" s="30"/>
      <c r="AO123" s="30"/>
    </row>
    <row r="124" spans="4:41" x14ac:dyDescent="0.25">
      <c r="D124" s="4"/>
      <c r="E124" s="4"/>
      <c r="H124" s="4"/>
      <c r="I124" s="4"/>
      <c r="AN124" s="30"/>
      <c r="AO124" s="30"/>
    </row>
    <row r="125" spans="4:41" x14ac:dyDescent="0.25">
      <c r="D125" s="4"/>
      <c r="E125" s="4"/>
      <c r="H125" s="4"/>
      <c r="I125" s="4"/>
      <c r="AN125" s="30"/>
      <c r="AO125" s="30"/>
    </row>
    <row r="126" spans="4:41" x14ac:dyDescent="0.25">
      <c r="D126" s="4"/>
      <c r="E126" s="4"/>
      <c r="H126" s="4"/>
      <c r="I126" s="4"/>
      <c r="AN126" s="30"/>
      <c r="AO126" s="30"/>
    </row>
    <row r="127" spans="4:41" x14ac:dyDescent="0.25">
      <c r="D127" s="4"/>
      <c r="E127" s="4"/>
      <c r="H127" s="4"/>
      <c r="I127" s="4"/>
      <c r="AN127" s="30"/>
      <c r="AO127" s="30"/>
    </row>
    <row r="128" spans="4:41" x14ac:dyDescent="0.25">
      <c r="D128" s="4"/>
      <c r="E128" s="4"/>
      <c r="H128" s="4"/>
      <c r="I128" s="4"/>
      <c r="AN128" s="30"/>
      <c r="AO128" s="30"/>
    </row>
    <row r="129" spans="4:41" x14ac:dyDescent="0.25">
      <c r="D129" s="4"/>
      <c r="E129" s="4"/>
      <c r="H129" s="4"/>
      <c r="I129" s="4"/>
      <c r="AN129" s="30"/>
      <c r="AO129" s="30"/>
    </row>
    <row r="130" spans="4:41" x14ac:dyDescent="0.25">
      <c r="D130" s="4"/>
      <c r="E130" s="4"/>
      <c r="H130" s="4"/>
      <c r="I130" s="4"/>
      <c r="AN130" s="30"/>
      <c r="AO130" s="30"/>
    </row>
    <row r="131" spans="4:41" x14ac:dyDescent="0.25">
      <c r="D131" s="4"/>
      <c r="E131" s="4"/>
      <c r="H131" s="4"/>
      <c r="I131" s="4"/>
      <c r="AN131" s="30"/>
      <c r="AO131" s="30"/>
    </row>
    <row r="132" spans="4:41" x14ac:dyDescent="0.25">
      <c r="D132" s="4"/>
      <c r="E132" s="4"/>
      <c r="H132" s="4"/>
      <c r="I132" s="4"/>
      <c r="AN132" s="30"/>
      <c r="AO132" s="30"/>
    </row>
    <row r="133" spans="4:41" x14ac:dyDescent="0.25">
      <c r="D133" s="4"/>
      <c r="E133" s="4"/>
      <c r="H133" s="4"/>
      <c r="I133" s="4"/>
      <c r="AN133" s="30"/>
      <c r="AO133" s="30"/>
    </row>
    <row r="134" spans="4:41" x14ac:dyDescent="0.25">
      <c r="D134" s="4"/>
      <c r="E134" s="4"/>
      <c r="H134" s="4"/>
      <c r="I134" s="4"/>
      <c r="AN134" s="30"/>
      <c r="AO134" s="30"/>
    </row>
    <row r="135" spans="4:41" x14ac:dyDescent="0.25">
      <c r="D135" s="4"/>
      <c r="E135" s="4"/>
      <c r="H135" s="4"/>
      <c r="I135" s="4"/>
      <c r="AN135" s="30"/>
      <c r="AO135" s="30"/>
    </row>
    <row r="136" spans="4:41" x14ac:dyDescent="0.25">
      <c r="D136" s="4"/>
      <c r="E136" s="4"/>
      <c r="H136" s="4"/>
      <c r="I136" s="4"/>
      <c r="AN136" s="30"/>
      <c r="AO136" s="30"/>
    </row>
    <row r="137" spans="4:41" x14ac:dyDescent="0.25">
      <c r="D137" s="4"/>
      <c r="E137" s="4"/>
      <c r="H137" s="4"/>
      <c r="I137" s="4"/>
      <c r="AN137" s="30"/>
      <c r="AO137" s="30"/>
    </row>
    <row r="138" spans="4:41" x14ac:dyDescent="0.25">
      <c r="D138" s="4"/>
      <c r="E138" s="4"/>
      <c r="H138" s="4"/>
      <c r="I138" s="4"/>
      <c r="AN138" s="30"/>
      <c r="AO138" s="30"/>
    </row>
    <row r="139" spans="4:41" x14ac:dyDescent="0.25">
      <c r="D139" s="4"/>
      <c r="E139" s="4"/>
      <c r="H139" s="4"/>
      <c r="I139" s="4"/>
      <c r="AN139" s="30"/>
      <c r="AO139" s="30"/>
    </row>
    <row r="140" spans="4:41" x14ac:dyDescent="0.25">
      <c r="D140" s="4"/>
      <c r="E140" s="4"/>
      <c r="H140" s="4"/>
      <c r="I140" s="4"/>
      <c r="AN140" s="30"/>
      <c r="AO140" s="30"/>
    </row>
    <row r="141" spans="4:41" x14ac:dyDescent="0.25">
      <c r="D141" s="4"/>
      <c r="E141" s="4"/>
      <c r="H141" s="4"/>
      <c r="I141" s="4"/>
      <c r="AN141" s="30"/>
      <c r="AO141" s="30"/>
    </row>
    <row r="142" spans="4:41" x14ac:dyDescent="0.25">
      <c r="D142" s="4"/>
      <c r="E142" s="4"/>
      <c r="H142" s="4"/>
      <c r="I142" s="4"/>
      <c r="AN142" s="30"/>
      <c r="AO142" s="30"/>
    </row>
    <row r="143" spans="4:41" x14ac:dyDescent="0.25">
      <c r="D143" s="4"/>
      <c r="E143" s="4"/>
      <c r="H143" s="4"/>
      <c r="I143" s="4"/>
      <c r="AN143" s="30"/>
      <c r="AO143" s="30"/>
    </row>
    <row r="144" spans="4:41" x14ac:dyDescent="0.25">
      <c r="D144" s="4"/>
      <c r="E144" s="4"/>
      <c r="H144" s="4"/>
      <c r="I144" s="4"/>
      <c r="AN144" s="30"/>
      <c r="AO144" s="30"/>
    </row>
    <row r="145" spans="4:9" x14ac:dyDescent="0.25">
      <c r="D145" s="4"/>
      <c r="E145" s="4"/>
      <c r="H145" s="4"/>
      <c r="I145" s="4"/>
    </row>
    <row r="146" spans="4:9" x14ac:dyDescent="0.25">
      <c r="D146" s="4"/>
      <c r="E146" s="4"/>
      <c r="H146" s="4"/>
      <c r="I146" s="4"/>
    </row>
    <row r="147" spans="4:9" x14ac:dyDescent="0.25">
      <c r="D147" s="4"/>
      <c r="E147" s="4"/>
      <c r="H147" s="4"/>
      <c r="I147" s="4"/>
    </row>
    <row r="148" spans="4:9" x14ac:dyDescent="0.25">
      <c r="D148" s="4"/>
      <c r="E148" s="4"/>
      <c r="H148" s="4"/>
      <c r="I148" s="4"/>
    </row>
    <row r="149" spans="4:9" x14ac:dyDescent="0.25">
      <c r="D149" s="4"/>
      <c r="E149" s="4"/>
      <c r="H149" s="4"/>
      <c r="I149" s="4"/>
    </row>
    <row r="150" spans="4:9" x14ac:dyDescent="0.25">
      <c r="D150" s="4"/>
      <c r="E150" s="4"/>
      <c r="H150" s="4"/>
      <c r="I150" s="4"/>
    </row>
    <row r="151" spans="4:9" x14ac:dyDescent="0.25">
      <c r="D151" s="4"/>
      <c r="E151" s="4"/>
      <c r="H151" s="4"/>
      <c r="I151" s="4"/>
    </row>
    <row r="152" spans="4:9" x14ac:dyDescent="0.25">
      <c r="D152" s="4"/>
      <c r="E152" s="4"/>
      <c r="H152" s="4"/>
      <c r="I152" s="4"/>
    </row>
    <row r="153" spans="4:9" x14ac:dyDescent="0.25">
      <c r="D153" s="4"/>
      <c r="E153" s="4"/>
      <c r="H153" s="4"/>
      <c r="I153" s="4"/>
    </row>
    <row r="154" spans="4:9" x14ac:dyDescent="0.25">
      <c r="D154" s="4"/>
      <c r="E154" s="4"/>
      <c r="H154" s="4"/>
      <c r="I154" s="4"/>
    </row>
    <row r="155" spans="4:9" x14ac:dyDescent="0.25">
      <c r="D155" s="4"/>
      <c r="E155" s="4"/>
      <c r="H155" s="4"/>
      <c r="I155" s="4"/>
    </row>
    <row r="156" spans="4:9" x14ac:dyDescent="0.25">
      <c r="D156" s="4"/>
      <c r="E156" s="4"/>
      <c r="H156" s="4"/>
      <c r="I156" s="4"/>
    </row>
    <row r="157" spans="4:9" x14ac:dyDescent="0.25">
      <c r="D157" s="4"/>
      <c r="E157" s="4"/>
      <c r="H157" s="4"/>
      <c r="I157" s="4"/>
    </row>
    <row r="158" spans="4:9" x14ac:dyDescent="0.25">
      <c r="D158" s="4"/>
      <c r="E158" s="4"/>
      <c r="H158" s="4"/>
      <c r="I158" s="4"/>
    </row>
    <row r="159" spans="4:9" x14ac:dyDescent="0.25">
      <c r="D159" s="4"/>
      <c r="E159" s="4"/>
      <c r="H159" s="4"/>
      <c r="I159" s="4"/>
    </row>
    <row r="160" spans="4:9" x14ac:dyDescent="0.25">
      <c r="D160" s="4"/>
      <c r="E160" s="4"/>
      <c r="H160" s="4"/>
      <c r="I160" s="4"/>
    </row>
    <row r="161" spans="4:9" x14ac:dyDescent="0.25">
      <c r="D161" s="4"/>
      <c r="E161" s="4"/>
      <c r="H161" s="4"/>
      <c r="I161" s="4"/>
    </row>
    <row r="162" spans="4:9" x14ac:dyDescent="0.25">
      <c r="D162" s="4"/>
      <c r="E162" s="4"/>
      <c r="H162" s="4"/>
      <c r="I162" s="4"/>
    </row>
    <row r="163" spans="4:9" x14ac:dyDescent="0.25">
      <c r="D163" s="4"/>
      <c r="E163" s="4"/>
      <c r="H163" s="4"/>
      <c r="I163" s="4"/>
    </row>
    <row r="164" spans="4:9" x14ac:dyDescent="0.25">
      <c r="D164" s="4"/>
      <c r="E164" s="4"/>
      <c r="H164" s="4"/>
      <c r="I164" s="4"/>
    </row>
    <row r="165" spans="4:9" x14ac:dyDescent="0.25">
      <c r="D165" s="4"/>
      <c r="E165" s="4"/>
      <c r="H165" s="4"/>
      <c r="I165" s="4"/>
    </row>
    <row r="166" spans="4:9" x14ac:dyDescent="0.25">
      <c r="D166" s="4"/>
      <c r="E166" s="4"/>
      <c r="H166" s="4"/>
      <c r="I166" s="4"/>
    </row>
    <row r="167" spans="4:9" x14ac:dyDescent="0.25">
      <c r="D167" s="4"/>
      <c r="E167" s="4"/>
      <c r="H167" s="4"/>
      <c r="I167" s="4"/>
    </row>
    <row r="168" spans="4:9" x14ac:dyDescent="0.25">
      <c r="D168" s="4"/>
      <c r="E168" s="4"/>
      <c r="H168" s="4"/>
      <c r="I168" s="4"/>
    </row>
    <row r="169" spans="4:9" x14ac:dyDescent="0.25">
      <c r="D169" s="4"/>
      <c r="E169" s="4"/>
      <c r="H169" s="4"/>
      <c r="I169" s="4"/>
    </row>
    <row r="170" spans="4:9" x14ac:dyDescent="0.25">
      <c r="D170" s="4"/>
      <c r="E170" s="4"/>
      <c r="H170" s="4"/>
      <c r="I170" s="4"/>
    </row>
    <row r="171" spans="4:9" x14ac:dyDescent="0.25">
      <c r="D171" s="4"/>
      <c r="E171" s="4"/>
      <c r="H171" s="4"/>
      <c r="I171" s="4"/>
    </row>
    <row r="172" spans="4:9" x14ac:dyDescent="0.25">
      <c r="D172" s="4"/>
      <c r="E172" s="4"/>
      <c r="H172" s="4"/>
      <c r="I172" s="4"/>
    </row>
    <row r="173" spans="4:9" x14ac:dyDescent="0.25">
      <c r="D173" s="4"/>
      <c r="E173" s="4"/>
      <c r="H173" s="4"/>
      <c r="I173" s="4"/>
    </row>
    <row r="174" spans="4:9" x14ac:dyDescent="0.25">
      <c r="D174" s="4"/>
      <c r="E174" s="4"/>
      <c r="H174" s="4"/>
      <c r="I174" s="4"/>
    </row>
    <row r="175" spans="4:9" x14ac:dyDescent="0.25">
      <c r="D175" s="4"/>
      <c r="E175" s="4"/>
      <c r="H175" s="4"/>
      <c r="I175" s="4"/>
    </row>
    <row r="176" spans="4:9" x14ac:dyDescent="0.25">
      <c r="D176" s="4"/>
      <c r="E176" s="4"/>
      <c r="H176" s="4"/>
      <c r="I176" s="4"/>
    </row>
    <row r="177" spans="4:9" x14ac:dyDescent="0.25">
      <c r="D177" s="4"/>
      <c r="E177" s="4"/>
      <c r="H177" s="4"/>
      <c r="I177" s="4"/>
    </row>
    <row r="178" spans="4:9" x14ac:dyDescent="0.25">
      <c r="D178" s="4"/>
      <c r="E178" s="4"/>
      <c r="H178" s="4"/>
      <c r="I178" s="4"/>
    </row>
    <row r="179" spans="4:9" x14ac:dyDescent="0.25">
      <c r="D179" s="4"/>
      <c r="E179" s="4"/>
      <c r="H179" s="4"/>
      <c r="I179" s="4"/>
    </row>
    <row r="180" spans="4:9" x14ac:dyDescent="0.25">
      <c r="D180" s="4"/>
      <c r="E180" s="4"/>
      <c r="H180" s="4"/>
      <c r="I180" s="4"/>
    </row>
    <row r="181" spans="4:9" x14ac:dyDescent="0.25">
      <c r="D181" s="4"/>
      <c r="E181" s="4"/>
      <c r="H181" s="4"/>
      <c r="I181" s="4"/>
    </row>
    <row r="182" spans="4:9" x14ac:dyDescent="0.25">
      <c r="D182" s="4"/>
      <c r="E182" s="4"/>
      <c r="H182" s="4"/>
      <c r="I182" s="4"/>
    </row>
    <row r="183" spans="4:9" x14ac:dyDescent="0.25">
      <c r="D183" s="4"/>
      <c r="E183" s="4"/>
      <c r="H183" s="4"/>
      <c r="I183" s="4"/>
    </row>
    <row r="184" spans="4:9" x14ac:dyDescent="0.25">
      <c r="D184" s="4"/>
      <c r="E184" s="4"/>
      <c r="H184" s="4"/>
      <c r="I184" s="4"/>
    </row>
    <row r="185" spans="4:9" x14ac:dyDescent="0.25">
      <c r="D185" s="4"/>
      <c r="E185" s="4"/>
      <c r="H185" s="4"/>
      <c r="I185" s="4"/>
    </row>
    <row r="186" spans="4:9" x14ac:dyDescent="0.25">
      <c r="D186" s="4"/>
      <c r="E186" s="4"/>
      <c r="H186" s="4"/>
      <c r="I186" s="4"/>
    </row>
    <row r="187" spans="4:9" x14ac:dyDescent="0.25">
      <c r="D187" s="4"/>
      <c r="E187" s="4"/>
      <c r="H187" s="4"/>
      <c r="I187" s="4"/>
    </row>
    <row r="188" spans="4:9" x14ac:dyDescent="0.25">
      <c r="D188" s="4"/>
      <c r="E188" s="4"/>
      <c r="H188" s="4"/>
      <c r="I188" s="4"/>
    </row>
    <row r="189" spans="4:9" x14ac:dyDescent="0.25">
      <c r="D189" s="4"/>
      <c r="E189" s="4"/>
      <c r="H189" s="4"/>
      <c r="I189" s="4"/>
    </row>
    <row r="190" spans="4:9" x14ac:dyDescent="0.25">
      <c r="D190" s="4"/>
      <c r="E190" s="4"/>
      <c r="H190" s="4"/>
      <c r="I190" s="4"/>
    </row>
    <row r="191" spans="4:9" x14ac:dyDescent="0.25">
      <c r="D191" s="4"/>
      <c r="E191" s="4"/>
      <c r="H191" s="4"/>
      <c r="I191" s="4"/>
    </row>
    <row r="192" spans="4:9" x14ac:dyDescent="0.25">
      <c r="D192" s="4"/>
      <c r="E192" s="4"/>
      <c r="H192" s="4"/>
      <c r="I192" s="4"/>
    </row>
    <row r="193" spans="4:9" x14ac:dyDescent="0.25">
      <c r="D193" s="4"/>
      <c r="E193" s="4"/>
      <c r="H193" s="4"/>
      <c r="I193" s="4"/>
    </row>
    <row r="194" spans="4:9" x14ac:dyDescent="0.25">
      <c r="D194" s="4"/>
      <c r="E194" s="4"/>
      <c r="H194" s="4"/>
      <c r="I194" s="4"/>
    </row>
    <row r="195" spans="4:9" x14ac:dyDescent="0.25">
      <c r="D195" s="4"/>
      <c r="E195" s="4"/>
      <c r="H195" s="4"/>
      <c r="I195" s="4"/>
    </row>
    <row r="196" spans="4:9" x14ac:dyDescent="0.25">
      <c r="D196" s="4"/>
      <c r="E196" s="4"/>
      <c r="H196" s="4"/>
      <c r="I196" s="4"/>
    </row>
    <row r="197" spans="4:9" x14ac:dyDescent="0.25">
      <c r="D197" s="4"/>
      <c r="E197" s="4"/>
      <c r="H197" s="4"/>
      <c r="I197" s="4"/>
    </row>
    <row r="198" spans="4:9" x14ac:dyDescent="0.25">
      <c r="D198" s="4"/>
      <c r="E198" s="4"/>
      <c r="H198" s="4"/>
      <c r="I198" s="4"/>
    </row>
    <row r="199" spans="4:9" x14ac:dyDescent="0.25">
      <c r="D199" s="4"/>
      <c r="E199" s="4"/>
      <c r="H199" s="4"/>
      <c r="I199" s="4"/>
    </row>
    <row r="200" spans="4:9" x14ac:dyDescent="0.25">
      <c r="D200" s="4"/>
      <c r="E200" s="4"/>
      <c r="H200" s="4"/>
      <c r="I200" s="4"/>
    </row>
    <row r="201" spans="4:9" x14ac:dyDescent="0.25">
      <c r="D201" s="4"/>
      <c r="E201" s="4"/>
      <c r="H201" s="4"/>
      <c r="I201" s="4"/>
    </row>
    <row r="202" spans="4:9" x14ac:dyDescent="0.25">
      <c r="D202" s="4"/>
      <c r="E202" s="4"/>
      <c r="H202" s="4"/>
      <c r="I202" s="4"/>
    </row>
    <row r="203" spans="4:9" x14ac:dyDescent="0.25">
      <c r="D203" s="4"/>
      <c r="E203" s="4"/>
      <c r="H203" s="4"/>
      <c r="I203" s="4"/>
    </row>
    <row r="204" spans="4:9" x14ac:dyDescent="0.25">
      <c r="D204" s="4"/>
      <c r="E204" s="4"/>
      <c r="H204" s="4"/>
      <c r="I204" s="4"/>
    </row>
    <row r="205" spans="4:9" x14ac:dyDescent="0.25">
      <c r="D205" s="4"/>
      <c r="E205" s="4"/>
      <c r="H205" s="4"/>
      <c r="I205" s="4"/>
    </row>
    <row r="206" spans="4:9" x14ac:dyDescent="0.25">
      <c r="D206" s="4"/>
      <c r="E206" s="4"/>
      <c r="H206" s="4"/>
      <c r="I206" s="4"/>
    </row>
    <row r="207" spans="4:9" x14ac:dyDescent="0.25">
      <c r="D207" s="4"/>
      <c r="E207" s="4"/>
      <c r="H207" s="4"/>
      <c r="I207" s="4"/>
    </row>
    <row r="208" spans="4:9" x14ac:dyDescent="0.25">
      <c r="D208" s="4"/>
      <c r="E208" s="4"/>
      <c r="H208" s="4"/>
      <c r="I208" s="4"/>
    </row>
    <row r="209" spans="4:9" x14ac:dyDescent="0.25">
      <c r="D209" s="4"/>
      <c r="E209" s="4"/>
      <c r="H209" s="4"/>
      <c r="I209" s="4"/>
    </row>
    <row r="210" spans="4:9" x14ac:dyDescent="0.25">
      <c r="D210" s="4"/>
      <c r="E210" s="4"/>
      <c r="H210" s="4"/>
      <c r="I210" s="4"/>
    </row>
    <row r="211" spans="4:9" x14ac:dyDescent="0.25">
      <c r="D211" s="4"/>
      <c r="E211" s="4"/>
      <c r="H211" s="4"/>
      <c r="I211" s="4"/>
    </row>
    <row r="212" spans="4:9" x14ac:dyDescent="0.25">
      <c r="D212" s="4"/>
      <c r="E212" s="4"/>
      <c r="H212" s="4"/>
      <c r="I212" s="4"/>
    </row>
    <row r="213" spans="4:9" x14ac:dyDescent="0.25">
      <c r="D213" s="4"/>
      <c r="E213" s="4"/>
      <c r="H213" s="4"/>
      <c r="I213" s="4"/>
    </row>
    <row r="214" spans="4:9" x14ac:dyDescent="0.25">
      <c r="D214" s="4"/>
      <c r="E214" s="4"/>
      <c r="H214" s="4"/>
      <c r="I214" s="4"/>
    </row>
    <row r="215" spans="4:9" x14ac:dyDescent="0.25">
      <c r="D215" s="4"/>
      <c r="E215" s="4"/>
      <c r="H215" s="4"/>
      <c r="I215" s="4"/>
    </row>
    <row r="216" spans="4:9" x14ac:dyDescent="0.25">
      <c r="D216" s="4"/>
      <c r="E216" s="4"/>
      <c r="H216" s="4"/>
      <c r="I216" s="4"/>
    </row>
    <row r="217" spans="4:9" x14ac:dyDescent="0.25">
      <c r="D217" s="4"/>
      <c r="E217" s="4"/>
      <c r="H217" s="4"/>
      <c r="I217" s="4"/>
    </row>
    <row r="218" spans="4:9" x14ac:dyDescent="0.25">
      <c r="D218" s="4"/>
      <c r="E218" s="4"/>
      <c r="H218" s="4"/>
      <c r="I218" s="4"/>
    </row>
    <row r="219" spans="4:9" x14ac:dyDescent="0.25">
      <c r="D219" s="4"/>
      <c r="E219" s="4"/>
      <c r="H219" s="4"/>
      <c r="I219" s="4"/>
    </row>
    <row r="220" spans="4:9" x14ac:dyDescent="0.25">
      <c r="D220" s="4"/>
      <c r="E220" s="4"/>
      <c r="H220" s="4"/>
      <c r="I220" s="4"/>
    </row>
    <row r="221" spans="4:9" x14ac:dyDescent="0.25">
      <c r="D221" s="4"/>
      <c r="E221" s="4"/>
      <c r="H221" s="4"/>
      <c r="I221" s="4"/>
    </row>
    <row r="222" spans="4:9" x14ac:dyDescent="0.25">
      <c r="D222" s="4"/>
      <c r="E222" s="4"/>
      <c r="H222" s="4"/>
      <c r="I222" s="4"/>
    </row>
    <row r="223" spans="4:9" x14ac:dyDescent="0.25">
      <c r="D223" s="4"/>
      <c r="E223" s="4"/>
      <c r="H223" s="4"/>
      <c r="I223" s="4"/>
    </row>
    <row r="224" spans="4:9" x14ac:dyDescent="0.25">
      <c r="D224" s="4"/>
      <c r="E224" s="4"/>
      <c r="H224" s="4"/>
      <c r="I224" s="4"/>
    </row>
    <row r="225" spans="4:9" x14ac:dyDescent="0.25">
      <c r="D225" s="4"/>
      <c r="E225" s="4"/>
      <c r="H225" s="4"/>
      <c r="I225" s="4"/>
    </row>
    <row r="226" spans="4:9" x14ac:dyDescent="0.25">
      <c r="D226" s="4"/>
      <c r="E226" s="4"/>
      <c r="H226" s="4"/>
      <c r="I226" s="4"/>
    </row>
    <row r="227" spans="4:9" x14ac:dyDescent="0.25">
      <c r="D227" s="4"/>
      <c r="E227" s="4"/>
      <c r="H227" s="4"/>
      <c r="I227" s="4"/>
    </row>
    <row r="228" spans="4:9" x14ac:dyDescent="0.25">
      <c r="D228" s="4"/>
      <c r="E228" s="4"/>
      <c r="H228" s="4"/>
      <c r="I228" s="4"/>
    </row>
    <row r="229" spans="4:9" x14ac:dyDescent="0.25">
      <c r="D229" s="4"/>
      <c r="E229" s="4"/>
      <c r="H229" s="4"/>
      <c r="I229" s="4"/>
    </row>
    <row r="230" spans="4:9" x14ac:dyDescent="0.25">
      <c r="D230" s="4"/>
      <c r="E230" s="4"/>
      <c r="H230" s="4"/>
      <c r="I230" s="4"/>
    </row>
    <row r="231" spans="4:9" x14ac:dyDescent="0.25">
      <c r="D231" s="4"/>
      <c r="E231" s="4"/>
      <c r="H231" s="4"/>
      <c r="I231" s="4"/>
    </row>
    <row r="232" spans="4:9" x14ac:dyDescent="0.25">
      <c r="D232" s="4"/>
      <c r="E232" s="4"/>
      <c r="H232" s="4"/>
      <c r="I232" s="4"/>
    </row>
    <row r="233" spans="4:9" x14ac:dyDescent="0.25">
      <c r="D233" s="4"/>
      <c r="E233" s="4"/>
      <c r="H233" s="4"/>
      <c r="I233" s="4"/>
    </row>
    <row r="234" spans="4:9" x14ac:dyDescent="0.25">
      <c r="D234" s="4"/>
      <c r="E234" s="4"/>
      <c r="H234" s="4"/>
      <c r="I234" s="4"/>
    </row>
    <row r="235" spans="4:9" x14ac:dyDescent="0.25">
      <c r="D235" s="4"/>
      <c r="E235" s="4"/>
      <c r="H235" s="4"/>
      <c r="I235" s="4"/>
    </row>
    <row r="236" spans="4:9" x14ac:dyDescent="0.25">
      <c r="D236" s="4"/>
      <c r="E236" s="4"/>
      <c r="H236" s="4"/>
      <c r="I236" s="4"/>
    </row>
    <row r="237" spans="4:9" x14ac:dyDescent="0.25">
      <c r="D237" s="4"/>
      <c r="E237" s="4"/>
      <c r="H237" s="4"/>
      <c r="I237" s="4"/>
    </row>
    <row r="238" spans="4:9" x14ac:dyDescent="0.25">
      <c r="D238" s="4"/>
      <c r="E238" s="4"/>
      <c r="H238" s="4"/>
      <c r="I238" s="4"/>
    </row>
    <row r="239" spans="4:9" x14ac:dyDescent="0.25">
      <c r="D239" s="4"/>
      <c r="E239" s="4"/>
      <c r="H239" s="4"/>
      <c r="I239" s="4"/>
    </row>
    <row r="240" spans="4:9" x14ac:dyDescent="0.25">
      <c r="D240" s="4"/>
      <c r="E240" s="4"/>
      <c r="H240" s="4"/>
      <c r="I240" s="4"/>
    </row>
    <row r="241" spans="4:9" x14ac:dyDescent="0.25">
      <c r="D241" s="4"/>
      <c r="E241" s="4"/>
      <c r="H241" s="4"/>
      <c r="I241" s="4"/>
    </row>
    <row r="242" spans="4:9" x14ac:dyDescent="0.25">
      <c r="D242" s="4"/>
      <c r="E242" s="4"/>
      <c r="H242" s="4"/>
      <c r="I242" s="4"/>
    </row>
    <row r="243" spans="4:9" x14ac:dyDescent="0.25">
      <c r="D243" s="4"/>
      <c r="E243" s="4"/>
      <c r="H243" s="4"/>
      <c r="I243" s="4"/>
    </row>
    <row r="244" spans="4:9" x14ac:dyDescent="0.25">
      <c r="D244" s="4"/>
      <c r="E244" s="4"/>
      <c r="H244" s="4"/>
      <c r="I244" s="4"/>
    </row>
    <row r="245" spans="4:9" x14ac:dyDescent="0.25">
      <c r="D245" s="4"/>
      <c r="E245" s="4"/>
      <c r="H245" s="4"/>
      <c r="I245" s="4"/>
    </row>
    <row r="246" spans="4:9" x14ac:dyDescent="0.25">
      <c r="D246" s="4"/>
      <c r="E246" s="4"/>
      <c r="H246" s="4"/>
      <c r="I246" s="4"/>
    </row>
    <row r="247" spans="4:9" x14ac:dyDescent="0.25">
      <c r="D247" s="4"/>
      <c r="E247" s="4"/>
      <c r="H247" s="4"/>
      <c r="I247" s="4"/>
    </row>
    <row r="248" spans="4:9" x14ac:dyDescent="0.25">
      <c r="D248" s="4"/>
      <c r="E248" s="4"/>
      <c r="H248" s="4"/>
      <c r="I248" s="4"/>
    </row>
    <row r="249" spans="4:9" x14ac:dyDescent="0.25">
      <c r="D249" s="4"/>
      <c r="E249" s="4"/>
      <c r="H249" s="4"/>
      <c r="I249" s="4"/>
    </row>
    <row r="250" spans="4:9" x14ac:dyDescent="0.25">
      <c r="D250" s="4"/>
      <c r="E250" s="4"/>
      <c r="H250" s="4"/>
      <c r="I250" s="4"/>
    </row>
    <row r="251" spans="4:9" x14ac:dyDescent="0.25">
      <c r="D251" s="4"/>
      <c r="E251" s="4"/>
      <c r="H251" s="4"/>
      <c r="I251" s="4"/>
    </row>
    <row r="252" spans="4:9" x14ac:dyDescent="0.25">
      <c r="D252" s="4"/>
      <c r="E252" s="4"/>
      <c r="H252" s="4"/>
      <c r="I252" s="4"/>
    </row>
    <row r="253" spans="4:9" x14ac:dyDescent="0.25">
      <c r="D253" s="4"/>
      <c r="E253" s="4"/>
      <c r="H253" s="4"/>
      <c r="I253" s="4"/>
    </row>
    <row r="254" spans="4:9" x14ac:dyDescent="0.25">
      <c r="D254" s="4"/>
      <c r="E254" s="4"/>
      <c r="H254" s="4"/>
      <c r="I254" s="4"/>
    </row>
    <row r="255" spans="4:9" x14ac:dyDescent="0.25">
      <c r="D255" s="4"/>
      <c r="E255" s="4"/>
      <c r="H255" s="4"/>
      <c r="I255" s="4"/>
    </row>
    <row r="256" spans="4:9" x14ac:dyDescent="0.25">
      <c r="D256" s="4"/>
      <c r="E256" s="4"/>
      <c r="H256" s="4"/>
      <c r="I256" s="4"/>
    </row>
    <row r="257" spans="4:9" x14ac:dyDescent="0.25">
      <c r="D257" s="4"/>
      <c r="E257" s="4"/>
      <c r="H257" s="4"/>
      <c r="I257" s="4"/>
    </row>
    <row r="258" spans="4:9" x14ac:dyDescent="0.25">
      <c r="D258" s="4"/>
      <c r="E258" s="4"/>
      <c r="H258" s="4"/>
      <c r="I258" s="4"/>
    </row>
    <row r="259" spans="4:9" x14ac:dyDescent="0.25">
      <c r="D259" s="4"/>
      <c r="E259" s="4"/>
      <c r="H259" s="4"/>
      <c r="I259" s="4"/>
    </row>
    <row r="260" spans="4:9" x14ac:dyDescent="0.25">
      <c r="D260" s="4"/>
      <c r="E260" s="4"/>
      <c r="H260" s="4"/>
      <c r="I260" s="4"/>
    </row>
    <row r="261" spans="4:9" x14ac:dyDescent="0.25">
      <c r="D261" s="4"/>
      <c r="E261" s="4"/>
      <c r="H261" s="4"/>
      <c r="I261" s="4"/>
    </row>
    <row r="262" spans="4:9" x14ac:dyDescent="0.25">
      <c r="D262" s="4"/>
      <c r="E262" s="4"/>
      <c r="H262" s="4"/>
      <c r="I262" s="4"/>
    </row>
    <row r="263" spans="4:9" x14ac:dyDescent="0.25">
      <c r="D263" s="4"/>
      <c r="E263" s="4"/>
      <c r="H263" s="4"/>
      <c r="I263" s="4"/>
    </row>
    <row r="264" spans="4:9" x14ac:dyDescent="0.25">
      <c r="D264" s="4"/>
      <c r="E264" s="4"/>
      <c r="H264" s="4"/>
      <c r="I264" s="4"/>
    </row>
    <row r="265" spans="4:9" x14ac:dyDescent="0.25">
      <c r="D265" s="4"/>
      <c r="E265" s="4"/>
      <c r="H265" s="4"/>
      <c r="I265" s="4"/>
    </row>
    <row r="266" spans="4:9" x14ac:dyDescent="0.25">
      <c r="D266" s="4"/>
      <c r="E266" s="4"/>
      <c r="H266" s="4"/>
      <c r="I266" s="4"/>
    </row>
    <row r="267" spans="4:9" x14ac:dyDescent="0.25">
      <c r="D267" s="4"/>
      <c r="E267" s="4"/>
      <c r="H267" s="4"/>
      <c r="I267" s="4"/>
    </row>
    <row r="268" spans="4:9" x14ac:dyDescent="0.25">
      <c r="D268" s="4"/>
      <c r="E268" s="4"/>
      <c r="H268" s="4"/>
      <c r="I268" s="4"/>
    </row>
    <row r="269" spans="4:9" x14ac:dyDescent="0.25">
      <c r="D269" s="4"/>
      <c r="E269" s="4"/>
      <c r="H269" s="4"/>
      <c r="I269" s="4"/>
    </row>
    <row r="270" spans="4:9" x14ac:dyDescent="0.25">
      <c r="D270" s="4"/>
      <c r="E270" s="4"/>
      <c r="H270" s="4"/>
      <c r="I270" s="4"/>
    </row>
    <row r="271" spans="4:9" x14ac:dyDescent="0.25">
      <c r="D271" s="4"/>
      <c r="E271" s="4"/>
      <c r="H271" s="4"/>
      <c r="I271" s="4"/>
    </row>
    <row r="272" spans="4:9" x14ac:dyDescent="0.25">
      <c r="D272" s="4"/>
      <c r="E272" s="4"/>
      <c r="H272" s="4"/>
      <c r="I272" s="4"/>
    </row>
    <row r="273" spans="4:9" x14ac:dyDescent="0.25">
      <c r="D273" s="4"/>
      <c r="E273" s="4"/>
      <c r="H273" s="4"/>
      <c r="I273" s="4"/>
    </row>
    <row r="274" spans="4:9" x14ac:dyDescent="0.25">
      <c r="D274" s="4"/>
      <c r="E274" s="4"/>
      <c r="H274" s="4"/>
      <c r="I274" s="4"/>
    </row>
    <row r="275" spans="4:9" x14ac:dyDescent="0.25">
      <c r="D275" s="4"/>
      <c r="E275" s="4"/>
      <c r="H275" s="4"/>
      <c r="I275" s="4"/>
    </row>
    <row r="276" spans="4:9" x14ac:dyDescent="0.25">
      <c r="D276" s="4"/>
      <c r="E276" s="4"/>
      <c r="H276" s="4"/>
      <c r="I276" s="4"/>
    </row>
    <row r="277" spans="4:9" x14ac:dyDescent="0.25">
      <c r="D277" s="4"/>
      <c r="E277" s="4"/>
      <c r="H277" s="4"/>
      <c r="I277" s="4"/>
    </row>
    <row r="278" spans="4:9" x14ac:dyDescent="0.25">
      <c r="D278" s="4"/>
      <c r="E278" s="4"/>
      <c r="H278" s="4"/>
      <c r="I278" s="4"/>
    </row>
    <row r="279" spans="4:9" x14ac:dyDescent="0.25">
      <c r="D279" s="4"/>
      <c r="E279" s="4"/>
      <c r="H279" s="4"/>
      <c r="I279" s="4"/>
    </row>
    <row r="280" spans="4:9" x14ac:dyDescent="0.25">
      <c r="D280" s="4"/>
      <c r="E280" s="4"/>
      <c r="H280" s="4"/>
      <c r="I280" s="4"/>
    </row>
    <row r="281" spans="4:9" x14ac:dyDescent="0.25">
      <c r="D281" s="4"/>
      <c r="E281" s="4"/>
      <c r="H281" s="4"/>
      <c r="I281" s="4"/>
    </row>
    <row r="282" spans="4:9" x14ac:dyDescent="0.25">
      <c r="D282" s="4"/>
      <c r="E282" s="4"/>
      <c r="H282" s="4"/>
      <c r="I282" s="4"/>
    </row>
    <row r="283" spans="4:9" x14ac:dyDescent="0.25">
      <c r="D283" s="4"/>
      <c r="E283" s="4"/>
      <c r="H283" s="4"/>
      <c r="I283" s="4"/>
    </row>
    <row r="284" spans="4:9" x14ac:dyDescent="0.25">
      <c r="D284" s="4"/>
      <c r="E284" s="4"/>
      <c r="H284" s="4"/>
      <c r="I284" s="4"/>
    </row>
    <row r="285" spans="4:9" x14ac:dyDescent="0.25">
      <c r="D285" s="4"/>
      <c r="E285" s="4"/>
      <c r="H285" s="4"/>
      <c r="I285" s="4"/>
    </row>
    <row r="286" spans="4:9" x14ac:dyDescent="0.25">
      <c r="D286" s="4"/>
      <c r="E286" s="4"/>
      <c r="H286" s="4"/>
      <c r="I286" s="4"/>
    </row>
    <row r="287" spans="4:9" x14ac:dyDescent="0.25">
      <c r="D287" s="4"/>
      <c r="E287" s="4"/>
      <c r="H287" s="4"/>
      <c r="I287" s="4"/>
    </row>
    <row r="288" spans="4:9" x14ac:dyDescent="0.25">
      <c r="D288" s="4"/>
      <c r="E288" s="4"/>
      <c r="H288" s="4"/>
      <c r="I288" s="4"/>
    </row>
    <row r="289" spans="4:9" x14ac:dyDescent="0.25">
      <c r="D289" s="4"/>
      <c r="E289" s="4"/>
      <c r="H289" s="4"/>
      <c r="I289" s="4"/>
    </row>
    <row r="290" spans="4:9" x14ac:dyDescent="0.25">
      <c r="D290" s="4"/>
      <c r="E290" s="4"/>
      <c r="H290" s="4"/>
      <c r="I290" s="4"/>
    </row>
    <row r="291" spans="4:9" x14ac:dyDescent="0.25">
      <c r="D291" s="4"/>
      <c r="E291" s="4"/>
      <c r="H291" s="4"/>
      <c r="I291" s="4"/>
    </row>
    <row r="292" spans="4:9" x14ac:dyDescent="0.25">
      <c r="D292" s="4"/>
      <c r="E292" s="4"/>
      <c r="H292" s="4"/>
      <c r="I292" s="4"/>
    </row>
    <row r="293" spans="4:9" x14ac:dyDescent="0.25">
      <c r="D293" s="4"/>
      <c r="E293" s="4"/>
      <c r="H293" s="4"/>
      <c r="I293" s="4"/>
    </row>
    <row r="294" spans="4:9" x14ac:dyDescent="0.25">
      <c r="D294" s="4"/>
      <c r="E294" s="4"/>
      <c r="H294" s="4"/>
      <c r="I294" s="4"/>
    </row>
    <row r="295" spans="4:9" x14ac:dyDescent="0.25">
      <c r="D295" s="4"/>
      <c r="E295" s="4"/>
      <c r="H295" s="4"/>
      <c r="I295" s="4"/>
    </row>
    <row r="296" spans="4:9" x14ac:dyDescent="0.25">
      <c r="D296" s="4"/>
      <c r="E296" s="4"/>
      <c r="H296" s="4"/>
      <c r="I296" s="4"/>
    </row>
    <row r="297" spans="4:9" x14ac:dyDescent="0.25">
      <c r="D297" s="4"/>
      <c r="E297" s="4"/>
      <c r="H297" s="4"/>
      <c r="I297" s="4"/>
    </row>
    <row r="298" spans="4:9" x14ac:dyDescent="0.25">
      <c r="D298" s="4"/>
      <c r="E298" s="4"/>
      <c r="H298" s="4"/>
      <c r="I298" s="4"/>
    </row>
    <row r="299" spans="4:9" x14ac:dyDescent="0.25">
      <c r="D299" s="4"/>
      <c r="E299" s="4"/>
      <c r="H299" s="4"/>
      <c r="I299" s="4"/>
    </row>
    <row r="300" spans="4:9" x14ac:dyDescent="0.25">
      <c r="D300" s="4"/>
      <c r="E300" s="4"/>
      <c r="H300" s="4"/>
      <c r="I300" s="4"/>
    </row>
    <row r="301" spans="4:9" x14ac:dyDescent="0.25">
      <c r="D301" s="4"/>
      <c r="E301" s="4"/>
      <c r="H301" s="4"/>
      <c r="I301" s="4"/>
    </row>
    <row r="302" spans="4:9" x14ac:dyDescent="0.25">
      <c r="D302" s="4"/>
      <c r="E302" s="4"/>
      <c r="H302" s="4"/>
      <c r="I302" s="4"/>
    </row>
    <row r="303" spans="4:9" x14ac:dyDescent="0.25">
      <c r="D303" s="4"/>
      <c r="E303" s="4"/>
      <c r="H303" s="4"/>
      <c r="I303" s="4"/>
    </row>
    <row r="304" spans="4:9" x14ac:dyDescent="0.25">
      <c r="D304" s="4"/>
      <c r="E304" s="4"/>
      <c r="H304" s="4"/>
      <c r="I304" s="4"/>
    </row>
    <row r="305" spans="4:9" x14ac:dyDescent="0.25">
      <c r="D305" s="4"/>
      <c r="E305" s="4"/>
      <c r="H305" s="4"/>
      <c r="I305" s="4"/>
    </row>
    <row r="306" spans="4:9" x14ac:dyDescent="0.25">
      <c r="D306" s="4"/>
      <c r="E306" s="4"/>
      <c r="H306" s="4"/>
      <c r="I306" s="4"/>
    </row>
    <row r="307" spans="4:9" x14ac:dyDescent="0.25">
      <c r="D307" s="4"/>
      <c r="E307" s="4"/>
      <c r="H307" s="4"/>
      <c r="I307" s="4"/>
    </row>
    <row r="308" spans="4:9" x14ac:dyDescent="0.25">
      <c r="D308" s="4"/>
      <c r="E308" s="4"/>
      <c r="H308" s="4"/>
      <c r="I308" s="4"/>
    </row>
    <row r="309" spans="4:9" x14ac:dyDescent="0.25">
      <c r="D309" s="4"/>
      <c r="E309" s="4"/>
      <c r="H309" s="4"/>
      <c r="I309" s="4"/>
    </row>
    <row r="310" spans="4:9" x14ac:dyDescent="0.25">
      <c r="D310" s="4"/>
      <c r="E310" s="4"/>
      <c r="H310" s="4"/>
      <c r="I310" s="4"/>
    </row>
    <row r="311" spans="4:9" x14ac:dyDescent="0.25">
      <c r="D311" s="4"/>
      <c r="E311" s="4"/>
      <c r="H311" s="4"/>
      <c r="I311" s="4"/>
    </row>
    <row r="312" spans="4:9" x14ac:dyDescent="0.25">
      <c r="D312" s="4"/>
      <c r="E312" s="4"/>
      <c r="H312" s="4"/>
      <c r="I312" s="4"/>
    </row>
    <row r="313" spans="4:9" x14ac:dyDescent="0.25">
      <c r="D313" s="4"/>
      <c r="E313" s="4"/>
      <c r="H313" s="4"/>
      <c r="I313" s="4"/>
    </row>
    <row r="314" spans="4:9" x14ac:dyDescent="0.25">
      <c r="D314" s="4"/>
      <c r="E314" s="4"/>
      <c r="H314" s="4"/>
      <c r="I314" s="4"/>
    </row>
    <row r="315" spans="4:9" x14ac:dyDescent="0.25">
      <c r="D315" s="4"/>
      <c r="E315" s="4"/>
      <c r="H315" s="4"/>
      <c r="I315" s="4"/>
    </row>
    <row r="316" spans="4:9" x14ac:dyDescent="0.25">
      <c r="D316" s="4"/>
      <c r="E316" s="4"/>
      <c r="H316" s="4"/>
      <c r="I316" s="4"/>
    </row>
    <row r="317" spans="4:9" x14ac:dyDescent="0.25">
      <c r="D317" s="4"/>
      <c r="E317" s="4"/>
      <c r="H317" s="4"/>
      <c r="I317" s="4"/>
    </row>
    <row r="318" spans="4:9" x14ac:dyDescent="0.25">
      <c r="D318" s="4"/>
      <c r="E318" s="4"/>
      <c r="H318" s="4"/>
      <c r="I318" s="4"/>
    </row>
    <row r="319" spans="4:9" x14ac:dyDescent="0.25">
      <c r="D319" s="4"/>
      <c r="E319" s="4"/>
      <c r="H319" s="4"/>
      <c r="I319" s="4"/>
    </row>
    <row r="320" spans="4:9" x14ac:dyDescent="0.25">
      <c r="D320" s="4"/>
      <c r="E320" s="4"/>
      <c r="H320" s="4"/>
      <c r="I320" s="4"/>
    </row>
    <row r="321" spans="4:9" x14ac:dyDescent="0.25">
      <c r="D321" s="4"/>
      <c r="E321" s="4"/>
      <c r="H321" s="4"/>
      <c r="I321" s="4"/>
    </row>
    <row r="322" spans="4:9" x14ac:dyDescent="0.25">
      <c r="D322" s="4"/>
      <c r="E322" s="4"/>
      <c r="H322" s="4"/>
      <c r="I322" s="4"/>
    </row>
    <row r="323" spans="4:9" x14ac:dyDescent="0.25">
      <c r="D323" s="4"/>
      <c r="E323" s="4"/>
      <c r="H323" s="4"/>
      <c r="I323" s="4"/>
    </row>
    <row r="324" spans="4:9" x14ac:dyDescent="0.25">
      <c r="D324" s="4"/>
      <c r="E324" s="4"/>
      <c r="H324" s="4"/>
      <c r="I324" s="4"/>
    </row>
    <row r="325" spans="4:9" x14ac:dyDescent="0.25">
      <c r="D325" s="4"/>
      <c r="E325" s="4"/>
      <c r="H325" s="4"/>
      <c r="I325" s="4"/>
    </row>
    <row r="326" spans="4:9" x14ac:dyDescent="0.25">
      <c r="D326" s="4"/>
      <c r="E326" s="4"/>
      <c r="H326" s="4"/>
      <c r="I326" s="4"/>
    </row>
    <row r="327" spans="4:9" x14ac:dyDescent="0.25">
      <c r="D327" s="4"/>
      <c r="E327" s="4"/>
      <c r="H327" s="4"/>
      <c r="I327" s="4"/>
    </row>
    <row r="328" spans="4:9" x14ac:dyDescent="0.25">
      <c r="D328" s="4"/>
      <c r="E328" s="4"/>
      <c r="H328" s="4"/>
      <c r="I328" s="4"/>
    </row>
    <row r="329" spans="4:9" x14ac:dyDescent="0.25">
      <c r="D329" s="4"/>
      <c r="E329" s="4"/>
      <c r="H329" s="4"/>
      <c r="I329" s="4"/>
    </row>
    <row r="330" spans="4:9" x14ac:dyDescent="0.25">
      <c r="D330" s="4"/>
      <c r="E330" s="4"/>
      <c r="H330" s="4"/>
      <c r="I330" s="4"/>
    </row>
    <row r="331" spans="4:9" x14ac:dyDescent="0.25">
      <c r="D331" s="4"/>
      <c r="E331" s="4"/>
      <c r="H331" s="4"/>
      <c r="I331" s="4"/>
    </row>
    <row r="332" spans="4:9" x14ac:dyDescent="0.25">
      <c r="D332" s="4"/>
      <c r="E332" s="4"/>
      <c r="H332" s="4"/>
      <c r="I332" s="4"/>
    </row>
    <row r="333" spans="4:9" x14ac:dyDescent="0.25">
      <c r="D333" s="4"/>
      <c r="E333" s="4"/>
      <c r="H333" s="4"/>
      <c r="I333" s="4"/>
    </row>
    <row r="334" spans="4:9" x14ac:dyDescent="0.25">
      <c r="D334" s="4"/>
      <c r="E334" s="4"/>
      <c r="H334" s="4"/>
      <c r="I334" s="4"/>
    </row>
    <row r="335" spans="4:9" x14ac:dyDescent="0.25">
      <c r="D335" s="4"/>
      <c r="E335" s="4"/>
      <c r="H335" s="4"/>
      <c r="I335" s="4"/>
    </row>
    <row r="336" spans="4:9" x14ac:dyDescent="0.25">
      <c r="D336" s="4"/>
      <c r="E336" s="4"/>
      <c r="H336" s="4"/>
      <c r="I336" s="4"/>
    </row>
    <row r="337" spans="4:9" x14ac:dyDescent="0.25">
      <c r="D337" s="4"/>
      <c r="E337" s="4"/>
      <c r="H337" s="4"/>
      <c r="I337" s="4"/>
    </row>
    <row r="338" spans="4:9" x14ac:dyDescent="0.25">
      <c r="D338" s="4"/>
      <c r="E338" s="4"/>
      <c r="H338" s="4"/>
      <c r="I338" s="4"/>
    </row>
    <row r="339" spans="4:9" x14ac:dyDescent="0.25">
      <c r="D339" s="4"/>
      <c r="E339" s="4"/>
      <c r="H339" s="4"/>
      <c r="I339" s="4"/>
    </row>
    <row r="340" spans="4:9" x14ac:dyDescent="0.25">
      <c r="D340" s="4"/>
      <c r="E340" s="4"/>
      <c r="H340" s="4"/>
      <c r="I340" s="4"/>
    </row>
    <row r="341" spans="4:9" x14ac:dyDescent="0.25">
      <c r="D341" s="4"/>
      <c r="E341" s="4"/>
      <c r="H341" s="4"/>
      <c r="I341" s="4"/>
    </row>
    <row r="342" spans="4:9" x14ac:dyDescent="0.25">
      <c r="D342" s="4"/>
      <c r="E342" s="4"/>
      <c r="H342" s="4"/>
      <c r="I342" s="4"/>
    </row>
    <row r="343" spans="4:9" x14ac:dyDescent="0.25">
      <c r="D343" s="4"/>
      <c r="E343" s="4"/>
      <c r="H343" s="4"/>
      <c r="I343" s="4"/>
    </row>
    <row r="344" spans="4:9" x14ac:dyDescent="0.25">
      <c r="D344" s="4"/>
      <c r="E344" s="4"/>
      <c r="H344" s="4"/>
      <c r="I344" s="4"/>
    </row>
    <row r="345" spans="4:9" x14ac:dyDescent="0.25">
      <c r="D345" s="4"/>
      <c r="E345" s="4"/>
      <c r="H345" s="4"/>
      <c r="I345" s="4"/>
    </row>
    <row r="346" spans="4:9" x14ac:dyDescent="0.25">
      <c r="D346" s="4"/>
      <c r="E346" s="4"/>
      <c r="H346" s="4"/>
      <c r="I346" s="4"/>
    </row>
    <row r="347" spans="4:9" x14ac:dyDescent="0.25">
      <c r="D347" s="4"/>
      <c r="E347" s="4"/>
      <c r="H347" s="4"/>
      <c r="I347" s="4"/>
    </row>
    <row r="348" spans="4:9" x14ac:dyDescent="0.25">
      <c r="D348" s="4"/>
      <c r="E348" s="4"/>
      <c r="H348" s="4"/>
      <c r="I348" s="4"/>
    </row>
    <row r="349" spans="4:9" x14ac:dyDescent="0.25">
      <c r="D349" s="4"/>
      <c r="E349" s="4"/>
      <c r="H349" s="4"/>
      <c r="I349" s="4"/>
    </row>
    <row r="350" spans="4:9" x14ac:dyDescent="0.25">
      <c r="D350" s="4"/>
      <c r="E350" s="4"/>
      <c r="H350" s="4"/>
      <c r="I350" s="4"/>
    </row>
    <row r="351" spans="4:9" x14ac:dyDescent="0.25">
      <c r="D351" s="4"/>
      <c r="E351" s="4"/>
      <c r="H351" s="4"/>
      <c r="I351" s="4"/>
    </row>
    <row r="352" spans="4:9" x14ac:dyDescent="0.25">
      <c r="D352" s="4"/>
      <c r="E352" s="4"/>
      <c r="H352" s="4"/>
      <c r="I352" s="4"/>
    </row>
    <row r="353" spans="4:9" x14ac:dyDescent="0.25">
      <c r="D353" s="4"/>
      <c r="E353" s="4"/>
      <c r="H353" s="4"/>
      <c r="I353" s="4"/>
    </row>
    <row r="354" spans="4:9" x14ac:dyDescent="0.25">
      <c r="D354" s="4"/>
      <c r="E354" s="4"/>
      <c r="H354" s="4"/>
      <c r="I354" s="4"/>
    </row>
    <row r="355" spans="4:9" x14ac:dyDescent="0.25">
      <c r="D355" s="4"/>
      <c r="E355" s="4"/>
      <c r="H355" s="4"/>
      <c r="I355" s="4"/>
    </row>
    <row r="356" spans="4:9" x14ac:dyDescent="0.25">
      <c r="D356" s="4"/>
      <c r="E356" s="4"/>
      <c r="H356" s="4"/>
      <c r="I356" s="4"/>
    </row>
    <row r="357" spans="4:9" x14ac:dyDescent="0.25">
      <c r="D357" s="4"/>
      <c r="E357" s="4"/>
      <c r="H357" s="4"/>
      <c r="I357" s="4"/>
    </row>
    <row r="358" spans="4:9" x14ac:dyDescent="0.25">
      <c r="D358" s="4"/>
      <c r="E358" s="4"/>
      <c r="H358" s="4"/>
      <c r="I358" s="4"/>
    </row>
    <row r="359" spans="4:9" x14ac:dyDescent="0.25">
      <c r="D359" s="4"/>
      <c r="E359" s="4"/>
      <c r="H359" s="4"/>
      <c r="I359" s="4"/>
    </row>
    <row r="360" spans="4:9" x14ac:dyDescent="0.25">
      <c r="D360" s="4"/>
      <c r="E360" s="4"/>
      <c r="H360" s="4"/>
      <c r="I360" s="4"/>
    </row>
    <row r="361" spans="4:9" x14ac:dyDescent="0.25">
      <c r="D361" s="4"/>
      <c r="E361" s="4"/>
      <c r="H361" s="4"/>
      <c r="I361" s="4"/>
    </row>
    <row r="362" spans="4:9" x14ac:dyDescent="0.25">
      <c r="D362" s="4"/>
      <c r="E362" s="4"/>
      <c r="H362" s="4"/>
      <c r="I362" s="4"/>
    </row>
    <row r="363" spans="4:9" x14ac:dyDescent="0.25">
      <c r="D363" s="4"/>
      <c r="E363" s="4"/>
      <c r="H363" s="4"/>
      <c r="I363" s="4"/>
    </row>
    <row r="364" spans="4:9" x14ac:dyDescent="0.25">
      <c r="D364" s="4"/>
      <c r="E364" s="4"/>
      <c r="H364" s="4"/>
      <c r="I364" s="4"/>
    </row>
    <row r="365" spans="4:9" x14ac:dyDescent="0.25">
      <c r="D365" s="4"/>
      <c r="E365" s="4"/>
      <c r="H365" s="4"/>
      <c r="I365" s="4"/>
    </row>
    <row r="366" spans="4:9" x14ac:dyDescent="0.25">
      <c r="D366" s="4"/>
      <c r="E366" s="4"/>
      <c r="H366" s="4"/>
      <c r="I366" s="4"/>
    </row>
    <row r="367" spans="4:9" x14ac:dyDescent="0.25">
      <c r="D367" s="4"/>
      <c r="E367" s="4"/>
      <c r="H367" s="4"/>
      <c r="I367" s="4"/>
    </row>
    <row r="368" spans="4:9" x14ac:dyDescent="0.25">
      <c r="D368" s="4"/>
      <c r="E368" s="4"/>
      <c r="H368" s="4"/>
      <c r="I368" s="4"/>
    </row>
    <row r="369" spans="4:9" x14ac:dyDescent="0.25">
      <c r="D369" s="4"/>
      <c r="E369" s="4"/>
      <c r="H369" s="4"/>
      <c r="I369" s="4"/>
    </row>
    <row r="370" spans="4:9" x14ac:dyDescent="0.25">
      <c r="D370" s="4"/>
      <c r="E370" s="4"/>
      <c r="H370" s="4"/>
      <c r="I370" s="4"/>
    </row>
    <row r="371" spans="4:9" x14ac:dyDescent="0.25">
      <c r="D371" s="4"/>
      <c r="E371" s="4"/>
      <c r="H371" s="4"/>
      <c r="I371" s="4"/>
    </row>
    <row r="372" spans="4:9" x14ac:dyDescent="0.25">
      <c r="D372" s="4"/>
      <c r="E372" s="4"/>
      <c r="H372" s="4"/>
      <c r="I372" s="4"/>
    </row>
    <row r="373" spans="4:9" x14ac:dyDescent="0.25">
      <c r="D373" s="4"/>
      <c r="E373" s="4"/>
      <c r="H373" s="4"/>
      <c r="I373" s="4"/>
    </row>
    <row r="374" spans="4:9" x14ac:dyDescent="0.25">
      <c r="D374" s="4"/>
      <c r="E374" s="4"/>
      <c r="H374" s="4"/>
      <c r="I374" s="4"/>
    </row>
    <row r="375" spans="4:9" x14ac:dyDescent="0.25">
      <c r="D375" s="4"/>
      <c r="E375" s="4"/>
      <c r="H375" s="4"/>
      <c r="I375" s="4"/>
    </row>
    <row r="376" spans="4:9" x14ac:dyDescent="0.25">
      <c r="D376" s="4"/>
      <c r="E376" s="4"/>
      <c r="H376" s="4"/>
      <c r="I376" s="4"/>
    </row>
    <row r="377" spans="4:9" x14ac:dyDescent="0.25">
      <c r="D377" s="4"/>
      <c r="E377" s="4"/>
      <c r="H377" s="4"/>
      <c r="I377" s="4"/>
    </row>
    <row r="378" spans="4:9" x14ac:dyDescent="0.25">
      <c r="D378" s="4"/>
      <c r="E378" s="4"/>
      <c r="H378" s="4"/>
      <c r="I378" s="4"/>
    </row>
    <row r="379" spans="4:9" x14ac:dyDescent="0.25">
      <c r="D379" s="4"/>
      <c r="E379" s="4"/>
      <c r="H379" s="4"/>
      <c r="I379" s="4"/>
    </row>
    <row r="380" spans="4:9" x14ac:dyDescent="0.25">
      <c r="D380" s="4"/>
      <c r="E380" s="4"/>
      <c r="H380" s="4"/>
      <c r="I380" s="4"/>
    </row>
    <row r="381" spans="4:9" x14ac:dyDescent="0.25">
      <c r="D381" s="4"/>
      <c r="E381" s="4"/>
      <c r="H381" s="4"/>
      <c r="I381" s="4"/>
    </row>
    <row r="382" spans="4:9" x14ac:dyDescent="0.25">
      <c r="D382" s="4"/>
      <c r="E382" s="4"/>
      <c r="H382" s="4"/>
      <c r="I382" s="4"/>
    </row>
    <row r="383" spans="4:9" x14ac:dyDescent="0.25">
      <c r="D383" s="4"/>
      <c r="E383" s="4"/>
      <c r="H383" s="4"/>
      <c r="I383" s="4"/>
    </row>
    <row r="384" spans="4:9" x14ac:dyDescent="0.25">
      <c r="D384" s="4"/>
      <c r="E384" s="4"/>
      <c r="H384" s="4"/>
      <c r="I384" s="4"/>
    </row>
    <row r="385" spans="4:9" x14ac:dyDescent="0.25">
      <c r="D385" s="4"/>
      <c r="E385" s="4"/>
      <c r="H385" s="4"/>
      <c r="I385" s="4"/>
    </row>
    <row r="386" spans="4:9" x14ac:dyDescent="0.25">
      <c r="D386" s="4"/>
      <c r="E386" s="4"/>
      <c r="H386" s="4"/>
      <c r="I386" s="4"/>
    </row>
    <row r="387" spans="4:9" x14ac:dyDescent="0.25">
      <c r="D387" s="4"/>
      <c r="E387" s="4"/>
      <c r="H387" s="4"/>
      <c r="I387" s="4"/>
    </row>
    <row r="388" spans="4:9" x14ac:dyDescent="0.25">
      <c r="D388" s="4"/>
      <c r="E388" s="4"/>
      <c r="H388" s="4"/>
      <c r="I388" s="4"/>
    </row>
    <row r="389" spans="4:9" x14ac:dyDescent="0.25">
      <c r="D389" s="4"/>
      <c r="E389" s="4"/>
      <c r="H389" s="4"/>
      <c r="I389" s="4"/>
    </row>
    <row r="390" spans="4:9" x14ac:dyDescent="0.25">
      <c r="D390" s="4"/>
      <c r="E390" s="4"/>
      <c r="H390" s="4"/>
      <c r="I390" s="4"/>
    </row>
    <row r="391" spans="4:9" x14ac:dyDescent="0.25">
      <c r="D391" s="4"/>
      <c r="E391" s="4"/>
      <c r="H391" s="4"/>
      <c r="I391" s="4"/>
    </row>
    <row r="392" spans="4:9" x14ac:dyDescent="0.25">
      <c r="D392" s="4"/>
      <c r="E392" s="4"/>
      <c r="H392" s="4"/>
      <c r="I392" s="4"/>
    </row>
    <row r="393" spans="4:9" x14ac:dyDescent="0.25">
      <c r="D393" s="4"/>
      <c r="E393" s="4"/>
      <c r="H393" s="4"/>
      <c r="I393" s="4"/>
    </row>
    <row r="394" spans="4:9" x14ac:dyDescent="0.25">
      <c r="D394" s="4"/>
      <c r="E394" s="4"/>
      <c r="H394" s="4"/>
      <c r="I394" s="4"/>
    </row>
    <row r="395" spans="4:9" x14ac:dyDescent="0.25">
      <c r="D395" s="4"/>
      <c r="E395" s="4"/>
      <c r="H395" s="4"/>
      <c r="I395" s="4"/>
    </row>
    <row r="396" spans="4:9" x14ac:dyDescent="0.25">
      <c r="D396" s="4"/>
      <c r="E396" s="4"/>
      <c r="H396" s="4"/>
      <c r="I396" s="4"/>
    </row>
    <row r="397" spans="4:9" x14ac:dyDescent="0.25">
      <c r="D397" s="4"/>
      <c r="E397" s="4"/>
      <c r="H397" s="4"/>
      <c r="I397" s="4"/>
    </row>
    <row r="398" spans="4:9" x14ac:dyDescent="0.25">
      <c r="D398" s="4"/>
      <c r="E398" s="4"/>
      <c r="H398" s="4"/>
      <c r="I398" s="4"/>
    </row>
    <row r="399" spans="4:9" x14ac:dyDescent="0.25">
      <c r="D399" s="4"/>
      <c r="E399" s="4"/>
      <c r="H399" s="4"/>
      <c r="I399" s="4"/>
    </row>
    <row r="400" spans="4:9" x14ac:dyDescent="0.25">
      <c r="D400" s="4"/>
      <c r="E400" s="4"/>
      <c r="H400" s="4"/>
      <c r="I400" s="4"/>
    </row>
    <row r="401" spans="4:9" x14ac:dyDescent="0.25">
      <c r="D401" s="4"/>
      <c r="E401" s="4"/>
      <c r="H401" s="4"/>
      <c r="I401" s="4"/>
    </row>
    <row r="402" spans="4:9" x14ac:dyDescent="0.25">
      <c r="D402" s="4"/>
      <c r="E402" s="4"/>
      <c r="H402" s="4"/>
      <c r="I402" s="4"/>
    </row>
    <row r="403" spans="4:9" x14ac:dyDescent="0.25">
      <c r="D403" s="4"/>
      <c r="E403" s="4"/>
      <c r="H403" s="4"/>
      <c r="I403" s="4"/>
    </row>
    <row r="404" spans="4:9" x14ac:dyDescent="0.25">
      <c r="D404" s="4"/>
      <c r="E404" s="4"/>
      <c r="H404" s="4"/>
      <c r="I404" s="4"/>
    </row>
    <row r="405" spans="4:9" x14ac:dyDescent="0.25">
      <c r="D405" s="4"/>
      <c r="E405" s="4"/>
      <c r="H405" s="4"/>
      <c r="I405" s="4"/>
    </row>
    <row r="406" spans="4:9" x14ac:dyDescent="0.25">
      <c r="D406" s="4"/>
      <c r="E406" s="4"/>
      <c r="H406" s="4"/>
      <c r="I406" s="4"/>
    </row>
    <row r="407" spans="4:9" x14ac:dyDescent="0.25">
      <c r="D407" s="4"/>
      <c r="E407" s="4"/>
      <c r="H407" s="4"/>
      <c r="I407" s="4"/>
    </row>
    <row r="408" spans="4:9" x14ac:dyDescent="0.25">
      <c r="D408" s="4"/>
      <c r="E408" s="4"/>
      <c r="H408" s="4"/>
      <c r="I408" s="4"/>
    </row>
    <row r="409" spans="4:9" x14ac:dyDescent="0.25">
      <c r="D409" s="4"/>
      <c r="E409" s="4"/>
      <c r="H409" s="4"/>
      <c r="I409" s="4"/>
    </row>
    <row r="410" spans="4:9" x14ac:dyDescent="0.25">
      <c r="D410" s="4"/>
      <c r="E410" s="4"/>
      <c r="H410" s="4"/>
      <c r="I410" s="4"/>
    </row>
    <row r="411" spans="4:9" x14ac:dyDescent="0.25">
      <c r="D411" s="4"/>
      <c r="E411" s="4"/>
      <c r="H411" s="4"/>
      <c r="I411" s="4"/>
    </row>
    <row r="412" spans="4:9" x14ac:dyDescent="0.25">
      <c r="D412" s="4"/>
      <c r="E412" s="4"/>
      <c r="H412" s="4"/>
      <c r="I412" s="4"/>
    </row>
    <row r="413" spans="4:9" x14ac:dyDescent="0.25">
      <c r="D413" s="4"/>
      <c r="E413" s="4"/>
      <c r="H413" s="4"/>
      <c r="I413" s="4"/>
    </row>
    <row r="414" spans="4:9" x14ac:dyDescent="0.25">
      <c r="D414" s="4"/>
      <c r="E414" s="4"/>
      <c r="H414" s="4"/>
      <c r="I414" s="4"/>
    </row>
    <row r="415" spans="4:9" x14ac:dyDescent="0.25">
      <c r="D415" s="4"/>
      <c r="E415" s="4"/>
      <c r="H415" s="4"/>
      <c r="I415" s="4"/>
    </row>
    <row r="416" spans="4:9" x14ac:dyDescent="0.25">
      <c r="D416" s="4"/>
      <c r="E416" s="4"/>
      <c r="H416" s="4"/>
      <c r="I416" s="4"/>
    </row>
    <row r="417" spans="4:9" x14ac:dyDescent="0.25">
      <c r="D417" s="4"/>
      <c r="E417" s="4"/>
      <c r="H417" s="4"/>
      <c r="I417" s="4"/>
    </row>
    <row r="418" spans="4:9" x14ac:dyDescent="0.25">
      <c r="D418" s="4"/>
      <c r="E418" s="4"/>
      <c r="H418" s="4"/>
      <c r="I418" s="4"/>
    </row>
    <row r="419" spans="4:9" x14ac:dyDescent="0.25">
      <c r="D419" s="4"/>
      <c r="E419" s="4"/>
      <c r="H419" s="4"/>
      <c r="I419" s="4"/>
    </row>
    <row r="420" spans="4:9" x14ac:dyDescent="0.25">
      <c r="D420" s="4"/>
      <c r="E420" s="4"/>
      <c r="H420" s="4"/>
      <c r="I420" s="4"/>
    </row>
    <row r="421" spans="4:9" x14ac:dyDescent="0.25">
      <c r="D421" s="4"/>
      <c r="E421" s="4"/>
      <c r="H421" s="4"/>
      <c r="I421" s="4"/>
    </row>
    <row r="422" spans="4:9" x14ac:dyDescent="0.25">
      <c r="D422" s="4"/>
      <c r="E422" s="4"/>
      <c r="H422" s="4"/>
      <c r="I422" s="4"/>
    </row>
    <row r="423" spans="4:9" x14ac:dyDescent="0.25">
      <c r="D423" s="4"/>
      <c r="E423" s="4"/>
      <c r="H423" s="4"/>
      <c r="I423" s="4"/>
    </row>
    <row r="424" spans="4:9" x14ac:dyDescent="0.25">
      <c r="D424" s="4"/>
      <c r="E424" s="4"/>
      <c r="H424" s="4"/>
      <c r="I424" s="4"/>
    </row>
    <row r="425" spans="4:9" x14ac:dyDescent="0.25">
      <c r="D425" s="4"/>
      <c r="E425" s="4"/>
      <c r="H425" s="4"/>
      <c r="I425" s="4"/>
    </row>
    <row r="426" spans="4:9" x14ac:dyDescent="0.25">
      <c r="D426" s="4"/>
      <c r="E426" s="4"/>
      <c r="H426" s="4"/>
      <c r="I426" s="4"/>
    </row>
    <row r="427" spans="4:9" x14ac:dyDescent="0.25">
      <c r="D427" s="4"/>
      <c r="E427" s="4"/>
      <c r="H427" s="4"/>
      <c r="I427" s="4"/>
    </row>
    <row r="428" spans="4:9" x14ac:dyDescent="0.25">
      <c r="D428" s="4"/>
      <c r="E428" s="4"/>
      <c r="H428" s="4"/>
      <c r="I428" s="4"/>
    </row>
    <row r="429" spans="4:9" x14ac:dyDescent="0.25">
      <c r="D429" s="4"/>
      <c r="E429" s="4"/>
      <c r="H429" s="4"/>
      <c r="I429" s="4"/>
    </row>
    <row r="430" spans="4:9" x14ac:dyDescent="0.25">
      <c r="D430" s="4"/>
      <c r="E430" s="4"/>
      <c r="H430" s="4"/>
      <c r="I430" s="4"/>
    </row>
    <row r="431" spans="4:9" x14ac:dyDescent="0.25">
      <c r="D431" s="4"/>
      <c r="E431" s="4"/>
      <c r="H431" s="4"/>
      <c r="I431" s="4"/>
    </row>
    <row r="432" spans="4:9" x14ac:dyDescent="0.25">
      <c r="D432" s="4"/>
      <c r="E432" s="4"/>
      <c r="H432" s="4"/>
      <c r="I432" s="4"/>
    </row>
    <row r="433" spans="4:9" x14ac:dyDescent="0.25">
      <c r="D433" s="4"/>
      <c r="E433" s="4"/>
      <c r="H433" s="4"/>
      <c r="I433" s="4"/>
    </row>
    <row r="434" spans="4:9" x14ac:dyDescent="0.25">
      <c r="D434" s="4"/>
      <c r="E434" s="4"/>
      <c r="H434" s="4"/>
      <c r="I434" s="4"/>
    </row>
    <row r="435" spans="4:9" x14ac:dyDescent="0.25">
      <c r="D435" s="4"/>
      <c r="E435" s="4"/>
      <c r="H435" s="4"/>
      <c r="I435" s="4"/>
    </row>
    <row r="436" spans="4:9" x14ac:dyDescent="0.25">
      <c r="D436" s="4"/>
      <c r="E436" s="4"/>
      <c r="H436" s="4"/>
      <c r="I436" s="4"/>
    </row>
    <row r="437" spans="4:9" x14ac:dyDescent="0.25">
      <c r="D437" s="4"/>
      <c r="E437" s="4"/>
      <c r="H437" s="4"/>
      <c r="I437" s="4"/>
    </row>
    <row r="438" spans="4:9" x14ac:dyDescent="0.25">
      <c r="D438" s="4"/>
      <c r="E438" s="4"/>
      <c r="H438" s="4"/>
      <c r="I438" s="4"/>
    </row>
    <row r="439" spans="4:9" x14ac:dyDescent="0.25">
      <c r="D439" s="4"/>
      <c r="E439" s="4"/>
      <c r="H439" s="4"/>
      <c r="I439" s="4"/>
    </row>
    <row r="440" spans="4:9" x14ac:dyDescent="0.25">
      <c r="D440" s="4"/>
      <c r="E440" s="4"/>
      <c r="H440" s="4"/>
      <c r="I440" s="4"/>
    </row>
    <row r="441" spans="4:9" x14ac:dyDescent="0.25">
      <c r="D441" s="4"/>
      <c r="E441" s="4"/>
      <c r="H441" s="4"/>
      <c r="I441" s="4"/>
    </row>
    <row r="442" spans="4:9" x14ac:dyDescent="0.25">
      <c r="D442" s="4"/>
      <c r="E442" s="4"/>
      <c r="H442" s="4"/>
      <c r="I442" s="4"/>
    </row>
    <row r="443" spans="4:9" x14ac:dyDescent="0.25">
      <c r="D443" s="4"/>
      <c r="E443" s="4"/>
      <c r="H443" s="4"/>
      <c r="I443" s="4"/>
    </row>
    <row r="444" spans="4:9" x14ac:dyDescent="0.25">
      <c r="D444" s="4"/>
      <c r="E444" s="4"/>
      <c r="H444" s="4"/>
      <c r="I444" s="4"/>
    </row>
    <row r="445" spans="4:9" x14ac:dyDescent="0.25">
      <c r="D445" s="4"/>
      <c r="E445" s="4"/>
      <c r="H445" s="4"/>
      <c r="I445" s="4"/>
    </row>
    <row r="446" spans="4:9" x14ac:dyDescent="0.25">
      <c r="D446" s="4"/>
      <c r="E446" s="4"/>
      <c r="H446" s="4"/>
      <c r="I446" s="4"/>
    </row>
    <row r="447" spans="4:9" x14ac:dyDescent="0.25">
      <c r="D447" s="4"/>
      <c r="E447" s="4"/>
      <c r="H447" s="4"/>
      <c r="I447" s="4"/>
    </row>
    <row r="448" spans="4:9" x14ac:dyDescent="0.25">
      <c r="D448" s="4"/>
      <c r="E448" s="4"/>
      <c r="H448" s="4"/>
      <c r="I448" s="4"/>
    </row>
    <row r="449" spans="4:9" x14ac:dyDescent="0.25">
      <c r="D449" s="4"/>
      <c r="E449" s="4"/>
      <c r="H449" s="4"/>
      <c r="I449" s="4"/>
    </row>
    <row r="450" spans="4:9" x14ac:dyDescent="0.25">
      <c r="D450" s="4"/>
      <c r="E450" s="4"/>
      <c r="H450" s="4"/>
      <c r="I450" s="4"/>
    </row>
    <row r="451" spans="4:9" x14ac:dyDescent="0.25">
      <c r="D451" s="4"/>
      <c r="E451" s="4"/>
      <c r="H451" s="4"/>
      <c r="I451" s="4"/>
    </row>
    <row r="452" spans="4:9" x14ac:dyDescent="0.25">
      <c r="D452" s="4"/>
      <c r="E452" s="4"/>
      <c r="H452" s="4"/>
      <c r="I452" s="4"/>
    </row>
    <row r="453" spans="4:9" x14ac:dyDescent="0.25">
      <c r="D453" s="4"/>
      <c r="E453" s="4"/>
      <c r="H453" s="4"/>
      <c r="I453" s="4"/>
    </row>
    <row r="454" spans="4:9" x14ac:dyDescent="0.25">
      <c r="D454" s="4"/>
      <c r="E454" s="4"/>
      <c r="H454" s="4"/>
      <c r="I454" s="4"/>
    </row>
    <row r="455" spans="4:9" x14ac:dyDescent="0.25">
      <c r="D455" s="4"/>
      <c r="E455" s="4"/>
      <c r="H455" s="4"/>
      <c r="I455" s="4"/>
    </row>
    <row r="456" spans="4:9" x14ac:dyDescent="0.25">
      <c r="D456" s="4"/>
      <c r="E456" s="4"/>
      <c r="H456" s="4"/>
      <c r="I456" s="4"/>
    </row>
    <row r="457" spans="4:9" x14ac:dyDescent="0.25">
      <c r="D457" s="4"/>
      <c r="E457" s="4"/>
      <c r="H457" s="4"/>
      <c r="I457" s="4"/>
    </row>
    <row r="458" spans="4:9" x14ac:dyDescent="0.25">
      <c r="D458" s="4"/>
      <c r="E458" s="4"/>
      <c r="H458" s="4"/>
      <c r="I458" s="4"/>
    </row>
    <row r="459" spans="4:9" x14ac:dyDescent="0.25">
      <c r="D459" s="4"/>
      <c r="E459" s="4"/>
      <c r="H459" s="4"/>
      <c r="I459" s="4"/>
    </row>
    <row r="460" spans="4:9" x14ac:dyDescent="0.25">
      <c r="D460" s="4"/>
      <c r="E460" s="4"/>
      <c r="H460" s="4"/>
      <c r="I460" s="4"/>
    </row>
    <row r="461" spans="4:9" x14ac:dyDescent="0.25">
      <c r="D461" s="4"/>
      <c r="E461" s="4"/>
      <c r="H461" s="4"/>
      <c r="I461" s="4"/>
    </row>
    <row r="462" spans="4:9" x14ac:dyDescent="0.25">
      <c r="D462" s="4"/>
      <c r="E462" s="4"/>
      <c r="H462" s="4"/>
      <c r="I462" s="4"/>
    </row>
    <row r="463" spans="4:9" x14ac:dyDescent="0.25">
      <c r="D463" s="4"/>
      <c r="E463" s="4"/>
      <c r="H463" s="4"/>
      <c r="I463" s="4"/>
    </row>
    <row r="464" spans="4:9" x14ac:dyDescent="0.25">
      <c r="D464" s="4"/>
      <c r="E464" s="4"/>
      <c r="H464" s="4"/>
      <c r="I464" s="4"/>
    </row>
    <row r="465" spans="4:9" x14ac:dyDescent="0.25">
      <c r="D465" s="4"/>
      <c r="E465" s="4"/>
      <c r="H465" s="4"/>
      <c r="I465" s="4"/>
    </row>
    <row r="466" spans="4:9" x14ac:dyDescent="0.25">
      <c r="D466" s="4"/>
      <c r="E466" s="4"/>
      <c r="H466" s="4"/>
      <c r="I466" s="4"/>
    </row>
    <row r="467" spans="4:9" x14ac:dyDescent="0.25">
      <c r="D467" s="4"/>
      <c r="E467" s="4"/>
      <c r="H467" s="4"/>
      <c r="I467" s="4"/>
    </row>
    <row r="468" spans="4:9" x14ac:dyDescent="0.25">
      <c r="D468" s="4"/>
      <c r="E468" s="4"/>
      <c r="H468" s="4"/>
      <c r="I468" s="4"/>
    </row>
    <row r="469" spans="4:9" x14ac:dyDescent="0.25">
      <c r="D469" s="4"/>
      <c r="E469" s="4"/>
      <c r="H469" s="4"/>
      <c r="I469" s="4"/>
    </row>
    <row r="470" spans="4:9" x14ac:dyDescent="0.25">
      <c r="D470" s="4"/>
      <c r="E470" s="4"/>
      <c r="H470" s="4"/>
      <c r="I470" s="4"/>
    </row>
    <row r="471" spans="4:9" x14ac:dyDescent="0.25">
      <c r="D471" s="4"/>
      <c r="E471" s="4"/>
      <c r="H471" s="4"/>
      <c r="I471" s="4"/>
    </row>
    <row r="472" spans="4:9" x14ac:dyDescent="0.25">
      <c r="D472" s="4"/>
      <c r="E472" s="4"/>
      <c r="H472" s="4"/>
      <c r="I472" s="4"/>
    </row>
    <row r="473" spans="4:9" x14ac:dyDescent="0.25">
      <c r="D473" s="4"/>
      <c r="E473" s="4"/>
      <c r="H473" s="4"/>
      <c r="I473" s="4"/>
    </row>
    <row r="474" spans="4:9" x14ac:dyDescent="0.25">
      <c r="D474" s="4"/>
      <c r="E474" s="4"/>
      <c r="H474" s="4"/>
      <c r="I474" s="4"/>
    </row>
    <row r="475" spans="4:9" x14ac:dyDescent="0.25">
      <c r="D475" s="4"/>
      <c r="E475" s="4"/>
      <c r="H475" s="4"/>
      <c r="I475" s="4"/>
    </row>
    <row r="476" spans="4:9" x14ac:dyDescent="0.25">
      <c r="D476" s="4"/>
      <c r="E476" s="4"/>
      <c r="H476" s="4"/>
      <c r="I476" s="4"/>
    </row>
    <row r="477" spans="4:9" x14ac:dyDescent="0.25">
      <c r="D477" s="4"/>
      <c r="E477" s="4"/>
      <c r="H477" s="4"/>
      <c r="I477" s="4"/>
    </row>
    <row r="478" spans="4:9" x14ac:dyDescent="0.25">
      <c r="D478" s="4"/>
      <c r="E478" s="4"/>
      <c r="H478" s="4"/>
      <c r="I478" s="4"/>
    </row>
    <row r="479" spans="4:9" x14ac:dyDescent="0.25">
      <c r="D479" s="4"/>
      <c r="E479" s="4"/>
      <c r="H479" s="4"/>
      <c r="I479" s="4"/>
    </row>
    <row r="480" spans="4:9" x14ac:dyDescent="0.25">
      <c r="D480" s="4"/>
      <c r="E480" s="4"/>
      <c r="H480" s="4"/>
      <c r="I480" s="4"/>
    </row>
    <row r="481" spans="4:9" x14ac:dyDescent="0.25">
      <c r="D481" s="4"/>
      <c r="E481" s="4"/>
      <c r="H481" s="4"/>
      <c r="I481" s="4"/>
    </row>
    <row r="482" spans="4:9" x14ac:dyDescent="0.25">
      <c r="D482" s="4"/>
      <c r="E482" s="4"/>
      <c r="H482" s="4"/>
      <c r="I482" s="4"/>
    </row>
    <row r="483" spans="4:9" x14ac:dyDescent="0.25">
      <c r="D483" s="4"/>
      <c r="E483" s="4"/>
      <c r="H483" s="4"/>
      <c r="I483" s="4"/>
    </row>
    <row r="484" spans="4:9" x14ac:dyDescent="0.25">
      <c r="D484" s="4"/>
      <c r="E484" s="4"/>
      <c r="H484" s="4"/>
      <c r="I484" s="4"/>
    </row>
    <row r="485" spans="4:9" x14ac:dyDescent="0.25">
      <c r="D485" s="4"/>
      <c r="E485" s="4"/>
      <c r="H485" s="4"/>
      <c r="I485" s="4"/>
    </row>
    <row r="486" spans="4:9" x14ac:dyDescent="0.25">
      <c r="D486" s="4"/>
      <c r="E486" s="4"/>
      <c r="H486" s="4"/>
      <c r="I486" s="4"/>
    </row>
    <row r="487" spans="4:9" x14ac:dyDescent="0.25">
      <c r="D487" s="4"/>
      <c r="E487" s="4"/>
      <c r="H487" s="4"/>
      <c r="I487" s="4"/>
    </row>
    <row r="488" spans="4:9" x14ac:dyDescent="0.25">
      <c r="D488" s="4"/>
      <c r="E488" s="4"/>
      <c r="H488" s="4"/>
      <c r="I488" s="4"/>
    </row>
    <row r="489" spans="4:9" x14ac:dyDescent="0.25">
      <c r="D489" s="4"/>
      <c r="E489" s="4"/>
      <c r="H489" s="4"/>
      <c r="I489" s="4"/>
    </row>
    <row r="490" spans="4:9" x14ac:dyDescent="0.25">
      <c r="D490" s="4"/>
      <c r="E490" s="4"/>
      <c r="H490" s="4"/>
      <c r="I490" s="4"/>
    </row>
    <row r="491" spans="4:9" x14ac:dyDescent="0.25">
      <c r="D491" s="4"/>
      <c r="E491" s="4"/>
      <c r="H491" s="4"/>
      <c r="I491" s="4"/>
    </row>
    <row r="492" spans="4:9" x14ac:dyDescent="0.25">
      <c r="D492" s="4"/>
      <c r="E492" s="4"/>
      <c r="H492" s="4"/>
      <c r="I492" s="4"/>
    </row>
    <row r="493" spans="4:9" x14ac:dyDescent="0.25">
      <c r="D493" s="4"/>
      <c r="E493" s="4"/>
      <c r="H493" s="4"/>
      <c r="I493" s="4"/>
    </row>
    <row r="494" spans="4:9" x14ac:dyDescent="0.25">
      <c r="D494" s="4"/>
      <c r="E494" s="4"/>
      <c r="H494" s="4"/>
      <c r="I494" s="4"/>
    </row>
    <row r="495" spans="4:9" x14ac:dyDescent="0.25">
      <c r="D495" s="4"/>
      <c r="E495" s="4"/>
      <c r="H495" s="4"/>
      <c r="I495" s="4"/>
    </row>
    <row r="496" spans="4:9" x14ac:dyDescent="0.25">
      <c r="D496" s="4"/>
      <c r="E496" s="4"/>
      <c r="H496" s="4"/>
      <c r="I496" s="4"/>
    </row>
    <row r="497" spans="4:9" x14ac:dyDescent="0.25">
      <c r="D497" s="4"/>
      <c r="E497" s="4"/>
      <c r="H497" s="4"/>
      <c r="I497" s="4"/>
    </row>
    <row r="498" spans="4:9" x14ac:dyDescent="0.25">
      <c r="D498" s="4"/>
      <c r="E498" s="4"/>
      <c r="H498" s="4"/>
      <c r="I498" s="4"/>
    </row>
    <row r="499" spans="4:9" x14ac:dyDescent="0.25">
      <c r="D499" s="4"/>
      <c r="E499" s="4"/>
      <c r="H499" s="4"/>
      <c r="I499" s="4"/>
    </row>
    <row r="500" spans="4:9" x14ac:dyDescent="0.25">
      <c r="D500" s="4"/>
      <c r="E500" s="4"/>
      <c r="H500" s="4"/>
      <c r="I500" s="4"/>
    </row>
    <row r="501" spans="4:9" x14ac:dyDescent="0.25">
      <c r="D501" s="4"/>
      <c r="E501" s="4"/>
      <c r="H501" s="4"/>
      <c r="I501" s="4"/>
    </row>
    <row r="502" spans="4:9" x14ac:dyDescent="0.25">
      <c r="D502" s="4"/>
      <c r="E502" s="4"/>
      <c r="H502" s="4"/>
      <c r="I502" s="4"/>
    </row>
    <row r="503" spans="4:9" x14ac:dyDescent="0.25">
      <c r="D503" s="4"/>
      <c r="E503" s="4"/>
      <c r="H503" s="4"/>
      <c r="I503" s="4"/>
    </row>
    <row r="504" spans="4:9" x14ac:dyDescent="0.25">
      <c r="D504" s="4"/>
      <c r="E504" s="4"/>
      <c r="H504" s="4"/>
      <c r="I504" s="4"/>
    </row>
    <row r="505" spans="4:9" x14ac:dyDescent="0.25">
      <c r="D505" s="4"/>
      <c r="E505" s="4"/>
      <c r="H505" s="4"/>
      <c r="I505" s="4"/>
    </row>
    <row r="506" spans="4:9" x14ac:dyDescent="0.25">
      <c r="D506" s="4"/>
      <c r="E506" s="4"/>
      <c r="H506" s="4"/>
      <c r="I506" s="4"/>
    </row>
    <row r="507" spans="4:9" x14ac:dyDescent="0.25">
      <c r="D507" s="4"/>
      <c r="E507" s="4"/>
      <c r="H507" s="4"/>
      <c r="I507" s="4"/>
    </row>
    <row r="508" spans="4:9" x14ac:dyDescent="0.25">
      <c r="D508" s="4"/>
      <c r="E508" s="4"/>
      <c r="H508" s="4"/>
      <c r="I508" s="4"/>
    </row>
    <row r="509" spans="4:9" x14ac:dyDescent="0.25">
      <c r="D509" s="4"/>
      <c r="E509" s="4"/>
      <c r="H509" s="4"/>
      <c r="I509" s="4"/>
    </row>
    <row r="510" spans="4:9" x14ac:dyDescent="0.25">
      <c r="D510" s="4"/>
      <c r="E510" s="4"/>
      <c r="H510" s="4"/>
      <c r="I510" s="4"/>
    </row>
    <row r="511" spans="4:9" x14ac:dyDescent="0.25">
      <c r="D511" s="4"/>
      <c r="E511" s="4"/>
      <c r="H511" s="4"/>
      <c r="I511" s="4"/>
    </row>
    <row r="512" spans="4:9" x14ac:dyDescent="0.25">
      <c r="D512" s="4"/>
      <c r="E512" s="4"/>
      <c r="H512" s="4"/>
      <c r="I512" s="4"/>
    </row>
    <row r="513" spans="4:9" x14ac:dyDescent="0.25">
      <c r="D513" s="4"/>
      <c r="E513" s="4"/>
      <c r="H513" s="4"/>
      <c r="I513" s="4"/>
    </row>
    <row r="514" spans="4:9" x14ac:dyDescent="0.25">
      <c r="D514" s="4"/>
      <c r="E514" s="4"/>
      <c r="H514" s="4"/>
      <c r="I514" s="4"/>
    </row>
    <row r="515" spans="4:9" x14ac:dyDescent="0.25">
      <c r="D515" s="4"/>
      <c r="E515" s="4"/>
      <c r="H515" s="4"/>
      <c r="I515" s="4"/>
    </row>
    <row r="516" spans="4:9" x14ac:dyDescent="0.25">
      <c r="D516" s="4"/>
      <c r="E516" s="4"/>
      <c r="H516" s="4"/>
      <c r="I516" s="4"/>
    </row>
    <row r="517" spans="4:9" x14ac:dyDescent="0.25">
      <c r="D517" s="4"/>
      <c r="E517" s="4"/>
      <c r="H517" s="4"/>
      <c r="I517" s="4"/>
    </row>
    <row r="518" spans="4:9" x14ac:dyDescent="0.25">
      <c r="D518" s="4"/>
      <c r="E518" s="4"/>
      <c r="H518" s="4"/>
      <c r="I518" s="4"/>
    </row>
    <row r="519" spans="4:9" x14ac:dyDescent="0.25">
      <c r="D519" s="4"/>
      <c r="E519" s="4"/>
      <c r="H519" s="4"/>
      <c r="I519" s="4"/>
    </row>
    <row r="520" spans="4:9" x14ac:dyDescent="0.25">
      <c r="D520" s="4"/>
      <c r="E520" s="4"/>
      <c r="H520" s="4"/>
      <c r="I520" s="4"/>
    </row>
    <row r="521" spans="4:9" x14ac:dyDescent="0.25">
      <c r="D521" s="4"/>
      <c r="E521" s="4"/>
      <c r="H521" s="4"/>
      <c r="I521" s="4"/>
    </row>
    <row r="522" spans="4:9" x14ac:dyDescent="0.25">
      <c r="D522" s="4"/>
      <c r="E522" s="4"/>
      <c r="H522" s="4"/>
      <c r="I522" s="4"/>
    </row>
    <row r="523" spans="4:9" x14ac:dyDescent="0.25">
      <c r="D523" s="4"/>
      <c r="E523" s="4"/>
      <c r="H523" s="4"/>
      <c r="I523" s="4"/>
    </row>
    <row r="524" spans="4:9" x14ac:dyDescent="0.25">
      <c r="D524" s="4"/>
      <c r="E524" s="4"/>
      <c r="H524" s="4"/>
      <c r="I524" s="4"/>
    </row>
    <row r="525" spans="4:9" x14ac:dyDescent="0.25">
      <c r="D525" s="4"/>
      <c r="E525" s="4"/>
      <c r="H525" s="4"/>
      <c r="I525" s="4"/>
    </row>
    <row r="526" spans="4:9" x14ac:dyDescent="0.25">
      <c r="D526" s="4"/>
      <c r="E526" s="4"/>
      <c r="H526" s="4"/>
      <c r="I526" s="4"/>
    </row>
    <row r="527" spans="4:9" x14ac:dyDescent="0.25">
      <c r="D527" s="4"/>
      <c r="E527" s="4"/>
      <c r="H527" s="4"/>
      <c r="I527" s="4"/>
    </row>
    <row r="528" spans="4:9" x14ac:dyDescent="0.25">
      <c r="D528" s="4"/>
      <c r="E528" s="4"/>
      <c r="H528" s="4"/>
      <c r="I528" s="4"/>
    </row>
    <row r="529" spans="4:9" x14ac:dyDescent="0.25">
      <c r="D529" s="4"/>
      <c r="E529" s="4"/>
      <c r="H529" s="4"/>
      <c r="I529" s="4"/>
    </row>
    <row r="530" spans="4:9" x14ac:dyDescent="0.25">
      <c r="D530" s="4"/>
      <c r="E530" s="4"/>
      <c r="H530" s="4"/>
      <c r="I530" s="4"/>
    </row>
    <row r="531" spans="4:9" x14ac:dyDescent="0.25">
      <c r="D531" s="4"/>
      <c r="E531" s="4"/>
      <c r="H531" s="4"/>
      <c r="I531" s="4"/>
    </row>
    <row r="532" spans="4:9" x14ac:dyDescent="0.25">
      <c r="D532" s="4"/>
      <c r="E532" s="4"/>
      <c r="H532" s="4"/>
      <c r="I532" s="4"/>
    </row>
    <row r="533" spans="4:9" x14ac:dyDescent="0.25">
      <c r="D533" s="4"/>
      <c r="E533" s="4"/>
      <c r="H533" s="4"/>
      <c r="I533" s="4"/>
    </row>
    <row r="534" spans="4:9" x14ac:dyDescent="0.25">
      <c r="D534" s="4"/>
      <c r="E534" s="4"/>
      <c r="H534" s="4"/>
      <c r="I534" s="4"/>
    </row>
    <row r="535" spans="4:9" x14ac:dyDescent="0.25">
      <c r="D535" s="4"/>
      <c r="E535" s="4"/>
      <c r="H535" s="4"/>
      <c r="I535" s="4"/>
    </row>
    <row r="536" spans="4:9" x14ac:dyDescent="0.25">
      <c r="D536" s="4"/>
      <c r="E536" s="4"/>
      <c r="H536" s="4"/>
      <c r="I536" s="4"/>
    </row>
    <row r="537" spans="4:9" x14ac:dyDescent="0.25">
      <c r="D537" s="4"/>
      <c r="E537" s="4"/>
      <c r="H537" s="4"/>
      <c r="I537" s="4"/>
    </row>
    <row r="538" spans="4:9" x14ac:dyDescent="0.25">
      <c r="D538" s="4"/>
      <c r="E538" s="4"/>
      <c r="H538" s="4"/>
      <c r="I538" s="4"/>
    </row>
    <row r="539" spans="4:9" x14ac:dyDescent="0.25">
      <c r="D539" s="4"/>
      <c r="E539" s="4"/>
      <c r="H539" s="4"/>
      <c r="I539" s="4"/>
    </row>
    <row r="540" spans="4:9" x14ac:dyDescent="0.25">
      <c r="D540" s="4"/>
      <c r="E540" s="4"/>
      <c r="H540" s="4"/>
      <c r="I540" s="4"/>
    </row>
    <row r="541" spans="4:9" x14ac:dyDescent="0.25">
      <c r="D541" s="4"/>
      <c r="E541" s="4"/>
      <c r="H541" s="4"/>
      <c r="I541" s="4"/>
    </row>
    <row r="542" spans="4:9" x14ac:dyDescent="0.25">
      <c r="D542" s="4"/>
      <c r="E542" s="4"/>
      <c r="H542" s="4"/>
      <c r="I542" s="4"/>
    </row>
    <row r="543" spans="4:9" x14ac:dyDescent="0.25">
      <c r="D543" s="4"/>
      <c r="E543" s="4"/>
      <c r="H543" s="4"/>
      <c r="I543" s="4"/>
    </row>
    <row r="544" spans="4:9" x14ac:dyDescent="0.25">
      <c r="D544" s="4"/>
      <c r="E544" s="4"/>
      <c r="H544" s="4"/>
      <c r="I544" s="4"/>
    </row>
    <row r="545" spans="4:9" x14ac:dyDescent="0.25">
      <c r="D545" s="4"/>
      <c r="E545" s="4"/>
      <c r="H545" s="4"/>
      <c r="I545" s="4"/>
    </row>
    <row r="546" spans="4:9" x14ac:dyDescent="0.25">
      <c r="D546" s="4"/>
      <c r="E546" s="4"/>
      <c r="H546" s="4"/>
      <c r="I546" s="4"/>
    </row>
    <row r="547" spans="4:9" x14ac:dyDescent="0.25">
      <c r="D547" s="4"/>
      <c r="E547" s="4"/>
      <c r="H547" s="4"/>
      <c r="I547" s="4"/>
    </row>
    <row r="548" spans="4:9" x14ac:dyDescent="0.25">
      <c r="D548" s="4"/>
      <c r="E548" s="4"/>
      <c r="H548" s="4"/>
      <c r="I548" s="4"/>
    </row>
    <row r="549" spans="4:9" x14ac:dyDescent="0.25">
      <c r="D549" s="4"/>
      <c r="E549" s="4"/>
      <c r="H549" s="4"/>
      <c r="I549" s="4"/>
    </row>
    <row r="550" spans="4:9" x14ac:dyDescent="0.25">
      <c r="D550" s="4"/>
      <c r="E550" s="4"/>
      <c r="H550" s="4"/>
      <c r="I550" s="4"/>
    </row>
    <row r="551" spans="4:9" x14ac:dyDescent="0.25">
      <c r="D551" s="4"/>
      <c r="E551" s="4"/>
      <c r="H551" s="4"/>
      <c r="I551" s="4"/>
    </row>
    <row r="552" spans="4:9" x14ac:dyDescent="0.25">
      <c r="D552" s="4"/>
      <c r="E552" s="4"/>
      <c r="H552" s="4"/>
      <c r="I552" s="4"/>
    </row>
    <row r="553" spans="4:9" x14ac:dyDescent="0.25">
      <c r="D553" s="4"/>
      <c r="E553" s="4"/>
      <c r="H553" s="4"/>
      <c r="I553" s="4"/>
    </row>
    <row r="554" spans="4:9" x14ac:dyDescent="0.25">
      <c r="D554" s="4"/>
      <c r="E554" s="4"/>
      <c r="H554" s="4"/>
      <c r="I554" s="4"/>
    </row>
    <row r="555" spans="4:9" x14ac:dyDescent="0.25">
      <c r="D555" s="4"/>
      <c r="E555" s="4"/>
      <c r="H555" s="4"/>
      <c r="I555" s="4"/>
    </row>
    <row r="556" spans="4:9" x14ac:dyDescent="0.25">
      <c r="D556" s="4"/>
      <c r="E556" s="4"/>
      <c r="H556" s="4"/>
      <c r="I556" s="4"/>
    </row>
    <row r="557" spans="4:9" x14ac:dyDescent="0.25">
      <c r="D557" s="4"/>
      <c r="E557" s="4"/>
      <c r="H557" s="4"/>
      <c r="I557" s="4"/>
    </row>
    <row r="558" spans="4:9" x14ac:dyDescent="0.25">
      <c r="D558" s="4"/>
      <c r="E558" s="4"/>
      <c r="H558" s="4"/>
      <c r="I558" s="4"/>
    </row>
    <row r="559" spans="4:9" x14ac:dyDescent="0.25">
      <c r="D559" s="4"/>
      <c r="E559" s="4"/>
      <c r="H559" s="4"/>
      <c r="I559" s="4"/>
    </row>
    <row r="560" spans="4:9" x14ac:dyDescent="0.25">
      <c r="D560" s="4"/>
      <c r="E560" s="4"/>
      <c r="H560" s="4"/>
      <c r="I560" s="4"/>
    </row>
    <row r="561" spans="4:9" x14ac:dyDescent="0.25">
      <c r="D561" s="4"/>
      <c r="E561" s="4"/>
      <c r="H561" s="4"/>
      <c r="I561" s="4"/>
    </row>
    <row r="562" spans="4:9" x14ac:dyDescent="0.25">
      <c r="D562" s="4"/>
      <c r="E562" s="4"/>
      <c r="H562" s="4"/>
      <c r="I562" s="4"/>
    </row>
    <row r="563" spans="4:9" x14ac:dyDescent="0.25">
      <c r="D563" s="4"/>
      <c r="E563" s="4"/>
      <c r="H563" s="4"/>
      <c r="I563" s="4"/>
    </row>
    <row r="564" spans="4:9" x14ac:dyDescent="0.25">
      <c r="D564" s="4"/>
      <c r="E564" s="4"/>
      <c r="H564" s="4"/>
      <c r="I564" s="4"/>
    </row>
    <row r="565" spans="4:9" x14ac:dyDescent="0.25">
      <c r="D565" s="4"/>
      <c r="E565" s="4"/>
      <c r="H565" s="4"/>
      <c r="I565" s="4"/>
    </row>
    <row r="566" spans="4:9" x14ac:dyDescent="0.25">
      <c r="D566" s="4"/>
      <c r="E566" s="4"/>
      <c r="H566" s="4"/>
      <c r="I566" s="4"/>
    </row>
    <row r="567" spans="4:9" x14ac:dyDescent="0.25">
      <c r="D567" s="4"/>
      <c r="E567" s="4"/>
      <c r="H567" s="4"/>
      <c r="I567" s="4"/>
    </row>
    <row r="568" spans="4:9" x14ac:dyDescent="0.25">
      <c r="D568" s="4"/>
      <c r="E568" s="4"/>
      <c r="H568" s="4"/>
      <c r="I568" s="4"/>
    </row>
    <row r="569" spans="4:9" x14ac:dyDescent="0.25">
      <c r="D569" s="4"/>
      <c r="E569" s="4"/>
      <c r="H569" s="4"/>
      <c r="I569" s="4"/>
    </row>
    <row r="570" spans="4:9" x14ac:dyDescent="0.25">
      <c r="D570" s="4"/>
      <c r="E570" s="4"/>
      <c r="H570" s="4"/>
      <c r="I570" s="4"/>
    </row>
    <row r="571" spans="4:9" x14ac:dyDescent="0.25">
      <c r="D571" s="4"/>
      <c r="E571" s="4"/>
      <c r="H571" s="4"/>
      <c r="I571" s="4"/>
    </row>
    <row r="572" spans="4:9" x14ac:dyDescent="0.25">
      <c r="D572" s="4"/>
      <c r="E572" s="4"/>
      <c r="H572" s="4"/>
      <c r="I572" s="4"/>
    </row>
    <row r="573" spans="4:9" x14ac:dyDescent="0.25">
      <c r="D573" s="4"/>
      <c r="E573" s="4"/>
      <c r="H573" s="4"/>
      <c r="I573" s="4"/>
    </row>
    <row r="574" spans="4:9" x14ac:dyDescent="0.25">
      <c r="D574" s="4"/>
      <c r="E574" s="4"/>
      <c r="H574" s="4"/>
      <c r="I574" s="4"/>
    </row>
    <row r="575" spans="4:9" x14ac:dyDescent="0.25">
      <c r="D575" s="4"/>
      <c r="E575" s="4"/>
      <c r="H575" s="4"/>
      <c r="I575" s="4"/>
    </row>
    <row r="576" spans="4:9" x14ac:dyDescent="0.25">
      <c r="D576" s="4"/>
      <c r="E576" s="4"/>
      <c r="H576" s="4"/>
      <c r="I576" s="4"/>
    </row>
    <row r="577" spans="4:9" x14ac:dyDescent="0.25">
      <c r="D577" s="4"/>
      <c r="E577" s="4"/>
      <c r="H577" s="4"/>
      <c r="I577" s="4"/>
    </row>
    <row r="578" spans="4:9" x14ac:dyDescent="0.25">
      <c r="D578" s="4"/>
      <c r="E578" s="4"/>
      <c r="H578" s="4"/>
      <c r="I578" s="4"/>
    </row>
    <row r="579" spans="4:9" x14ac:dyDescent="0.25">
      <c r="D579" s="4"/>
      <c r="E579" s="4"/>
      <c r="H579" s="4"/>
      <c r="I579" s="4"/>
    </row>
    <row r="580" spans="4:9" x14ac:dyDescent="0.25">
      <c r="D580" s="4"/>
      <c r="E580" s="4"/>
      <c r="H580" s="4"/>
      <c r="I580" s="4"/>
    </row>
    <row r="581" spans="4:9" x14ac:dyDescent="0.25">
      <c r="D581" s="4"/>
      <c r="E581" s="4"/>
      <c r="H581" s="4"/>
      <c r="I581" s="4"/>
    </row>
    <row r="582" spans="4:9" x14ac:dyDescent="0.25">
      <c r="D582" s="4"/>
      <c r="E582" s="4"/>
      <c r="H582" s="4"/>
      <c r="I582" s="4"/>
    </row>
    <row r="583" spans="4:9" x14ac:dyDescent="0.25">
      <c r="D583" s="4"/>
      <c r="E583" s="4"/>
      <c r="H583" s="4"/>
      <c r="I583" s="4"/>
    </row>
    <row r="584" spans="4:9" x14ac:dyDescent="0.25">
      <c r="D584" s="4"/>
      <c r="E584" s="4"/>
      <c r="H584" s="4"/>
      <c r="I584" s="4"/>
    </row>
    <row r="585" spans="4:9" x14ac:dyDescent="0.25">
      <c r="D585" s="4"/>
      <c r="E585" s="4"/>
      <c r="H585" s="4"/>
      <c r="I585" s="4"/>
    </row>
    <row r="586" spans="4:9" x14ac:dyDescent="0.25">
      <c r="D586" s="4"/>
      <c r="E586" s="4"/>
      <c r="H586" s="4"/>
      <c r="I586" s="4"/>
    </row>
    <row r="587" spans="4:9" x14ac:dyDescent="0.25">
      <c r="D587" s="4"/>
      <c r="E587" s="4"/>
      <c r="H587" s="4"/>
      <c r="I587" s="4"/>
    </row>
    <row r="588" spans="4:9" x14ac:dyDescent="0.25">
      <c r="D588" s="4"/>
      <c r="E588" s="4"/>
      <c r="H588" s="4"/>
      <c r="I588" s="4"/>
    </row>
    <row r="589" spans="4:9" x14ac:dyDescent="0.25">
      <c r="D589" s="4"/>
      <c r="E589" s="4"/>
      <c r="H589" s="4"/>
      <c r="I589" s="4"/>
    </row>
    <row r="590" spans="4:9" x14ac:dyDescent="0.25">
      <c r="D590" s="4"/>
      <c r="E590" s="4"/>
      <c r="H590" s="4"/>
      <c r="I590" s="4"/>
    </row>
    <row r="591" spans="4:9" x14ac:dyDescent="0.25">
      <c r="D591" s="4"/>
      <c r="E591" s="4"/>
      <c r="H591" s="4"/>
      <c r="I591" s="4"/>
    </row>
    <row r="592" spans="4:9" x14ac:dyDescent="0.25">
      <c r="D592" s="4"/>
      <c r="E592" s="4"/>
      <c r="H592" s="4"/>
      <c r="I592" s="4"/>
    </row>
    <row r="593" spans="4:9" x14ac:dyDescent="0.25">
      <c r="D593" s="4"/>
      <c r="E593" s="4"/>
      <c r="H593" s="4"/>
      <c r="I593" s="4"/>
    </row>
    <row r="594" spans="4:9" x14ac:dyDescent="0.25">
      <c r="D594" s="4"/>
      <c r="E594" s="4"/>
      <c r="H594" s="4"/>
      <c r="I594" s="4"/>
    </row>
    <row r="595" spans="4:9" x14ac:dyDescent="0.25">
      <c r="D595" s="4"/>
      <c r="E595" s="4"/>
      <c r="H595" s="4"/>
      <c r="I595" s="4"/>
    </row>
    <row r="596" spans="4:9" x14ac:dyDescent="0.25">
      <c r="D596" s="4"/>
      <c r="E596" s="4"/>
      <c r="H596" s="4"/>
      <c r="I596" s="4"/>
    </row>
    <row r="597" spans="4:9" x14ac:dyDescent="0.25">
      <c r="D597" s="4"/>
      <c r="E597" s="4"/>
      <c r="H597" s="4"/>
      <c r="I597" s="4"/>
    </row>
    <row r="598" spans="4:9" x14ac:dyDescent="0.25">
      <c r="D598" s="4"/>
      <c r="E598" s="4"/>
      <c r="H598" s="4"/>
      <c r="I598" s="4"/>
    </row>
    <row r="599" spans="4:9" x14ac:dyDescent="0.25">
      <c r="D599" s="4"/>
      <c r="E599" s="4"/>
      <c r="H599" s="4"/>
      <c r="I599" s="4"/>
    </row>
    <row r="600" spans="4:9" x14ac:dyDescent="0.25">
      <c r="D600" s="4"/>
      <c r="E600" s="4"/>
      <c r="H600" s="4"/>
      <c r="I600" s="4"/>
    </row>
    <row r="601" spans="4:9" x14ac:dyDescent="0.25">
      <c r="D601" s="4"/>
      <c r="E601" s="4"/>
      <c r="H601" s="4"/>
      <c r="I601" s="4"/>
    </row>
    <row r="602" spans="4:9" x14ac:dyDescent="0.25">
      <c r="D602" s="4"/>
      <c r="E602" s="4"/>
      <c r="H602" s="4"/>
      <c r="I602" s="4"/>
    </row>
    <row r="603" spans="4:9" x14ac:dyDescent="0.25">
      <c r="D603" s="4"/>
      <c r="E603" s="4"/>
      <c r="H603" s="4"/>
      <c r="I603" s="4"/>
    </row>
    <row r="604" spans="4:9" x14ac:dyDescent="0.25">
      <c r="D604" s="4"/>
      <c r="E604" s="4"/>
      <c r="H604" s="4"/>
      <c r="I604" s="4"/>
    </row>
    <row r="605" spans="4:9" x14ac:dyDescent="0.25">
      <c r="D605" s="4"/>
      <c r="E605" s="4"/>
      <c r="H605" s="4"/>
      <c r="I605" s="4"/>
    </row>
    <row r="606" spans="4:9" x14ac:dyDescent="0.25">
      <c r="D606" s="4"/>
      <c r="E606" s="4"/>
      <c r="H606" s="4"/>
      <c r="I606" s="4"/>
    </row>
    <row r="607" spans="4:9" x14ac:dyDescent="0.25">
      <c r="D607" s="4"/>
      <c r="E607" s="4"/>
      <c r="H607" s="4"/>
      <c r="I607" s="4"/>
    </row>
    <row r="608" spans="4:9" x14ac:dyDescent="0.25">
      <c r="D608" s="4"/>
      <c r="E608" s="4"/>
      <c r="H608" s="4"/>
      <c r="I608" s="4"/>
    </row>
    <row r="609" spans="4:9" x14ac:dyDescent="0.25">
      <c r="D609" s="4"/>
      <c r="E609" s="4"/>
      <c r="H609" s="4"/>
      <c r="I609" s="4"/>
    </row>
    <row r="610" spans="4:9" x14ac:dyDescent="0.25">
      <c r="D610" s="4"/>
      <c r="E610" s="4"/>
      <c r="H610" s="4"/>
      <c r="I610" s="4"/>
    </row>
    <row r="611" spans="4:9" x14ac:dyDescent="0.25">
      <c r="D611" s="4"/>
      <c r="E611" s="4"/>
      <c r="H611" s="4"/>
      <c r="I611" s="4"/>
    </row>
    <row r="612" spans="4:9" x14ac:dyDescent="0.25">
      <c r="D612" s="4"/>
      <c r="E612" s="4"/>
      <c r="H612" s="4"/>
      <c r="I612" s="4"/>
    </row>
    <row r="613" spans="4:9" x14ac:dyDescent="0.25">
      <c r="D613" s="4"/>
      <c r="E613" s="4"/>
      <c r="H613" s="4"/>
      <c r="I613" s="4"/>
    </row>
    <row r="614" spans="4:9" x14ac:dyDescent="0.25">
      <c r="D614" s="4"/>
      <c r="E614" s="4"/>
      <c r="H614" s="4"/>
      <c r="I614" s="4"/>
    </row>
    <row r="615" spans="4:9" x14ac:dyDescent="0.25">
      <c r="D615" s="4"/>
      <c r="E615" s="4"/>
      <c r="H615" s="4"/>
      <c r="I615" s="4"/>
    </row>
    <row r="616" spans="4:9" x14ac:dyDescent="0.25">
      <c r="D616" s="4"/>
      <c r="E616" s="4"/>
      <c r="H616" s="4"/>
      <c r="I616" s="4"/>
    </row>
    <row r="617" spans="4:9" x14ac:dyDescent="0.25">
      <c r="D617" s="4"/>
      <c r="E617" s="4"/>
      <c r="H617" s="4"/>
      <c r="I617" s="4"/>
    </row>
    <row r="618" spans="4:9" x14ac:dyDescent="0.25">
      <c r="D618" s="4"/>
      <c r="E618" s="4"/>
      <c r="H618" s="4"/>
      <c r="I618" s="4"/>
    </row>
    <row r="619" spans="4:9" x14ac:dyDescent="0.25">
      <c r="D619" s="4"/>
      <c r="E619" s="4"/>
      <c r="H619" s="4"/>
      <c r="I619" s="4"/>
    </row>
    <row r="620" spans="4:9" x14ac:dyDescent="0.25">
      <c r="D620" s="4"/>
      <c r="E620" s="4"/>
      <c r="H620" s="4"/>
      <c r="I620" s="4"/>
    </row>
    <row r="621" spans="4:9" x14ac:dyDescent="0.25">
      <c r="D621" s="4"/>
      <c r="E621" s="4"/>
      <c r="H621" s="4"/>
      <c r="I621" s="4"/>
    </row>
    <row r="622" spans="4:9" x14ac:dyDescent="0.25">
      <c r="D622" s="4"/>
      <c r="E622" s="4"/>
      <c r="H622" s="4"/>
      <c r="I622" s="4"/>
    </row>
    <row r="623" spans="4:9" x14ac:dyDescent="0.25">
      <c r="D623" s="4"/>
      <c r="E623" s="4"/>
      <c r="H623" s="4"/>
      <c r="I623" s="4"/>
    </row>
    <row r="624" spans="4:9" x14ac:dyDescent="0.25">
      <c r="D624" s="4"/>
      <c r="E624" s="4"/>
      <c r="H624" s="4"/>
      <c r="I624" s="4"/>
    </row>
    <row r="625" spans="4:9" x14ac:dyDescent="0.25">
      <c r="D625" s="4"/>
      <c r="E625" s="4"/>
      <c r="H625" s="4"/>
      <c r="I625" s="4"/>
    </row>
    <row r="626" spans="4:9" x14ac:dyDescent="0.25">
      <c r="D626" s="4"/>
      <c r="E626" s="4"/>
      <c r="H626" s="4"/>
      <c r="I626" s="4"/>
    </row>
    <row r="627" spans="4:9" x14ac:dyDescent="0.25">
      <c r="D627" s="4"/>
      <c r="E627" s="4"/>
      <c r="H627" s="4"/>
      <c r="I627" s="4"/>
    </row>
    <row r="628" spans="4:9" x14ac:dyDescent="0.25">
      <c r="D628" s="4"/>
      <c r="E628" s="4"/>
      <c r="H628" s="4"/>
      <c r="I628" s="4"/>
    </row>
    <row r="629" spans="4:9" x14ac:dyDescent="0.25">
      <c r="D629" s="4"/>
      <c r="E629" s="4"/>
      <c r="H629" s="4"/>
      <c r="I629" s="4"/>
    </row>
    <row r="630" spans="4:9" x14ac:dyDescent="0.25">
      <c r="D630" s="4"/>
      <c r="E630" s="4"/>
      <c r="H630" s="4"/>
      <c r="I630" s="4"/>
    </row>
    <row r="631" spans="4:9" x14ac:dyDescent="0.25">
      <c r="D631" s="4"/>
      <c r="E631" s="4"/>
      <c r="H631" s="4"/>
      <c r="I631" s="4"/>
    </row>
    <row r="632" spans="4:9" x14ac:dyDescent="0.25">
      <c r="D632" s="4"/>
      <c r="E632" s="4"/>
      <c r="H632" s="4"/>
      <c r="I632" s="4"/>
    </row>
    <row r="633" spans="4:9" x14ac:dyDescent="0.25">
      <c r="D633" s="4"/>
      <c r="E633" s="4"/>
      <c r="H633" s="4"/>
      <c r="I633" s="4"/>
    </row>
    <row r="634" spans="4:9" x14ac:dyDescent="0.25">
      <c r="D634" s="4"/>
      <c r="E634" s="4"/>
      <c r="H634" s="4"/>
      <c r="I634" s="4"/>
    </row>
    <row r="635" spans="4:9" x14ac:dyDescent="0.25">
      <c r="D635" s="4"/>
      <c r="E635" s="4"/>
      <c r="H635" s="4"/>
      <c r="I635" s="4"/>
    </row>
    <row r="636" spans="4:9" x14ac:dyDescent="0.25">
      <c r="D636" s="4"/>
      <c r="E636" s="4"/>
      <c r="H636" s="4"/>
      <c r="I636" s="4"/>
    </row>
    <row r="637" spans="4:9" x14ac:dyDescent="0.25">
      <c r="D637" s="4"/>
      <c r="E637" s="4"/>
      <c r="H637" s="4"/>
      <c r="I637" s="4"/>
    </row>
    <row r="638" spans="4:9" x14ac:dyDescent="0.25">
      <c r="D638" s="4"/>
      <c r="E638" s="4"/>
      <c r="H638" s="4"/>
      <c r="I638" s="4"/>
    </row>
    <row r="639" spans="4:9" x14ac:dyDescent="0.25">
      <c r="D639" s="4"/>
      <c r="E639" s="4"/>
      <c r="H639" s="4"/>
      <c r="I639" s="4"/>
    </row>
    <row r="640" spans="4:9" x14ac:dyDescent="0.25">
      <c r="D640" s="4"/>
      <c r="E640" s="4"/>
      <c r="H640" s="4"/>
      <c r="I640" s="4"/>
    </row>
    <row r="641" spans="4:9" x14ac:dyDescent="0.25">
      <c r="D641" s="4"/>
      <c r="E641" s="4"/>
      <c r="H641" s="4"/>
      <c r="I641" s="4"/>
    </row>
    <row r="642" spans="4:9" x14ac:dyDescent="0.25">
      <c r="D642" s="4"/>
      <c r="E642" s="4"/>
      <c r="H642" s="4"/>
      <c r="I642" s="4"/>
    </row>
    <row r="643" spans="4:9" x14ac:dyDescent="0.25">
      <c r="D643" s="4"/>
      <c r="E643" s="4"/>
      <c r="H643" s="4"/>
      <c r="I643" s="4"/>
    </row>
    <row r="644" spans="4:9" x14ac:dyDescent="0.25">
      <c r="D644" s="4"/>
      <c r="E644" s="4"/>
      <c r="H644" s="4"/>
      <c r="I644" s="4"/>
    </row>
    <row r="645" spans="4:9" x14ac:dyDescent="0.25">
      <c r="D645" s="4"/>
      <c r="E645" s="4"/>
      <c r="H645" s="4"/>
      <c r="I645" s="4"/>
    </row>
    <row r="646" spans="4:9" x14ac:dyDescent="0.25">
      <c r="D646" s="4"/>
      <c r="E646" s="4"/>
      <c r="H646" s="4"/>
      <c r="I646" s="4"/>
    </row>
    <row r="647" spans="4:9" x14ac:dyDescent="0.25">
      <c r="D647" s="4"/>
      <c r="E647" s="4"/>
      <c r="H647" s="4"/>
      <c r="I647" s="4"/>
    </row>
    <row r="648" spans="4:9" x14ac:dyDescent="0.25">
      <c r="D648" s="4"/>
      <c r="E648" s="4"/>
      <c r="H648" s="4"/>
      <c r="I648" s="4"/>
    </row>
    <row r="649" spans="4:9" x14ac:dyDescent="0.25">
      <c r="D649" s="4"/>
      <c r="E649" s="4"/>
      <c r="H649" s="4"/>
      <c r="I649" s="4"/>
    </row>
    <row r="650" spans="4:9" x14ac:dyDescent="0.25">
      <c r="D650" s="4"/>
      <c r="E650" s="4"/>
      <c r="H650" s="4"/>
      <c r="I650" s="4"/>
    </row>
    <row r="651" spans="4:9" x14ac:dyDescent="0.25">
      <c r="D651" s="4"/>
      <c r="E651" s="4"/>
      <c r="H651" s="4"/>
      <c r="I651" s="4"/>
    </row>
    <row r="652" spans="4:9" x14ac:dyDescent="0.25">
      <c r="D652" s="4"/>
      <c r="E652" s="4"/>
      <c r="H652" s="4"/>
      <c r="I652" s="4"/>
    </row>
    <row r="653" spans="4:9" x14ac:dyDescent="0.25">
      <c r="D653" s="4"/>
      <c r="E653" s="4"/>
      <c r="H653" s="4"/>
      <c r="I653" s="4"/>
    </row>
    <row r="654" spans="4:9" x14ac:dyDescent="0.25">
      <c r="D654" s="4"/>
      <c r="E654" s="4"/>
      <c r="H654" s="4"/>
      <c r="I654" s="4"/>
    </row>
    <row r="655" spans="4:9" x14ac:dyDescent="0.25">
      <c r="D655" s="4"/>
      <c r="E655" s="4"/>
      <c r="H655" s="4"/>
      <c r="I655" s="4"/>
    </row>
    <row r="656" spans="4:9" x14ac:dyDescent="0.25">
      <c r="D656" s="4"/>
      <c r="E656" s="4"/>
      <c r="H656" s="4"/>
      <c r="I656" s="4"/>
    </row>
    <row r="657" spans="4:9" x14ac:dyDescent="0.25">
      <c r="D657" s="4"/>
      <c r="E657" s="4"/>
      <c r="H657" s="4"/>
      <c r="I657" s="4"/>
    </row>
    <row r="658" spans="4:9" x14ac:dyDescent="0.25">
      <c r="D658" s="4"/>
      <c r="E658" s="4"/>
      <c r="H658" s="4"/>
      <c r="I658" s="4"/>
    </row>
    <row r="659" spans="4:9" x14ac:dyDescent="0.25">
      <c r="D659" s="4"/>
      <c r="E659" s="4"/>
      <c r="H659" s="4"/>
      <c r="I659" s="4"/>
    </row>
    <row r="660" spans="4:9" x14ac:dyDescent="0.25">
      <c r="D660" s="4"/>
      <c r="E660" s="4"/>
      <c r="H660" s="4"/>
      <c r="I660" s="4"/>
    </row>
    <row r="661" spans="4:9" x14ac:dyDescent="0.25">
      <c r="D661" s="4"/>
      <c r="E661" s="4"/>
      <c r="H661" s="4"/>
      <c r="I661" s="4"/>
    </row>
    <row r="662" spans="4:9" x14ac:dyDescent="0.25">
      <c r="D662" s="4"/>
      <c r="E662" s="4"/>
      <c r="H662" s="4"/>
      <c r="I662" s="4"/>
    </row>
    <row r="663" spans="4:9" x14ac:dyDescent="0.25">
      <c r="D663" s="4"/>
      <c r="E663" s="4"/>
      <c r="H663" s="4"/>
      <c r="I663" s="4"/>
    </row>
    <row r="664" spans="4:9" x14ac:dyDescent="0.25">
      <c r="D664" s="4"/>
      <c r="E664" s="4"/>
      <c r="H664" s="4"/>
      <c r="I664" s="4"/>
    </row>
    <row r="665" spans="4:9" x14ac:dyDescent="0.25">
      <c r="D665" s="4"/>
      <c r="E665" s="4"/>
      <c r="H665" s="4"/>
      <c r="I665" s="4"/>
    </row>
    <row r="666" spans="4:9" x14ac:dyDescent="0.25">
      <c r="D666" s="4"/>
      <c r="E666" s="4"/>
      <c r="H666" s="4"/>
      <c r="I666" s="4"/>
    </row>
    <row r="667" spans="4:9" x14ac:dyDescent="0.25">
      <c r="D667" s="4"/>
      <c r="E667" s="4"/>
      <c r="H667" s="4"/>
      <c r="I667" s="4"/>
    </row>
    <row r="668" spans="4:9" x14ac:dyDescent="0.25">
      <c r="D668" s="4"/>
      <c r="E668" s="4"/>
      <c r="H668" s="4"/>
      <c r="I668" s="4"/>
    </row>
    <row r="669" spans="4:9" x14ac:dyDescent="0.25">
      <c r="D669" s="4"/>
      <c r="E669" s="4"/>
      <c r="H669" s="4"/>
      <c r="I669" s="4"/>
    </row>
    <row r="670" spans="4:9" x14ac:dyDescent="0.25">
      <c r="D670" s="4"/>
      <c r="E670" s="4"/>
      <c r="H670" s="4"/>
      <c r="I670" s="4"/>
    </row>
    <row r="671" spans="4:9" x14ac:dyDescent="0.25">
      <c r="D671" s="4"/>
      <c r="E671" s="4"/>
      <c r="H671" s="4"/>
      <c r="I671" s="4"/>
    </row>
    <row r="672" spans="4:9" x14ac:dyDescent="0.25">
      <c r="D672" s="4"/>
      <c r="E672" s="4"/>
      <c r="H672" s="4"/>
      <c r="I672" s="4"/>
    </row>
    <row r="673" spans="4:9" x14ac:dyDescent="0.25">
      <c r="D673" s="4"/>
      <c r="E673" s="4"/>
      <c r="H673" s="4"/>
      <c r="I673" s="4"/>
    </row>
    <row r="674" spans="4:9" x14ac:dyDescent="0.25">
      <c r="D674" s="4"/>
      <c r="E674" s="4"/>
      <c r="H674" s="4"/>
      <c r="I674" s="4"/>
    </row>
    <row r="675" spans="4:9" x14ac:dyDescent="0.25">
      <c r="D675" s="4"/>
      <c r="E675" s="4"/>
      <c r="H675" s="4"/>
      <c r="I675" s="4"/>
    </row>
    <row r="676" spans="4:9" x14ac:dyDescent="0.25">
      <c r="D676" s="4"/>
      <c r="E676" s="4"/>
      <c r="H676" s="4"/>
      <c r="I676" s="4"/>
    </row>
    <row r="677" spans="4:9" x14ac:dyDescent="0.25">
      <c r="D677" s="4"/>
      <c r="E677" s="4"/>
      <c r="H677" s="4"/>
      <c r="I677" s="4"/>
    </row>
    <row r="678" spans="4:9" x14ac:dyDescent="0.25">
      <c r="D678" s="4"/>
      <c r="E678" s="4"/>
      <c r="H678" s="4"/>
      <c r="I678" s="4"/>
    </row>
    <row r="679" spans="4:9" x14ac:dyDescent="0.25">
      <c r="D679" s="4"/>
      <c r="E679" s="4"/>
      <c r="H679" s="4"/>
      <c r="I679" s="4"/>
    </row>
    <row r="680" spans="4:9" x14ac:dyDescent="0.25">
      <c r="D680" s="4"/>
      <c r="E680" s="4"/>
      <c r="H680" s="4"/>
      <c r="I680" s="4"/>
    </row>
    <row r="681" spans="4:9" x14ac:dyDescent="0.25">
      <c r="D681" s="4"/>
      <c r="E681" s="4"/>
      <c r="H681" s="4"/>
      <c r="I681" s="4"/>
    </row>
    <row r="682" spans="4:9" x14ac:dyDescent="0.25">
      <c r="D682" s="4"/>
      <c r="E682" s="4"/>
      <c r="H682" s="4"/>
      <c r="I682" s="4"/>
    </row>
    <row r="683" spans="4:9" x14ac:dyDescent="0.25">
      <c r="D683" s="4"/>
      <c r="E683" s="4"/>
      <c r="H683" s="4"/>
      <c r="I683" s="4"/>
    </row>
    <row r="684" spans="4:9" x14ac:dyDescent="0.25">
      <c r="D684" s="4"/>
      <c r="E684" s="4"/>
      <c r="H684" s="4"/>
      <c r="I684" s="4"/>
    </row>
    <row r="685" spans="4:9" x14ac:dyDescent="0.25">
      <c r="D685" s="4"/>
      <c r="E685" s="4"/>
      <c r="H685" s="4"/>
      <c r="I685" s="4"/>
    </row>
    <row r="686" spans="4:9" x14ac:dyDescent="0.25">
      <c r="D686" s="4"/>
      <c r="E686" s="4"/>
      <c r="H686" s="4"/>
      <c r="I686" s="4"/>
    </row>
    <row r="687" spans="4:9" x14ac:dyDescent="0.25">
      <c r="D687" s="4"/>
      <c r="E687" s="4"/>
      <c r="H687" s="4"/>
      <c r="I687" s="4"/>
    </row>
    <row r="688" spans="4:9" x14ac:dyDescent="0.25">
      <c r="D688" s="4"/>
      <c r="E688" s="4"/>
      <c r="H688" s="4"/>
      <c r="I688" s="4"/>
    </row>
    <row r="689" spans="4:9" x14ac:dyDescent="0.25">
      <c r="D689" s="4"/>
      <c r="E689" s="4"/>
      <c r="H689" s="4"/>
      <c r="I689" s="4"/>
    </row>
    <row r="690" spans="4:9" x14ac:dyDescent="0.25">
      <c r="D690" s="4"/>
      <c r="E690" s="4"/>
      <c r="H690" s="4"/>
      <c r="I690" s="4"/>
    </row>
    <row r="691" spans="4:9" x14ac:dyDescent="0.25">
      <c r="D691" s="4"/>
      <c r="E691" s="4"/>
      <c r="H691" s="4"/>
      <c r="I691" s="4"/>
    </row>
    <row r="692" spans="4:9" x14ac:dyDescent="0.25">
      <c r="D692" s="4"/>
      <c r="E692" s="4"/>
      <c r="H692" s="4"/>
      <c r="I692" s="4"/>
    </row>
    <row r="693" spans="4:9" x14ac:dyDescent="0.25">
      <c r="D693" s="4"/>
      <c r="E693" s="4"/>
      <c r="H693" s="4"/>
      <c r="I693" s="4"/>
    </row>
    <row r="694" spans="4:9" x14ac:dyDescent="0.25">
      <c r="D694" s="4"/>
      <c r="E694" s="4"/>
      <c r="H694" s="4"/>
      <c r="I694" s="4"/>
    </row>
    <row r="695" spans="4:9" x14ac:dyDescent="0.25">
      <c r="D695" s="4"/>
      <c r="E695" s="4"/>
      <c r="H695" s="4"/>
      <c r="I695" s="4"/>
    </row>
    <row r="696" spans="4:9" x14ac:dyDescent="0.25">
      <c r="D696" s="4"/>
      <c r="E696" s="4"/>
      <c r="H696" s="4"/>
      <c r="I696" s="4"/>
    </row>
    <row r="697" spans="4:9" x14ac:dyDescent="0.25">
      <c r="D697" s="4"/>
      <c r="E697" s="4"/>
      <c r="H697" s="4"/>
      <c r="I697" s="4"/>
    </row>
    <row r="698" spans="4:9" x14ac:dyDescent="0.25">
      <c r="D698" s="4"/>
      <c r="E698" s="4"/>
      <c r="H698" s="4"/>
      <c r="I698" s="4"/>
    </row>
    <row r="699" spans="4:9" x14ac:dyDescent="0.25">
      <c r="D699" s="4"/>
      <c r="E699" s="4"/>
      <c r="H699" s="4"/>
      <c r="I699" s="4"/>
    </row>
    <row r="700" spans="4:9" x14ac:dyDescent="0.25">
      <c r="D700" s="4"/>
      <c r="E700" s="4"/>
      <c r="H700" s="4"/>
      <c r="I700" s="4"/>
    </row>
    <row r="701" spans="4:9" x14ac:dyDescent="0.25">
      <c r="D701" s="4"/>
      <c r="E701" s="4"/>
      <c r="H701" s="4"/>
      <c r="I701" s="4"/>
    </row>
    <row r="702" spans="4:9" x14ac:dyDescent="0.25">
      <c r="D702" s="4"/>
      <c r="E702" s="4"/>
      <c r="H702" s="4"/>
      <c r="I702" s="4"/>
    </row>
    <row r="703" spans="4:9" x14ac:dyDescent="0.25">
      <c r="D703" s="4"/>
      <c r="E703" s="4"/>
      <c r="H703" s="4"/>
      <c r="I703" s="4"/>
    </row>
    <row r="704" spans="4:9" x14ac:dyDescent="0.25">
      <c r="D704" s="4"/>
      <c r="E704" s="4"/>
      <c r="H704" s="4"/>
      <c r="I704" s="4"/>
    </row>
    <row r="705" spans="4:9" x14ac:dyDescent="0.25">
      <c r="D705" s="4"/>
      <c r="E705" s="4"/>
      <c r="H705" s="4"/>
      <c r="I705" s="4"/>
    </row>
    <row r="706" spans="4:9" x14ac:dyDescent="0.25">
      <c r="D706" s="4"/>
      <c r="E706" s="4"/>
      <c r="H706" s="4"/>
      <c r="I706" s="4"/>
    </row>
    <row r="707" spans="4:9" x14ac:dyDescent="0.25">
      <c r="D707" s="4"/>
      <c r="E707" s="4"/>
      <c r="H707" s="4"/>
      <c r="I707" s="4"/>
    </row>
    <row r="708" spans="4:9" x14ac:dyDescent="0.25">
      <c r="D708" s="4"/>
      <c r="E708" s="4"/>
      <c r="H708" s="4"/>
      <c r="I708" s="4"/>
    </row>
    <row r="709" spans="4:9" x14ac:dyDescent="0.25">
      <c r="D709" s="4"/>
      <c r="E709" s="4"/>
      <c r="H709" s="4"/>
      <c r="I709" s="4"/>
    </row>
    <row r="710" spans="4:9" x14ac:dyDescent="0.25">
      <c r="D710" s="4"/>
      <c r="E710" s="4"/>
      <c r="H710" s="4"/>
      <c r="I710" s="4"/>
    </row>
    <row r="711" spans="4:9" x14ac:dyDescent="0.25">
      <c r="D711" s="4"/>
      <c r="E711" s="4"/>
      <c r="H711" s="4"/>
      <c r="I711" s="4"/>
    </row>
    <row r="712" spans="4:9" x14ac:dyDescent="0.25">
      <c r="D712" s="4"/>
      <c r="E712" s="4"/>
      <c r="H712" s="4"/>
      <c r="I712" s="4"/>
    </row>
    <row r="713" spans="4:9" x14ac:dyDescent="0.25">
      <c r="D713" s="4"/>
      <c r="E713" s="4"/>
      <c r="H713" s="4"/>
      <c r="I713" s="4"/>
    </row>
    <row r="714" spans="4:9" x14ac:dyDescent="0.25">
      <c r="D714" s="4"/>
      <c r="E714" s="4"/>
      <c r="H714" s="4"/>
      <c r="I714" s="4"/>
    </row>
    <row r="715" spans="4:9" x14ac:dyDescent="0.25">
      <c r="D715" s="4"/>
      <c r="E715" s="4"/>
      <c r="H715" s="4"/>
      <c r="I715" s="4"/>
    </row>
    <row r="716" spans="4:9" x14ac:dyDescent="0.25">
      <c r="D716" s="4"/>
      <c r="E716" s="4"/>
      <c r="H716" s="4"/>
      <c r="I716" s="4"/>
    </row>
    <row r="717" spans="4:9" x14ac:dyDescent="0.25">
      <c r="D717" s="4"/>
      <c r="E717" s="4"/>
      <c r="H717" s="4"/>
      <c r="I717" s="4"/>
    </row>
    <row r="718" spans="4:9" x14ac:dyDescent="0.25">
      <c r="D718" s="4"/>
      <c r="E718" s="4"/>
      <c r="H718" s="4"/>
      <c r="I718" s="4"/>
    </row>
    <row r="719" spans="4:9" x14ac:dyDescent="0.25">
      <c r="D719" s="4"/>
      <c r="E719" s="4"/>
      <c r="H719" s="4"/>
      <c r="I719" s="4"/>
    </row>
    <row r="720" spans="4:9" x14ac:dyDescent="0.25">
      <c r="D720" s="4"/>
      <c r="E720" s="4"/>
      <c r="H720" s="4"/>
      <c r="I720" s="4"/>
    </row>
    <row r="721" spans="4:9" x14ac:dyDescent="0.25">
      <c r="D721" s="4"/>
      <c r="E721" s="4"/>
      <c r="H721" s="4"/>
      <c r="I721" s="4"/>
    </row>
    <row r="722" spans="4:9" x14ac:dyDescent="0.25">
      <c r="D722" s="4"/>
      <c r="E722" s="4"/>
      <c r="H722" s="4"/>
      <c r="I722" s="4"/>
    </row>
    <row r="723" spans="4:9" x14ac:dyDescent="0.25">
      <c r="D723" s="4"/>
      <c r="E723" s="4"/>
      <c r="H723" s="4"/>
      <c r="I723" s="4"/>
    </row>
    <row r="724" spans="4:9" x14ac:dyDescent="0.25">
      <c r="D724" s="4"/>
      <c r="E724" s="4"/>
      <c r="H724" s="4"/>
      <c r="I724" s="4"/>
    </row>
    <row r="725" spans="4:9" x14ac:dyDescent="0.25">
      <c r="D725" s="4"/>
      <c r="E725" s="4"/>
      <c r="H725" s="4"/>
      <c r="I725" s="4"/>
    </row>
    <row r="726" spans="4:9" x14ac:dyDescent="0.25">
      <c r="D726" s="4"/>
      <c r="E726" s="4"/>
      <c r="H726" s="4"/>
      <c r="I726" s="4"/>
    </row>
    <row r="727" spans="4:9" x14ac:dyDescent="0.25">
      <c r="D727" s="4"/>
      <c r="E727" s="4"/>
      <c r="H727" s="4"/>
      <c r="I727" s="4"/>
    </row>
    <row r="728" spans="4:9" x14ac:dyDescent="0.25">
      <c r="D728" s="4"/>
      <c r="E728" s="4"/>
      <c r="H728" s="4"/>
      <c r="I728" s="4"/>
    </row>
    <row r="729" spans="4:9" x14ac:dyDescent="0.25">
      <c r="D729" s="4"/>
      <c r="E729" s="4"/>
      <c r="H729" s="4"/>
      <c r="I729" s="4"/>
    </row>
    <row r="730" spans="4:9" x14ac:dyDescent="0.25">
      <c r="D730" s="4"/>
      <c r="E730" s="4"/>
      <c r="H730" s="4"/>
      <c r="I730" s="4"/>
    </row>
    <row r="731" spans="4:9" x14ac:dyDescent="0.25">
      <c r="D731" s="4"/>
      <c r="E731" s="4"/>
      <c r="H731" s="4"/>
      <c r="I731" s="4"/>
    </row>
    <row r="732" spans="4:9" x14ac:dyDescent="0.25">
      <c r="D732" s="4"/>
      <c r="E732" s="4"/>
      <c r="H732" s="4"/>
      <c r="I732" s="4"/>
    </row>
    <row r="733" spans="4:9" x14ac:dyDescent="0.25">
      <c r="D733" s="4"/>
      <c r="E733" s="4"/>
      <c r="H733" s="4"/>
      <c r="I733" s="4"/>
    </row>
    <row r="734" spans="4:9" x14ac:dyDescent="0.25">
      <c r="D734" s="4"/>
      <c r="E734" s="4"/>
      <c r="H734" s="4"/>
      <c r="I734" s="4"/>
    </row>
    <row r="735" spans="4:9" x14ac:dyDescent="0.25">
      <c r="D735" s="4"/>
      <c r="E735" s="4"/>
      <c r="H735" s="4"/>
      <c r="I735" s="4"/>
    </row>
    <row r="736" spans="4:9" x14ac:dyDescent="0.25">
      <c r="D736" s="4"/>
      <c r="E736" s="4"/>
      <c r="H736" s="4"/>
      <c r="I736" s="4"/>
    </row>
    <row r="737" spans="4:9" x14ac:dyDescent="0.25">
      <c r="D737" s="4"/>
      <c r="E737" s="4"/>
      <c r="H737" s="4"/>
      <c r="I737" s="4"/>
    </row>
    <row r="738" spans="4:9" x14ac:dyDescent="0.25">
      <c r="D738" s="4"/>
      <c r="E738" s="4"/>
      <c r="H738" s="4"/>
      <c r="I738" s="4"/>
    </row>
    <row r="739" spans="4:9" x14ac:dyDescent="0.25">
      <c r="D739" s="4"/>
      <c r="E739" s="4"/>
      <c r="H739" s="4"/>
      <c r="I739" s="4"/>
    </row>
    <row r="740" spans="4:9" x14ac:dyDescent="0.25">
      <c r="D740" s="4"/>
      <c r="E740" s="4"/>
      <c r="H740" s="4"/>
      <c r="I740" s="4"/>
    </row>
    <row r="741" spans="4:9" x14ac:dyDescent="0.25">
      <c r="D741" s="4"/>
      <c r="E741" s="4"/>
      <c r="H741" s="4"/>
      <c r="I741" s="4"/>
    </row>
    <row r="742" spans="4:9" x14ac:dyDescent="0.25">
      <c r="D742" s="4"/>
      <c r="E742" s="4"/>
      <c r="H742" s="4"/>
      <c r="I742" s="4"/>
    </row>
    <row r="743" spans="4:9" x14ac:dyDescent="0.25">
      <c r="D743" s="4"/>
      <c r="E743" s="4"/>
      <c r="H743" s="4"/>
      <c r="I743" s="4"/>
    </row>
    <row r="744" spans="4:9" x14ac:dyDescent="0.25">
      <c r="D744" s="4"/>
      <c r="E744" s="4"/>
      <c r="H744" s="4"/>
      <c r="I744" s="4"/>
    </row>
    <row r="745" spans="4:9" x14ac:dyDescent="0.25">
      <c r="D745" s="4"/>
      <c r="E745" s="4"/>
      <c r="H745" s="4"/>
      <c r="I745" s="4"/>
    </row>
    <row r="746" spans="4:9" x14ac:dyDescent="0.25">
      <c r="D746" s="4"/>
      <c r="E746" s="4"/>
      <c r="H746" s="4"/>
      <c r="I746" s="4"/>
    </row>
    <row r="747" spans="4:9" x14ac:dyDescent="0.25">
      <c r="D747" s="4"/>
      <c r="E747" s="4"/>
      <c r="H747" s="4"/>
      <c r="I747" s="4"/>
    </row>
    <row r="748" spans="4:9" x14ac:dyDescent="0.25">
      <c r="D748" s="4"/>
      <c r="E748" s="4"/>
      <c r="H748" s="4"/>
      <c r="I748" s="4"/>
    </row>
    <row r="749" spans="4:9" x14ac:dyDescent="0.25">
      <c r="D749" s="4"/>
      <c r="E749" s="4"/>
      <c r="H749" s="4"/>
      <c r="I749" s="4"/>
    </row>
    <row r="750" spans="4:9" x14ac:dyDescent="0.25">
      <c r="D750" s="4"/>
      <c r="E750" s="4"/>
      <c r="H750" s="4"/>
      <c r="I750" s="4"/>
    </row>
    <row r="751" spans="4:9" x14ac:dyDescent="0.25">
      <c r="D751" s="4"/>
      <c r="E751" s="4"/>
      <c r="H751" s="4"/>
      <c r="I751" s="4"/>
    </row>
    <row r="752" spans="4:9" x14ac:dyDescent="0.25">
      <c r="D752" s="4"/>
      <c r="E752" s="4"/>
      <c r="H752" s="4"/>
      <c r="I752" s="4"/>
    </row>
    <row r="753" spans="4:9" x14ac:dyDescent="0.25">
      <c r="D753" s="4"/>
      <c r="E753" s="4"/>
      <c r="H753" s="4"/>
      <c r="I753" s="4"/>
    </row>
    <row r="754" spans="4:9" x14ac:dyDescent="0.25">
      <c r="D754" s="4"/>
      <c r="E754" s="4"/>
      <c r="H754" s="4"/>
      <c r="I754" s="4"/>
    </row>
    <row r="755" spans="4:9" x14ac:dyDescent="0.25">
      <c r="D755" s="4"/>
      <c r="E755" s="4"/>
      <c r="H755" s="4"/>
      <c r="I755" s="4"/>
    </row>
    <row r="756" spans="4:9" x14ac:dyDescent="0.25">
      <c r="D756" s="4"/>
      <c r="E756" s="4"/>
      <c r="H756" s="4"/>
      <c r="I756" s="4"/>
    </row>
    <row r="757" spans="4:9" x14ac:dyDescent="0.25">
      <c r="D757" s="4"/>
      <c r="E757" s="4"/>
      <c r="H757" s="4"/>
      <c r="I757" s="4"/>
    </row>
    <row r="758" spans="4:9" x14ac:dyDescent="0.25">
      <c r="D758" s="4"/>
      <c r="E758" s="4"/>
      <c r="H758" s="4"/>
      <c r="I758" s="4"/>
    </row>
    <row r="759" spans="4:9" x14ac:dyDescent="0.25">
      <c r="D759" s="4"/>
      <c r="E759" s="4"/>
      <c r="H759" s="4"/>
      <c r="I759" s="4"/>
    </row>
    <row r="760" spans="4:9" x14ac:dyDescent="0.25">
      <c r="D760" s="4"/>
      <c r="E760" s="4"/>
      <c r="H760" s="4"/>
      <c r="I760" s="4"/>
    </row>
    <row r="761" spans="4:9" x14ac:dyDescent="0.25">
      <c r="D761" s="4"/>
      <c r="E761" s="4"/>
      <c r="H761" s="4"/>
      <c r="I761" s="4"/>
    </row>
    <row r="762" spans="4:9" x14ac:dyDescent="0.25">
      <c r="D762" s="4"/>
      <c r="E762" s="4"/>
      <c r="H762" s="4"/>
      <c r="I762" s="4"/>
    </row>
    <row r="763" spans="4:9" x14ac:dyDescent="0.25">
      <c r="D763" s="4"/>
      <c r="E763" s="4"/>
      <c r="H763" s="4"/>
      <c r="I763" s="4"/>
    </row>
    <row r="764" spans="4:9" x14ac:dyDescent="0.25">
      <c r="D764" s="4"/>
      <c r="E764" s="4"/>
      <c r="H764" s="4"/>
      <c r="I764" s="4"/>
    </row>
    <row r="765" spans="4:9" x14ac:dyDescent="0.25">
      <c r="D765" s="4"/>
      <c r="E765" s="4"/>
      <c r="H765" s="4"/>
      <c r="I765" s="4"/>
    </row>
    <row r="766" spans="4:9" x14ac:dyDescent="0.25">
      <c r="D766" s="4"/>
      <c r="E766" s="4"/>
      <c r="H766" s="4"/>
      <c r="I766" s="4"/>
    </row>
    <row r="767" spans="4:9" x14ac:dyDescent="0.25">
      <c r="D767" s="4"/>
      <c r="E767" s="4"/>
      <c r="H767" s="4"/>
      <c r="I767" s="4"/>
    </row>
    <row r="768" spans="4:9" x14ac:dyDescent="0.25">
      <c r="D768" s="4"/>
      <c r="E768" s="4"/>
      <c r="H768" s="4"/>
      <c r="I768" s="4"/>
    </row>
    <row r="769" spans="4:9" x14ac:dyDescent="0.25">
      <c r="D769" s="4"/>
      <c r="E769" s="4"/>
      <c r="H769" s="4"/>
      <c r="I769" s="4"/>
    </row>
    <row r="770" spans="4:9" x14ac:dyDescent="0.25">
      <c r="D770" s="4"/>
      <c r="E770" s="4"/>
      <c r="H770" s="4"/>
      <c r="I770" s="4"/>
    </row>
    <row r="771" spans="4:9" x14ac:dyDescent="0.25">
      <c r="D771" s="4"/>
      <c r="E771" s="4"/>
      <c r="H771" s="4"/>
      <c r="I771" s="4"/>
    </row>
    <row r="772" spans="4:9" x14ac:dyDescent="0.25">
      <c r="D772" s="4"/>
      <c r="E772" s="4"/>
      <c r="H772" s="4"/>
      <c r="I772" s="4"/>
    </row>
    <row r="773" spans="4:9" x14ac:dyDescent="0.25">
      <c r="D773" s="4"/>
      <c r="E773" s="4"/>
      <c r="H773" s="4"/>
      <c r="I773" s="4"/>
    </row>
    <row r="774" spans="4:9" x14ac:dyDescent="0.25">
      <c r="D774" s="4"/>
      <c r="E774" s="4"/>
      <c r="H774" s="4"/>
      <c r="I774" s="4"/>
    </row>
    <row r="775" spans="4:9" x14ac:dyDescent="0.25">
      <c r="D775" s="4"/>
      <c r="E775" s="4"/>
      <c r="H775" s="4"/>
      <c r="I775" s="4"/>
    </row>
    <row r="776" spans="4:9" x14ac:dyDescent="0.25">
      <c r="D776" s="4"/>
      <c r="E776" s="4"/>
      <c r="H776" s="4"/>
      <c r="I776" s="4"/>
    </row>
    <row r="777" spans="4:9" x14ac:dyDescent="0.25">
      <c r="D777" s="4"/>
      <c r="E777" s="4"/>
      <c r="H777" s="4"/>
      <c r="I777" s="4"/>
    </row>
    <row r="778" spans="4:9" x14ac:dyDescent="0.25">
      <c r="D778" s="4"/>
      <c r="E778" s="4"/>
      <c r="H778" s="4"/>
      <c r="I778" s="4"/>
    </row>
    <row r="779" spans="4:9" x14ac:dyDescent="0.25">
      <c r="D779" s="4"/>
      <c r="E779" s="4"/>
      <c r="H779" s="4"/>
      <c r="I779" s="4"/>
    </row>
    <row r="780" spans="4:9" x14ac:dyDescent="0.25">
      <c r="D780" s="4"/>
      <c r="E780" s="4"/>
      <c r="H780" s="4"/>
      <c r="I780" s="4"/>
    </row>
    <row r="781" spans="4:9" x14ac:dyDescent="0.25">
      <c r="D781" s="4"/>
      <c r="E781" s="4"/>
      <c r="H781" s="4"/>
      <c r="I781" s="4"/>
    </row>
    <row r="782" spans="4:9" x14ac:dyDescent="0.25">
      <c r="D782" s="4"/>
      <c r="E782" s="4"/>
      <c r="H782" s="4"/>
      <c r="I782" s="4"/>
    </row>
    <row r="783" spans="4:9" x14ac:dyDescent="0.25">
      <c r="D783" s="4"/>
      <c r="E783" s="4"/>
      <c r="H783" s="4"/>
      <c r="I783" s="4"/>
    </row>
    <row r="784" spans="4:9" x14ac:dyDescent="0.25">
      <c r="D784" s="4"/>
      <c r="E784" s="4"/>
      <c r="H784" s="4"/>
      <c r="I784" s="4"/>
    </row>
    <row r="785" spans="4:9" x14ac:dyDescent="0.25">
      <c r="D785" s="4"/>
      <c r="E785" s="4"/>
      <c r="H785" s="4"/>
      <c r="I785" s="4"/>
    </row>
    <row r="786" spans="4:9" x14ac:dyDescent="0.25">
      <c r="D786" s="4"/>
      <c r="E786" s="4"/>
      <c r="H786" s="4"/>
      <c r="I786" s="4"/>
    </row>
    <row r="787" spans="4:9" x14ac:dyDescent="0.25">
      <c r="D787" s="4"/>
      <c r="E787" s="4"/>
      <c r="H787" s="4"/>
      <c r="I787" s="4"/>
    </row>
    <row r="788" spans="4:9" x14ac:dyDescent="0.25">
      <c r="D788" s="4"/>
      <c r="E788" s="4"/>
      <c r="H788" s="4"/>
      <c r="I788" s="4"/>
    </row>
    <row r="789" spans="4:9" x14ac:dyDescent="0.25">
      <c r="D789" s="4"/>
      <c r="E789" s="4"/>
      <c r="H789" s="4"/>
      <c r="I789" s="4"/>
    </row>
    <row r="790" spans="4:9" x14ac:dyDescent="0.25">
      <c r="D790" s="4"/>
      <c r="E790" s="4"/>
      <c r="H790" s="4"/>
      <c r="I790" s="4"/>
    </row>
    <row r="791" spans="4:9" x14ac:dyDescent="0.25">
      <c r="D791" s="4"/>
      <c r="E791" s="4"/>
      <c r="H791" s="4"/>
      <c r="I791" s="4"/>
    </row>
    <row r="792" spans="4:9" x14ac:dyDescent="0.25">
      <c r="D792" s="4"/>
      <c r="E792" s="4"/>
      <c r="H792" s="4"/>
      <c r="I792" s="4"/>
    </row>
    <row r="793" spans="4:9" x14ac:dyDescent="0.25">
      <c r="D793" s="4"/>
      <c r="E793" s="4"/>
      <c r="H793" s="4"/>
      <c r="I793" s="4"/>
    </row>
    <row r="794" spans="4:9" x14ac:dyDescent="0.25">
      <c r="D794" s="4"/>
      <c r="E794" s="4"/>
      <c r="H794" s="4"/>
      <c r="I794" s="4"/>
    </row>
    <row r="795" spans="4:9" x14ac:dyDescent="0.25">
      <c r="D795" s="4"/>
      <c r="E795" s="4"/>
      <c r="H795" s="4"/>
      <c r="I795" s="4"/>
    </row>
    <row r="796" spans="4:9" x14ac:dyDescent="0.25">
      <c r="D796" s="4"/>
      <c r="E796" s="4"/>
      <c r="H796" s="4"/>
      <c r="I796" s="4"/>
    </row>
    <row r="797" spans="4:9" x14ac:dyDescent="0.25">
      <c r="D797" s="4"/>
      <c r="E797" s="4"/>
      <c r="H797" s="4"/>
      <c r="I797" s="4"/>
    </row>
    <row r="798" spans="4:9" x14ac:dyDescent="0.25">
      <c r="D798" s="4"/>
      <c r="E798" s="4"/>
      <c r="H798" s="4"/>
      <c r="I798" s="4"/>
    </row>
    <row r="799" spans="4:9" x14ac:dyDescent="0.25">
      <c r="D799" s="4"/>
      <c r="E799" s="4"/>
      <c r="H799" s="4"/>
      <c r="I799" s="4"/>
    </row>
    <row r="800" spans="4:9" x14ac:dyDescent="0.25">
      <c r="D800" s="4"/>
      <c r="E800" s="4"/>
      <c r="H800" s="4"/>
      <c r="I800" s="4"/>
    </row>
    <row r="801" spans="4:9" x14ac:dyDescent="0.25">
      <c r="D801" s="4"/>
      <c r="E801" s="4"/>
      <c r="H801" s="4"/>
      <c r="I801" s="4"/>
    </row>
    <row r="802" spans="4:9" x14ac:dyDescent="0.25">
      <c r="D802" s="4"/>
      <c r="E802" s="4"/>
      <c r="H802" s="4"/>
      <c r="I802" s="4"/>
    </row>
    <row r="803" spans="4:9" x14ac:dyDescent="0.25">
      <c r="D803" s="4"/>
      <c r="E803" s="4"/>
      <c r="H803" s="4"/>
      <c r="I803" s="4"/>
    </row>
    <row r="804" spans="4:9" x14ac:dyDescent="0.25">
      <c r="D804" s="4"/>
      <c r="E804" s="4"/>
      <c r="H804" s="4"/>
      <c r="I804" s="4"/>
    </row>
    <row r="805" spans="4:9" x14ac:dyDescent="0.25">
      <c r="D805" s="4"/>
      <c r="E805" s="4"/>
      <c r="H805" s="4"/>
      <c r="I805" s="4"/>
    </row>
    <row r="806" spans="4:9" x14ac:dyDescent="0.25">
      <c r="D806" s="4"/>
      <c r="E806" s="4"/>
      <c r="H806" s="4"/>
      <c r="I806" s="4"/>
    </row>
    <row r="807" spans="4:9" x14ac:dyDescent="0.25">
      <c r="D807" s="4"/>
      <c r="E807" s="4"/>
      <c r="H807" s="4"/>
      <c r="I807" s="4"/>
    </row>
    <row r="808" spans="4:9" x14ac:dyDescent="0.25">
      <c r="D808" s="4"/>
      <c r="E808" s="4"/>
      <c r="H808" s="4"/>
      <c r="I808" s="4"/>
    </row>
    <row r="809" spans="4:9" x14ac:dyDescent="0.25">
      <c r="D809" s="4"/>
      <c r="E809" s="4"/>
      <c r="H809" s="4"/>
      <c r="I809" s="4"/>
    </row>
    <row r="810" spans="4:9" x14ac:dyDescent="0.25">
      <c r="D810" s="4"/>
      <c r="E810" s="4"/>
      <c r="H810" s="4"/>
      <c r="I810" s="4"/>
    </row>
    <row r="811" spans="4:9" x14ac:dyDescent="0.25">
      <c r="D811" s="4"/>
      <c r="E811" s="4"/>
      <c r="H811" s="4"/>
      <c r="I811" s="4"/>
    </row>
    <row r="812" spans="4:9" x14ac:dyDescent="0.25">
      <c r="D812" s="4"/>
      <c r="E812" s="4"/>
      <c r="H812" s="4"/>
      <c r="I812" s="4"/>
    </row>
    <row r="813" spans="4:9" x14ac:dyDescent="0.25">
      <c r="D813" s="4"/>
      <c r="E813" s="4"/>
      <c r="H813" s="4"/>
      <c r="I813" s="4"/>
    </row>
    <row r="814" spans="4:9" x14ac:dyDescent="0.25">
      <c r="D814" s="4"/>
      <c r="E814" s="4"/>
      <c r="H814" s="4"/>
      <c r="I814" s="4"/>
    </row>
    <row r="815" spans="4:9" x14ac:dyDescent="0.25">
      <c r="D815" s="4"/>
      <c r="E815" s="4"/>
      <c r="H815" s="4"/>
      <c r="I815" s="4"/>
    </row>
    <row r="816" spans="4:9" x14ac:dyDescent="0.25">
      <c r="D816" s="4"/>
      <c r="E816" s="4"/>
      <c r="H816" s="4"/>
      <c r="I816" s="4"/>
    </row>
    <row r="817" spans="4:9" x14ac:dyDescent="0.25">
      <c r="D817" s="4"/>
      <c r="E817" s="4"/>
      <c r="H817" s="4"/>
      <c r="I817" s="4"/>
    </row>
    <row r="818" spans="4:9" x14ac:dyDescent="0.25">
      <c r="D818" s="4"/>
      <c r="E818" s="4"/>
      <c r="H818" s="4"/>
      <c r="I818" s="4"/>
    </row>
    <row r="819" spans="4:9" x14ac:dyDescent="0.25">
      <c r="D819" s="4"/>
      <c r="E819" s="4"/>
      <c r="H819" s="4"/>
      <c r="I819" s="4"/>
    </row>
    <row r="820" spans="4:9" x14ac:dyDescent="0.25">
      <c r="D820" s="4"/>
      <c r="E820" s="4"/>
      <c r="H820" s="4"/>
      <c r="I820" s="4"/>
    </row>
    <row r="821" spans="4:9" x14ac:dyDescent="0.25">
      <c r="D821" s="4"/>
      <c r="E821" s="4"/>
      <c r="H821" s="4"/>
      <c r="I821" s="4"/>
    </row>
    <row r="822" spans="4:9" x14ac:dyDescent="0.25">
      <c r="D822" s="4"/>
      <c r="E822" s="4"/>
      <c r="H822" s="4"/>
      <c r="I822" s="4"/>
    </row>
    <row r="823" spans="4:9" x14ac:dyDescent="0.25">
      <c r="D823" s="4"/>
      <c r="E823" s="4"/>
      <c r="H823" s="4"/>
      <c r="I823" s="4"/>
    </row>
    <row r="824" spans="4:9" x14ac:dyDescent="0.25">
      <c r="D824" s="4"/>
      <c r="E824" s="4"/>
      <c r="H824" s="4"/>
      <c r="I824" s="4"/>
    </row>
    <row r="825" spans="4:9" x14ac:dyDescent="0.25">
      <c r="D825" s="4"/>
      <c r="E825" s="4"/>
      <c r="H825" s="4"/>
      <c r="I825" s="4"/>
    </row>
    <row r="826" spans="4:9" x14ac:dyDescent="0.25">
      <c r="D826" s="4"/>
      <c r="E826" s="4"/>
      <c r="H826" s="4"/>
      <c r="I826" s="4"/>
    </row>
    <row r="827" spans="4:9" x14ac:dyDescent="0.25">
      <c r="D827" s="4"/>
      <c r="E827" s="4"/>
      <c r="H827" s="4"/>
      <c r="I827" s="4"/>
    </row>
    <row r="828" spans="4:9" x14ac:dyDescent="0.25">
      <c r="D828" s="4"/>
      <c r="E828" s="4"/>
      <c r="H828" s="4"/>
      <c r="I828" s="4"/>
    </row>
    <row r="829" spans="4:9" x14ac:dyDescent="0.25">
      <c r="D829" s="4"/>
      <c r="E829" s="4"/>
      <c r="H829" s="4"/>
      <c r="I829" s="4"/>
    </row>
    <row r="830" spans="4:9" x14ac:dyDescent="0.25">
      <c r="D830" s="4"/>
      <c r="E830" s="4"/>
      <c r="H830" s="4"/>
      <c r="I830" s="4"/>
    </row>
    <row r="831" spans="4:9" x14ac:dyDescent="0.25">
      <c r="D831" s="4"/>
      <c r="E831" s="4"/>
      <c r="H831" s="4"/>
      <c r="I831" s="4"/>
    </row>
    <row r="832" spans="4:9" x14ac:dyDescent="0.25">
      <c r="D832" s="4"/>
      <c r="E832" s="4"/>
      <c r="H832" s="4"/>
      <c r="I832" s="4"/>
    </row>
    <row r="833" spans="4:9" x14ac:dyDescent="0.25">
      <c r="D833" s="4"/>
      <c r="E833" s="4"/>
      <c r="H833" s="4"/>
      <c r="I833" s="4"/>
    </row>
    <row r="834" spans="4:9" x14ac:dyDescent="0.25">
      <c r="D834" s="4"/>
      <c r="E834" s="4"/>
      <c r="H834" s="4"/>
      <c r="I834" s="4"/>
    </row>
    <row r="835" spans="4:9" x14ac:dyDescent="0.25">
      <c r="D835" s="4"/>
      <c r="E835" s="4"/>
      <c r="H835" s="4"/>
      <c r="I835" s="4"/>
    </row>
    <row r="836" spans="4:9" x14ac:dyDescent="0.25">
      <c r="D836" s="4"/>
      <c r="E836" s="4"/>
      <c r="H836" s="4"/>
      <c r="I836" s="4"/>
    </row>
    <row r="837" spans="4:9" x14ac:dyDescent="0.25">
      <c r="D837" s="4"/>
      <c r="E837" s="4"/>
      <c r="H837" s="4"/>
      <c r="I837" s="4"/>
    </row>
    <row r="838" spans="4:9" x14ac:dyDescent="0.25">
      <c r="D838" s="4"/>
      <c r="E838" s="4"/>
      <c r="H838" s="4"/>
      <c r="I838" s="4"/>
    </row>
    <row r="839" spans="4:9" x14ac:dyDescent="0.25">
      <c r="D839" s="4"/>
      <c r="E839" s="4"/>
      <c r="H839" s="4"/>
      <c r="I839" s="4"/>
    </row>
    <row r="840" spans="4:9" x14ac:dyDescent="0.25">
      <c r="D840" s="4"/>
      <c r="E840" s="4"/>
      <c r="H840" s="4"/>
      <c r="I840" s="4"/>
    </row>
    <row r="841" spans="4:9" x14ac:dyDescent="0.25">
      <c r="D841" s="4"/>
      <c r="E841" s="4"/>
      <c r="H841" s="4"/>
      <c r="I841" s="4"/>
    </row>
    <row r="842" spans="4:9" x14ac:dyDescent="0.25">
      <c r="D842" s="4"/>
      <c r="E842" s="4"/>
      <c r="H842" s="4"/>
      <c r="I842" s="4"/>
    </row>
    <row r="843" spans="4:9" x14ac:dyDescent="0.25">
      <c r="D843" s="4"/>
      <c r="E843" s="4"/>
      <c r="H843" s="4"/>
      <c r="I843" s="4"/>
    </row>
    <row r="844" spans="4:9" x14ac:dyDescent="0.25">
      <c r="D844" s="4"/>
      <c r="E844" s="4"/>
      <c r="H844" s="4"/>
      <c r="I844" s="4"/>
    </row>
    <row r="845" spans="4:9" x14ac:dyDescent="0.25">
      <c r="D845" s="4"/>
      <c r="E845" s="4"/>
      <c r="H845" s="4"/>
      <c r="I845" s="4"/>
    </row>
    <row r="846" spans="4:9" x14ac:dyDescent="0.25">
      <c r="D846" s="4"/>
      <c r="E846" s="4"/>
      <c r="H846" s="4"/>
      <c r="I846" s="4"/>
    </row>
    <row r="847" spans="4:9" x14ac:dyDescent="0.25">
      <c r="D847" s="4"/>
      <c r="E847" s="4"/>
      <c r="H847" s="4"/>
      <c r="I847" s="4"/>
    </row>
    <row r="848" spans="4:9" x14ac:dyDescent="0.25">
      <c r="D848" s="4"/>
      <c r="E848" s="4"/>
      <c r="H848" s="4"/>
      <c r="I848" s="4"/>
    </row>
    <row r="849" spans="4:9" x14ac:dyDescent="0.25">
      <c r="D849" s="4"/>
      <c r="E849" s="4"/>
      <c r="H849" s="4"/>
      <c r="I849" s="4"/>
    </row>
    <row r="850" spans="4:9" x14ac:dyDescent="0.25">
      <c r="D850" s="4"/>
      <c r="E850" s="4"/>
      <c r="H850" s="4"/>
      <c r="I850" s="4"/>
    </row>
    <row r="851" spans="4:9" x14ac:dyDescent="0.25">
      <c r="D851" s="4"/>
      <c r="E851" s="4"/>
      <c r="H851" s="4"/>
      <c r="I851" s="4"/>
    </row>
    <row r="852" spans="4:9" x14ac:dyDescent="0.25">
      <c r="D852" s="4"/>
      <c r="E852" s="4"/>
      <c r="H852" s="4"/>
      <c r="I852" s="4"/>
    </row>
    <row r="853" spans="4:9" x14ac:dyDescent="0.25">
      <c r="D853" s="4"/>
      <c r="E853" s="4"/>
      <c r="H853" s="4"/>
      <c r="I853" s="4"/>
    </row>
    <row r="854" spans="4:9" x14ac:dyDescent="0.25">
      <c r="D854" s="4"/>
      <c r="E854" s="4"/>
      <c r="H854" s="4"/>
      <c r="I854" s="4"/>
    </row>
    <row r="855" spans="4:9" x14ac:dyDescent="0.25">
      <c r="D855" s="4"/>
      <c r="E855" s="4"/>
      <c r="H855" s="4"/>
      <c r="I855" s="4"/>
    </row>
    <row r="856" spans="4:9" x14ac:dyDescent="0.25">
      <c r="D856" s="4"/>
      <c r="E856" s="4"/>
      <c r="H856" s="4"/>
      <c r="I856" s="4"/>
    </row>
    <row r="857" spans="4:9" x14ac:dyDescent="0.25">
      <c r="D857" s="4"/>
      <c r="E857" s="4"/>
      <c r="H857" s="4"/>
      <c r="I857" s="4"/>
    </row>
    <row r="858" spans="4:9" x14ac:dyDescent="0.25">
      <c r="D858" s="4"/>
      <c r="E858" s="4"/>
      <c r="H858" s="4"/>
      <c r="I858" s="4"/>
    </row>
    <row r="859" spans="4:9" x14ac:dyDescent="0.25">
      <c r="D859" s="4"/>
      <c r="E859" s="4"/>
      <c r="H859" s="4"/>
      <c r="I859" s="4"/>
    </row>
    <row r="860" spans="4:9" x14ac:dyDescent="0.25">
      <c r="D860" s="4"/>
      <c r="E860" s="4"/>
      <c r="H860" s="4"/>
      <c r="I860" s="4"/>
    </row>
    <row r="861" spans="4:9" x14ac:dyDescent="0.25">
      <c r="D861" s="4"/>
      <c r="E861" s="4"/>
      <c r="H861" s="4"/>
      <c r="I861" s="4"/>
    </row>
    <row r="862" spans="4:9" x14ac:dyDescent="0.25">
      <c r="D862" s="4"/>
      <c r="E862" s="4"/>
      <c r="H862" s="4"/>
      <c r="I862" s="4"/>
    </row>
    <row r="863" spans="4:9" x14ac:dyDescent="0.25">
      <c r="D863" s="4"/>
      <c r="E863" s="4"/>
      <c r="H863" s="4"/>
      <c r="I863" s="4"/>
    </row>
    <row r="864" spans="4:9" x14ac:dyDescent="0.25">
      <c r="D864" s="4"/>
      <c r="E864" s="4"/>
      <c r="H864" s="4"/>
      <c r="I864" s="4"/>
    </row>
    <row r="865" spans="4:9" x14ac:dyDescent="0.25">
      <c r="D865" s="4"/>
      <c r="E865" s="4"/>
      <c r="H865" s="4"/>
      <c r="I865" s="4"/>
    </row>
    <row r="866" spans="4:9" x14ac:dyDescent="0.25">
      <c r="D866" s="4"/>
      <c r="E866" s="4"/>
      <c r="H866" s="4"/>
      <c r="I866" s="4"/>
    </row>
    <row r="867" spans="4:9" x14ac:dyDescent="0.25">
      <c r="D867" s="4"/>
      <c r="E867" s="4"/>
      <c r="H867" s="4"/>
      <c r="I867" s="4"/>
    </row>
    <row r="868" spans="4:9" x14ac:dyDescent="0.25">
      <c r="D868" s="4"/>
      <c r="E868" s="4"/>
      <c r="H868" s="4"/>
      <c r="I868" s="4"/>
    </row>
    <row r="869" spans="4:9" x14ac:dyDescent="0.25">
      <c r="D869" s="4"/>
      <c r="E869" s="4"/>
      <c r="H869" s="4"/>
      <c r="I869" s="4"/>
    </row>
    <row r="870" spans="4:9" x14ac:dyDescent="0.25">
      <c r="D870" s="4"/>
      <c r="E870" s="4"/>
      <c r="H870" s="4"/>
      <c r="I870" s="4"/>
    </row>
    <row r="871" spans="4:9" x14ac:dyDescent="0.25">
      <c r="D871" s="4"/>
      <c r="E871" s="4"/>
      <c r="H871" s="4"/>
      <c r="I871" s="4"/>
    </row>
    <row r="872" spans="4:9" x14ac:dyDescent="0.25">
      <c r="D872" s="4"/>
      <c r="E872" s="4"/>
      <c r="H872" s="4"/>
      <c r="I872" s="4"/>
    </row>
    <row r="873" spans="4:9" x14ac:dyDescent="0.25">
      <c r="D873" s="4"/>
      <c r="E873" s="4"/>
      <c r="H873" s="4"/>
      <c r="I873" s="4"/>
    </row>
    <row r="874" spans="4:9" x14ac:dyDescent="0.25">
      <c r="D874" s="4"/>
      <c r="E874" s="4"/>
      <c r="H874" s="4"/>
      <c r="I874" s="4"/>
    </row>
    <row r="875" spans="4:9" x14ac:dyDescent="0.25">
      <c r="D875" s="4"/>
      <c r="E875" s="4"/>
      <c r="H875" s="4"/>
      <c r="I875" s="4"/>
    </row>
    <row r="876" spans="4:9" x14ac:dyDescent="0.25">
      <c r="D876" s="4"/>
      <c r="E876" s="4"/>
      <c r="H876" s="4"/>
      <c r="I876" s="4"/>
    </row>
    <row r="877" spans="4:9" x14ac:dyDescent="0.25">
      <c r="D877" s="4"/>
      <c r="E877" s="4"/>
      <c r="H877" s="4"/>
      <c r="I877" s="4"/>
    </row>
    <row r="878" spans="4:9" x14ac:dyDescent="0.25">
      <c r="D878" s="4"/>
      <c r="E878" s="4"/>
      <c r="H878" s="4"/>
      <c r="I878" s="4"/>
    </row>
    <row r="879" spans="4:9" x14ac:dyDescent="0.25">
      <c r="D879" s="4"/>
      <c r="E879" s="4"/>
      <c r="H879" s="4"/>
      <c r="I879" s="4"/>
    </row>
    <row r="880" spans="4:9" x14ac:dyDescent="0.25">
      <c r="D880" s="4"/>
      <c r="E880" s="4"/>
      <c r="H880" s="4"/>
      <c r="I880" s="4"/>
    </row>
    <row r="881" spans="4:9" x14ac:dyDescent="0.25">
      <c r="D881" s="4"/>
      <c r="E881" s="4"/>
      <c r="H881" s="4"/>
      <c r="I881" s="4"/>
    </row>
    <row r="882" spans="4:9" x14ac:dyDescent="0.25">
      <c r="D882" s="4"/>
      <c r="E882" s="4"/>
      <c r="H882" s="4"/>
      <c r="I882" s="4"/>
    </row>
    <row r="883" spans="4:9" x14ac:dyDescent="0.25">
      <c r="D883" s="4"/>
      <c r="E883" s="4"/>
      <c r="H883" s="4"/>
      <c r="I883" s="4"/>
    </row>
    <row r="884" spans="4:9" x14ac:dyDescent="0.25">
      <c r="D884" s="4"/>
      <c r="E884" s="4"/>
      <c r="H884" s="4"/>
      <c r="I884" s="4"/>
    </row>
    <row r="885" spans="4:9" x14ac:dyDescent="0.25">
      <c r="D885" s="4"/>
      <c r="E885" s="4"/>
      <c r="H885" s="4"/>
      <c r="I885" s="4"/>
    </row>
    <row r="886" spans="4:9" x14ac:dyDescent="0.25">
      <c r="D886" s="4"/>
      <c r="E886" s="4"/>
      <c r="H886" s="4"/>
      <c r="I886" s="4"/>
    </row>
    <row r="887" spans="4:9" x14ac:dyDescent="0.25">
      <c r="D887" s="4"/>
      <c r="E887" s="4"/>
      <c r="H887" s="4"/>
      <c r="I887" s="4"/>
    </row>
    <row r="888" spans="4:9" x14ac:dyDescent="0.25">
      <c r="D888" s="4"/>
      <c r="E888" s="4"/>
      <c r="H888" s="4"/>
      <c r="I888" s="4"/>
    </row>
    <row r="889" spans="4:9" x14ac:dyDescent="0.25">
      <c r="D889" s="4"/>
      <c r="E889" s="4"/>
      <c r="H889" s="4"/>
      <c r="I889" s="4"/>
    </row>
    <row r="890" spans="4:9" x14ac:dyDescent="0.25">
      <c r="D890" s="4"/>
      <c r="E890" s="4"/>
      <c r="H890" s="4"/>
      <c r="I890" s="4"/>
    </row>
    <row r="891" spans="4:9" x14ac:dyDescent="0.25">
      <c r="D891" s="4"/>
      <c r="E891" s="4"/>
      <c r="H891" s="4"/>
      <c r="I891" s="4"/>
    </row>
    <row r="892" spans="4:9" x14ac:dyDescent="0.25">
      <c r="D892" s="4"/>
      <c r="E892" s="4"/>
      <c r="H892" s="4"/>
      <c r="I892" s="4"/>
    </row>
    <row r="893" spans="4:9" x14ac:dyDescent="0.25">
      <c r="D893" s="4"/>
      <c r="E893" s="4"/>
      <c r="H893" s="4"/>
      <c r="I893" s="4"/>
    </row>
    <row r="894" spans="4:9" x14ac:dyDescent="0.25">
      <c r="D894" s="4"/>
      <c r="E894" s="4"/>
      <c r="H894" s="4"/>
      <c r="I894" s="4"/>
    </row>
    <row r="895" spans="4:9" x14ac:dyDescent="0.25">
      <c r="D895" s="4"/>
      <c r="E895" s="4"/>
      <c r="H895" s="4"/>
      <c r="I895" s="4"/>
    </row>
    <row r="896" spans="4:9" x14ac:dyDescent="0.25">
      <c r="D896" s="4"/>
      <c r="E896" s="4"/>
      <c r="H896" s="4"/>
      <c r="I896" s="4"/>
    </row>
    <row r="897" spans="4:9" x14ac:dyDescent="0.25">
      <c r="D897" s="4"/>
      <c r="E897" s="4"/>
      <c r="H897" s="4"/>
      <c r="I897" s="4"/>
    </row>
    <row r="898" spans="4:9" x14ac:dyDescent="0.25">
      <c r="D898" s="4"/>
      <c r="E898" s="4"/>
      <c r="H898" s="4"/>
      <c r="I898" s="4"/>
    </row>
    <row r="899" spans="4:9" x14ac:dyDescent="0.25">
      <c r="D899" s="4"/>
      <c r="E899" s="4"/>
      <c r="H899" s="4"/>
      <c r="I899" s="4"/>
    </row>
    <row r="900" spans="4:9" x14ac:dyDescent="0.25">
      <c r="D900" s="4"/>
      <c r="E900" s="4"/>
      <c r="H900" s="4"/>
      <c r="I900" s="4"/>
    </row>
    <row r="901" spans="4:9" x14ac:dyDescent="0.25">
      <c r="D901" s="4"/>
      <c r="E901" s="4"/>
      <c r="H901" s="4"/>
      <c r="I901" s="4"/>
    </row>
    <row r="902" spans="4:9" x14ac:dyDescent="0.25">
      <c r="D902" s="4"/>
      <c r="E902" s="4"/>
      <c r="H902" s="4"/>
      <c r="I902" s="4"/>
    </row>
    <row r="903" spans="4:9" x14ac:dyDescent="0.25">
      <c r="D903" s="4"/>
      <c r="E903" s="4"/>
      <c r="H903" s="4"/>
      <c r="I903" s="4"/>
    </row>
    <row r="904" spans="4:9" x14ac:dyDescent="0.25">
      <c r="D904" s="4"/>
      <c r="E904" s="4"/>
      <c r="H904" s="4"/>
      <c r="I904" s="4"/>
    </row>
    <row r="905" spans="4:9" x14ac:dyDescent="0.25">
      <c r="D905" s="4"/>
      <c r="E905" s="4"/>
      <c r="H905" s="4"/>
      <c r="I905" s="4"/>
    </row>
    <row r="906" spans="4:9" x14ac:dyDescent="0.25">
      <c r="D906" s="4"/>
      <c r="E906" s="4"/>
      <c r="H906" s="4"/>
      <c r="I906" s="4"/>
    </row>
    <row r="907" spans="4:9" x14ac:dyDescent="0.25">
      <c r="D907" s="4"/>
      <c r="E907" s="4"/>
      <c r="H907" s="4"/>
      <c r="I907" s="4"/>
    </row>
    <row r="908" spans="4:9" x14ac:dyDescent="0.25">
      <c r="D908" s="4"/>
      <c r="E908" s="4"/>
      <c r="H908" s="4"/>
      <c r="I908" s="4"/>
    </row>
    <row r="909" spans="4:9" x14ac:dyDescent="0.25">
      <c r="D909" s="4"/>
      <c r="E909" s="4"/>
      <c r="H909" s="4"/>
      <c r="I909" s="4"/>
    </row>
    <row r="910" spans="4:9" x14ac:dyDescent="0.25">
      <c r="D910" s="4"/>
      <c r="E910" s="4"/>
      <c r="H910" s="4"/>
      <c r="I910" s="4"/>
    </row>
    <row r="911" spans="4:9" x14ac:dyDescent="0.25">
      <c r="D911" s="4"/>
      <c r="E911" s="4"/>
      <c r="H911" s="4"/>
      <c r="I911" s="4"/>
    </row>
    <row r="912" spans="4:9" x14ac:dyDescent="0.25">
      <c r="D912" s="4"/>
      <c r="E912" s="4"/>
      <c r="H912" s="4"/>
      <c r="I912" s="4"/>
    </row>
    <row r="913" spans="4:9" x14ac:dyDescent="0.25">
      <c r="D913" s="4"/>
      <c r="E913" s="4"/>
      <c r="H913" s="4"/>
      <c r="I913" s="4"/>
    </row>
    <row r="914" spans="4:9" x14ac:dyDescent="0.25">
      <c r="D914" s="4"/>
      <c r="E914" s="4"/>
      <c r="H914" s="4"/>
      <c r="I914" s="4"/>
    </row>
    <row r="915" spans="4:9" x14ac:dyDescent="0.25">
      <c r="D915" s="4"/>
      <c r="E915" s="4"/>
      <c r="H915" s="4"/>
      <c r="I915" s="4"/>
    </row>
    <row r="916" spans="4:9" x14ac:dyDescent="0.25">
      <c r="D916" s="4"/>
      <c r="E916" s="4"/>
      <c r="H916" s="4"/>
      <c r="I916" s="4"/>
    </row>
    <row r="917" spans="4:9" x14ac:dyDescent="0.25">
      <c r="D917" s="4"/>
      <c r="E917" s="4"/>
      <c r="H917" s="4"/>
      <c r="I917" s="4"/>
    </row>
    <row r="918" spans="4:9" x14ac:dyDescent="0.25">
      <c r="D918" s="4"/>
      <c r="E918" s="4"/>
      <c r="H918" s="4"/>
      <c r="I918" s="4"/>
    </row>
    <row r="919" spans="4:9" x14ac:dyDescent="0.25">
      <c r="D919" s="4"/>
      <c r="E919" s="4"/>
      <c r="H919" s="4"/>
      <c r="I919" s="4"/>
    </row>
    <row r="920" spans="4:9" x14ac:dyDescent="0.25">
      <c r="D920" s="4"/>
      <c r="E920" s="4"/>
      <c r="H920" s="4"/>
      <c r="I920" s="4"/>
    </row>
    <row r="921" spans="4:9" x14ac:dyDescent="0.25">
      <c r="D921" s="4"/>
      <c r="E921" s="4"/>
      <c r="H921" s="4"/>
      <c r="I921" s="4"/>
    </row>
    <row r="922" spans="4:9" x14ac:dyDescent="0.25">
      <c r="D922" s="4"/>
      <c r="E922" s="4"/>
      <c r="H922" s="4"/>
      <c r="I922" s="4"/>
    </row>
    <row r="923" spans="4:9" x14ac:dyDescent="0.25">
      <c r="D923" s="4"/>
      <c r="E923" s="4"/>
      <c r="H923" s="4"/>
      <c r="I923" s="4"/>
    </row>
    <row r="924" spans="4:9" x14ac:dyDescent="0.25">
      <c r="D924" s="4"/>
      <c r="E924" s="4"/>
      <c r="H924" s="4"/>
      <c r="I924" s="4"/>
    </row>
    <row r="925" spans="4:9" x14ac:dyDescent="0.25">
      <c r="D925" s="4"/>
      <c r="E925" s="4"/>
      <c r="H925" s="4"/>
      <c r="I925" s="4"/>
    </row>
    <row r="926" spans="4:9" x14ac:dyDescent="0.25">
      <c r="D926" s="4"/>
      <c r="E926" s="4"/>
      <c r="H926" s="4"/>
      <c r="I926" s="4"/>
    </row>
    <row r="927" spans="4:9" x14ac:dyDescent="0.25">
      <c r="D927" s="4"/>
      <c r="E927" s="4"/>
      <c r="H927" s="4"/>
      <c r="I927" s="4"/>
    </row>
    <row r="928" spans="4:9" x14ac:dyDescent="0.25">
      <c r="D928" s="4"/>
      <c r="E928" s="4"/>
      <c r="H928" s="4"/>
      <c r="I928" s="4"/>
    </row>
    <row r="929" spans="4:9" x14ac:dyDescent="0.25">
      <c r="D929" s="4"/>
      <c r="E929" s="4"/>
      <c r="H929" s="4"/>
      <c r="I929" s="4"/>
    </row>
    <row r="930" spans="4:9" x14ac:dyDescent="0.25">
      <c r="D930" s="4"/>
      <c r="E930" s="4"/>
      <c r="H930" s="4"/>
      <c r="I930" s="4"/>
    </row>
    <row r="931" spans="4:9" x14ac:dyDescent="0.25">
      <c r="D931" s="4"/>
      <c r="E931" s="4"/>
      <c r="H931" s="4"/>
      <c r="I931" s="4"/>
    </row>
    <row r="932" spans="4:9" x14ac:dyDescent="0.25">
      <c r="D932" s="4"/>
      <c r="E932" s="4"/>
      <c r="H932" s="4"/>
      <c r="I932" s="4"/>
    </row>
    <row r="933" spans="4:9" x14ac:dyDescent="0.25">
      <c r="D933" s="4"/>
      <c r="E933" s="4"/>
      <c r="H933" s="4"/>
      <c r="I933" s="4"/>
    </row>
    <row r="934" spans="4:9" x14ac:dyDescent="0.25">
      <c r="D934" s="4"/>
      <c r="E934" s="4"/>
      <c r="H934" s="4"/>
      <c r="I934" s="4"/>
    </row>
    <row r="935" spans="4:9" x14ac:dyDescent="0.25">
      <c r="D935" s="4"/>
      <c r="E935" s="4"/>
      <c r="H935" s="4"/>
      <c r="I935" s="4"/>
    </row>
    <row r="936" spans="4:9" x14ac:dyDescent="0.25">
      <c r="D936" s="4"/>
      <c r="E936" s="4"/>
      <c r="H936" s="4"/>
      <c r="I936" s="4"/>
    </row>
    <row r="937" spans="4:9" x14ac:dyDescent="0.25">
      <c r="D937" s="4"/>
      <c r="E937" s="4"/>
      <c r="H937" s="4"/>
      <c r="I937" s="4"/>
    </row>
    <row r="938" spans="4:9" x14ac:dyDescent="0.25">
      <c r="D938" s="4"/>
      <c r="E938" s="4"/>
      <c r="H938" s="4"/>
      <c r="I938" s="4"/>
    </row>
    <row r="939" spans="4:9" x14ac:dyDescent="0.25">
      <c r="D939" s="4"/>
      <c r="E939" s="4"/>
      <c r="H939" s="4"/>
      <c r="I939" s="4"/>
    </row>
    <row r="940" spans="4:9" x14ac:dyDescent="0.25">
      <c r="D940" s="4"/>
      <c r="E940" s="4"/>
      <c r="H940" s="4"/>
      <c r="I940" s="4"/>
    </row>
    <row r="941" spans="4:9" x14ac:dyDescent="0.25">
      <c r="D941" s="4"/>
      <c r="E941" s="4"/>
      <c r="H941" s="4"/>
      <c r="I941" s="4"/>
    </row>
    <row r="942" spans="4:9" x14ac:dyDescent="0.25">
      <c r="D942" s="4"/>
      <c r="E942" s="4"/>
      <c r="H942" s="4"/>
      <c r="I942" s="4"/>
    </row>
    <row r="943" spans="4:9" x14ac:dyDescent="0.25">
      <c r="D943" s="4"/>
      <c r="E943" s="4"/>
      <c r="H943" s="4"/>
      <c r="I943" s="4"/>
    </row>
    <row r="944" spans="4:9" x14ac:dyDescent="0.25">
      <c r="D944" s="4"/>
      <c r="E944" s="4"/>
      <c r="H944" s="4"/>
      <c r="I944" s="4"/>
    </row>
    <row r="945" spans="4:9" x14ac:dyDescent="0.25">
      <c r="D945" s="4"/>
      <c r="E945" s="4"/>
      <c r="H945" s="4"/>
      <c r="I945" s="4"/>
    </row>
    <row r="946" spans="4:9" x14ac:dyDescent="0.25">
      <c r="D946" s="4"/>
      <c r="E946" s="4"/>
      <c r="H946" s="4"/>
      <c r="I946" s="4"/>
    </row>
    <row r="947" spans="4:9" x14ac:dyDescent="0.25">
      <c r="D947" s="4"/>
      <c r="E947" s="4"/>
      <c r="H947" s="4"/>
      <c r="I947" s="4"/>
    </row>
    <row r="948" spans="4:9" x14ac:dyDescent="0.25">
      <c r="D948" s="4"/>
      <c r="E948" s="4"/>
      <c r="H948" s="4"/>
      <c r="I948" s="4"/>
    </row>
    <row r="949" spans="4:9" x14ac:dyDescent="0.25">
      <c r="D949" s="4"/>
      <c r="E949" s="4"/>
      <c r="H949" s="4"/>
      <c r="I949" s="4"/>
    </row>
    <row r="950" spans="4:9" x14ac:dyDescent="0.25">
      <c r="D950" s="4"/>
      <c r="E950" s="4"/>
      <c r="H950" s="4"/>
      <c r="I950" s="4"/>
    </row>
    <row r="951" spans="4:9" x14ac:dyDescent="0.25">
      <c r="D951" s="4"/>
      <c r="E951" s="4"/>
      <c r="H951" s="4"/>
      <c r="I951" s="4"/>
    </row>
    <row r="952" spans="4:9" x14ac:dyDescent="0.25">
      <c r="D952" s="4"/>
      <c r="E952" s="4"/>
      <c r="H952" s="4"/>
      <c r="I952" s="4"/>
    </row>
    <row r="953" spans="4:9" x14ac:dyDescent="0.25">
      <c r="D953" s="4"/>
      <c r="E953" s="4"/>
      <c r="H953" s="4"/>
      <c r="I953" s="4"/>
    </row>
    <row r="954" spans="4:9" x14ac:dyDescent="0.25">
      <c r="D954" s="4"/>
      <c r="E954" s="4"/>
      <c r="H954" s="4"/>
      <c r="I954" s="4"/>
    </row>
    <row r="955" spans="4:9" x14ac:dyDescent="0.25">
      <c r="D955" s="4"/>
      <c r="E955" s="4"/>
      <c r="H955" s="4"/>
      <c r="I955" s="4"/>
    </row>
    <row r="956" spans="4:9" x14ac:dyDescent="0.25">
      <c r="D956" s="4"/>
      <c r="E956" s="4"/>
      <c r="H956" s="4"/>
      <c r="I956" s="4"/>
    </row>
    <row r="957" spans="4:9" x14ac:dyDescent="0.25">
      <c r="D957" s="4"/>
      <c r="E957" s="4"/>
      <c r="H957" s="4"/>
      <c r="I957" s="4"/>
    </row>
    <row r="958" spans="4:9" x14ac:dyDescent="0.25">
      <c r="D958" s="4"/>
      <c r="E958" s="4"/>
      <c r="H958" s="4"/>
      <c r="I958" s="4"/>
    </row>
    <row r="959" spans="4:9" x14ac:dyDescent="0.25">
      <c r="D959" s="4"/>
      <c r="E959" s="4"/>
      <c r="H959" s="4"/>
      <c r="I959" s="4"/>
    </row>
    <row r="960" spans="4:9" x14ac:dyDescent="0.25">
      <c r="D960" s="4"/>
      <c r="E960" s="4"/>
      <c r="H960" s="4"/>
      <c r="I960" s="4"/>
    </row>
    <row r="961" spans="4:9" x14ac:dyDescent="0.25">
      <c r="D961" s="4"/>
      <c r="E961" s="4"/>
      <c r="H961" s="4"/>
      <c r="I961" s="4"/>
    </row>
    <row r="962" spans="4:9" x14ac:dyDescent="0.25">
      <c r="D962" s="4"/>
      <c r="E962" s="4"/>
      <c r="H962" s="4"/>
      <c r="I962" s="4"/>
    </row>
    <row r="963" spans="4:9" x14ac:dyDescent="0.25">
      <c r="D963" s="4"/>
      <c r="E963" s="4"/>
      <c r="H963" s="4"/>
      <c r="I963" s="4"/>
    </row>
    <row r="964" spans="4:9" x14ac:dyDescent="0.25">
      <c r="D964" s="4"/>
      <c r="E964" s="4"/>
      <c r="H964" s="4"/>
      <c r="I964" s="4"/>
    </row>
    <row r="965" spans="4:9" x14ac:dyDescent="0.25">
      <c r="D965" s="4"/>
      <c r="E965" s="4"/>
      <c r="H965" s="4"/>
      <c r="I965" s="4"/>
    </row>
    <row r="966" spans="4:9" x14ac:dyDescent="0.25">
      <c r="D966" s="4"/>
      <c r="E966" s="4"/>
      <c r="H966" s="4"/>
      <c r="I966" s="4"/>
    </row>
    <row r="967" spans="4:9" x14ac:dyDescent="0.25">
      <c r="D967" s="4"/>
      <c r="E967" s="4"/>
      <c r="H967" s="4"/>
      <c r="I967" s="4"/>
    </row>
    <row r="968" spans="4:9" x14ac:dyDescent="0.25">
      <c r="D968" s="4"/>
      <c r="E968" s="4"/>
      <c r="H968" s="4"/>
      <c r="I968" s="4"/>
    </row>
    <row r="969" spans="4:9" x14ac:dyDescent="0.25">
      <c r="D969" s="4"/>
      <c r="E969" s="4"/>
      <c r="H969" s="4"/>
      <c r="I969" s="4"/>
    </row>
    <row r="970" spans="4:9" x14ac:dyDescent="0.25">
      <c r="D970" s="4"/>
      <c r="E970" s="4"/>
      <c r="H970" s="4"/>
      <c r="I970" s="4"/>
    </row>
    <row r="971" spans="4:9" x14ac:dyDescent="0.25">
      <c r="D971" s="4"/>
      <c r="E971" s="4"/>
      <c r="H971" s="4"/>
      <c r="I971" s="4"/>
    </row>
    <row r="972" spans="4:9" x14ac:dyDescent="0.25">
      <c r="D972" s="4"/>
      <c r="E972" s="4"/>
      <c r="H972" s="4"/>
      <c r="I972" s="4"/>
    </row>
    <row r="973" spans="4:9" x14ac:dyDescent="0.25">
      <c r="D973" s="4"/>
      <c r="E973" s="4"/>
      <c r="H973" s="4"/>
      <c r="I973" s="4"/>
    </row>
    <row r="974" spans="4:9" x14ac:dyDescent="0.25">
      <c r="D974" s="4"/>
      <c r="E974" s="4"/>
      <c r="H974" s="4"/>
      <c r="I974" s="4"/>
    </row>
    <row r="975" spans="4:9" x14ac:dyDescent="0.25">
      <c r="D975" s="4"/>
      <c r="E975" s="4"/>
      <c r="H975" s="4"/>
      <c r="I975" s="4"/>
    </row>
    <row r="976" spans="4:9" x14ac:dyDescent="0.25">
      <c r="D976" s="4"/>
      <c r="E976" s="4"/>
      <c r="H976" s="4"/>
      <c r="I976" s="4"/>
    </row>
    <row r="977" spans="4:9" x14ac:dyDescent="0.25">
      <c r="D977" s="4"/>
      <c r="E977" s="4"/>
      <c r="H977" s="4"/>
      <c r="I977" s="4"/>
    </row>
    <row r="978" spans="4:9" x14ac:dyDescent="0.25">
      <c r="D978" s="4"/>
      <c r="E978" s="4"/>
      <c r="H978" s="4"/>
      <c r="I978" s="4"/>
    </row>
    <row r="979" spans="4:9" x14ac:dyDescent="0.25">
      <c r="D979" s="4"/>
      <c r="E979" s="4"/>
      <c r="H979" s="4"/>
      <c r="I979" s="4"/>
    </row>
    <row r="980" spans="4:9" x14ac:dyDescent="0.25">
      <c r="D980" s="4"/>
      <c r="E980" s="4"/>
      <c r="H980" s="4"/>
      <c r="I980" s="4"/>
    </row>
    <row r="981" spans="4:9" x14ac:dyDescent="0.25">
      <c r="D981" s="4"/>
      <c r="E981" s="4"/>
      <c r="H981" s="4"/>
      <c r="I981" s="4"/>
    </row>
    <row r="982" spans="4:9" x14ac:dyDescent="0.25">
      <c r="D982" s="4"/>
      <c r="E982" s="4"/>
      <c r="H982" s="4"/>
      <c r="I982" s="4"/>
    </row>
    <row r="983" spans="4:9" x14ac:dyDescent="0.25">
      <c r="D983" s="4"/>
      <c r="E983" s="4"/>
      <c r="H983" s="4"/>
      <c r="I983" s="4"/>
    </row>
    <row r="984" spans="4:9" x14ac:dyDescent="0.25">
      <c r="D984" s="4"/>
      <c r="E984" s="4"/>
      <c r="H984" s="4"/>
      <c r="I984" s="4"/>
    </row>
    <row r="985" spans="4:9" x14ac:dyDescent="0.25">
      <c r="D985" s="4"/>
      <c r="E985" s="4"/>
      <c r="H985" s="4"/>
      <c r="I985" s="4"/>
    </row>
    <row r="986" spans="4:9" x14ac:dyDescent="0.25">
      <c r="D986" s="4"/>
      <c r="E986" s="4"/>
      <c r="H986" s="4"/>
      <c r="I986" s="4"/>
    </row>
    <row r="987" spans="4:9" x14ac:dyDescent="0.25">
      <c r="D987" s="4"/>
      <c r="E987" s="4"/>
      <c r="H987" s="4"/>
      <c r="I987" s="4"/>
    </row>
    <row r="988" spans="4:9" x14ac:dyDescent="0.25">
      <c r="D988" s="4"/>
      <c r="E988" s="4"/>
      <c r="H988" s="4"/>
      <c r="I988" s="4"/>
    </row>
    <row r="989" spans="4:9" x14ac:dyDescent="0.25">
      <c r="D989" s="4"/>
      <c r="E989" s="4"/>
      <c r="H989" s="4"/>
      <c r="I989" s="4"/>
    </row>
    <row r="990" spans="4:9" x14ac:dyDescent="0.25">
      <c r="D990" s="4"/>
      <c r="E990" s="4"/>
      <c r="H990" s="4"/>
      <c r="I990" s="4"/>
    </row>
    <row r="991" spans="4:9" x14ac:dyDescent="0.25">
      <c r="D991" s="4"/>
      <c r="E991" s="4"/>
      <c r="H991" s="4"/>
      <c r="I991" s="4"/>
    </row>
    <row r="992" spans="4:9" x14ac:dyDescent="0.25">
      <c r="D992" s="4"/>
      <c r="E992" s="4"/>
      <c r="H992" s="4"/>
      <c r="I992" s="4"/>
    </row>
    <row r="993" spans="4:9" x14ac:dyDescent="0.25">
      <c r="D993" s="4"/>
      <c r="E993" s="4"/>
      <c r="H993" s="4"/>
      <c r="I993" s="4"/>
    </row>
    <row r="994" spans="4:9" x14ac:dyDescent="0.25">
      <c r="D994" s="4"/>
      <c r="E994" s="4"/>
      <c r="H994" s="4"/>
      <c r="I994" s="4"/>
    </row>
    <row r="995" spans="4:9" x14ac:dyDescent="0.25">
      <c r="D995" s="4"/>
      <c r="E995" s="4"/>
      <c r="H995" s="4"/>
      <c r="I995" s="4"/>
    </row>
    <row r="996" spans="4:9" x14ac:dyDescent="0.25">
      <c r="D996" s="4"/>
      <c r="E996" s="4"/>
      <c r="H996" s="4"/>
      <c r="I996" s="4"/>
    </row>
    <row r="997" spans="4:9" x14ac:dyDescent="0.25">
      <c r="D997" s="4"/>
      <c r="E997" s="4"/>
      <c r="H997" s="4"/>
      <c r="I997" s="4"/>
    </row>
    <row r="998" spans="4:9" x14ac:dyDescent="0.25">
      <c r="D998" s="4"/>
      <c r="E998" s="4"/>
      <c r="H998" s="4"/>
      <c r="I998" s="4"/>
    </row>
    <row r="999" spans="4:9" x14ac:dyDescent="0.25">
      <c r="D999" s="4"/>
      <c r="E999" s="4"/>
      <c r="H999" s="4"/>
      <c r="I999" s="4"/>
    </row>
    <row r="1000" spans="4:9" x14ac:dyDescent="0.25">
      <c r="D1000" s="4"/>
      <c r="E1000" s="4"/>
      <c r="H1000" s="4"/>
      <c r="I1000" s="4"/>
    </row>
    <row r="1001" spans="4:9" x14ac:dyDescent="0.25">
      <c r="D1001" s="4"/>
      <c r="E1001" s="4"/>
      <c r="H1001" s="4"/>
      <c r="I1001" s="4"/>
    </row>
    <row r="1002" spans="4:9" x14ac:dyDescent="0.25">
      <c r="D1002" s="4"/>
      <c r="E1002" s="4"/>
      <c r="H1002" s="4"/>
      <c r="I1002" s="4"/>
    </row>
    <row r="1003" spans="4:9" x14ac:dyDescent="0.25">
      <c r="D1003" s="4"/>
      <c r="E1003" s="4"/>
      <c r="H1003" s="4"/>
      <c r="I1003" s="4"/>
    </row>
    <row r="1004" spans="4:9" x14ac:dyDescent="0.25">
      <c r="D1004" s="4"/>
      <c r="E1004" s="4"/>
      <c r="H1004" s="4"/>
      <c r="I1004" s="4"/>
    </row>
    <row r="1005" spans="4:9" x14ac:dyDescent="0.25">
      <c r="D1005" s="4"/>
      <c r="E1005" s="4"/>
      <c r="H1005" s="4"/>
      <c r="I1005" s="4"/>
    </row>
    <row r="1006" spans="4:9" x14ac:dyDescent="0.25">
      <c r="D1006" s="4"/>
      <c r="E1006" s="4"/>
      <c r="H1006" s="4"/>
      <c r="I1006" s="4"/>
    </row>
    <row r="1007" spans="4:9" x14ac:dyDescent="0.25">
      <c r="D1007" s="4"/>
      <c r="E1007" s="4"/>
      <c r="H1007" s="4"/>
      <c r="I1007" s="4"/>
    </row>
    <row r="1008" spans="4:9" x14ac:dyDescent="0.25">
      <c r="D1008" s="4"/>
      <c r="E1008" s="4"/>
      <c r="H1008" s="4"/>
      <c r="I1008" s="4"/>
    </row>
    <row r="1009" spans="4:9" x14ac:dyDescent="0.25">
      <c r="D1009" s="4"/>
      <c r="E1009" s="4"/>
      <c r="H1009" s="4"/>
      <c r="I1009" s="4"/>
    </row>
    <row r="1010" spans="4:9" x14ac:dyDescent="0.25">
      <c r="D1010" s="4"/>
      <c r="E1010" s="4"/>
      <c r="H1010" s="4"/>
      <c r="I1010" s="4"/>
    </row>
    <row r="1011" spans="4:9" x14ac:dyDescent="0.25">
      <c r="D1011" s="4"/>
      <c r="E1011" s="4"/>
      <c r="H1011" s="4"/>
      <c r="I1011" s="4"/>
    </row>
    <row r="1012" spans="4:9" x14ac:dyDescent="0.25">
      <c r="D1012" s="4"/>
      <c r="E1012" s="4"/>
      <c r="H1012" s="4"/>
      <c r="I1012" s="4"/>
    </row>
    <row r="1013" spans="4:9" x14ac:dyDescent="0.25">
      <c r="D1013" s="4"/>
      <c r="E1013" s="4"/>
      <c r="H1013" s="4"/>
      <c r="I1013" s="4"/>
    </row>
    <row r="1014" spans="4:9" x14ac:dyDescent="0.25">
      <c r="D1014" s="4"/>
      <c r="E1014" s="4"/>
      <c r="H1014" s="4"/>
      <c r="I1014" s="4"/>
    </row>
    <row r="1015" spans="4:9" x14ac:dyDescent="0.25">
      <c r="D1015" s="4"/>
      <c r="E1015" s="4"/>
      <c r="H1015" s="4"/>
      <c r="I1015" s="4"/>
    </row>
    <row r="1016" spans="4:9" x14ac:dyDescent="0.25">
      <c r="D1016" s="4"/>
      <c r="E1016" s="4"/>
      <c r="H1016" s="4"/>
      <c r="I1016" s="4"/>
    </row>
    <row r="1017" spans="4:9" x14ac:dyDescent="0.25">
      <c r="D1017" s="4"/>
      <c r="E1017" s="4"/>
      <c r="H1017" s="4"/>
      <c r="I1017" s="4"/>
    </row>
    <row r="1018" spans="4:9" x14ac:dyDescent="0.25">
      <c r="D1018" s="4"/>
      <c r="E1018" s="4"/>
      <c r="H1018" s="4"/>
      <c r="I1018" s="4"/>
    </row>
    <row r="1019" spans="4:9" x14ac:dyDescent="0.25">
      <c r="D1019" s="4"/>
      <c r="E1019" s="4"/>
      <c r="H1019" s="4"/>
      <c r="I1019" s="4"/>
    </row>
    <row r="1020" spans="4:9" x14ac:dyDescent="0.25">
      <c r="D1020" s="4"/>
      <c r="E1020" s="4"/>
      <c r="H1020" s="4"/>
      <c r="I1020" s="4"/>
    </row>
    <row r="1021" spans="4:9" x14ac:dyDescent="0.25">
      <c r="D1021" s="4"/>
      <c r="E1021" s="4"/>
      <c r="H1021" s="4"/>
      <c r="I1021" s="4"/>
    </row>
    <row r="1022" spans="4:9" x14ac:dyDescent="0.25">
      <c r="D1022" s="4"/>
      <c r="E1022" s="4"/>
      <c r="H1022" s="4"/>
      <c r="I1022" s="4"/>
    </row>
    <row r="1023" spans="4:9" x14ac:dyDescent="0.25">
      <c r="D1023" s="4"/>
      <c r="E1023" s="4"/>
      <c r="H1023" s="4"/>
      <c r="I1023" s="4"/>
    </row>
    <row r="1024" spans="4:9" x14ac:dyDescent="0.25">
      <c r="D1024" s="4"/>
      <c r="E1024" s="4"/>
      <c r="H1024" s="4"/>
      <c r="I1024" s="4"/>
    </row>
    <row r="1025" spans="4:9" x14ac:dyDescent="0.25">
      <c r="D1025" s="4"/>
      <c r="E1025" s="4"/>
      <c r="H1025" s="4"/>
      <c r="I1025" s="4"/>
    </row>
    <row r="1026" spans="4:9" x14ac:dyDescent="0.25">
      <c r="D1026" s="4"/>
      <c r="E1026" s="4"/>
      <c r="H1026" s="4"/>
      <c r="I1026" s="4"/>
    </row>
    <row r="1027" spans="4:9" x14ac:dyDescent="0.25">
      <c r="D1027" s="4"/>
      <c r="E1027" s="4"/>
      <c r="H1027" s="4"/>
      <c r="I1027" s="4"/>
    </row>
    <row r="1028" spans="4:9" x14ac:dyDescent="0.25">
      <c r="D1028" s="4"/>
      <c r="E1028" s="4"/>
      <c r="H1028" s="4"/>
      <c r="I1028" s="4"/>
    </row>
    <row r="1029" spans="4:9" x14ac:dyDescent="0.25">
      <c r="D1029" s="4"/>
      <c r="E1029" s="4"/>
      <c r="H1029" s="4"/>
      <c r="I1029" s="4"/>
    </row>
    <row r="1030" spans="4:9" x14ac:dyDescent="0.25">
      <c r="D1030" s="4"/>
      <c r="E1030" s="4"/>
      <c r="H1030" s="4"/>
      <c r="I1030" s="4"/>
    </row>
    <row r="1031" spans="4:9" x14ac:dyDescent="0.25">
      <c r="D1031" s="4"/>
      <c r="E1031" s="4"/>
      <c r="H1031" s="4"/>
      <c r="I1031" s="4"/>
    </row>
    <row r="1032" spans="4:9" x14ac:dyDescent="0.25">
      <c r="D1032" s="4"/>
      <c r="E1032" s="4"/>
      <c r="H1032" s="4"/>
      <c r="I1032" s="4"/>
    </row>
    <row r="1033" spans="4:9" x14ac:dyDescent="0.25">
      <c r="D1033" s="4"/>
      <c r="E1033" s="4"/>
      <c r="H1033" s="4"/>
      <c r="I1033" s="4"/>
    </row>
    <row r="1034" spans="4:9" x14ac:dyDescent="0.25">
      <c r="D1034" s="4"/>
      <c r="E1034" s="4"/>
      <c r="H1034" s="4"/>
      <c r="I1034" s="4"/>
    </row>
    <row r="1035" spans="4:9" x14ac:dyDescent="0.25">
      <c r="D1035" s="4"/>
      <c r="E1035" s="4"/>
      <c r="H1035" s="4"/>
      <c r="I1035" s="4"/>
    </row>
    <row r="1036" spans="4:9" x14ac:dyDescent="0.25">
      <c r="D1036" s="4"/>
      <c r="E1036" s="4"/>
      <c r="H1036" s="4"/>
      <c r="I1036" s="4"/>
    </row>
    <row r="1037" spans="4:9" x14ac:dyDescent="0.25">
      <c r="D1037" s="4"/>
      <c r="E1037" s="4"/>
      <c r="H1037" s="4"/>
      <c r="I1037" s="4"/>
    </row>
    <row r="1038" spans="4:9" x14ac:dyDescent="0.25">
      <c r="D1038" s="4"/>
      <c r="E1038" s="4"/>
      <c r="H1038" s="4"/>
      <c r="I1038" s="4"/>
    </row>
    <row r="1039" spans="4:9" x14ac:dyDescent="0.25">
      <c r="D1039" s="4"/>
      <c r="E1039" s="4"/>
      <c r="H1039" s="4"/>
      <c r="I1039" s="4"/>
    </row>
    <row r="1040" spans="4:9" x14ac:dyDescent="0.25">
      <c r="D1040" s="4"/>
      <c r="E1040" s="4"/>
      <c r="H1040" s="4"/>
      <c r="I1040" s="4"/>
    </row>
    <row r="1041" spans="4:9" x14ac:dyDescent="0.25">
      <c r="D1041" s="4"/>
      <c r="E1041" s="4"/>
      <c r="H1041" s="4"/>
      <c r="I1041" s="4"/>
    </row>
    <row r="1042" spans="4:9" x14ac:dyDescent="0.25">
      <c r="D1042" s="4"/>
      <c r="E1042" s="4"/>
      <c r="H1042" s="4"/>
      <c r="I1042" s="4"/>
    </row>
    <row r="1043" spans="4:9" x14ac:dyDescent="0.25">
      <c r="D1043" s="4"/>
      <c r="E1043" s="4"/>
      <c r="H1043" s="4"/>
      <c r="I1043" s="4"/>
    </row>
    <row r="1044" spans="4:9" x14ac:dyDescent="0.25">
      <c r="D1044" s="4"/>
      <c r="E1044" s="4"/>
      <c r="H1044" s="4"/>
      <c r="I1044" s="4"/>
    </row>
    <row r="1045" spans="4:9" x14ac:dyDescent="0.25">
      <c r="D1045" s="4"/>
      <c r="E1045" s="4"/>
      <c r="H1045" s="4"/>
      <c r="I1045" s="4"/>
    </row>
    <row r="1046" spans="4:9" x14ac:dyDescent="0.25">
      <c r="D1046" s="4"/>
      <c r="E1046" s="4"/>
      <c r="H1046" s="4"/>
      <c r="I1046" s="4"/>
    </row>
    <row r="1047" spans="4:9" x14ac:dyDescent="0.25">
      <c r="D1047" s="4"/>
      <c r="E1047" s="4"/>
      <c r="H1047" s="4"/>
      <c r="I1047" s="4"/>
    </row>
    <row r="1048" spans="4:9" x14ac:dyDescent="0.25">
      <c r="D1048" s="4"/>
      <c r="E1048" s="4"/>
      <c r="H1048" s="4"/>
      <c r="I1048" s="4"/>
    </row>
    <row r="1049" spans="4:9" x14ac:dyDescent="0.25">
      <c r="D1049" s="4"/>
      <c r="E1049" s="4"/>
      <c r="H1049" s="4"/>
      <c r="I1049" s="4"/>
    </row>
    <row r="1050" spans="4:9" x14ac:dyDescent="0.25">
      <c r="D1050" s="4"/>
      <c r="E1050" s="4"/>
      <c r="H1050" s="4"/>
      <c r="I1050" s="4"/>
    </row>
    <row r="1051" spans="4:9" x14ac:dyDescent="0.25">
      <c r="D1051" s="4"/>
      <c r="E1051" s="4"/>
      <c r="H1051" s="4"/>
      <c r="I1051" s="4"/>
    </row>
    <row r="1052" spans="4:9" x14ac:dyDescent="0.25">
      <c r="D1052" s="4"/>
      <c r="E1052" s="4"/>
      <c r="H1052" s="4"/>
      <c r="I1052" s="4"/>
    </row>
    <row r="1053" spans="4:9" x14ac:dyDescent="0.25">
      <c r="D1053" s="4"/>
      <c r="E1053" s="4"/>
      <c r="H1053" s="4"/>
      <c r="I1053" s="4"/>
    </row>
    <row r="1054" spans="4:9" x14ac:dyDescent="0.25">
      <c r="D1054" s="4"/>
      <c r="E1054" s="4"/>
      <c r="H1054" s="4"/>
      <c r="I1054" s="4"/>
    </row>
    <row r="1055" spans="4:9" x14ac:dyDescent="0.25">
      <c r="D1055" s="4"/>
      <c r="E1055" s="4"/>
      <c r="H1055" s="4"/>
      <c r="I1055" s="4"/>
    </row>
    <row r="1056" spans="4:9" x14ac:dyDescent="0.25">
      <c r="D1056" s="4"/>
      <c r="E1056" s="4"/>
      <c r="H1056" s="4"/>
      <c r="I1056" s="4"/>
    </row>
    <row r="1057" spans="4:9" x14ac:dyDescent="0.25">
      <c r="D1057" s="4"/>
      <c r="E1057" s="4"/>
      <c r="H1057" s="4"/>
      <c r="I1057" s="4"/>
    </row>
    <row r="1058" spans="4:9" x14ac:dyDescent="0.25">
      <c r="D1058" s="4"/>
      <c r="E1058" s="4"/>
      <c r="H1058" s="4"/>
      <c r="I1058" s="4"/>
    </row>
    <row r="1059" spans="4:9" x14ac:dyDescent="0.25">
      <c r="D1059" s="4"/>
      <c r="E1059" s="4"/>
      <c r="H1059" s="4"/>
      <c r="I1059" s="4"/>
    </row>
    <row r="1060" spans="4:9" x14ac:dyDescent="0.25">
      <c r="D1060" s="4"/>
      <c r="E1060" s="4"/>
      <c r="H1060" s="4"/>
      <c r="I1060" s="4"/>
    </row>
    <row r="1061" spans="4:9" x14ac:dyDescent="0.25">
      <c r="D1061" s="4"/>
      <c r="E1061" s="4"/>
      <c r="H1061" s="4"/>
      <c r="I1061" s="4"/>
    </row>
    <row r="1062" spans="4:9" x14ac:dyDescent="0.25">
      <c r="D1062" s="4"/>
      <c r="E1062" s="4"/>
      <c r="H1062" s="4"/>
      <c r="I1062" s="4"/>
    </row>
    <row r="1063" spans="4:9" x14ac:dyDescent="0.25">
      <c r="D1063" s="4"/>
      <c r="E1063" s="4"/>
      <c r="H1063" s="4"/>
      <c r="I1063" s="4"/>
    </row>
    <row r="1064" spans="4:9" x14ac:dyDescent="0.25">
      <c r="D1064" s="4"/>
      <c r="E1064" s="4"/>
      <c r="H1064" s="4"/>
      <c r="I1064" s="4"/>
    </row>
    <row r="1065" spans="4:9" x14ac:dyDescent="0.25">
      <c r="D1065" s="4"/>
      <c r="E1065" s="4"/>
      <c r="H1065" s="4"/>
      <c r="I1065" s="4"/>
    </row>
    <row r="1066" spans="4:9" x14ac:dyDescent="0.25">
      <c r="D1066" s="4"/>
      <c r="E1066" s="4"/>
      <c r="H1066" s="4"/>
      <c r="I1066" s="4"/>
    </row>
    <row r="1067" spans="4:9" x14ac:dyDescent="0.25">
      <c r="D1067" s="4"/>
      <c r="E1067" s="4"/>
      <c r="H1067" s="4"/>
      <c r="I1067" s="4"/>
    </row>
    <row r="1068" spans="4:9" x14ac:dyDescent="0.25">
      <c r="D1068" s="4"/>
      <c r="E1068" s="4"/>
      <c r="H1068" s="4"/>
      <c r="I1068" s="4"/>
    </row>
    <row r="1069" spans="4:9" x14ac:dyDescent="0.25">
      <c r="D1069" s="4"/>
      <c r="E1069" s="4"/>
      <c r="H1069" s="4"/>
      <c r="I1069" s="4"/>
    </row>
    <row r="1070" spans="4:9" x14ac:dyDescent="0.25">
      <c r="D1070" s="4"/>
      <c r="E1070" s="4"/>
      <c r="H1070" s="4"/>
      <c r="I1070" s="4"/>
    </row>
    <row r="1071" spans="4:9" x14ac:dyDescent="0.25">
      <c r="D1071" s="4"/>
      <c r="E1071" s="4"/>
      <c r="H1071" s="4"/>
      <c r="I1071" s="4"/>
    </row>
    <row r="1072" spans="4:9" x14ac:dyDescent="0.25">
      <c r="D1072" s="4"/>
      <c r="E1072" s="4"/>
      <c r="H1072" s="4"/>
      <c r="I1072" s="4"/>
    </row>
    <row r="1073" spans="4:9" x14ac:dyDescent="0.25">
      <c r="D1073" s="4"/>
      <c r="E1073" s="4"/>
      <c r="H1073" s="4"/>
      <c r="I1073" s="4"/>
    </row>
    <row r="1074" spans="4:9" x14ac:dyDescent="0.25">
      <c r="D1074" s="4"/>
      <c r="E1074" s="4"/>
      <c r="H1074" s="4"/>
      <c r="I1074" s="4"/>
    </row>
    <row r="1075" spans="4:9" x14ac:dyDescent="0.25">
      <c r="D1075" s="4"/>
      <c r="E1075" s="4"/>
      <c r="H1075" s="4"/>
      <c r="I1075" s="4"/>
    </row>
    <row r="1076" spans="4:9" x14ac:dyDescent="0.25">
      <c r="D1076" s="4"/>
      <c r="E1076" s="4"/>
      <c r="H1076" s="4"/>
      <c r="I1076" s="4"/>
    </row>
    <row r="1077" spans="4:9" x14ac:dyDescent="0.25">
      <c r="D1077" s="4"/>
      <c r="E1077" s="4"/>
      <c r="H1077" s="4"/>
      <c r="I1077" s="4"/>
    </row>
    <row r="1078" spans="4:9" x14ac:dyDescent="0.25">
      <c r="D1078" s="4"/>
      <c r="E1078" s="4"/>
      <c r="H1078" s="4"/>
      <c r="I1078" s="4"/>
    </row>
    <row r="1079" spans="4:9" x14ac:dyDescent="0.25">
      <c r="D1079" s="4"/>
      <c r="E1079" s="4"/>
      <c r="H1079" s="4"/>
      <c r="I1079" s="4"/>
    </row>
    <row r="1080" spans="4:9" x14ac:dyDescent="0.25">
      <c r="D1080" s="4"/>
      <c r="E1080" s="4"/>
      <c r="H1080" s="4"/>
      <c r="I1080" s="4"/>
    </row>
    <row r="1081" spans="4:9" x14ac:dyDescent="0.25">
      <c r="D1081" s="4"/>
      <c r="E1081" s="4"/>
      <c r="H1081" s="4"/>
      <c r="I1081" s="4"/>
    </row>
    <row r="1082" spans="4:9" x14ac:dyDescent="0.25">
      <c r="D1082" s="4"/>
      <c r="E1082" s="4"/>
      <c r="H1082" s="4"/>
      <c r="I1082" s="4"/>
    </row>
    <row r="1083" spans="4:9" x14ac:dyDescent="0.25">
      <c r="D1083" s="4"/>
      <c r="E1083" s="4"/>
      <c r="H1083" s="4"/>
      <c r="I1083" s="4"/>
    </row>
    <row r="1084" spans="4:9" x14ac:dyDescent="0.25">
      <c r="D1084" s="4"/>
      <c r="E1084" s="4"/>
      <c r="H1084" s="4"/>
      <c r="I1084" s="4"/>
    </row>
    <row r="1085" spans="4:9" x14ac:dyDescent="0.25">
      <c r="D1085" s="4"/>
      <c r="E1085" s="4"/>
      <c r="H1085" s="4"/>
      <c r="I1085" s="4"/>
    </row>
    <row r="1086" spans="4:9" x14ac:dyDescent="0.25">
      <c r="D1086" s="4"/>
      <c r="E1086" s="4"/>
      <c r="H1086" s="4"/>
      <c r="I1086" s="4"/>
    </row>
    <row r="1087" spans="4:9" x14ac:dyDescent="0.25">
      <c r="D1087" s="4"/>
      <c r="E1087" s="4"/>
      <c r="H1087" s="4"/>
      <c r="I1087" s="4"/>
    </row>
    <row r="1088" spans="4:9" x14ac:dyDescent="0.25">
      <c r="D1088" s="4"/>
      <c r="E1088" s="4"/>
      <c r="H1088" s="4"/>
      <c r="I1088" s="4"/>
    </row>
    <row r="1089" spans="4:9" x14ac:dyDescent="0.25">
      <c r="D1089" s="4"/>
      <c r="E1089" s="4"/>
      <c r="H1089" s="4"/>
      <c r="I1089" s="4"/>
    </row>
    <row r="1090" spans="4:9" x14ac:dyDescent="0.25">
      <c r="D1090" s="4"/>
      <c r="E1090" s="4"/>
      <c r="H1090" s="4"/>
      <c r="I1090" s="4"/>
    </row>
    <row r="1091" spans="4:9" x14ac:dyDescent="0.25">
      <c r="D1091" s="4"/>
      <c r="E1091" s="4"/>
      <c r="H1091" s="4"/>
      <c r="I1091" s="4"/>
    </row>
    <row r="1092" spans="4:9" x14ac:dyDescent="0.25">
      <c r="D1092" s="4"/>
      <c r="E1092" s="4"/>
      <c r="H1092" s="4"/>
      <c r="I1092" s="4"/>
    </row>
    <row r="1093" spans="4:9" x14ac:dyDescent="0.25">
      <c r="D1093" s="4"/>
      <c r="E1093" s="4"/>
      <c r="H1093" s="4"/>
      <c r="I1093" s="4"/>
    </row>
    <row r="1094" spans="4:9" x14ac:dyDescent="0.25">
      <c r="D1094" s="4"/>
      <c r="E1094" s="4"/>
      <c r="H1094" s="4"/>
      <c r="I1094" s="4"/>
    </row>
    <row r="1095" spans="4:9" x14ac:dyDescent="0.25">
      <c r="D1095" s="4"/>
      <c r="E1095" s="4"/>
      <c r="H1095" s="4"/>
      <c r="I1095" s="4"/>
    </row>
    <row r="1096" spans="4:9" x14ac:dyDescent="0.25">
      <c r="D1096" s="4"/>
      <c r="E1096" s="4"/>
      <c r="H1096" s="4"/>
      <c r="I1096" s="4"/>
    </row>
    <row r="1097" spans="4:9" x14ac:dyDescent="0.25">
      <c r="D1097" s="4"/>
      <c r="E1097" s="4"/>
      <c r="H1097" s="4"/>
      <c r="I1097" s="4"/>
    </row>
    <row r="1098" spans="4:9" x14ac:dyDescent="0.25">
      <c r="D1098" s="4"/>
      <c r="E1098" s="4"/>
      <c r="H1098" s="4"/>
      <c r="I1098" s="4"/>
    </row>
    <row r="1099" spans="4:9" x14ac:dyDescent="0.25">
      <c r="D1099" s="4"/>
      <c r="E1099" s="4"/>
      <c r="H1099" s="4"/>
      <c r="I1099" s="4"/>
    </row>
    <row r="1100" spans="4:9" x14ac:dyDescent="0.25">
      <c r="D1100" s="4"/>
      <c r="E1100" s="4"/>
      <c r="H1100" s="4"/>
      <c r="I1100" s="4"/>
    </row>
    <row r="1101" spans="4:9" x14ac:dyDescent="0.25">
      <c r="D1101" s="4"/>
      <c r="E1101" s="4"/>
      <c r="H1101" s="4"/>
      <c r="I1101" s="4"/>
    </row>
    <row r="1102" spans="4:9" x14ac:dyDescent="0.25">
      <c r="D1102" s="4"/>
      <c r="E1102" s="4"/>
      <c r="H1102" s="4"/>
      <c r="I1102" s="4"/>
    </row>
    <row r="1103" spans="4:9" x14ac:dyDescent="0.25">
      <c r="D1103" s="4"/>
      <c r="E1103" s="4"/>
      <c r="H1103" s="4"/>
      <c r="I1103" s="4"/>
    </row>
    <row r="1104" spans="4:9" x14ac:dyDescent="0.25">
      <c r="D1104" s="4"/>
      <c r="E1104" s="4"/>
      <c r="H1104" s="4"/>
      <c r="I1104" s="4"/>
    </row>
    <row r="1105" spans="4:9" x14ac:dyDescent="0.25">
      <c r="D1105" s="4"/>
      <c r="E1105" s="4"/>
      <c r="H1105" s="4"/>
      <c r="I1105" s="4"/>
    </row>
    <row r="1106" spans="4:9" x14ac:dyDescent="0.25">
      <c r="D1106" s="4"/>
      <c r="E1106" s="4"/>
      <c r="H1106" s="4"/>
      <c r="I1106" s="4"/>
    </row>
    <row r="1107" spans="4:9" x14ac:dyDescent="0.25">
      <c r="D1107" s="4"/>
      <c r="E1107" s="4"/>
      <c r="H1107" s="4"/>
      <c r="I1107" s="4"/>
    </row>
    <row r="1108" spans="4:9" x14ac:dyDescent="0.25">
      <c r="D1108" s="4"/>
      <c r="E1108" s="4"/>
      <c r="H1108" s="4"/>
      <c r="I1108" s="4"/>
    </row>
    <row r="1109" spans="4:9" x14ac:dyDescent="0.25">
      <c r="D1109" s="4"/>
      <c r="E1109" s="4"/>
      <c r="H1109" s="4"/>
      <c r="I1109" s="4"/>
    </row>
    <row r="1110" spans="4:9" x14ac:dyDescent="0.25">
      <c r="D1110" s="4"/>
      <c r="E1110" s="4"/>
      <c r="H1110" s="4"/>
      <c r="I1110" s="4"/>
    </row>
    <row r="1111" spans="4:9" x14ac:dyDescent="0.25">
      <c r="D1111" s="4"/>
      <c r="E1111" s="4"/>
      <c r="H1111" s="4"/>
      <c r="I1111" s="4"/>
    </row>
    <row r="1112" spans="4:9" x14ac:dyDescent="0.25">
      <c r="D1112" s="4"/>
      <c r="E1112" s="4"/>
      <c r="H1112" s="4"/>
      <c r="I1112" s="4"/>
    </row>
    <row r="1113" spans="4:9" x14ac:dyDescent="0.25">
      <c r="D1113" s="4"/>
      <c r="E1113" s="4"/>
      <c r="H1113" s="4"/>
      <c r="I1113" s="4"/>
    </row>
    <row r="1114" spans="4:9" x14ac:dyDescent="0.25">
      <c r="D1114" s="4"/>
      <c r="E1114" s="4"/>
      <c r="H1114" s="4"/>
      <c r="I1114" s="4"/>
    </row>
    <row r="1115" spans="4:9" x14ac:dyDescent="0.25">
      <c r="D1115" s="4"/>
      <c r="E1115" s="4"/>
      <c r="H1115" s="4"/>
      <c r="I1115" s="4"/>
    </row>
    <row r="1116" spans="4:9" x14ac:dyDescent="0.25">
      <c r="D1116" s="4"/>
      <c r="E1116" s="4"/>
      <c r="H1116" s="4"/>
      <c r="I1116" s="4"/>
    </row>
    <row r="1117" spans="4:9" x14ac:dyDescent="0.25">
      <c r="D1117" s="4"/>
      <c r="E1117" s="4"/>
      <c r="H1117" s="4"/>
      <c r="I1117" s="4"/>
    </row>
    <row r="1118" spans="4:9" x14ac:dyDescent="0.25">
      <c r="D1118" s="4"/>
      <c r="E1118" s="4"/>
      <c r="H1118" s="4"/>
      <c r="I1118" s="4"/>
    </row>
    <row r="1119" spans="4:9" x14ac:dyDescent="0.25">
      <c r="D1119" s="4"/>
      <c r="E1119" s="4"/>
      <c r="H1119" s="4"/>
      <c r="I1119" s="4"/>
    </row>
    <row r="1120" spans="4:9" x14ac:dyDescent="0.25">
      <c r="D1120" s="4"/>
      <c r="E1120" s="4"/>
      <c r="H1120" s="4"/>
      <c r="I1120" s="4"/>
    </row>
    <row r="1121" spans="4:9" x14ac:dyDescent="0.25">
      <c r="D1121" s="4"/>
      <c r="E1121" s="4"/>
      <c r="H1121" s="4"/>
      <c r="I1121" s="4"/>
    </row>
    <row r="1122" spans="4:9" x14ac:dyDescent="0.25">
      <c r="D1122" s="4"/>
      <c r="E1122" s="4"/>
      <c r="H1122" s="4"/>
      <c r="I1122" s="4"/>
    </row>
    <row r="1123" spans="4:9" x14ac:dyDescent="0.25">
      <c r="D1123" s="4"/>
      <c r="E1123" s="4"/>
      <c r="H1123" s="4"/>
      <c r="I1123" s="4"/>
    </row>
    <row r="1124" spans="4:9" x14ac:dyDescent="0.25">
      <c r="D1124" s="4"/>
      <c r="E1124" s="4"/>
      <c r="H1124" s="4"/>
      <c r="I1124" s="4"/>
    </row>
    <row r="1125" spans="4:9" x14ac:dyDescent="0.25">
      <c r="D1125" s="4"/>
      <c r="E1125" s="4"/>
      <c r="H1125" s="4"/>
      <c r="I1125" s="4"/>
    </row>
    <row r="1126" spans="4:9" x14ac:dyDescent="0.25">
      <c r="D1126" s="4"/>
      <c r="E1126" s="4"/>
      <c r="H1126" s="4"/>
      <c r="I1126" s="4"/>
    </row>
    <row r="1127" spans="4:9" x14ac:dyDescent="0.25">
      <c r="D1127" s="4"/>
      <c r="E1127" s="4"/>
      <c r="H1127" s="4"/>
      <c r="I1127" s="4"/>
    </row>
    <row r="1128" spans="4:9" x14ac:dyDescent="0.25">
      <c r="D1128" s="4"/>
      <c r="E1128" s="4"/>
      <c r="H1128" s="4"/>
      <c r="I1128" s="4"/>
    </row>
    <row r="1129" spans="4:9" x14ac:dyDescent="0.25">
      <c r="D1129" s="4"/>
      <c r="E1129" s="4"/>
      <c r="H1129" s="4"/>
      <c r="I1129" s="4"/>
    </row>
    <row r="1130" spans="4:9" x14ac:dyDescent="0.25">
      <c r="D1130" s="4"/>
      <c r="E1130" s="4"/>
      <c r="H1130" s="4"/>
      <c r="I1130" s="4"/>
    </row>
    <row r="1131" spans="4:9" x14ac:dyDescent="0.25">
      <c r="D1131" s="4"/>
      <c r="E1131" s="4"/>
      <c r="H1131" s="4"/>
      <c r="I1131" s="4"/>
    </row>
    <row r="1132" spans="4:9" x14ac:dyDescent="0.25">
      <c r="D1132" s="4"/>
      <c r="E1132" s="4"/>
      <c r="H1132" s="4"/>
      <c r="I1132" s="4"/>
    </row>
    <row r="1133" spans="4:9" x14ac:dyDescent="0.25">
      <c r="D1133" s="4"/>
      <c r="E1133" s="4"/>
      <c r="H1133" s="4"/>
      <c r="I1133" s="4"/>
    </row>
    <row r="1134" spans="4:9" x14ac:dyDescent="0.25">
      <c r="D1134" s="4"/>
      <c r="E1134" s="4"/>
      <c r="H1134" s="4"/>
      <c r="I1134" s="4"/>
    </row>
    <row r="1135" spans="4:9" x14ac:dyDescent="0.25">
      <c r="D1135" s="4"/>
      <c r="E1135" s="4"/>
      <c r="H1135" s="4"/>
      <c r="I1135" s="4"/>
    </row>
    <row r="1136" spans="4:9" x14ac:dyDescent="0.25">
      <c r="D1136" s="4"/>
      <c r="E1136" s="4"/>
      <c r="H1136" s="4"/>
      <c r="I1136" s="4"/>
    </row>
    <row r="1137" spans="4:9" x14ac:dyDescent="0.25">
      <c r="D1137" s="4"/>
      <c r="E1137" s="4"/>
      <c r="H1137" s="4"/>
      <c r="I1137" s="4"/>
    </row>
    <row r="1138" spans="4:9" x14ac:dyDescent="0.25">
      <c r="D1138" s="4"/>
      <c r="E1138" s="4"/>
      <c r="H1138" s="4"/>
      <c r="I1138" s="4"/>
    </row>
    <row r="1139" spans="4:9" x14ac:dyDescent="0.25">
      <c r="D1139" s="4"/>
      <c r="E1139" s="4"/>
      <c r="H1139" s="4"/>
      <c r="I1139" s="4"/>
    </row>
    <row r="1140" spans="4:9" x14ac:dyDescent="0.25">
      <c r="D1140" s="4"/>
      <c r="E1140" s="4"/>
      <c r="H1140" s="4"/>
      <c r="I1140" s="4"/>
    </row>
    <row r="1141" spans="4:9" x14ac:dyDescent="0.25">
      <c r="D1141" s="4"/>
      <c r="E1141" s="4"/>
      <c r="H1141" s="4"/>
      <c r="I1141" s="4"/>
    </row>
    <row r="1142" spans="4:9" x14ac:dyDescent="0.25">
      <c r="D1142" s="4"/>
      <c r="E1142" s="4"/>
      <c r="H1142" s="4"/>
      <c r="I1142" s="4"/>
    </row>
    <row r="1143" spans="4:9" x14ac:dyDescent="0.25">
      <c r="D1143" s="4"/>
      <c r="E1143" s="4"/>
      <c r="H1143" s="4"/>
      <c r="I1143" s="4"/>
    </row>
    <row r="1144" spans="4:9" x14ac:dyDescent="0.25">
      <c r="D1144" s="4"/>
      <c r="E1144" s="4"/>
      <c r="H1144" s="4"/>
      <c r="I1144" s="4"/>
    </row>
    <row r="1145" spans="4:9" x14ac:dyDescent="0.25">
      <c r="D1145" s="4"/>
      <c r="E1145" s="4"/>
      <c r="H1145" s="4"/>
      <c r="I1145" s="4"/>
    </row>
    <row r="1146" spans="4:9" x14ac:dyDescent="0.25">
      <c r="D1146" s="4"/>
      <c r="E1146" s="4"/>
      <c r="H1146" s="4"/>
      <c r="I1146" s="4"/>
    </row>
    <row r="1147" spans="4:9" x14ac:dyDescent="0.25">
      <c r="D1147" s="4"/>
      <c r="E1147" s="4"/>
      <c r="H1147" s="4"/>
      <c r="I1147" s="4"/>
    </row>
    <row r="1148" spans="4:9" x14ac:dyDescent="0.25">
      <c r="D1148" s="4"/>
      <c r="E1148" s="4"/>
      <c r="H1148" s="4"/>
      <c r="I1148" s="4"/>
    </row>
    <row r="1149" spans="4:9" x14ac:dyDescent="0.25">
      <c r="D1149" s="4"/>
      <c r="E1149" s="4"/>
      <c r="H1149" s="4"/>
      <c r="I1149" s="4"/>
    </row>
    <row r="1150" spans="4:9" x14ac:dyDescent="0.25">
      <c r="D1150" s="4"/>
      <c r="E1150" s="4"/>
      <c r="H1150" s="4"/>
      <c r="I1150" s="4"/>
    </row>
    <row r="1151" spans="4:9" x14ac:dyDescent="0.25">
      <c r="D1151" s="4"/>
      <c r="E1151" s="4"/>
      <c r="H1151" s="4"/>
      <c r="I1151" s="4"/>
    </row>
    <row r="1152" spans="4:9" x14ac:dyDescent="0.25">
      <c r="D1152" s="4"/>
      <c r="E1152" s="4"/>
      <c r="H1152" s="4"/>
      <c r="I1152" s="4"/>
    </row>
    <row r="1153" spans="4:9" x14ac:dyDescent="0.25">
      <c r="D1153" s="4"/>
      <c r="E1153" s="4"/>
      <c r="H1153" s="4"/>
      <c r="I1153" s="4"/>
    </row>
    <row r="1154" spans="4:9" x14ac:dyDescent="0.25">
      <c r="D1154" s="4"/>
      <c r="E1154" s="4"/>
      <c r="H1154" s="4"/>
      <c r="I1154" s="4"/>
    </row>
    <row r="1155" spans="4:9" x14ac:dyDescent="0.25">
      <c r="D1155" s="4"/>
      <c r="E1155" s="4"/>
      <c r="H1155" s="4"/>
      <c r="I1155" s="4"/>
    </row>
    <row r="1156" spans="4:9" x14ac:dyDescent="0.25">
      <c r="D1156" s="4"/>
      <c r="E1156" s="4"/>
      <c r="H1156" s="4"/>
      <c r="I1156" s="4"/>
    </row>
    <row r="1157" spans="4:9" x14ac:dyDescent="0.25">
      <c r="D1157" s="4"/>
      <c r="E1157" s="4"/>
      <c r="H1157" s="4"/>
      <c r="I1157" s="4"/>
    </row>
    <row r="1158" spans="4:9" x14ac:dyDescent="0.25">
      <c r="D1158" s="4"/>
      <c r="E1158" s="4"/>
      <c r="H1158" s="4"/>
      <c r="I1158" s="4"/>
    </row>
    <row r="1159" spans="4:9" x14ac:dyDescent="0.25">
      <c r="D1159" s="4"/>
      <c r="E1159" s="4"/>
      <c r="H1159" s="4"/>
      <c r="I1159" s="4"/>
    </row>
    <row r="1160" spans="4:9" x14ac:dyDescent="0.25">
      <c r="D1160" s="4"/>
      <c r="E1160" s="4"/>
      <c r="H1160" s="4"/>
      <c r="I1160" s="4"/>
    </row>
    <row r="1161" spans="4:9" x14ac:dyDescent="0.25">
      <c r="D1161" s="4"/>
      <c r="E1161" s="4"/>
      <c r="H1161" s="4"/>
      <c r="I1161" s="4"/>
    </row>
    <row r="1162" spans="4:9" x14ac:dyDescent="0.25">
      <c r="D1162" s="4"/>
      <c r="E1162" s="4"/>
      <c r="H1162" s="4"/>
      <c r="I1162" s="4"/>
    </row>
    <row r="1163" spans="4:9" x14ac:dyDescent="0.25">
      <c r="D1163" s="4"/>
      <c r="E1163" s="4"/>
      <c r="H1163" s="4"/>
      <c r="I1163" s="4"/>
    </row>
    <row r="1164" spans="4:9" x14ac:dyDescent="0.25">
      <c r="D1164" s="4"/>
      <c r="E1164" s="4"/>
      <c r="H1164" s="4"/>
      <c r="I1164" s="4"/>
    </row>
    <row r="1165" spans="4:9" x14ac:dyDescent="0.25">
      <c r="D1165" s="4"/>
      <c r="E1165" s="4"/>
      <c r="H1165" s="4"/>
      <c r="I1165" s="4"/>
    </row>
    <row r="1166" spans="4:9" x14ac:dyDescent="0.25">
      <c r="D1166" s="4"/>
      <c r="E1166" s="4"/>
      <c r="H1166" s="4"/>
      <c r="I1166" s="4"/>
    </row>
    <row r="1167" spans="4:9" x14ac:dyDescent="0.25">
      <c r="D1167" s="4"/>
      <c r="E1167" s="4"/>
      <c r="H1167" s="4"/>
      <c r="I1167" s="4"/>
    </row>
    <row r="1168" spans="4:9" x14ac:dyDescent="0.25">
      <c r="D1168" s="4"/>
      <c r="E1168" s="4"/>
      <c r="H1168" s="4"/>
      <c r="I1168" s="4"/>
    </row>
    <row r="1169" spans="4:9" x14ac:dyDescent="0.25">
      <c r="D1169" s="4"/>
      <c r="E1169" s="4"/>
      <c r="H1169" s="4"/>
      <c r="I1169" s="4"/>
    </row>
    <row r="1170" spans="4:9" x14ac:dyDescent="0.25">
      <c r="D1170" s="4"/>
      <c r="E1170" s="4"/>
      <c r="H1170" s="4"/>
      <c r="I1170" s="4"/>
    </row>
    <row r="1171" spans="4:9" x14ac:dyDescent="0.25">
      <c r="D1171" s="4"/>
      <c r="E1171" s="4"/>
      <c r="H1171" s="4"/>
      <c r="I1171" s="4"/>
    </row>
    <row r="1172" spans="4:9" x14ac:dyDescent="0.25">
      <c r="D1172" s="4"/>
      <c r="E1172" s="4"/>
      <c r="H1172" s="4"/>
      <c r="I1172" s="4"/>
    </row>
    <row r="1173" spans="4:9" x14ac:dyDescent="0.25">
      <c r="D1173" s="4"/>
      <c r="E1173" s="4"/>
      <c r="H1173" s="4"/>
      <c r="I1173" s="4"/>
    </row>
    <row r="1174" spans="4:9" x14ac:dyDescent="0.25">
      <c r="D1174" s="4"/>
      <c r="E1174" s="4"/>
      <c r="H1174" s="4"/>
      <c r="I1174" s="4"/>
    </row>
    <row r="1175" spans="4:9" x14ac:dyDescent="0.25">
      <c r="D1175" s="4"/>
      <c r="E1175" s="4"/>
      <c r="H1175" s="4"/>
      <c r="I1175" s="4"/>
    </row>
    <row r="1176" spans="4:9" x14ac:dyDescent="0.25">
      <c r="D1176" s="4"/>
      <c r="E1176" s="4"/>
      <c r="H1176" s="4"/>
      <c r="I1176" s="4"/>
    </row>
    <row r="1177" spans="4:9" x14ac:dyDescent="0.25">
      <c r="D1177" s="4"/>
      <c r="E1177" s="4"/>
      <c r="H1177" s="4"/>
      <c r="I1177" s="4"/>
    </row>
    <row r="1178" spans="4:9" x14ac:dyDescent="0.25">
      <c r="D1178" s="4"/>
      <c r="E1178" s="4"/>
      <c r="H1178" s="4"/>
      <c r="I1178" s="4"/>
    </row>
    <row r="1179" spans="4:9" x14ac:dyDescent="0.25">
      <c r="D1179" s="4"/>
      <c r="E1179" s="4"/>
      <c r="H1179" s="4"/>
      <c r="I1179" s="4"/>
    </row>
    <row r="1180" spans="4:9" x14ac:dyDescent="0.25">
      <c r="D1180" s="4"/>
      <c r="E1180" s="4"/>
      <c r="H1180" s="4"/>
      <c r="I1180" s="4"/>
    </row>
    <row r="1181" spans="4:9" x14ac:dyDescent="0.25">
      <c r="D1181" s="4"/>
      <c r="E1181" s="4"/>
      <c r="H1181" s="4"/>
      <c r="I1181" s="4"/>
    </row>
    <row r="1182" spans="4:9" x14ac:dyDescent="0.25">
      <c r="D1182" s="4"/>
      <c r="E1182" s="4"/>
      <c r="H1182" s="4"/>
      <c r="I1182" s="4"/>
    </row>
    <row r="1183" spans="4:9" x14ac:dyDescent="0.25">
      <c r="D1183" s="4"/>
      <c r="E1183" s="4"/>
      <c r="H1183" s="4"/>
      <c r="I1183" s="4"/>
    </row>
    <row r="1184" spans="4:9" x14ac:dyDescent="0.25">
      <c r="D1184" s="4"/>
      <c r="E1184" s="4"/>
      <c r="H1184" s="4"/>
      <c r="I1184" s="4"/>
    </row>
    <row r="1185" spans="4:9" x14ac:dyDescent="0.25">
      <c r="D1185" s="4"/>
      <c r="E1185" s="4"/>
      <c r="H1185" s="4"/>
      <c r="I1185" s="4"/>
    </row>
    <row r="1186" spans="4:9" x14ac:dyDescent="0.25">
      <c r="D1186" s="4"/>
      <c r="E1186" s="4"/>
      <c r="H1186" s="4"/>
      <c r="I1186" s="4"/>
    </row>
    <row r="1187" spans="4:9" x14ac:dyDescent="0.25">
      <c r="D1187" s="4"/>
      <c r="E1187" s="4"/>
      <c r="H1187" s="4"/>
      <c r="I1187" s="4"/>
    </row>
    <row r="1188" spans="4:9" x14ac:dyDescent="0.25">
      <c r="D1188" s="4"/>
      <c r="E1188" s="4"/>
      <c r="H1188" s="4"/>
      <c r="I1188" s="4"/>
    </row>
    <row r="1189" spans="4:9" x14ac:dyDescent="0.25">
      <c r="D1189" s="4"/>
      <c r="E1189" s="4"/>
      <c r="H1189" s="4"/>
      <c r="I1189" s="4"/>
    </row>
    <row r="1190" spans="4:9" x14ac:dyDescent="0.25">
      <c r="D1190" s="4"/>
      <c r="E1190" s="4"/>
      <c r="H1190" s="4"/>
      <c r="I1190" s="4"/>
    </row>
    <row r="1191" spans="4:9" x14ac:dyDescent="0.25">
      <c r="D1191" s="4"/>
      <c r="E1191" s="4"/>
      <c r="H1191" s="4"/>
      <c r="I1191" s="4"/>
    </row>
    <row r="1192" spans="4:9" x14ac:dyDescent="0.25">
      <c r="D1192" s="4"/>
      <c r="E1192" s="4"/>
      <c r="H1192" s="4"/>
      <c r="I1192" s="4"/>
    </row>
    <row r="1193" spans="4:9" x14ac:dyDescent="0.25">
      <c r="D1193" s="4"/>
      <c r="E1193" s="4"/>
      <c r="H1193" s="4"/>
      <c r="I1193" s="4"/>
    </row>
    <row r="1194" spans="4:9" x14ac:dyDescent="0.25">
      <c r="D1194" s="4"/>
      <c r="E1194" s="4"/>
      <c r="H1194" s="4"/>
      <c r="I1194" s="4"/>
    </row>
    <row r="1195" spans="4:9" x14ac:dyDescent="0.25">
      <c r="D1195" s="4"/>
      <c r="E1195" s="4"/>
      <c r="H1195" s="4"/>
      <c r="I1195" s="4"/>
    </row>
    <row r="1196" spans="4:9" x14ac:dyDescent="0.25">
      <c r="D1196" s="4"/>
      <c r="E1196" s="4"/>
      <c r="H1196" s="4"/>
      <c r="I1196" s="4"/>
    </row>
    <row r="1197" spans="4:9" x14ac:dyDescent="0.25">
      <c r="D1197" s="4"/>
      <c r="E1197" s="4"/>
      <c r="H1197" s="4"/>
      <c r="I1197" s="4"/>
    </row>
    <row r="1198" spans="4:9" x14ac:dyDescent="0.25">
      <c r="D1198" s="4"/>
      <c r="E1198" s="4"/>
      <c r="H1198" s="4"/>
      <c r="I1198" s="4"/>
    </row>
    <row r="1199" spans="4:9" x14ac:dyDescent="0.25">
      <c r="D1199" s="4"/>
      <c r="E1199" s="4"/>
      <c r="H1199" s="4"/>
      <c r="I1199" s="4"/>
    </row>
    <row r="1200" spans="4:9" x14ac:dyDescent="0.25">
      <c r="D1200" s="4"/>
      <c r="E1200" s="4"/>
      <c r="H1200" s="4"/>
      <c r="I1200" s="4"/>
    </row>
    <row r="1201" spans="4:9" x14ac:dyDescent="0.25">
      <c r="D1201" s="4"/>
      <c r="E1201" s="4"/>
      <c r="H1201" s="4"/>
      <c r="I1201" s="4"/>
    </row>
    <row r="1202" spans="4:9" x14ac:dyDescent="0.25">
      <c r="D1202" s="4"/>
      <c r="E1202" s="4"/>
      <c r="H1202" s="4"/>
      <c r="I1202" s="4"/>
    </row>
    <row r="1203" spans="4:9" x14ac:dyDescent="0.25">
      <c r="D1203" s="4"/>
      <c r="E1203" s="4"/>
      <c r="H1203" s="4"/>
      <c r="I1203" s="4"/>
    </row>
    <row r="1204" spans="4:9" x14ac:dyDescent="0.25">
      <c r="D1204" s="4"/>
      <c r="E1204" s="4"/>
      <c r="H1204" s="4"/>
      <c r="I1204" s="4"/>
    </row>
    <row r="1205" spans="4:9" x14ac:dyDescent="0.25">
      <c r="D1205" s="4"/>
      <c r="E1205" s="4"/>
      <c r="H1205" s="4"/>
      <c r="I1205" s="4"/>
    </row>
    <row r="1206" spans="4:9" x14ac:dyDescent="0.25">
      <c r="D1206" s="4"/>
      <c r="E1206" s="4"/>
      <c r="H1206" s="4"/>
      <c r="I1206" s="4"/>
    </row>
    <row r="1207" spans="4:9" x14ac:dyDescent="0.25">
      <c r="D1207" s="4"/>
      <c r="E1207" s="4"/>
      <c r="H1207" s="4"/>
      <c r="I1207" s="4"/>
    </row>
    <row r="1208" spans="4:9" x14ac:dyDescent="0.25">
      <c r="D1208" s="4"/>
      <c r="E1208" s="4"/>
      <c r="H1208" s="4"/>
      <c r="I1208" s="4"/>
    </row>
    <row r="1209" spans="4:9" x14ac:dyDescent="0.25">
      <c r="D1209" s="4"/>
      <c r="E1209" s="4"/>
      <c r="H1209" s="4"/>
      <c r="I1209" s="4"/>
    </row>
    <row r="1210" spans="4:9" x14ac:dyDescent="0.25">
      <c r="D1210" s="4"/>
      <c r="E1210" s="4"/>
      <c r="H1210" s="4"/>
      <c r="I1210" s="4"/>
    </row>
    <row r="1211" spans="4:9" x14ac:dyDescent="0.25">
      <c r="D1211" s="4"/>
      <c r="E1211" s="4"/>
      <c r="H1211" s="4"/>
      <c r="I1211" s="4"/>
    </row>
    <row r="1212" spans="4:9" x14ac:dyDescent="0.25">
      <c r="D1212" s="4"/>
      <c r="E1212" s="4"/>
      <c r="H1212" s="4"/>
      <c r="I1212" s="4"/>
    </row>
    <row r="1213" spans="4:9" x14ac:dyDescent="0.25">
      <c r="D1213" s="4"/>
      <c r="E1213" s="4"/>
      <c r="H1213" s="4"/>
      <c r="I1213" s="4"/>
    </row>
    <row r="1214" spans="4:9" x14ac:dyDescent="0.25">
      <c r="D1214" s="4"/>
      <c r="E1214" s="4"/>
      <c r="H1214" s="4"/>
      <c r="I1214" s="4"/>
    </row>
    <row r="1215" spans="4:9" x14ac:dyDescent="0.25">
      <c r="D1215" s="4"/>
      <c r="E1215" s="4"/>
      <c r="H1215" s="4"/>
      <c r="I1215" s="4"/>
    </row>
    <row r="1216" spans="4:9" x14ac:dyDescent="0.25">
      <c r="D1216" s="4"/>
      <c r="E1216" s="4"/>
      <c r="H1216" s="4"/>
      <c r="I1216" s="4"/>
    </row>
    <row r="1217" spans="4:9" x14ac:dyDescent="0.25">
      <c r="D1217" s="4"/>
      <c r="E1217" s="4"/>
      <c r="H1217" s="4"/>
      <c r="I1217" s="4"/>
    </row>
    <row r="1218" spans="4:9" x14ac:dyDescent="0.25">
      <c r="D1218" s="4"/>
      <c r="E1218" s="4"/>
      <c r="H1218" s="4"/>
      <c r="I1218" s="4"/>
    </row>
    <row r="1219" spans="4:9" x14ac:dyDescent="0.25">
      <c r="D1219" s="4"/>
      <c r="E1219" s="4"/>
      <c r="H1219" s="4"/>
      <c r="I1219" s="4"/>
    </row>
    <row r="1220" spans="4:9" x14ac:dyDescent="0.25">
      <c r="D1220" s="4"/>
      <c r="E1220" s="4"/>
      <c r="H1220" s="4"/>
      <c r="I1220" s="4"/>
    </row>
    <row r="1221" spans="4:9" x14ac:dyDescent="0.25">
      <c r="D1221" s="4"/>
      <c r="E1221" s="4"/>
      <c r="H1221" s="4"/>
      <c r="I1221" s="4"/>
    </row>
    <row r="1222" spans="4:9" x14ac:dyDescent="0.25">
      <c r="D1222" s="4"/>
      <c r="E1222" s="4"/>
      <c r="H1222" s="4"/>
      <c r="I1222" s="4"/>
    </row>
    <row r="1223" spans="4:9" x14ac:dyDescent="0.25">
      <c r="D1223" s="4"/>
      <c r="E1223" s="4"/>
      <c r="H1223" s="4"/>
      <c r="I1223" s="4"/>
    </row>
    <row r="1224" spans="4:9" x14ac:dyDescent="0.25">
      <c r="D1224" s="4"/>
      <c r="E1224" s="4"/>
      <c r="H1224" s="4"/>
      <c r="I1224" s="4"/>
    </row>
    <row r="1225" spans="4:9" x14ac:dyDescent="0.25">
      <c r="D1225" s="4"/>
      <c r="E1225" s="4"/>
      <c r="H1225" s="4"/>
      <c r="I1225" s="4"/>
    </row>
    <row r="1226" spans="4:9" x14ac:dyDescent="0.25">
      <c r="D1226" s="4"/>
      <c r="E1226" s="4"/>
      <c r="H1226" s="4"/>
      <c r="I1226" s="4"/>
    </row>
    <row r="1227" spans="4:9" x14ac:dyDescent="0.25">
      <c r="D1227" s="4"/>
      <c r="E1227" s="4"/>
      <c r="H1227" s="4"/>
      <c r="I1227" s="4"/>
    </row>
    <row r="1228" spans="4:9" x14ac:dyDescent="0.25">
      <c r="D1228" s="4"/>
      <c r="E1228" s="4"/>
      <c r="H1228" s="4"/>
      <c r="I1228" s="4"/>
    </row>
    <row r="1229" spans="4:9" x14ac:dyDescent="0.25">
      <c r="D1229" s="4"/>
      <c r="E1229" s="4"/>
      <c r="H1229" s="4"/>
      <c r="I1229" s="4"/>
    </row>
    <row r="1230" spans="4:9" x14ac:dyDescent="0.25">
      <c r="D1230" s="4"/>
      <c r="E1230" s="4"/>
      <c r="H1230" s="4"/>
      <c r="I1230" s="4"/>
    </row>
    <row r="1231" spans="4:9" x14ac:dyDescent="0.25">
      <c r="D1231" s="4"/>
      <c r="E1231" s="4"/>
      <c r="H1231" s="4"/>
      <c r="I1231" s="4"/>
    </row>
    <row r="1232" spans="4:9" x14ac:dyDescent="0.25">
      <c r="D1232" s="4"/>
      <c r="E1232" s="4"/>
      <c r="H1232" s="4"/>
      <c r="I1232" s="4"/>
    </row>
    <row r="1233" spans="4:9" x14ac:dyDescent="0.25">
      <c r="D1233" s="4"/>
      <c r="E1233" s="4"/>
      <c r="H1233" s="4"/>
      <c r="I1233" s="4"/>
    </row>
    <row r="1234" spans="4:9" x14ac:dyDescent="0.25">
      <c r="D1234" s="4"/>
      <c r="E1234" s="4"/>
      <c r="H1234" s="4"/>
      <c r="I1234" s="4"/>
    </row>
    <row r="1235" spans="4:9" x14ac:dyDescent="0.25">
      <c r="D1235" s="4"/>
      <c r="E1235" s="4"/>
      <c r="H1235" s="4"/>
      <c r="I1235" s="4"/>
    </row>
    <row r="1236" spans="4:9" x14ac:dyDescent="0.25">
      <c r="D1236" s="4"/>
      <c r="E1236" s="4"/>
      <c r="H1236" s="4"/>
      <c r="I1236" s="4"/>
    </row>
    <row r="1237" spans="4:9" x14ac:dyDescent="0.25">
      <c r="D1237" s="4"/>
      <c r="E1237" s="4"/>
      <c r="H1237" s="4"/>
      <c r="I1237" s="4"/>
    </row>
    <row r="1238" spans="4:9" x14ac:dyDescent="0.25">
      <c r="D1238" s="4"/>
      <c r="E1238" s="4"/>
      <c r="H1238" s="4"/>
      <c r="I1238" s="4"/>
    </row>
    <row r="1239" spans="4:9" x14ac:dyDescent="0.25">
      <c r="D1239" s="4"/>
      <c r="E1239" s="4"/>
      <c r="H1239" s="4"/>
      <c r="I1239" s="4"/>
    </row>
    <row r="1240" spans="4:9" x14ac:dyDescent="0.25">
      <c r="D1240" s="4"/>
      <c r="E1240" s="4"/>
      <c r="H1240" s="4"/>
      <c r="I1240" s="4"/>
    </row>
    <row r="1241" spans="4:9" x14ac:dyDescent="0.25">
      <c r="D1241" s="4"/>
      <c r="E1241" s="4"/>
      <c r="H1241" s="4"/>
      <c r="I1241" s="4"/>
    </row>
    <row r="1242" spans="4:9" x14ac:dyDescent="0.25">
      <c r="D1242" s="4"/>
      <c r="E1242" s="4"/>
      <c r="H1242" s="4"/>
      <c r="I1242" s="4"/>
    </row>
    <row r="1243" spans="4:9" x14ac:dyDescent="0.25">
      <c r="D1243" s="4"/>
      <c r="E1243" s="4"/>
      <c r="H1243" s="4"/>
      <c r="I1243" s="4"/>
    </row>
    <row r="1244" spans="4:9" x14ac:dyDescent="0.25">
      <c r="D1244" s="4"/>
      <c r="E1244" s="4"/>
      <c r="H1244" s="4"/>
      <c r="I1244" s="4"/>
    </row>
    <row r="1245" spans="4:9" x14ac:dyDescent="0.25">
      <c r="D1245" s="4"/>
      <c r="E1245" s="4"/>
      <c r="H1245" s="4"/>
      <c r="I1245" s="4"/>
    </row>
    <row r="1246" spans="4:9" x14ac:dyDescent="0.25">
      <c r="D1246" s="4"/>
      <c r="E1246" s="4"/>
      <c r="H1246" s="4"/>
      <c r="I1246" s="4"/>
    </row>
    <row r="1247" spans="4:9" x14ac:dyDescent="0.25">
      <c r="D1247" s="4"/>
      <c r="E1247" s="4"/>
      <c r="H1247" s="4"/>
      <c r="I1247" s="4"/>
    </row>
    <row r="1248" spans="4:9" x14ac:dyDescent="0.25">
      <c r="D1248" s="4"/>
      <c r="E1248" s="4"/>
      <c r="H1248" s="4"/>
      <c r="I1248" s="4"/>
    </row>
    <row r="1249" spans="4:9" x14ac:dyDescent="0.25">
      <c r="D1249" s="4"/>
      <c r="E1249" s="4"/>
      <c r="H1249" s="4"/>
      <c r="I1249" s="4"/>
    </row>
    <row r="1250" spans="4:9" x14ac:dyDescent="0.25">
      <c r="D1250" s="4"/>
      <c r="E1250" s="4"/>
      <c r="H1250" s="4"/>
      <c r="I1250" s="4"/>
    </row>
    <row r="1251" spans="4:9" x14ac:dyDescent="0.25">
      <c r="D1251" s="4"/>
      <c r="E1251" s="4"/>
      <c r="H1251" s="4"/>
      <c r="I1251" s="4"/>
    </row>
    <row r="1252" spans="4:9" x14ac:dyDescent="0.25">
      <c r="D1252" s="4"/>
      <c r="E1252" s="4"/>
      <c r="H1252" s="4"/>
      <c r="I1252" s="4"/>
    </row>
    <row r="1253" spans="4:9" x14ac:dyDescent="0.25">
      <c r="D1253" s="4"/>
      <c r="E1253" s="4"/>
      <c r="H1253" s="4"/>
      <c r="I1253" s="4"/>
    </row>
    <row r="1254" spans="4:9" x14ac:dyDescent="0.25">
      <c r="D1254" s="4"/>
      <c r="E1254" s="4"/>
      <c r="H1254" s="4"/>
      <c r="I1254" s="4"/>
    </row>
    <row r="1255" spans="4:9" x14ac:dyDescent="0.25">
      <c r="D1255" s="4"/>
      <c r="E1255" s="4"/>
      <c r="H1255" s="4"/>
      <c r="I1255" s="4"/>
    </row>
    <row r="1256" spans="4:9" x14ac:dyDescent="0.25">
      <c r="D1256" s="4"/>
      <c r="E1256" s="4"/>
      <c r="H1256" s="4"/>
      <c r="I1256" s="4"/>
    </row>
    <row r="1257" spans="4:9" x14ac:dyDescent="0.25">
      <c r="D1257" s="4"/>
      <c r="E1257" s="4"/>
      <c r="H1257" s="4"/>
      <c r="I1257" s="4"/>
    </row>
    <row r="1258" spans="4:9" x14ac:dyDescent="0.25">
      <c r="D1258" s="4"/>
      <c r="E1258" s="4"/>
      <c r="H1258" s="4"/>
      <c r="I1258" s="4"/>
    </row>
    <row r="1259" spans="4:9" x14ac:dyDescent="0.25">
      <c r="D1259" s="4"/>
      <c r="E1259" s="4"/>
      <c r="H1259" s="4"/>
      <c r="I1259" s="4"/>
    </row>
    <row r="1260" spans="4:9" x14ac:dyDescent="0.25">
      <c r="D1260" s="4"/>
      <c r="E1260" s="4"/>
      <c r="H1260" s="4"/>
      <c r="I1260" s="4"/>
    </row>
    <row r="1261" spans="4:9" x14ac:dyDescent="0.25">
      <c r="D1261" s="4"/>
      <c r="E1261" s="4"/>
      <c r="H1261" s="4"/>
      <c r="I1261" s="4"/>
    </row>
    <row r="1262" spans="4:9" x14ac:dyDescent="0.25">
      <c r="D1262" s="4"/>
      <c r="E1262" s="4"/>
      <c r="H1262" s="4"/>
      <c r="I1262" s="4"/>
    </row>
    <row r="1263" spans="4:9" x14ac:dyDescent="0.25">
      <c r="D1263" s="4"/>
      <c r="E1263" s="4"/>
      <c r="H1263" s="4"/>
      <c r="I1263" s="4"/>
    </row>
    <row r="1264" spans="4:9" x14ac:dyDescent="0.25">
      <c r="D1264" s="4"/>
      <c r="E1264" s="4"/>
      <c r="H1264" s="4"/>
      <c r="I1264" s="4"/>
    </row>
    <row r="1265" spans="4:9" x14ac:dyDescent="0.25">
      <c r="D1265" s="4"/>
      <c r="E1265" s="4"/>
      <c r="H1265" s="4"/>
      <c r="I1265" s="4"/>
    </row>
    <row r="1266" spans="4:9" x14ac:dyDescent="0.25">
      <c r="D1266" s="4"/>
      <c r="E1266" s="4"/>
      <c r="H1266" s="4"/>
      <c r="I1266" s="4"/>
    </row>
    <row r="1267" spans="4:9" x14ac:dyDescent="0.25">
      <c r="D1267" s="4"/>
      <c r="E1267" s="4"/>
      <c r="H1267" s="4"/>
      <c r="I1267" s="4"/>
    </row>
    <row r="1268" spans="4:9" x14ac:dyDescent="0.25">
      <c r="D1268" s="4"/>
      <c r="E1268" s="4"/>
      <c r="H1268" s="4"/>
      <c r="I1268" s="4"/>
    </row>
    <row r="1269" spans="4:9" x14ac:dyDescent="0.25">
      <c r="D1269" s="4"/>
      <c r="E1269" s="4"/>
      <c r="H1269" s="4"/>
      <c r="I1269" s="4"/>
    </row>
    <row r="1270" spans="4:9" x14ac:dyDescent="0.25">
      <c r="D1270" s="4"/>
      <c r="E1270" s="4"/>
      <c r="H1270" s="4"/>
      <c r="I1270" s="4"/>
    </row>
    <row r="1271" spans="4:9" x14ac:dyDescent="0.25">
      <c r="D1271" s="4"/>
      <c r="E1271" s="4"/>
      <c r="H1271" s="4"/>
      <c r="I1271" s="4"/>
    </row>
    <row r="1272" spans="4:9" x14ac:dyDescent="0.25">
      <c r="D1272" s="4"/>
      <c r="E1272" s="4"/>
      <c r="H1272" s="4"/>
      <c r="I1272" s="4"/>
    </row>
    <row r="1273" spans="4:9" x14ac:dyDescent="0.25">
      <c r="D1273" s="4"/>
      <c r="E1273" s="4"/>
      <c r="H1273" s="4"/>
      <c r="I1273" s="4"/>
    </row>
    <row r="1274" spans="4:9" x14ac:dyDescent="0.25">
      <c r="D1274" s="4"/>
      <c r="E1274" s="4"/>
      <c r="H1274" s="4"/>
      <c r="I1274" s="4"/>
    </row>
    <row r="1275" spans="4:9" x14ac:dyDescent="0.25">
      <c r="D1275" s="4"/>
      <c r="E1275" s="4"/>
      <c r="H1275" s="4"/>
      <c r="I1275" s="4"/>
    </row>
    <row r="1276" spans="4:9" x14ac:dyDescent="0.25">
      <c r="D1276" s="4"/>
      <c r="E1276" s="4"/>
      <c r="H1276" s="4"/>
      <c r="I1276" s="4"/>
    </row>
    <row r="1277" spans="4:9" x14ac:dyDescent="0.25">
      <c r="D1277" s="4"/>
      <c r="E1277" s="4"/>
      <c r="H1277" s="4"/>
      <c r="I1277" s="4"/>
    </row>
    <row r="1278" spans="4:9" x14ac:dyDescent="0.25">
      <c r="D1278" s="4"/>
      <c r="E1278" s="4"/>
      <c r="H1278" s="4"/>
      <c r="I1278" s="4"/>
    </row>
    <row r="1279" spans="4:9" x14ac:dyDescent="0.25">
      <c r="D1279" s="4"/>
      <c r="E1279" s="4"/>
      <c r="H1279" s="4"/>
      <c r="I1279" s="4"/>
    </row>
    <row r="1280" spans="4:9" x14ac:dyDescent="0.25">
      <c r="D1280" s="4"/>
      <c r="E1280" s="4"/>
      <c r="H1280" s="4"/>
      <c r="I1280" s="4"/>
    </row>
    <row r="1281" spans="4:9" x14ac:dyDescent="0.25">
      <c r="D1281" s="4"/>
      <c r="E1281" s="4"/>
      <c r="H1281" s="4"/>
      <c r="I1281" s="4"/>
    </row>
    <row r="1282" spans="4:9" x14ac:dyDescent="0.25">
      <c r="D1282" s="4"/>
      <c r="E1282" s="4"/>
      <c r="H1282" s="4"/>
      <c r="I1282" s="4"/>
    </row>
    <row r="1283" spans="4:9" x14ac:dyDescent="0.25">
      <c r="D1283" s="4"/>
      <c r="E1283" s="4"/>
      <c r="H1283" s="4"/>
      <c r="I1283" s="4"/>
    </row>
    <row r="1284" spans="4:9" x14ac:dyDescent="0.25">
      <c r="D1284" s="4"/>
      <c r="E1284" s="4"/>
      <c r="H1284" s="4"/>
      <c r="I1284" s="4"/>
    </row>
    <row r="1285" spans="4:9" x14ac:dyDescent="0.25">
      <c r="D1285" s="4"/>
      <c r="E1285" s="4"/>
      <c r="H1285" s="4"/>
      <c r="I1285" s="4"/>
    </row>
    <row r="1286" spans="4:9" x14ac:dyDescent="0.25">
      <c r="D1286" s="4"/>
      <c r="E1286" s="4"/>
      <c r="H1286" s="4"/>
      <c r="I1286" s="4"/>
    </row>
    <row r="1287" spans="4:9" x14ac:dyDescent="0.25">
      <c r="D1287" s="4"/>
      <c r="E1287" s="4"/>
      <c r="H1287" s="4"/>
      <c r="I1287" s="4"/>
    </row>
    <row r="1288" spans="4:9" x14ac:dyDescent="0.25">
      <c r="D1288" s="4"/>
      <c r="E1288" s="4"/>
      <c r="H1288" s="4"/>
      <c r="I1288" s="4"/>
    </row>
    <row r="1289" spans="4:9" x14ac:dyDescent="0.25">
      <c r="D1289" s="4"/>
      <c r="E1289" s="4"/>
      <c r="H1289" s="4"/>
      <c r="I1289" s="4"/>
    </row>
    <row r="1290" spans="4:9" x14ac:dyDescent="0.25">
      <c r="D1290" s="4"/>
      <c r="E1290" s="4"/>
      <c r="H1290" s="4"/>
      <c r="I1290" s="4"/>
    </row>
    <row r="1291" spans="4:9" x14ac:dyDescent="0.25">
      <c r="D1291" s="4"/>
      <c r="E1291" s="4"/>
      <c r="H1291" s="4"/>
      <c r="I1291" s="4"/>
    </row>
    <row r="1292" spans="4:9" x14ac:dyDescent="0.25">
      <c r="D1292" s="4"/>
      <c r="E1292" s="4"/>
      <c r="H1292" s="4"/>
      <c r="I1292" s="4"/>
    </row>
    <row r="1293" spans="4:9" x14ac:dyDescent="0.25">
      <c r="D1293" s="4"/>
      <c r="E1293" s="4"/>
      <c r="H1293" s="4"/>
      <c r="I1293" s="4"/>
    </row>
    <row r="1294" spans="4:9" x14ac:dyDescent="0.25">
      <c r="D1294" s="4"/>
      <c r="E1294" s="4"/>
      <c r="H1294" s="4"/>
      <c r="I1294" s="4"/>
    </row>
    <row r="1295" spans="4:9" x14ac:dyDescent="0.25">
      <c r="D1295" s="4"/>
      <c r="E1295" s="4"/>
      <c r="H1295" s="4"/>
      <c r="I1295" s="4"/>
    </row>
    <row r="1296" spans="4:9" x14ac:dyDescent="0.25">
      <c r="D1296" s="4"/>
      <c r="E1296" s="4"/>
      <c r="H1296" s="4"/>
      <c r="I1296" s="4"/>
    </row>
    <row r="1297" spans="4:9" x14ac:dyDescent="0.25">
      <c r="D1297" s="4"/>
      <c r="E1297" s="4"/>
      <c r="H1297" s="4"/>
      <c r="I1297" s="4"/>
    </row>
    <row r="1298" spans="4:9" x14ac:dyDescent="0.25">
      <c r="D1298" s="4"/>
      <c r="E1298" s="4"/>
      <c r="H1298" s="4"/>
      <c r="I1298" s="4"/>
    </row>
    <row r="1299" spans="4:9" x14ac:dyDescent="0.25">
      <c r="D1299" s="4"/>
      <c r="E1299" s="4"/>
      <c r="H1299" s="4"/>
      <c r="I1299" s="4"/>
    </row>
    <row r="1300" spans="4:9" x14ac:dyDescent="0.25">
      <c r="D1300" s="4"/>
      <c r="E1300" s="4"/>
      <c r="H1300" s="4"/>
      <c r="I1300" s="4"/>
    </row>
    <row r="1301" spans="4:9" x14ac:dyDescent="0.25">
      <c r="D1301" s="4"/>
      <c r="E1301" s="4"/>
      <c r="H1301" s="4"/>
      <c r="I1301" s="4"/>
    </row>
    <row r="1302" spans="4:9" x14ac:dyDescent="0.25">
      <c r="D1302" s="4"/>
      <c r="E1302" s="4"/>
      <c r="H1302" s="4"/>
      <c r="I1302" s="4"/>
    </row>
    <row r="1303" spans="4:9" x14ac:dyDescent="0.25">
      <c r="D1303" s="4"/>
      <c r="E1303" s="4"/>
      <c r="H1303" s="4"/>
      <c r="I1303" s="4"/>
    </row>
    <row r="1304" spans="4:9" x14ac:dyDescent="0.25">
      <c r="D1304" s="4"/>
      <c r="E1304" s="4"/>
      <c r="H1304" s="4"/>
      <c r="I1304" s="4"/>
    </row>
    <row r="1305" spans="4:9" x14ac:dyDescent="0.25">
      <c r="D1305" s="4"/>
      <c r="E1305" s="4"/>
      <c r="H1305" s="4"/>
      <c r="I1305" s="4"/>
    </row>
    <row r="1306" spans="4:9" x14ac:dyDescent="0.25">
      <c r="D1306" s="4"/>
      <c r="E1306" s="4"/>
      <c r="H1306" s="4"/>
      <c r="I1306" s="4"/>
    </row>
    <row r="1307" spans="4:9" x14ac:dyDescent="0.25">
      <c r="D1307" s="4"/>
      <c r="E1307" s="4"/>
      <c r="H1307" s="4"/>
      <c r="I1307" s="4"/>
    </row>
    <row r="1308" spans="4:9" x14ac:dyDescent="0.25">
      <c r="D1308" s="4"/>
      <c r="E1308" s="4"/>
      <c r="H1308" s="4"/>
      <c r="I1308" s="4"/>
    </row>
    <row r="1309" spans="4:9" x14ac:dyDescent="0.25">
      <c r="D1309" s="4"/>
      <c r="E1309" s="4"/>
      <c r="H1309" s="4"/>
      <c r="I1309" s="4"/>
    </row>
    <row r="1310" spans="4:9" x14ac:dyDescent="0.25">
      <c r="D1310" s="4"/>
      <c r="E1310" s="4"/>
      <c r="H1310" s="4"/>
      <c r="I1310" s="4"/>
    </row>
    <row r="1311" spans="4:9" x14ac:dyDescent="0.25">
      <c r="D1311" s="4"/>
      <c r="E1311" s="4"/>
      <c r="H1311" s="4"/>
      <c r="I1311" s="4"/>
    </row>
    <row r="1312" spans="4:9" x14ac:dyDescent="0.25">
      <c r="D1312" s="4"/>
      <c r="E1312" s="4"/>
      <c r="H1312" s="4"/>
      <c r="I1312" s="4"/>
    </row>
    <row r="1313" spans="4:9" x14ac:dyDescent="0.25">
      <c r="D1313" s="4"/>
      <c r="E1313" s="4"/>
      <c r="H1313" s="4"/>
      <c r="I1313" s="4"/>
    </row>
    <row r="1314" spans="4:9" x14ac:dyDescent="0.25">
      <c r="D1314" s="4"/>
      <c r="E1314" s="4"/>
      <c r="H1314" s="4"/>
      <c r="I1314" s="4"/>
    </row>
    <row r="1315" spans="4:9" x14ac:dyDescent="0.25">
      <c r="D1315" s="4"/>
      <c r="E1315" s="4"/>
      <c r="H1315" s="4"/>
      <c r="I1315" s="4"/>
    </row>
    <row r="1316" spans="4:9" x14ac:dyDescent="0.25">
      <c r="D1316" s="4"/>
      <c r="E1316" s="4"/>
      <c r="H1316" s="4"/>
      <c r="I1316" s="4"/>
    </row>
    <row r="1317" spans="4:9" x14ac:dyDescent="0.25">
      <c r="D1317" s="4"/>
      <c r="E1317" s="4"/>
      <c r="H1317" s="4"/>
      <c r="I1317" s="4"/>
    </row>
    <row r="1318" spans="4:9" x14ac:dyDescent="0.25">
      <c r="D1318" s="4"/>
      <c r="E1318" s="4"/>
      <c r="H1318" s="4"/>
      <c r="I1318" s="4"/>
    </row>
    <row r="1319" spans="4:9" x14ac:dyDescent="0.25">
      <c r="D1319" s="4"/>
      <c r="E1319" s="4"/>
      <c r="H1319" s="4"/>
      <c r="I1319" s="4"/>
    </row>
    <row r="1320" spans="4:9" x14ac:dyDescent="0.25">
      <c r="D1320" s="4"/>
      <c r="E1320" s="4"/>
      <c r="H1320" s="4"/>
      <c r="I1320" s="4"/>
    </row>
    <row r="1321" spans="4:9" x14ac:dyDescent="0.25">
      <c r="D1321" s="4"/>
      <c r="E1321" s="4"/>
      <c r="H1321" s="4"/>
      <c r="I1321" s="4"/>
    </row>
    <row r="1322" spans="4:9" x14ac:dyDescent="0.25">
      <c r="D1322" s="4"/>
      <c r="E1322" s="4"/>
      <c r="H1322" s="4"/>
      <c r="I1322" s="4"/>
    </row>
    <row r="1323" spans="4:9" x14ac:dyDescent="0.25">
      <c r="D1323" s="4"/>
      <c r="E1323" s="4"/>
      <c r="H1323" s="4"/>
      <c r="I1323" s="4"/>
    </row>
    <row r="1324" spans="4:9" x14ac:dyDescent="0.25">
      <c r="D1324" s="4"/>
      <c r="E1324" s="4"/>
      <c r="H1324" s="4"/>
      <c r="I1324" s="4"/>
    </row>
    <row r="1325" spans="4:9" x14ac:dyDescent="0.25">
      <c r="D1325" s="4"/>
      <c r="E1325" s="4"/>
      <c r="H1325" s="4"/>
      <c r="I1325" s="4"/>
    </row>
    <row r="1326" spans="4:9" x14ac:dyDescent="0.25">
      <c r="D1326" s="4"/>
      <c r="E1326" s="4"/>
      <c r="H1326" s="4"/>
      <c r="I1326" s="4"/>
    </row>
    <row r="1327" spans="4:9" x14ac:dyDescent="0.25">
      <c r="D1327" s="4"/>
      <c r="E1327" s="4"/>
      <c r="H1327" s="4"/>
      <c r="I1327" s="4"/>
    </row>
    <row r="1328" spans="4:9" x14ac:dyDescent="0.25">
      <c r="D1328" s="4"/>
      <c r="E1328" s="4"/>
      <c r="H1328" s="4"/>
      <c r="I1328" s="4"/>
    </row>
    <row r="1329" spans="4:9" x14ac:dyDescent="0.25">
      <c r="D1329" s="4"/>
      <c r="E1329" s="4"/>
      <c r="H1329" s="4"/>
      <c r="I1329" s="4"/>
    </row>
    <row r="1330" spans="4:9" x14ac:dyDescent="0.25">
      <c r="D1330" s="4"/>
      <c r="E1330" s="4"/>
      <c r="H1330" s="4"/>
      <c r="I1330" s="4"/>
    </row>
    <row r="1331" spans="4:9" x14ac:dyDescent="0.25">
      <c r="D1331" s="4"/>
      <c r="E1331" s="4"/>
      <c r="H1331" s="4"/>
      <c r="I1331" s="4"/>
    </row>
    <row r="1332" spans="4:9" x14ac:dyDescent="0.25">
      <c r="D1332" s="4"/>
      <c r="E1332" s="4"/>
      <c r="H1332" s="4"/>
      <c r="I1332" s="4"/>
    </row>
    <row r="1333" spans="4:9" x14ac:dyDescent="0.25">
      <c r="D1333" s="4"/>
      <c r="E1333" s="4"/>
      <c r="H1333" s="4"/>
      <c r="I1333" s="4"/>
    </row>
    <row r="1334" spans="4:9" x14ac:dyDescent="0.25">
      <c r="D1334" s="4"/>
      <c r="E1334" s="4"/>
      <c r="H1334" s="4"/>
      <c r="I1334" s="4"/>
    </row>
    <row r="1335" spans="4:9" x14ac:dyDescent="0.25">
      <c r="D1335" s="4"/>
      <c r="E1335" s="4"/>
      <c r="H1335" s="4"/>
      <c r="I1335" s="4"/>
    </row>
    <row r="1336" spans="4:9" x14ac:dyDescent="0.25">
      <c r="D1336" s="4"/>
      <c r="E1336" s="4"/>
      <c r="H1336" s="4"/>
      <c r="I1336" s="4"/>
    </row>
    <row r="1337" spans="4:9" x14ac:dyDescent="0.25">
      <c r="D1337" s="4"/>
      <c r="E1337" s="4"/>
      <c r="H1337" s="4"/>
      <c r="I1337" s="4"/>
    </row>
    <row r="1338" spans="4:9" x14ac:dyDescent="0.25">
      <c r="D1338" s="4"/>
      <c r="E1338" s="4"/>
      <c r="H1338" s="4"/>
      <c r="I1338" s="4"/>
    </row>
    <row r="1339" spans="4:9" x14ac:dyDescent="0.25">
      <c r="D1339" s="4"/>
      <c r="E1339" s="4"/>
      <c r="H1339" s="4"/>
      <c r="I1339" s="4"/>
    </row>
    <row r="1340" spans="4:9" x14ac:dyDescent="0.25">
      <c r="D1340" s="4"/>
      <c r="E1340" s="4"/>
      <c r="H1340" s="4"/>
      <c r="I1340" s="4"/>
    </row>
    <row r="1341" spans="4:9" x14ac:dyDescent="0.25">
      <c r="D1341" s="4"/>
      <c r="E1341" s="4"/>
      <c r="H1341" s="4"/>
      <c r="I1341" s="4"/>
    </row>
    <row r="1342" spans="4:9" x14ac:dyDescent="0.25">
      <c r="D1342" s="4"/>
      <c r="E1342" s="4"/>
      <c r="H1342" s="4"/>
      <c r="I1342" s="4"/>
    </row>
    <row r="1343" spans="4:9" x14ac:dyDescent="0.25">
      <c r="D1343" s="4"/>
      <c r="E1343" s="4"/>
      <c r="H1343" s="4"/>
      <c r="I1343" s="4"/>
    </row>
    <row r="1344" spans="4:9" x14ac:dyDescent="0.25">
      <c r="D1344" s="4"/>
      <c r="E1344" s="4"/>
      <c r="H1344" s="4"/>
      <c r="I1344" s="4"/>
    </row>
    <row r="1345" spans="4:9" x14ac:dyDescent="0.25">
      <c r="D1345" s="4"/>
      <c r="E1345" s="4"/>
      <c r="H1345" s="4"/>
      <c r="I1345" s="4"/>
    </row>
    <row r="1346" spans="4:9" x14ac:dyDescent="0.25">
      <c r="D1346" s="4"/>
      <c r="E1346" s="4"/>
      <c r="H1346" s="4"/>
      <c r="I1346" s="4"/>
    </row>
    <row r="1347" spans="4:9" x14ac:dyDescent="0.25">
      <c r="D1347" s="4"/>
      <c r="E1347" s="4"/>
      <c r="H1347" s="4"/>
      <c r="I1347" s="4"/>
    </row>
    <row r="1348" spans="4:9" x14ac:dyDescent="0.25">
      <c r="D1348" s="4"/>
      <c r="E1348" s="4"/>
      <c r="H1348" s="4"/>
      <c r="I1348" s="4"/>
    </row>
    <row r="1349" spans="4:9" x14ac:dyDescent="0.25">
      <c r="D1349" s="4"/>
      <c r="E1349" s="4"/>
      <c r="H1349" s="4"/>
      <c r="I1349" s="4"/>
    </row>
    <row r="1350" spans="4:9" x14ac:dyDescent="0.25">
      <c r="D1350" s="4"/>
      <c r="E1350" s="4"/>
      <c r="H1350" s="4"/>
      <c r="I1350" s="4"/>
    </row>
    <row r="1351" spans="4:9" x14ac:dyDescent="0.25">
      <c r="D1351" s="4"/>
      <c r="E1351" s="4"/>
      <c r="H1351" s="4"/>
      <c r="I1351" s="4"/>
    </row>
    <row r="1352" spans="4:9" x14ac:dyDescent="0.25">
      <c r="D1352" s="4"/>
      <c r="E1352" s="4"/>
      <c r="H1352" s="4"/>
      <c r="I1352" s="4"/>
    </row>
    <row r="1353" spans="4:9" x14ac:dyDescent="0.25">
      <c r="D1353" s="4"/>
      <c r="E1353" s="4"/>
      <c r="H1353" s="4"/>
      <c r="I1353" s="4"/>
    </row>
    <row r="1354" spans="4:9" x14ac:dyDescent="0.25">
      <c r="D1354" s="4"/>
      <c r="E1354" s="4"/>
      <c r="H1354" s="4"/>
      <c r="I1354" s="4"/>
    </row>
    <row r="1355" spans="4:9" x14ac:dyDescent="0.25">
      <c r="D1355" s="4"/>
      <c r="E1355" s="4"/>
      <c r="H1355" s="4"/>
      <c r="I1355" s="4"/>
    </row>
    <row r="1356" spans="4:9" x14ac:dyDescent="0.25">
      <c r="D1356" s="4"/>
      <c r="E1356" s="4"/>
      <c r="H1356" s="4"/>
      <c r="I1356" s="4"/>
    </row>
    <row r="1357" spans="4:9" x14ac:dyDescent="0.25">
      <c r="D1357" s="4"/>
      <c r="E1357" s="4"/>
      <c r="H1357" s="4"/>
      <c r="I1357" s="4"/>
    </row>
    <row r="1358" spans="4:9" x14ac:dyDescent="0.25">
      <c r="D1358" s="4"/>
      <c r="E1358" s="4"/>
      <c r="H1358" s="4"/>
      <c r="I1358" s="4"/>
    </row>
    <row r="1359" spans="4:9" x14ac:dyDescent="0.25">
      <c r="D1359" s="4"/>
      <c r="E1359" s="4"/>
      <c r="H1359" s="4"/>
      <c r="I1359" s="4"/>
    </row>
    <row r="1360" spans="4:9" x14ac:dyDescent="0.25">
      <c r="D1360" s="4"/>
      <c r="E1360" s="4"/>
      <c r="H1360" s="4"/>
      <c r="I1360" s="4"/>
    </row>
    <row r="1361" spans="4:9" x14ac:dyDescent="0.25">
      <c r="D1361" s="4"/>
      <c r="E1361" s="4"/>
      <c r="H1361" s="4"/>
      <c r="I1361" s="4"/>
    </row>
    <row r="1362" spans="4:9" x14ac:dyDescent="0.25">
      <c r="D1362" s="4"/>
      <c r="E1362" s="4"/>
      <c r="H1362" s="4"/>
      <c r="I1362" s="4"/>
    </row>
    <row r="1363" spans="4:9" x14ac:dyDescent="0.25">
      <c r="D1363" s="4"/>
      <c r="E1363" s="4"/>
      <c r="H1363" s="4"/>
      <c r="I1363" s="4"/>
    </row>
    <row r="1364" spans="4:9" x14ac:dyDescent="0.25">
      <c r="D1364" s="4"/>
      <c r="E1364" s="4"/>
      <c r="H1364" s="4"/>
      <c r="I1364" s="4"/>
    </row>
    <row r="1365" spans="4:9" x14ac:dyDescent="0.25">
      <c r="D1365" s="4"/>
      <c r="E1365" s="4"/>
      <c r="H1365" s="4"/>
      <c r="I1365" s="4"/>
    </row>
    <row r="1366" spans="4:9" x14ac:dyDescent="0.25">
      <c r="D1366" s="4"/>
      <c r="E1366" s="4"/>
      <c r="H1366" s="4"/>
      <c r="I1366" s="4"/>
    </row>
    <row r="1367" spans="4:9" x14ac:dyDescent="0.25">
      <c r="D1367" s="4"/>
      <c r="E1367" s="4"/>
      <c r="H1367" s="4"/>
      <c r="I1367" s="4"/>
    </row>
    <row r="1368" spans="4:9" x14ac:dyDescent="0.25">
      <c r="D1368" s="4"/>
      <c r="E1368" s="4"/>
      <c r="H1368" s="4"/>
      <c r="I1368" s="4"/>
    </row>
    <row r="1369" spans="4:9" x14ac:dyDescent="0.25">
      <c r="D1369" s="4"/>
      <c r="E1369" s="4"/>
      <c r="H1369" s="4"/>
      <c r="I1369" s="4"/>
    </row>
    <row r="1370" spans="4:9" x14ac:dyDescent="0.25">
      <c r="D1370" s="4"/>
      <c r="E1370" s="4"/>
      <c r="H1370" s="4"/>
      <c r="I1370" s="4"/>
    </row>
    <row r="1371" spans="4:9" x14ac:dyDescent="0.25">
      <c r="D1371" s="4"/>
      <c r="E1371" s="4"/>
      <c r="H1371" s="4"/>
      <c r="I1371" s="4"/>
    </row>
    <row r="1372" spans="4:9" x14ac:dyDescent="0.25">
      <c r="D1372" s="4"/>
      <c r="E1372" s="4"/>
      <c r="H1372" s="4"/>
      <c r="I1372" s="4"/>
    </row>
    <row r="1373" spans="4:9" x14ac:dyDescent="0.25">
      <c r="D1373" s="4"/>
      <c r="E1373" s="4"/>
      <c r="H1373" s="4"/>
      <c r="I1373" s="4"/>
    </row>
    <row r="1374" spans="4:9" x14ac:dyDescent="0.25">
      <c r="D1374" s="4"/>
      <c r="E1374" s="4"/>
      <c r="H1374" s="4"/>
      <c r="I1374" s="4"/>
    </row>
    <row r="1375" spans="4:9" x14ac:dyDescent="0.25">
      <c r="D1375" s="4"/>
      <c r="E1375" s="4"/>
      <c r="H1375" s="4"/>
      <c r="I1375" s="4"/>
    </row>
    <row r="1376" spans="4:9" x14ac:dyDescent="0.25">
      <c r="D1376" s="4"/>
      <c r="E1376" s="4"/>
      <c r="H1376" s="4"/>
      <c r="I1376" s="4"/>
    </row>
    <row r="1377" spans="4:9" x14ac:dyDescent="0.25">
      <c r="D1377" s="4"/>
      <c r="E1377" s="4"/>
      <c r="H1377" s="4"/>
      <c r="I1377" s="4"/>
    </row>
    <row r="1378" spans="4:9" x14ac:dyDescent="0.25">
      <c r="D1378" s="4"/>
      <c r="E1378" s="4"/>
      <c r="H1378" s="4"/>
      <c r="I1378" s="4"/>
    </row>
    <row r="1379" spans="4:9" x14ac:dyDescent="0.25">
      <c r="D1379" s="4"/>
      <c r="E1379" s="4"/>
      <c r="H1379" s="4"/>
      <c r="I1379" s="4"/>
    </row>
    <row r="1380" spans="4:9" x14ac:dyDescent="0.25">
      <c r="D1380" s="4"/>
      <c r="E1380" s="4"/>
      <c r="H1380" s="4"/>
      <c r="I1380" s="4"/>
    </row>
    <row r="1381" spans="4:9" x14ac:dyDescent="0.25">
      <c r="D1381" s="4"/>
      <c r="E1381" s="4"/>
      <c r="H1381" s="4"/>
      <c r="I1381" s="4"/>
    </row>
    <row r="1382" spans="4:9" x14ac:dyDescent="0.25">
      <c r="D1382" s="4"/>
      <c r="E1382" s="4"/>
      <c r="H1382" s="4"/>
      <c r="I1382" s="4"/>
    </row>
    <row r="1383" spans="4:9" x14ac:dyDescent="0.25">
      <c r="D1383" s="4"/>
      <c r="E1383" s="4"/>
      <c r="H1383" s="4"/>
      <c r="I1383" s="4"/>
    </row>
    <row r="1384" spans="4:9" x14ac:dyDescent="0.25">
      <c r="D1384" s="4"/>
      <c r="E1384" s="4"/>
      <c r="H1384" s="4"/>
      <c r="I1384" s="4"/>
    </row>
    <row r="1385" spans="4:9" x14ac:dyDescent="0.25">
      <c r="D1385" s="4"/>
      <c r="E1385" s="4"/>
      <c r="H1385" s="4"/>
      <c r="I1385" s="4"/>
    </row>
    <row r="1386" spans="4:9" x14ac:dyDescent="0.25">
      <c r="D1386" s="4"/>
      <c r="E1386" s="4"/>
      <c r="H1386" s="4"/>
      <c r="I1386" s="4"/>
    </row>
    <row r="1387" spans="4:9" x14ac:dyDescent="0.25">
      <c r="D1387" s="4"/>
      <c r="E1387" s="4"/>
      <c r="H1387" s="4"/>
      <c r="I1387" s="4"/>
    </row>
    <row r="1388" spans="4:9" x14ac:dyDescent="0.25">
      <c r="D1388" s="4"/>
      <c r="E1388" s="4"/>
      <c r="H1388" s="4"/>
      <c r="I1388" s="4"/>
    </row>
    <row r="1389" spans="4:9" x14ac:dyDescent="0.25">
      <c r="D1389" s="4"/>
      <c r="E1389" s="4"/>
      <c r="H1389" s="4"/>
      <c r="I1389" s="4"/>
    </row>
    <row r="1390" spans="4:9" x14ac:dyDescent="0.25">
      <c r="D1390" s="4"/>
      <c r="E1390" s="4"/>
      <c r="H1390" s="4"/>
      <c r="I1390" s="4"/>
    </row>
    <row r="1391" spans="4:9" x14ac:dyDescent="0.25">
      <c r="D1391" s="4"/>
      <c r="E1391" s="4"/>
      <c r="H1391" s="4"/>
      <c r="I1391" s="4"/>
    </row>
    <row r="1392" spans="4:9" x14ac:dyDescent="0.25">
      <c r="D1392" s="4"/>
      <c r="E1392" s="4"/>
      <c r="H1392" s="4"/>
      <c r="I1392" s="4"/>
    </row>
    <row r="1393" spans="4:9" x14ac:dyDescent="0.25">
      <c r="D1393" s="4"/>
      <c r="E1393" s="4"/>
      <c r="H1393" s="4"/>
      <c r="I1393" s="4"/>
    </row>
    <row r="1394" spans="4:9" x14ac:dyDescent="0.25">
      <c r="D1394" s="4"/>
      <c r="E1394" s="4"/>
      <c r="H1394" s="4"/>
      <c r="I1394" s="4"/>
    </row>
    <row r="1395" spans="4:9" x14ac:dyDescent="0.25">
      <c r="D1395" s="4"/>
      <c r="E1395" s="4"/>
      <c r="H1395" s="4"/>
      <c r="I1395" s="4"/>
    </row>
    <row r="1396" spans="4:9" x14ac:dyDescent="0.25">
      <c r="D1396" s="4"/>
      <c r="E1396" s="4"/>
      <c r="H1396" s="4"/>
      <c r="I1396" s="4"/>
    </row>
    <row r="1397" spans="4:9" x14ac:dyDescent="0.25">
      <c r="D1397" s="4"/>
      <c r="E1397" s="4"/>
      <c r="H1397" s="4"/>
      <c r="I1397" s="4"/>
    </row>
    <row r="1398" spans="4:9" x14ac:dyDescent="0.25">
      <c r="D1398" s="4"/>
      <c r="E1398" s="4"/>
      <c r="H1398" s="4"/>
      <c r="I1398" s="4"/>
    </row>
    <row r="1399" spans="4:9" x14ac:dyDescent="0.25">
      <c r="D1399" s="4"/>
      <c r="E1399" s="4"/>
      <c r="H1399" s="4"/>
      <c r="I1399" s="4"/>
    </row>
    <row r="1400" spans="4:9" x14ac:dyDescent="0.25">
      <c r="D1400" s="4"/>
      <c r="E1400" s="4"/>
      <c r="H1400" s="4"/>
      <c r="I1400" s="4"/>
    </row>
    <row r="1401" spans="4:9" x14ac:dyDescent="0.25">
      <c r="D1401" s="4"/>
      <c r="E1401" s="4"/>
      <c r="H1401" s="4"/>
      <c r="I1401" s="4"/>
    </row>
    <row r="1402" spans="4:9" x14ac:dyDescent="0.25">
      <c r="D1402" s="4"/>
      <c r="E1402" s="4"/>
      <c r="H1402" s="4"/>
      <c r="I1402" s="4"/>
    </row>
    <row r="1403" spans="4:9" x14ac:dyDescent="0.25">
      <c r="D1403" s="4"/>
      <c r="E1403" s="4"/>
      <c r="H1403" s="4"/>
      <c r="I1403" s="4"/>
    </row>
    <row r="1404" spans="4:9" x14ac:dyDescent="0.25">
      <c r="D1404" s="4"/>
      <c r="E1404" s="4"/>
      <c r="H1404" s="4"/>
      <c r="I1404" s="4"/>
    </row>
    <row r="1405" spans="4:9" x14ac:dyDescent="0.25">
      <c r="D1405" s="4"/>
      <c r="E1405" s="4"/>
      <c r="H1405" s="4"/>
      <c r="I1405" s="4"/>
    </row>
    <row r="1406" spans="4:9" x14ac:dyDescent="0.25">
      <c r="D1406" s="4"/>
      <c r="E1406" s="4"/>
      <c r="H1406" s="4"/>
      <c r="I1406" s="4"/>
    </row>
    <row r="1407" spans="4:9" x14ac:dyDescent="0.25">
      <c r="D1407" s="4"/>
      <c r="E1407" s="4"/>
      <c r="H1407" s="4"/>
      <c r="I1407" s="4"/>
    </row>
    <row r="1408" spans="4:9" x14ac:dyDescent="0.25">
      <c r="D1408" s="4"/>
      <c r="E1408" s="4"/>
      <c r="H1408" s="4"/>
      <c r="I1408" s="4"/>
    </row>
    <row r="1409" spans="4:9" x14ac:dyDescent="0.25">
      <c r="D1409" s="4"/>
      <c r="E1409" s="4"/>
      <c r="H1409" s="4"/>
      <c r="I1409" s="4"/>
    </row>
    <row r="1410" spans="4:9" x14ac:dyDescent="0.25">
      <c r="D1410" s="4"/>
      <c r="E1410" s="4"/>
      <c r="H1410" s="4"/>
      <c r="I1410" s="4"/>
    </row>
    <row r="1411" spans="4:9" x14ac:dyDescent="0.25">
      <c r="D1411" s="4"/>
      <c r="E1411" s="4"/>
      <c r="H1411" s="4"/>
      <c r="I1411" s="4"/>
    </row>
    <row r="1412" spans="4:9" x14ac:dyDescent="0.25">
      <c r="D1412" s="4"/>
      <c r="E1412" s="4"/>
      <c r="H1412" s="4"/>
      <c r="I1412" s="4"/>
    </row>
    <row r="1413" spans="4:9" x14ac:dyDescent="0.25">
      <c r="D1413" s="4"/>
      <c r="E1413" s="4"/>
      <c r="H1413" s="4"/>
      <c r="I1413" s="4"/>
    </row>
    <row r="1414" spans="4:9" x14ac:dyDescent="0.25">
      <c r="D1414" s="4"/>
      <c r="E1414" s="4"/>
      <c r="H1414" s="4"/>
      <c r="I1414" s="4"/>
    </row>
    <row r="1415" spans="4:9" x14ac:dyDescent="0.25">
      <c r="D1415" s="4"/>
      <c r="E1415" s="4"/>
      <c r="H1415" s="4"/>
      <c r="I1415" s="4"/>
    </row>
    <row r="1416" spans="4:9" x14ac:dyDescent="0.25">
      <c r="D1416" s="4"/>
      <c r="E1416" s="4"/>
      <c r="H1416" s="4"/>
      <c r="I1416" s="4"/>
    </row>
    <row r="1417" spans="4:9" x14ac:dyDescent="0.25">
      <c r="D1417" s="4"/>
      <c r="E1417" s="4"/>
      <c r="H1417" s="4"/>
      <c r="I1417" s="4"/>
    </row>
    <row r="1418" spans="4:9" x14ac:dyDescent="0.25">
      <c r="D1418" s="4"/>
      <c r="E1418" s="4"/>
      <c r="H1418" s="4"/>
      <c r="I1418" s="4"/>
    </row>
    <row r="1419" spans="4:9" x14ac:dyDescent="0.25">
      <c r="D1419" s="4"/>
      <c r="E1419" s="4"/>
      <c r="H1419" s="4"/>
      <c r="I1419" s="4"/>
    </row>
    <row r="1420" spans="4:9" x14ac:dyDescent="0.25">
      <c r="D1420" s="4"/>
      <c r="E1420" s="4"/>
      <c r="H1420" s="4"/>
      <c r="I1420" s="4"/>
    </row>
    <row r="1421" spans="4:9" x14ac:dyDescent="0.25">
      <c r="D1421" s="4"/>
      <c r="E1421" s="4"/>
      <c r="H1421" s="4"/>
      <c r="I1421" s="4"/>
    </row>
    <row r="1422" spans="4:9" x14ac:dyDescent="0.25">
      <c r="D1422" s="4"/>
      <c r="E1422" s="4"/>
      <c r="H1422" s="4"/>
      <c r="I1422" s="4"/>
    </row>
    <row r="1423" spans="4:9" x14ac:dyDescent="0.25">
      <c r="D1423" s="4"/>
      <c r="E1423" s="4"/>
      <c r="H1423" s="4"/>
      <c r="I1423" s="4"/>
    </row>
    <row r="1424" spans="4:9" x14ac:dyDescent="0.25">
      <c r="D1424" s="4"/>
      <c r="E1424" s="4"/>
      <c r="H1424" s="4"/>
      <c r="I1424" s="4"/>
    </row>
    <row r="1425" spans="4:9" x14ac:dyDescent="0.25">
      <c r="D1425" s="4"/>
      <c r="E1425" s="4"/>
      <c r="H1425" s="4"/>
      <c r="I1425" s="4"/>
    </row>
    <row r="1426" spans="4:9" x14ac:dyDescent="0.25">
      <c r="D1426" s="4"/>
      <c r="E1426" s="4"/>
      <c r="H1426" s="4"/>
      <c r="I1426" s="4"/>
    </row>
    <row r="1427" spans="4:9" x14ac:dyDescent="0.25">
      <c r="D1427" s="4"/>
      <c r="E1427" s="4"/>
      <c r="H1427" s="4"/>
      <c r="I1427" s="4"/>
    </row>
    <row r="1428" spans="4:9" x14ac:dyDescent="0.25">
      <c r="D1428" s="4"/>
      <c r="E1428" s="4"/>
      <c r="H1428" s="4"/>
      <c r="I1428" s="4"/>
    </row>
    <row r="1429" spans="4:9" x14ac:dyDescent="0.25">
      <c r="D1429" s="4"/>
      <c r="E1429" s="4"/>
      <c r="H1429" s="4"/>
      <c r="I1429" s="4"/>
    </row>
    <row r="1430" spans="4:9" x14ac:dyDescent="0.25">
      <c r="D1430" s="4"/>
      <c r="E1430" s="4"/>
      <c r="H1430" s="4"/>
      <c r="I1430" s="4"/>
    </row>
    <row r="1431" spans="4:9" x14ac:dyDescent="0.25">
      <c r="D1431" s="4"/>
      <c r="E1431" s="4"/>
      <c r="H1431" s="4"/>
      <c r="I1431" s="4"/>
    </row>
    <row r="1432" spans="4:9" x14ac:dyDescent="0.25">
      <c r="D1432" s="4"/>
      <c r="E1432" s="4"/>
      <c r="H1432" s="4"/>
      <c r="I1432" s="4"/>
    </row>
    <row r="1433" spans="4:9" x14ac:dyDescent="0.25">
      <c r="D1433" s="4"/>
      <c r="E1433" s="4"/>
      <c r="H1433" s="4"/>
      <c r="I1433" s="4"/>
    </row>
    <row r="1434" spans="4:9" x14ac:dyDescent="0.25">
      <c r="D1434" s="4"/>
      <c r="E1434" s="4"/>
      <c r="H1434" s="4"/>
      <c r="I1434" s="4"/>
    </row>
    <row r="1435" spans="4:9" x14ac:dyDescent="0.25">
      <c r="D1435" s="4"/>
      <c r="E1435" s="4"/>
      <c r="H1435" s="4"/>
      <c r="I1435" s="4"/>
    </row>
    <row r="1436" spans="4:9" x14ac:dyDescent="0.25">
      <c r="D1436" s="4"/>
      <c r="E1436" s="4"/>
      <c r="H1436" s="4"/>
      <c r="I1436" s="4"/>
    </row>
    <row r="1437" spans="4:9" x14ac:dyDescent="0.25">
      <c r="D1437" s="4"/>
      <c r="E1437" s="4"/>
      <c r="H1437" s="4"/>
      <c r="I1437" s="4"/>
    </row>
    <row r="1438" spans="4:9" x14ac:dyDescent="0.25">
      <c r="D1438" s="4"/>
      <c r="E1438" s="4"/>
      <c r="H1438" s="4"/>
      <c r="I1438" s="4"/>
    </row>
    <row r="1439" spans="4:9" x14ac:dyDescent="0.25">
      <c r="D1439" s="4"/>
      <c r="E1439" s="4"/>
      <c r="H1439" s="4"/>
      <c r="I1439" s="4"/>
    </row>
    <row r="1440" spans="4:9" x14ac:dyDescent="0.25">
      <c r="D1440" s="4"/>
      <c r="E1440" s="4"/>
      <c r="H1440" s="4"/>
      <c r="I1440" s="4"/>
    </row>
    <row r="1441" spans="4:9" x14ac:dyDescent="0.25">
      <c r="D1441" s="4"/>
      <c r="E1441" s="4"/>
      <c r="H1441" s="4"/>
      <c r="I1441" s="4"/>
    </row>
    <row r="1442" spans="4:9" x14ac:dyDescent="0.25">
      <c r="D1442" s="4"/>
      <c r="E1442" s="4"/>
      <c r="H1442" s="4"/>
      <c r="I1442" s="4"/>
    </row>
    <row r="1443" spans="4:9" x14ac:dyDescent="0.25">
      <c r="D1443" s="4"/>
      <c r="E1443" s="4"/>
      <c r="H1443" s="4"/>
      <c r="I1443" s="4"/>
    </row>
    <row r="1444" spans="4:9" x14ac:dyDescent="0.25">
      <c r="D1444" s="4"/>
      <c r="E1444" s="4"/>
      <c r="H1444" s="4"/>
      <c r="I1444" s="4"/>
    </row>
    <row r="1445" spans="4:9" x14ac:dyDescent="0.25">
      <c r="D1445" s="4"/>
      <c r="E1445" s="4"/>
      <c r="H1445" s="4"/>
      <c r="I1445" s="4"/>
    </row>
    <row r="1446" spans="4:9" x14ac:dyDescent="0.25">
      <c r="D1446" s="4"/>
      <c r="E1446" s="4"/>
      <c r="H1446" s="4"/>
      <c r="I1446" s="4"/>
    </row>
    <row r="1447" spans="4:9" x14ac:dyDescent="0.25">
      <c r="D1447" s="4"/>
      <c r="E1447" s="4"/>
      <c r="H1447" s="4"/>
      <c r="I1447" s="4"/>
    </row>
    <row r="1448" spans="4:9" x14ac:dyDescent="0.25">
      <c r="D1448" s="4"/>
      <c r="E1448" s="4"/>
      <c r="H1448" s="4"/>
      <c r="I1448" s="4"/>
    </row>
    <row r="1449" spans="4:9" x14ac:dyDescent="0.25">
      <c r="D1449" s="4"/>
      <c r="E1449" s="4"/>
      <c r="H1449" s="4"/>
      <c r="I1449" s="4"/>
    </row>
    <row r="1450" spans="4:9" x14ac:dyDescent="0.25">
      <c r="D1450" s="4"/>
      <c r="E1450" s="4"/>
      <c r="H1450" s="4"/>
      <c r="I1450" s="4"/>
    </row>
    <row r="1451" spans="4:9" x14ac:dyDescent="0.25">
      <c r="D1451" s="4"/>
      <c r="E1451" s="4"/>
      <c r="H1451" s="4"/>
      <c r="I1451" s="4"/>
    </row>
    <row r="1452" spans="4:9" x14ac:dyDescent="0.25">
      <c r="D1452" s="4"/>
      <c r="E1452" s="4"/>
      <c r="H1452" s="4"/>
      <c r="I1452" s="4"/>
    </row>
    <row r="1453" spans="4:9" x14ac:dyDescent="0.25">
      <c r="D1453" s="4"/>
      <c r="E1453" s="4"/>
      <c r="H1453" s="4"/>
      <c r="I1453" s="4"/>
    </row>
    <row r="1454" spans="4:9" x14ac:dyDescent="0.25">
      <c r="D1454" s="4"/>
      <c r="E1454" s="4"/>
      <c r="H1454" s="4"/>
      <c r="I1454" s="4"/>
    </row>
    <row r="1455" spans="4:9" x14ac:dyDescent="0.25">
      <c r="D1455" s="4"/>
      <c r="E1455" s="4"/>
      <c r="H1455" s="4"/>
      <c r="I1455" s="4"/>
    </row>
    <row r="1456" spans="4:9" x14ac:dyDescent="0.25">
      <c r="D1456" s="4"/>
      <c r="E1456" s="4"/>
      <c r="H1456" s="4"/>
      <c r="I1456" s="4"/>
    </row>
    <row r="1457" spans="4:9" x14ac:dyDescent="0.25">
      <c r="D1457" s="4"/>
      <c r="E1457" s="4"/>
      <c r="H1457" s="4"/>
      <c r="I1457" s="4"/>
    </row>
    <row r="1458" spans="4:9" x14ac:dyDescent="0.25">
      <c r="D1458" s="4"/>
      <c r="E1458" s="4"/>
      <c r="H1458" s="4"/>
      <c r="I1458" s="4"/>
    </row>
    <row r="1459" spans="4:9" x14ac:dyDescent="0.25">
      <c r="D1459" s="4"/>
      <c r="E1459" s="4"/>
      <c r="H1459" s="4"/>
      <c r="I1459" s="4"/>
    </row>
    <row r="1460" spans="4:9" x14ac:dyDescent="0.25">
      <c r="D1460" s="4"/>
      <c r="E1460" s="4"/>
      <c r="H1460" s="4"/>
      <c r="I1460" s="4"/>
    </row>
    <row r="1461" spans="4:9" x14ac:dyDescent="0.25">
      <c r="D1461" s="4"/>
      <c r="E1461" s="4"/>
      <c r="H1461" s="4"/>
      <c r="I1461" s="4"/>
    </row>
    <row r="1462" spans="4:9" x14ac:dyDescent="0.25">
      <c r="D1462" s="4"/>
      <c r="E1462" s="4"/>
      <c r="H1462" s="4"/>
      <c r="I1462" s="4"/>
    </row>
    <row r="1463" spans="4:9" x14ac:dyDescent="0.25">
      <c r="D1463" s="4"/>
      <c r="E1463" s="4"/>
      <c r="H1463" s="4"/>
      <c r="I1463" s="4"/>
    </row>
    <row r="1464" spans="4:9" x14ac:dyDescent="0.25">
      <c r="D1464" s="4"/>
      <c r="E1464" s="4"/>
      <c r="H1464" s="4"/>
      <c r="I1464" s="4"/>
    </row>
    <row r="1465" spans="4:9" x14ac:dyDescent="0.25">
      <c r="D1465" s="4"/>
      <c r="E1465" s="4"/>
      <c r="H1465" s="4"/>
      <c r="I1465" s="4"/>
    </row>
    <row r="1466" spans="4:9" x14ac:dyDescent="0.25">
      <c r="D1466" s="4"/>
      <c r="E1466" s="4"/>
      <c r="H1466" s="4"/>
      <c r="I1466" s="4"/>
    </row>
    <row r="1467" spans="4:9" x14ac:dyDescent="0.25">
      <c r="D1467" s="4"/>
      <c r="E1467" s="4"/>
      <c r="H1467" s="4"/>
      <c r="I1467" s="4"/>
    </row>
    <row r="1468" spans="4:9" x14ac:dyDescent="0.25">
      <c r="D1468" s="4"/>
      <c r="E1468" s="4"/>
      <c r="H1468" s="4"/>
      <c r="I1468" s="4"/>
    </row>
    <row r="1469" spans="4:9" x14ac:dyDescent="0.25">
      <c r="D1469" s="4"/>
      <c r="E1469" s="4"/>
      <c r="H1469" s="4"/>
      <c r="I1469" s="4"/>
    </row>
    <row r="1470" spans="4:9" x14ac:dyDescent="0.25">
      <c r="D1470" s="4"/>
      <c r="E1470" s="4"/>
      <c r="H1470" s="4"/>
      <c r="I1470" s="4"/>
    </row>
    <row r="1471" spans="4:9" x14ac:dyDescent="0.25">
      <c r="D1471" s="4"/>
      <c r="E1471" s="4"/>
      <c r="H1471" s="4"/>
      <c r="I1471" s="4"/>
    </row>
    <row r="1472" spans="4:9" x14ac:dyDescent="0.25">
      <c r="D1472" s="4"/>
      <c r="E1472" s="4"/>
      <c r="H1472" s="4"/>
      <c r="I1472" s="4"/>
    </row>
    <row r="1473" spans="4:9" x14ac:dyDescent="0.25">
      <c r="D1473" s="4"/>
      <c r="E1473" s="4"/>
      <c r="H1473" s="4"/>
      <c r="I1473" s="4"/>
    </row>
    <row r="1474" spans="4:9" x14ac:dyDescent="0.25">
      <c r="D1474" s="4"/>
      <c r="E1474" s="4"/>
      <c r="H1474" s="4"/>
      <c r="I1474" s="4"/>
    </row>
    <row r="1475" spans="4:9" x14ac:dyDescent="0.25">
      <c r="D1475" s="4"/>
      <c r="E1475" s="4"/>
      <c r="H1475" s="4"/>
      <c r="I1475" s="4"/>
    </row>
    <row r="1476" spans="4:9" x14ac:dyDescent="0.25">
      <c r="D1476" s="4"/>
      <c r="E1476" s="4"/>
      <c r="H1476" s="4"/>
      <c r="I1476" s="4"/>
    </row>
    <row r="1477" spans="4:9" x14ac:dyDescent="0.25">
      <c r="D1477" s="4"/>
      <c r="E1477" s="4"/>
      <c r="H1477" s="4"/>
      <c r="I1477" s="4"/>
    </row>
    <row r="1478" spans="4:9" x14ac:dyDescent="0.25">
      <c r="D1478" s="4"/>
      <c r="E1478" s="4"/>
      <c r="H1478" s="4"/>
      <c r="I1478" s="4"/>
    </row>
    <row r="1479" spans="4:9" x14ac:dyDescent="0.25">
      <c r="D1479" s="4"/>
      <c r="E1479" s="4"/>
      <c r="H1479" s="4"/>
      <c r="I1479" s="4"/>
    </row>
    <row r="1480" spans="4:9" x14ac:dyDescent="0.25">
      <c r="D1480" s="4"/>
      <c r="E1480" s="4"/>
      <c r="H1480" s="4"/>
      <c r="I1480" s="4"/>
    </row>
    <row r="1481" spans="4:9" x14ac:dyDescent="0.25">
      <c r="D1481" s="4"/>
      <c r="E1481" s="4"/>
      <c r="H1481" s="4"/>
      <c r="I1481" s="4"/>
    </row>
    <row r="1482" spans="4:9" x14ac:dyDescent="0.25">
      <c r="D1482" s="4"/>
      <c r="E1482" s="4"/>
      <c r="H1482" s="4"/>
      <c r="I1482" s="4"/>
    </row>
    <row r="1483" spans="4:9" x14ac:dyDescent="0.25">
      <c r="D1483" s="4"/>
      <c r="E1483" s="4"/>
      <c r="H1483" s="4"/>
      <c r="I1483" s="4"/>
    </row>
    <row r="1484" spans="4:9" x14ac:dyDescent="0.25">
      <c r="D1484" s="4"/>
      <c r="E1484" s="4"/>
      <c r="H1484" s="4"/>
      <c r="I1484" s="4"/>
    </row>
    <row r="1485" spans="4:9" x14ac:dyDescent="0.25">
      <c r="D1485" s="4"/>
      <c r="E1485" s="4"/>
      <c r="H1485" s="4"/>
      <c r="I1485" s="4"/>
    </row>
    <row r="1486" spans="4:9" x14ac:dyDescent="0.25">
      <c r="D1486" s="4"/>
      <c r="E1486" s="4"/>
      <c r="H1486" s="4"/>
      <c r="I1486" s="4"/>
    </row>
    <row r="1487" spans="4:9" x14ac:dyDescent="0.25">
      <c r="D1487" s="4"/>
      <c r="E1487" s="4"/>
      <c r="H1487" s="4"/>
      <c r="I1487" s="4"/>
    </row>
    <row r="1488" spans="4:9" x14ac:dyDescent="0.25">
      <c r="D1488" s="4"/>
      <c r="E1488" s="4"/>
      <c r="H1488" s="4"/>
      <c r="I1488" s="4"/>
    </row>
    <row r="1489" spans="4:9" x14ac:dyDescent="0.25">
      <c r="D1489" s="4"/>
      <c r="E1489" s="4"/>
      <c r="H1489" s="4"/>
      <c r="I1489" s="4"/>
    </row>
    <row r="1490" spans="4:9" x14ac:dyDescent="0.25">
      <c r="D1490" s="4"/>
      <c r="E1490" s="4"/>
      <c r="H1490" s="4"/>
      <c r="I1490" s="4"/>
    </row>
    <row r="1491" spans="4:9" x14ac:dyDescent="0.25">
      <c r="D1491" s="4"/>
      <c r="E1491" s="4"/>
      <c r="H1491" s="4"/>
      <c r="I1491" s="4"/>
    </row>
    <row r="1492" spans="4:9" x14ac:dyDescent="0.25">
      <c r="D1492" s="4"/>
      <c r="E1492" s="4"/>
      <c r="H1492" s="4"/>
      <c r="I1492" s="4"/>
    </row>
    <row r="1493" spans="4:9" x14ac:dyDescent="0.25">
      <c r="D1493" s="4"/>
      <c r="E1493" s="4"/>
      <c r="H1493" s="4"/>
      <c r="I1493" s="4"/>
    </row>
    <row r="1494" spans="4:9" x14ac:dyDescent="0.25">
      <c r="D1494" s="4"/>
      <c r="E1494" s="4"/>
      <c r="H1494" s="4"/>
      <c r="I1494" s="4"/>
    </row>
    <row r="1495" spans="4:9" x14ac:dyDescent="0.25">
      <c r="D1495" s="4"/>
      <c r="E1495" s="4"/>
      <c r="H1495" s="4"/>
      <c r="I1495" s="4"/>
    </row>
    <row r="1496" spans="4:9" x14ac:dyDescent="0.25">
      <c r="D1496" s="4"/>
      <c r="E1496" s="4"/>
      <c r="H1496" s="4"/>
      <c r="I1496" s="4"/>
    </row>
    <row r="1497" spans="4:9" x14ac:dyDescent="0.25">
      <c r="D1497" s="4"/>
      <c r="E1497" s="4"/>
      <c r="H1497" s="4"/>
      <c r="I1497" s="4"/>
    </row>
    <row r="1498" spans="4:9" x14ac:dyDescent="0.25">
      <c r="D1498" s="4"/>
      <c r="E1498" s="4"/>
      <c r="H1498" s="4"/>
      <c r="I1498" s="4"/>
    </row>
    <row r="1499" spans="4:9" x14ac:dyDescent="0.25">
      <c r="D1499" s="4"/>
      <c r="E1499" s="4"/>
      <c r="H1499" s="4"/>
      <c r="I1499" s="4"/>
    </row>
    <row r="1500" spans="4:9" x14ac:dyDescent="0.25">
      <c r="D1500" s="4"/>
      <c r="E1500" s="4"/>
      <c r="H1500" s="4"/>
      <c r="I1500" s="4"/>
    </row>
    <row r="1501" spans="4:9" x14ac:dyDescent="0.25">
      <c r="D1501" s="4"/>
      <c r="E1501" s="4"/>
      <c r="H1501" s="4"/>
      <c r="I1501" s="4"/>
    </row>
    <row r="1502" spans="4:9" x14ac:dyDescent="0.25">
      <c r="D1502" s="4"/>
      <c r="E1502" s="4"/>
      <c r="H1502" s="4"/>
      <c r="I1502" s="4"/>
    </row>
    <row r="1503" spans="4:9" x14ac:dyDescent="0.25">
      <c r="D1503" s="4"/>
      <c r="E1503" s="4"/>
      <c r="H1503" s="4"/>
      <c r="I1503" s="4"/>
    </row>
    <row r="1504" spans="4:9" x14ac:dyDescent="0.25">
      <c r="D1504" s="4"/>
      <c r="E1504" s="4"/>
      <c r="H1504" s="4"/>
      <c r="I1504" s="4"/>
    </row>
    <row r="1505" spans="4:9" x14ac:dyDescent="0.25">
      <c r="D1505" s="4"/>
      <c r="E1505" s="4"/>
      <c r="H1505" s="4"/>
      <c r="I1505" s="4"/>
    </row>
    <row r="1506" spans="4:9" x14ac:dyDescent="0.25">
      <c r="D1506" s="4"/>
      <c r="E1506" s="4"/>
      <c r="H1506" s="4"/>
      <c r="I1506" s="4"/>
    </row>
    <row r="1507" spans="4:9" x14ac:dyDescent="0.25">
      <c r="D1507" s="4"/>
      <c r="E1507" s="4"/>
      <c r="H1507" s="4"/>
      <c r="I1507" s="4"/>
    </row>
    <row r="1508" spans="4:9" x14ac:dyDescent="0.25">
      <c r="D1508" s="4"/>
      <c r="E1508" s="4"/>
      <c r="H1508" s="4"/>
      <c r="I1508" s="4"/>
    </row>
    <row r="1509" spans="4:9" x14ac:dyDescent="0.25">
      <c r="D1509" s="4"/>
      <c r="E1509" s="4"/>
      <c r="H1509" s="4"/>
      <c r="I1509" s="4"/>
    </row>
    <row r="1510" spans="4:9" x14ac:dyDescent="0.25">
      <c r="D1510" s="4"/>
      <c r="E1510" s="4"/>
      <c r="H1510" s="4"/>
      <c r="I1510" s="4"/>
    </row>
    <row r="1511" spans="4:9" x14ac:dyDescent="0.25">
      <c r="D1511" s="4"/>
      <c r="E1511" s="4"/>
      <c r="H1511" s="4"/>
      <c r="I1511" s="4"/>
    </row>
    <row r="1512" spans="4:9" x14ac:dyDescent="0.25">
      <c r="D1512" s="4"/>
      <c r="E1512" s="4"/>
      <c r="H1512" s="4"/>
      <c r="I1512" s="4"/>
    </row>
    <row r="1513" spans="4:9" x14ac:dyDescent="0.25">
      <c r="D1513" s="4"/>
      <c r="E1513" s="4"/>
      <c r="H1513" s="4"/>
      <c r="I1513" s="4"/>
    </row>
    <row r="1514" spans="4:9" x14ac:dyDescent="0.25">
      <c r="D1514" s="4"/>
      <c r="E1514" s="4"/>
      <c r="H1514" s="4"/>
      <c r="I1514" s="4"/>
    </row>
    <row r="1515" spans="4:9" x14ac:dyDescent="0.25">
      <c r="D1515" s="4"/>
      <c r="E1515" s="4"/>
      <c r="H1515" s="4"/>
      <c r="I1515" s="4"/>
    </row>
    <row r="1516" spans="4:9" x14ac:dyDescent="0.25">
      <c r="D1516" s="4"/>
      <c r="E1516" s="4"/>
      <c r="H1516" s="4"/>
      <c r="I1516" s="4"/>
    </row>
    <row r="1517" spans="4:9" x14ac:dyDescent="0.25">
      <c r="D1517" s="4"/>
      <c r="E1517" s="4"/>
      <c r="H1517" s="4"/>
      <c r="I1517" s="4"/>
    </row>
    <row r="1518" spans="4:9" x14ac:dyDescent="0.25">
      <c r="D1518" s="4"/>
      <c r="E1518" s="4"/>
      <c r="H1518" s="4"/>
      <c r="I1518" s="4"/>
    </row>
    <row r="1519" spans="4:9" x14ac:dyDescent="0.25">
      <c r="D1519" s="4"/>
      <c r="E1519" s="4"/>
      <c r="H1519" s="4"/>
      <c r="I1519" s="4"/>
    </row>
    <row r="1520" spans="4:9" x14ac:dyDescent="0.25">
      <c r="D1520" s="4"/>
      <c r="E1520" s="4"/>
      <c r="H1520" s="4"/>
      <c r="I1520" s="4"/>
    </row>
    <row r="1521" spans="4:9" x14ac:dyDescent="0.25">
      <c r="D1521" s="4"/>
      <c r="E1521" s="4"/>
      <c r="H1521" s="4"/>
      <c r="I1521" s="4"/>
    </row>
    <row r="1522" spans="4:9" x14ac:dyDescent="0.25">
      <c r="D1522" s="4"/>
      <c r="E1522" s="4"/>
      <c r="H1522" s="4"/>
      <c r="I1522" s="4"/>
    </row>
    <row r="1523" spans="4:9" x14ac:dyDescent="0.25">
      <c r="D1523" s="4"/>
      <c r="E1523" s="4"/>
      <c r="H1523" s="4"/>
      <c r="I1523" s="4"/>
    </row>
    <row r="1524" spans="4:9" x14ac:dyDescent="0.25">
      <c r="D1524" s="4"/>
      <c r="E1524" s="4"/>
      <c r="H1524" s="4"/>
      <c r="I1524" s="4"/>
    </row>
    <row r="1525" spans="4:9" x14ac:dyDescent="0.25">
      <c r="D1525" s="4"/>
      <c r="E1525" s="4"/>
      <c r="H1525" s="4"/>
      <c r="I1525" s="4"/>
    </row>
    <row r="1526" spans="4:9" x14ac:dyDescent="0.25">
      <c r="D1526" s="4"/>
      <c r="E1526" s="4"/>
      <c r="H1526" s="4"/>
      <c r="I1526" s="4"/>
    </row>
    <row r="1527" spans="4:9" x14ac:dyDescent="0.25">
      <c r="D1527" s="4"/>
      <c r="E1527" s="4"/>
      <c r="H1527" s="4"/>
      <c r="I1527" s="4"/>
    </row>
    <row r="1528" spans="4:9" x14ac:dyDescent="0.25">
      <c r="D1528" s="4"/>
      <c r="E1528" s="4"/>
      <c r="H1528" s="4"/>
      <c r="I1528" s="4"/>
    </row>
    <row r="1529" spans="4:9" x14ac:dyDescent="0.25">
      <c r="D1529" s="4"/>
      <c r="E1529" s="4"/>
      <c r="H1529" s="4"/>
      <c r="I1529" s="4"/>
    </row>
    <row r="1530" spans="4:9" x14ac:dyDescent="0.25">
      <c r="D1530" s="4"/>
      <c r="E1530" s="4"/>
      <c r="H1530" s="4"/>
      <c r="I1530" s="4"/>
    </row>
    <row r="1531" spans="4:9" x14ac:dyDescent="0.25">
      <c r="D1531" s="4"/>
      <c r="E1531" s="4"/>
      <c r="H1531" s="4"/>
      <c r="I1531" s="4"/>
    </row>
    <row r="1532" spans="4:9" x14ac:dyDescent="0.25">
      <c r="D1532" s="4"/>
      <c r="E1532" s="4"/>
      <c r="H1532" s="4"/>
      <c r="I1532" s="4"/>
    </row>
    <row r="1533" spans="4:9" x14ac:dyDescent="0.25">
      <c r="D1533" s="4"/>
      <c r="E1533" s="4"/>
      <c r="H1533" s="4"/>
      <c r="I1533" s="4"/>
    </row>
    <row r="1534" spans="4:9" x14ac:dyDescent="0.25">
      <c r="D1534" s="4"/>
      <c r="E1534" s="4"/>
      <c r="H1534" s="4"/>
      <c r="I1534" s="4"/>
    </row>
    <row r="1535" spans="4:9" x14ac:dyDescent="0.25">
      <c r="D1535" s="4"/>
      <c r="E1535" s="4"/>
      <c r="H1535" s="4"/>
      <c r="I1535" s="4"/>
    </row>
    <row r="1536" spans="4:9" x14ac:dyDescent="0.25">
      <c r="D1536" s="4"/>
      <c r="E1536" s="4"/>
      <c r="H1536" s="4"/>
      <c r="I1536" s="4"/>
    </row>
    <row r="1537" spans="4:9" x14ac:dyDescent="0.25">
      <c r="D1537" s="4"/>
      <c r="E1537" s="4"/>
      <c r="H1537" s="4"/>
      <c r="I1537" s="4"/>
    </row>
    <row r="1538" spans="4:9" x14ac:dyDescent="0.25">
      <c r="D1538" s="4"/>
      <c r="E1538" s="4"/>
      <c r="H1538" s="4"/>
      <c r="I1538" s="4"/>
    </row>
    <row r="1539" spans="4:9" x14ac:dyDescent="0.25">
      <c r="D1539" s="4"/>
      <c r="E1539" s="4"/>
      <c r="H1539" s="4"/>
      <c r="I1539" s="4"/>
    </row>
    <row r="1540" spans="4:9" x14ac:dyDescent="0.25">
      <c r="D1540" s="4"/>
      <c r="E1540" s="4"/>
      <c r="H1540" s="4"/>
      <c r="I1540" s="4"/>
    </row>
    <row r="1541" spans="4:9" x14ac:dyDescent="0.25">
      <c r="D1541" s="4"/>
      <c r="E1541" s="4"/>
      <c r="H1541" s="4"/>
      <c r="I1541" s="4"/>
    </row>
    <row r="1542" spans="4:9" x14ac:dyDescent="0.25">
      <c r="D1542" s="4"/>
      <c r="E1542" s="4"/>
      <c r="H1542" s="4"/>
      <c r="I1542" s="4"/>
    </row>
    <row r="1543" spans="4:9" x14ac:dyDescent="0.25">
      <c r="D1543" s="4"/>
      <c r="E1543" s="4"/>
      <c r="H1543" s="4"/>
      <c r="I1543" s="4"/>
    </row>
    <row r="1544" spans="4:9" x14ac:dyDescent="0.25">
      <c r="D1544" s="4"/>
      <c r="E1544" s="4"/>
      <c r="H1544" s="4"/>
      <c r="I1544" s="4"/>
    </row>
    <row r="1545" spans="4:9" x14ac:dyDescent="0.25">
      <c r="D1545" s="4"/>
      <c r="E1545" s="4"/>
      <c r="H1545" s="4"/>
      <c r="I1545" s="4"/>
    </row>
    <row r="1546" spans="4:9" x14ac:dyDescent="0.25">
      <c r="D1546" s="4"/>
      <c r="E1546" s="4"/>
      <c r="H1546" s="4"/>
      <c r="I1546" s="4"/>
    </row>
    <row r="1547" spans="4:9" x14ac:dyDescent="0.25">
      <c r="D1547" s="4"/>
      <c r="E1547" s="4"/>
      <c r="H1547" s="4"/>
      <c r="I1547" s="4"/>
    </row>
    <row r="1548" spans="4:9" x14ac:dyDescent="0.25">
      <c r="D1548" s="4"/>
      <c r="E1548" s="4"/>
      <c r="H1548" s="4"/>
      <c r="I1548" s="4"/>
    </row>
    <row r="1549" spans="4:9" x14ac:dyDescent="0.25">
      <c r="D1549" s="4"/>
      <c r="E1549" s="4"/>
      <c r="H1549" s="4"/>
      <c r="I1549" s="4"/>
    </row>
    <row r="1550" spans="4:9" x14ac:dyDescent="0.25">
      <c r="D1550" s="4"/>
      <c r="E1550" s="4"/>
      <c r="H1550" s="4"/>
      <c r="I1550" s="4"/>
    </row>
    <row r="1551" spans="4:9" x14ac:dyDescent="0.25">
      <c r="D1551" s="4"/>
      <c r="E1551" s="4"/>
      <c r="H1551" s="4"/>
      <c r="I1551" s="4"/>
    </row>
    <row r="1552" spans="4:9" x14ac:dyDescent="0.25">
      <c r="D1552" s="4"/>
      <c r="E1552" s="4"/>
      <c r="H1552" s="4"/>
      <c r="I1552" s="4"/>
    </row>
    <row r="1553" spans="4:9" x14ac:dyDescent="0.25">
      <c r="D1553" s="4"/>
      <c r="E1553" s="4"/>
      <c r="H1553" s="4"/>
      <c r="I1553" s="4"/>
    </row>
    <row r="1554" spans="4:9" x14ac:dyDescent="0.25">
      <c r="D1554" s="4"/>
      <c r="E1554" s="4"/>
      <c r="H1554" s="4"/>
      <c r="I1554" s="4"/>
    </row>
    <row r="1555" spans="4:9" x14ac:dyDescent="0.25">
      <c r="D1555" s="4"/>
      <c r="E1555" s="4"/>
      <c r="H1555" s="4"/>
      <c r="I1555" s="4"/>
    </row>
    <row r="1556" spans="4:9" x14ac:dyDescent="0.25">
      <c r="D1556" s="4"/>
      <c r="E1556" s="4"/>
      <c r="H1556" s="4"/>
      <c r="I1556" s="4"/>
    </row>
    <row r="1557" spans="4:9" x14ac:dyDescent="0.25">
      <c r="D1557" s="4"/>
      <c r="E1557" s="4"/>
      <c r="H1557" s="4"/>
      <c r="I1557" s="4"/>
    </row>
    <row r="1558" spans="4:9" x14ac:dyDescent="0.25">
      <c r="D1558" s="4"/>
      <c r="E1558" s="4"/>
      <c r="H1558" s="4"/>
      <c r="I1558" s="4"/>
    </row>
    <row r="1559" spans="4:9" x14ac:dyDescent="0.25">
      <c r="D1559" s="4"/>
      <c r="E1559" s="4"/>
      <c r="H1559" s="4"/>
      <c r="I1559" s="4"/>
    </row>
    <row r="1560" spans="4:9" x14ac:dyDescent="0.25">
      <c r="D1560" s="4"/>
      <c r="E1560" s="4"/>
      <c r="H1560" s="4"/>
      <c r="I1560" s="4"/>
    </row>
    <row r="1561" spans="4:9" x14ac:dyDescent="0.25">
      <c r="D1561" s="4"/>
      <c r="E1561" s="4"/>
      <c r="H1561" s="4"/>
      <c r="I1561" s="4"/>
    </row>
    <row r="1562" spans="4:9" x14ac:dyDescent="0.25">
      <c r="D1562" s="4"/>
      <c r="E1562" s="4"/>
      <c r="H1562" s="4"/>
      <c r="I1562" s="4"/>
    </row>
    <row r="1563" spans="4:9" x14ac:dyDescent="0.25">
      <c r="D1563" s="4"/>
      <c r="E1563" s="4"/>
      <c r="H1563" s="4"/>
      <c r="I1563" s="4"/>
    </row>
    <row r="1564" spans="4:9" x14ac:dyDescent="0.25">
      <c r="D1564" s="4"/>
      <c r="E1564" s="4"/>
      <c r="H1564" s="4"/>
      <c r="I1564" s="4"/>
    </row>
    <row r="1565" spans="4:9" x14ac:dyDescent="0.25">
      <c r="D1565" s="4"/>
      <c r="E1565" s="4"/>
      <c r="H1565" s="4"/>
      <c r="I1565" s="4"/>
    </row>
    <row r="1566" spans="4:9" x14ac:dyDescent="0.25">
      <c r="D1566" s="4"/>
      <c r="E1566" s="4"/>
      <c r="H1566" s="4"/>
      <c r="I1566" s="4"/>
    </row>
    <row r="1567" spans="4:9" x14ac:dyDescent="0.25">
      <c r="D1567" s="4"/>
      <c r="E1567" s="4"/>
      <c r="H1567" s="4"/>
      <c r="I1567" s="4"/>
    </row>
    <row r="1568" spans="4:9" x14ac:dyDescent="0.25">
      <c r="D1568" s="4"/>
      <c r="E1568" s="4"/>
      <c r="H1568" s="4"/>
      <c r="I1568" s="4"/>
    </row>
    <row r="1569" spans="4:9" x14ac:dyDescent="0.25">
      <c r="D1569" s="4"/>
      <c r="E1569" s="4"/>
      <c r="H1569" s="4"/>
      <c r="I1569" s="4"/>
    </row>
    <row r="1570" spans="4:9" x14ac:dyDescent="0.25">
      <c r="D1570" s="4"/>
      <c r="E1570" s="4"/>
      <c r="H1570" s="4"/>
      <c r="I1570" s="4"/>
    </row>
    <row r="1571" spans="4:9" x14ac:dyDescent="0.25">
      <c r="D1571" s="4"/>
      <c r="E1571" s="4"/>
      <c r="H1571" s="4"/>
      <c r="I1571" s="4"/>
    </row>
    <row r="1572" spans="4:9" x14ac:dyDescent="0.25">
      <c r="D1572" s="4"/>
      <c r="E1572" s="4"/>
      <c r="H1572" s="4"/>
      <c r="I1572" s="4"/>
    </row>
    <row r="1573" spans="4:9" x14ac:dyDescent="0.25">
      <c r="D1573" s="4"/>
      <c r="E1573" s="4"/>
      <c r="H1573" s="4"/>
      <c r="I1573" s="4"/>
    </row>
    <row r="1574" spans="4:9" x14ac:dyDescent="0.25">
      <c r="D1574" s="4"/>
      <c r="E1574" s="4"/>
      <c r="H1574" s="4"/>
      <c r="I1574" s="4"/>
    </row>
    <row r="1575" spans="4:9" x14ac:dyDescent="0.25">
      <c r="D1575" s="4"/>
      <c r="E1575" s="4"/>
      <c r="H1575" s="4"/>
      <c r="I1575" s="4"/>
    </row>
    <row r="1576" spans="4:9" x14ac:dyDescent="0.25">
      <c r="D1576" s="4"/>
      <c r="E1576" s="4"/>
      <c r="H1576" s="4"/>
      <c r="I1576" s="4"/>
    </row>
    <row r="1577" spans="4:9" x14ac:dyDescent="0.25">
      <c r="D1577" s="4"/>
      <c r="E1577" s="4"/>
      <c r="H1577" s="4"/>
      <c r="I1577" s="4"/>
    </row>
    <row r="1578" spans="4:9" x14ac:dyDescent="0.25">
      <c r="D1578" s="4"/>
      <c r="E1578" s="4"/>
      <c r="H1578" s="4"/>
      <c r="I1578" s="4"/>
    </row>
    <row r="1579" spans="4:9" x14ac:dyDescent="0.25">
      <c r="D1579" s="4"/>
      <c r="E1579" s="4"/>
      <c r="H1579" s="4"/>
      <c r="I1579" s="4"/>
    </row>
    <row r="1580" spans="4:9" x14ac:dyDescent="0.25">
      <c r="D1580" s="4"/>
      <c r="E1580" s="4"/>
      <c r="H1580" s="4"/>
      <c r="I1580" s="4"/>
    </row>
    <row r="1581" spans="4:9" x14ac:dyDescent="0.25">
      <c r="D1581" s="4"/>
      <c r="E1581" s="4"/>
      <c r="H1581" s="4"/>
      <c r="I1581" s="4"/>
    </row>
    <row r="1582" spans="4:9" x14ac:dyDescent="0.25">
      <c r="D1582" s="4"/>
      <c r="E1582" s="4"/>
      <c r="H1582" s="4"/>
      <c r="I1582" s="4"/>
    </row>
    <row r="1583" spans="4:9" x14ac:dyDescent="0.25">
      <c r="D1583" s="4"/>
      <c r="E1583" s="4"/>
      <c r="H1583" s="4"/>
      <c r="I1583" s="4"/>
    </row>
    <row r="1584" spans="4:9" x14ac:dyDescent="0.25">
      <c r="D1584" s="4"/>
      <c r="E1584" s="4"/>
      <c r="H1584" s="4"/>
      <c r="I1584" s="4"/>
    </row>
    <row r="1585" spans="4:9" x14ac:dyDescent="0.25">
      <c r="D1585" s="4"/>
      <c r="E1585" s="4"/>
      <c r="H1585" s="4"/>
      <c r="I1585" s="4"/>
    </row>
    <row r="1586" spans="4:9" x14ac:dyDescent="0.25">
      <c r="D1586" s="4"/>
      <c r="E1586" s="4"/>
      <c r="H1586" s="4"/>
      <c r="I1586" s="4"/>
    </row>
    <row r="1587" spans="4:9" x14ac:dyDescent="0.25">
      <c r="D1587" s="4"/>
      <c r="E1587" s="4"/>
      <c r="H1587" s="4"/>
      <c r="I1587" s="4"/>
    </row>
    <row r="1588" spans="4:9" x14ac:dyDescent="0.25">
      <c r="D1588" s="4"/>
      <c r="E1588" s="4"/>
      <c r="H1588" s="4"/>
      <c r="I1588" s="4"/>
    </row>
    <row r="1589" spans="4:9" x14ac:dyDescent="0.25">
      <c r="D1589" s="4"/>
      <c r="E1589" s="4"/>
      <c r="H1589" s="4"/>
      <c r="I1589" s="4"/>
    </row>
    <row r="1590" spans="4:9" x14ac:dyDescent="0.25">
      <c r="D1590" s="4"/>
      <c r="E1590" s="4"/>
      <c r="H1590" s="4"/>
      <c r="I1590" s="4"/>
    </row>
    <row r="1591" spans="4:9" x14ac:dyDescent="0.25">
      <c r="D1591" s="4"/>
      <c r="E1591" s="4"/>
      <c r="H1591" s="4"/>
      <c r="I1591" s="4"/>
    </row>
    <row r="1592" spans="4:9" x14ac:dyDescent="0.25">
      <c r="D1592" s="4"/>
      <c r="E1592" s="4"/>
      <c r="H1592" s="4"/>
      <c r="I1592" s="4"/>
    </row>
    <row r="1593" spans="4:9" x14ac:dyDescent="0.25">
      <c r="D1593" s="4"/>
      <c r="E1593" s="4"/>
      <c r="H1593" s="4"/>
      <c r="I1593" s="4"/>
    </row>
    <row r="1594" spans="4:9" x14ac:dyDescent="0.25">
      <c r="D1594" s="4"/>
      <c r="E1594" s="4"/>
      <c r="H1594" s="4"/>
      <c r="I1594" s="4"/>
    </row>
    <row r="1595" spans="4:9" x14ac:dyDescent="0.25">
      <c r="D1595" s="4"/>
      <c r="E1595" s="4"/>
      <c r="H1595" s="4"/>
      <c r="I1595" s="4"/>
    </row>
    <row r="1596" spans="4:9" x14ac:dyDescent="0.25">
      <c r="D1596" s="4"/>
      <c r="E1596" s="4"/>
      <c r="H1596" s="4"/>
      <c r="I1596" s="4"/>
    </row>
    <row r="1597" spans="4:9" x14ac:dyDescent="0.25">
      <c r="D1597" s="4"/>
      <c r="E1597" s="4"/>
      <c r="H1597" s="4"/>
      <c r="I1597" s="4"/>
    </row>
    <row r="1598" spans="4:9" x14ac:dyDescent="0.25">
      <c r="D1598" s="4"/>
      <c r="E1598" s="4"/>
      <c r="H1598" s="4"/>
      <c r="I1598" s="4"/>
    </row>
    <row r="1599" spans="4:9" x14ac:dyDescent="0.25">
      <c r="D1599" s="4"/>
      <c r="E1599" s="4"/>
      <c r="H1599" s="4"/>
      <c r="I1599" s="4"/>
    </row>
    <row r="1600" spans="4:9" x14ac:dyDescent="0.25">
      <c r="D1600" s="4"/>
      <c r="E1600" s="4"/>
      <c r="H1600" s="4"/>
      <c r="I1600" s="4"/>
    </row>
    <row r="1601" spans="4:9" x14ac:dyDescent="0.25">
      <c r="D1601" s="4"/>
      <c r="E1601" s="4"/>
      <c r="H1601" s="4"/>
      <c r="I1601" s="4"/>
    </row>
    <row r="1602" spans="4:9" x14ac:dyDescent="0.25">
      <c r="D1602" s="4"/>
      <c r="E1602" s="4"/>
      <c r="H1602" s="4"/>
      <c r="I1602" s="4"/>
    </row>
    <row r="1603" spans="4:9" x14ac:dyDescent="0.25">
      <c r="D1603" s="4"/>
      <c r="E1603" s="4"/>
      <c r="H1603" s="4"/>
      <c r="I1603" s="4"/>
    </row>
    <row r="1604" spans="4:9" x14ac:dyDescent="0.25">
      <c r="D1604" s="4"/>
      <c r="E1604" s="4"/>
      <c r="H1604" s="4"/>
      <c r="I1604" s="4"/>
    </row>
    <row r="1605" spans="4:9" x14ac:dyDescent="0.25">
      <c r="D1605" s="4"/>
      <c r="E1605" s="4"/>
      <c r="H1605" s="4"/>
      <c r="I1605" s="4"/>
    </row>
    <row r="1606" spans="4:9" x14ac:dyDescent="0.25">
      <c r="D1606" s="4"/>
      <c r="E1606" s="4"/>
      <c r="H1606" s="4"/>
      <c r="I1606" s="4"/>
    </row>
    <row r="1607" spans="4:9" x14ac:dyDescent="0.25">
      <c r="D1607" s="4"/>
      <c r="E1607" s="4"/>
      <c r="H1607" s="4"/>
      <c r="I1607" s="4"/>
    </row>
    <row r="1608" spans="4:9" x14ac:dyDescent="0.25">
      <c r="D1608" s="4"/>
      <c r="E1608" s="4"/>
      <c r="H1608" s="4"/>
      <c r="I1608" s="4"/>
    </row>
    <row r="1609" spans="4:9" x14ac:dyDescent="0.25">
      <c r="D1609" s="4"/>
      <c r="E1609" s="4"/>
      <c r="H1609" s="4"/>
      <c r="I1609" s="4"/>
    </row>
    <row r="1610" spans="4:9" x14ac:dyDescent="0.25">
      <c r="D1610" s="4"/>
      <c r="E1610" s="4"/>
      <c r="H1610" s="4"/>
      <c r="I1610" s="4"/>
    </row>
    <row r="1611" spans="4:9" x14ac:dyDescent="0.25">
      <c r="D1611" s="4"/>
      <c r="E1611" s="4"/>
      <c r="H1611" s="4"/>
      <c r="I1611" s="4"/>
    </row>
    <row r="1612" spans="4:9" x14ac:dyDescent="0.25">
      <c r="D1612" s="4"/>
      <c r="E1612" s="4"/>
      <c r="H1612" s="4"/>
      <c r="I1612" s="4"/>
    </row>
    <row r="1613" spans="4:9" x14ac:dyDescent="0.25">
      <c r="D1613" s="4"/>
      <c r="E1613" s="4"/>
      <c r="H1613" s="4"/>
      <c r="I1613" s="4"/>
    </row>
    <row r="1614" spans="4:9" x14ac:dyDescent="0.25">
      <c r="D1614" s="4"/>
      <c r="E1614" s="4"/>
      <c r="H1614" s="4"/>
      <c r="I1614" s="4"/>
    </row>
    <row r="1615" spans="4:9" x14ac:dyDescent="0.25">
      <c r="D1615" s="4"/>
      <c r="E1615" s="4"/>
      <c r="H1615" s="4"/>
      <c r="I1615" s="4"/>
    </row>
    <row r="1616" spans="4:9" x14ac:dyDescent="0.25">
      <c r="D1616" s="4"/>
      <c r="E1616" s="4"/>
      <c r="H1616" s="4"/>
      <c r="I1616" s="4"/>
    </row>
    <row r="1617" spans="4:9" x14ac:dyDescent="0.25">
      <c r="D1617" s="4"/>
      <c r="E1617" s="4"/>
      <c r="H1617" s="4"/>
      <c r="I1617" s="4"/>
    </row>
    <row r="1618" spans="4:9" x14ac:dyDescent="0.25">
      <c r="D1618" s="4"/>
      <c r="E1618" s="4"/>
      <c r="H1618" s="4"/>
      <c r="I1618" s="4"/>
    </row>
    <row r="1619" spans="4:9" x14ac:dyDescent="0.25">
      <c r="D1619" s="4"/>
      <c r="E1619" s="4"/>
      <c r="H1619" s="4"/>
      <c r="I1619" s="4"/>
    </row>
    <row r="1620" spans="4:9" x14ac:dyDescent="0.25">
      <c r="D1620" s="4"/>
      <c r="E1620" s="4"/>
      <c r="H1620" s="4"/>
      <c r="I1620" s="4"/>
    </row>
    <row r="1621" spans="4:9" x14ac:dyDescent="0.25">
      <c r="D1621" s="4"/>
      <c r="E1621" s="4"/>
      <c r="H1621" s="4"/>
      <c r="I1621" s="4"/>
    </row>
    <row r="1622" spans="4:9" x14ac:dyDescent="0.25">
      <c r="D1622" s="4"/>
      <c r="E1622" s="4"/>
      <c r="H1622" s="4"/>
      <c r="I1622" s="4"/>
    </row>
    <row r="1623" spans="4:9" x14ac:dyDescent="0.25">
      <c r="D1623" s="4"/>
      <c r="E1623" s="4"/>
      <c r="H1623" s="4"/>
      <c r="I1623" s="4"/>
    </row>
    <row r="1624" spans="4:9" x14ac:dyDescent="0.25">
      <c r="D1624" s="4"/>
      <c r="E1624" s="4"/>
      <c r="H1624" s="4"/>
      <c r="I1624" s="4"/>
    </row>
    <row r="1625" spans="4:9" x14ac:dyDescent="0.25">
      <c r="D1625" s="4"/>
      <c r="E1625" s="4"/>
      <c r="H1625" s="4"/>
      <c r="I1625" s="4"/>
    </row>
    <row r="1626" spans="4:9" x14ac:dyDescent="0.25">
      <c r="D1626" s="4"/>
      <c r="E1626" s="4"/>
      <c r="H1626" s="4"/>
      <c r="I1626" s="4"/>
    </row>
    <row r="1627" spans="4:9" x14ac:dyDescent="0.25">
      <c r="D1627" s="4"/>
      <c r="E1627" s="4"/>
      <c r="H1627" s="4"/>
      <c r="I1627" s="4"/>
    </row>
    <row r="1628" spans="4:9" x14ac:dyDescent="0.25">
      <c r="D1628" s="4"/>
      <c r="E1628" s="4"/>
      <c r="H1628" s="4"/>
      <c r="I1628" s="4"/>
    </row>
    <row r="1629" spans="4:9" x14ac:dyDescent="0.25">
      <c r="D1629" s="4"/>
      <c r="E1629" s="4"/>
      <c r="H1629" s="4"/>
      <c r="I1629" s="4"/>
    </row>
    <row r="1630" spans="4:9" x14ac:dyDescent="0.25">
      <c r="D1630" s="4"/>
      <c r="E1630" s="4"/>
      <c r="H1630" s="4"/>
      <c r="I1630" s="4"/>
    </row>
    <row r="1631" spans="4:9" x14ac:dyDescent="0.25">
      <c r="D1631" s="4"/>
      <c r="E1631" s="4"/>
      <c r="H1631" s="4"/>
      <c r="I1631" s="4"/>
    </row>
    <row r="1632" spans="4:9" x14ac:dyDescent="0.25">
      <c r="D1632" s="4"/>
      <c r="E1632" s="4"/>
      <c r="H1632" s="4"/>
      <c r="I1632" s="4"/>
    </row>
    <row r="1633" spans="4:9" x14ac:dyDescent="0.25">
      <c r="D1633" s="4"/>
      <c r="E1633" s="4"/>
      <c r="H1633" s="4"/>
      <c r="I1633" s="4"/>
    </row>
    <row r="1634" spans="4:9" x14ac:dyDescent="0.25">
      <c r="D1634" s="4"/>
      <c r="E1634" s="4"/>
      <c r="H1634" s="4"/>
      <c r="I1634" s="4"/>
    </row>
    <row r="1635" spans="4:9" x14ac:dyDescent="0.25">
      <c r="D1635" s="4"/>
      <c r="E1635" s="4"/>
      <c r="H1635" s="4"/>
      <c r="I1635" s="4"/>
    </row>
    <row r="1636" spans="4:9" x14ac:dyDescent="0.25">
      <c r="D1636" s="4"/>
      <c r="E1636" s="4"/>
      <c r="H1636" s="4"/>
      <c r="I1636" s="4"/>
    </row>
    <row r="1637" spans="4:9" x14ac:dyDescent="0.25">
      <c r="D1637" s="4"/>
      <c r="E1637" s="4"/>
      <c r="H1637" s="4"/>
      <c r="I1637" s="4"/>
    </row>
    <row r="1638" spans="4:9" x14ac:dyDescent="0.25">
      <c r="D1638" s="4"/>
      <c r="E1638" s="4"/>
      <c r="H1638" s="4"/>
      <c r="I1638" s="4"/>
    </row>
    <row r="1639" spans="4:9" x14ac:dyDescent="0.25">
      <c r="D1639" s="4"/>
      <c r="E1639" s="4"/>
      <c r="H1639" s="4"/>
      <c r="I1639" s="4"/>
    </row>
    <row r="1640" spans="4:9" x14ac:dyDescent="0.25">
      <c r="D1640" s="4"/>
      <c r="E1640" s="4"/>
      <c r="H1640" s="4"/>
      <c r="I1640" s="4"/>
    </row>
    <row r="1641" spans="4:9" x14ac:dyDescent="0.25">
      <c r="D1641" s="4"/>
      <c r="E1641" s="4"/>
      <c r="H1641" s="4"/>
      <c r="I1641" s="4"/>
    </row>
    <row r="1642" spans="4:9" x14ac:dyDescent="0.25">
      <c r="D1642" s="4"/>
      <c r="E1642" s="4"/>
      <c r="H1642" s="4"/>
      <c r="I1642" s="4"/>
    </row>
    <row r="1643" spans="4:9" x14ac:dyDescent="0.25">
      <c r="D1643" s="4"/>
      <c r="E1643" s="4"/>
      <c r="H1643" s="4"/>
      <c r="I1643" s="4"/>
    </row>
    <row r="1644" spans="4:9" x14ac:dyDescent="0.25">
      <c r="D1644" s="4"/>
      <c r="E1644" s="4"/>
      <c r="H1644" s="4"/>
      <c r="I1644" s="4"/>
    </row>
    <row r="1645" spans="4:9" x14ac:dyDescent="0.25">
      <c r="D1645" s="4"/>
      <c r="E1645" s="4"/>
      <c r="H1645" s="4"/>
      <c r="I1645" s="4"/>
    </row>
    <row r="1646" spans="4:9" x14ac:dyDescent="0.25">
      <c r="D1646" s="4"/>
      <c r="E1646" s="4"/>
      <c r="H1646" s="4"/>
      <c r="I1646" s="4"/>
    </row>
    <row r="1647" spans="4:9" x14ac:dyDescent="0.25">
      <c r="D1647" s="4"/>
      <c r="E1647" s="4"/>
      <c r="H1647" s="4"/>
      <c r="I1647" s="4"/>
    </row>
    <row r="1648" spans="4:9" x14ac:dyDescent="0.25">
      <c r="D1648" s="4"/>
      <c r="E1648" s="4"/>
      <c r="H1648" s="4"/>
      <c r="I1648" s="4"/>
    </row>
    <row r="1649" spans="4:9" x14ac:dyDescent="0.25">
      <c r="D1649" s="4"/>
      <c r="E1649" s="4"/>
      <c r="H1649" s="4"/>
      <c r="I1649" s="4"/>
    </row>
    <row r="1650" spans="4:9" x14ac:dyDescent="0.25">
      <c r="D1650" s="4"/>
      <c r="E1650" s="4"/>
      <c r="H1650" s="4"/>
      <c r="I1650" s="4"/>
    </row>
    <row r="1651" spans="4:9" x14ac:dyDescent="0.25">
      <c r="D1651" s="4"/>
      <c r="E1651" s="4"/>
      <c r="H1651" s="4"/>
      <c r="I1651" s="4"/>
    </row>
    <row r="1652" spans="4:9" x14ac:dyDescent="0.25">
      <c r="D1652" s="4"/>
      <c r="E1652" s="4"/>
      <c r="H1652" s="4"/>
      <c r="I1652" s="4"/>
    </row>
    <row r="1653" spans="4:9" x14ac:dyDescent="0.25">
      <c r="D1653" s="4"/>
      <c r="E1653" s="4"/>
      <c r="H1653" s="4"/>
      <c r="I1653" s="4"/>
    </row>
    <row r="1654" spans="4:9" x14ac:dyDescent="0.25">
      <c r="D1654" s="4"/>
      <c r="E1654" s="4"/>
      <c r="H1654" s="4"/>
      <c r="I1654" s="4"/>
    </row>
    <row r="1655" spans="4:9" x14ac:dyDescent="0.25">
      <c r="D1655" s="4"/>
      <c r="E1655" s="4"/>
      <c r="H1655" s="4"/>
      <c r="I1655" s="4"/>
    </row>
    <row r="1656" spans="4:9" x14ac:dyDescent="0.25">
      <c r="D1656" s="4"/>
      <c r="E1656" s="4"/>
      <c r="H1656" s="4"/>
      <c r="I1656" s="4"/>
    </row>
    <row r="1657" spans="4:9" x14ac:dyDescent="0.25">
      <c r="D1657" s="4"/>
      <c r="E1657" s="4"/>
      <c r="H1657" s="4"/>
      <c r="I1657" s="4"/>
    </row>
    <row r="1658" spans="4:9" x14ac:dyDescent="0.25">
      <c r="D1658" s="4"/>
      <c r="E1658" s="4"/>
      <c r="H1658" s="4"/>
      <c r="I1658" s="4"/>
    </row>
    <row r="1659" spans="4:9" x14ac:dyDescent="0.25">
      <c r="D1659" s="4"/>
      <c r="E1659" s="4"/>
      <c r="H1659" s="4"/>
      <c r="I1659" s="4"/>
    </row>
    <row r="1660" spans="4:9" x14ac:dyDescent="0.25">
      <c r="D1660" s="4"/>
      <c r="E1660" s="4"/>
      <c r="H1660" s="4"/>
      <c r="I1660" s="4"/>
    </row>
    <row r="1661" spans="4:9" x14ac:dyDescent="0.25">
      <c r="D1661" s="4"/>
      <c r="E1661" s="4"/>
      <c r="H1661" s="4"/>
      <c r="I1661" s="4"/>
    </row>
    <row r="1662" spans="4:9" x14ac:dyDescent="0.25">
      <c r="D1662" s="4"/>
      <c r="E1662" s="4"/>
      <c r="H1662" s="4"/>
      <c r="I1662" s="4"/>
    </row>
    <row r="1663" spans="4:9" x14ac:dyDescent="0.25">
      <c r="D1663" s="4"/>
      <c r="E1663" s="4"/>
      <c r="H1663" s="4"/>
      <c r="I1663" s="4"/>
    </row>
    <row r="1664" spans="4:9" x14ac:dyDescent="0.25">
      <c r="D1664" s="4"/>
      <c r="E1664" s="4"/>
      <c r="H1664" s="4"/>
      <c r="I1664" s="4"/>
    </row>
    <row r="1665" spans="4:9" x14ac:dyDescent="0.25">
      <c r="D1665" s="4"/>
      <c r="E1665" s="4"/>
      <c r="H1665" s="4"/>
      <c r="I1665" s="4"/>
    </row>
    <row r="1666" spans="4:9" x14ac:dyDescent="0.25">
      <c r="D1666" s="4"/>
      <c r="E1666" s="4"/>
      <c r="H1666" s="4"/>
      <c r="I1666" s="4"/>
    </row>
    <row r="1667" spans="4:9" x14ac:dyDescent="0.25">
      <c r="D1667" s="4"/>
      <c r="E1667" s="4"/>
      <c r="H1667" s="4"/>
      <c r="I1667" s="4"/>
    </row>
    <row r="1668" spans="4:9" x14ac:dyDescent="0.25">
      <c r="D1668" s="4"/>
      <c r="E1668" s="4"/>
      <c r="H1668" s="4"/>
      <c r="I1668" s="4"/>
    </row>
    <row r="1669" spans="4:9" x14ac:dyDescent="0.25">
      <c r="D1669" s="4"/>
      <c r="E1669" s="4"/>
      <c r="H1669" s="4"/>
      <c r="I1669" s="4"/>
    </row>
    <row r="1670" spans="4:9" x14ac:dyDescent="0.25">
      <c r="D1670" s="4"/>
      <c r="E1670" s="4"/>
      <c r="H1670" s="4"/>
      <c r="I1670" s="4"/>
    </row>
    <row r="1671" spans="4:9" x14ac:dyDescent="0.25">
      <c r="D1671" s="4"/>
      <c r="E1671" s="4"/>
      <c r="H1671" s="4"/>
      <c r="I1671" s="4"/>
    </row>
    <row r="1672" spans="4:9" x14ac:dyDescent="0.25">
      <c r="D1672" s="4"/>
      <c r="E1672" s="4"/>
      <c r="H1672" s="4"/>
      <c r="I1672" s="4"/>
    </row>
    <row r="1673" spans="4:9" x14ac:dyDescent="0.25">
      <c r="D1673" s="4"/>
      <c r="E1673" s="4"/>
      <c r="H1673" s="4"/>
      <c r="I1673" s="4"/>
    </row>
    <row r="1674" spans="4:9" x14ac:dyDescent="0.25">
      <c r="D1674" s="4"/>
      <c r="E1674" s="4"/>
      <c r="H1674" s="4"/>
      <c r="I1674" s="4"/>
    </row>
    <row r="1675" spans="4:9" x14ac:dyDescent="0.25">
      <c r="D1675" s="4"/>
      <c r="E1675" s="4"/>
      <c r="H1675" s="4"/>
      <c r="I1675" s="4"/>
    </row>
    <row r="1676" spans="4:9" x14ac:dyDescent="0.25">
      <c r="D1676" s="4"/>
      <c r="E1676" s="4"/>
      <c r="H1676" s="4"/>
      <c r="I1676" s="4"/>
    </row>
    <row r="1677" spans="4:9" x14ac:dyDescent="0.25">
      <c r="D1677" s="4"/>
      <c r="E1677" s="4"/>
      <c r="H1677" s="4"/>
      <c r="I1677" s="4"/>
    </row>
    <row r="1678" spans="4:9" x14ac:dyDescent="0.25">
      <c r="D1678" s="4"/>
      <c r="E1678" s="4"/>
      <c r="H1678" s="4"/>
      <c r="I1678" s="4"/>
    </row>
    <row r="1679" spans="4:9" x14ac:dyDescent="0.25">
      <c r="D1679" s="4"/>
      <c r="E1679" s="4"/>
      <c r="H1679" s="4"/>
      <c r="I1679" s="4"/>
    </row>
    <row r="1680" spans="4:9" x14ac:dyDescent="0.25">
      <c r="D1680" s="4"/>
      <c r="E1680" s="4"/>
      <c r="H1680" s="4"/>
      <c r="I1680" s="4"/>
    </row>
    <row r="1681" spans="4:9" x14ac:dyDescent="0.25">
      <c r="D1681" s="4"/>
      <c r="E1681" s="4"/>
      <c r="H1681" s="4"/>
      <c r="I1681" s="4"/>
    </row>
    <row r="1682" spans="4:9" x14ac:dyDescent="0.25">
      <c r="D1682" s="4"/>
      <c r="E1682" s="4"/>
      <c r="H1682" s="4"/>
      <c r="I1682" s="4"/>
    </row>
    <row r="1683" spans="4:9" x14ac:dyDescent="0.25">
      <c r="D1683" s="4"/>
      <c r="E1683" s="4"/>
      <c r="H1683" s="4"/>
      <c r="I1683" s="4"/>
    </row>
    <row r="1684" spans="4:9" x14ac:dyDescent="0.25">
      <c r="D1684" s="4"/>
      <c r="E1684" s="4"/>
      <c r="H1684" s="4"/>
      <c r="I1684" s="4"/>
    </row>
    <row r="1685" spans="4:9" x14ac:dyDescent="0.25">
      <c r="D1685" s="4"/>
      <c r="E1685" s="4"/>
      <c r="H1685" s="4"/>
      <c r="I1685" s="4"/>
    </row>
    <row r="1686" spans="4:9" x14ac:dyDescent="0.25">
      <c r="D1686" s="4"/>
      <c r="E1686" s="4"/>
      <c r="H1686" s="4"/>
      <c r="I1686" s="4"/>
    </row>
    <row r="1687" spans="4:9" x14ac:dyDescent="0.25">
      <c r="D1687" s="4"/>
      <c r="E1687" s="4"/>
      <c r="H1687" s="4"/>
      <c r="I1687" s="4"/>
    </row>
    <row r="1688" spans="4:9" x14ac:dyDescent="0.25">
      <c r="D1688" s="4"/>
      <c r="E1688" s="4"/>
      <c r="H1688" s="4"/>
      <c r="I1688" s="4"/>
    </row>
    <row r="1689" spans="4:9" x14ac:dyDescent="0.25">
      <c r="D1689" s="4"/>
      <c r="E1689" s="4"/>
      <c r="H1689" s="4"/>
      <c r="I1689" s="4"/>
    </row>
    <row r="1690" spans="4:9" x14ac:dyDescent="0.25">
      <c r="D1690" s="4"/>
      <c r="E1690" s="4"/>
      <c r="H1690" s="4"/>
      <c r="I1690" s="4"/>
    </row>
    <row r="1691" spans="4:9" x14ac:dyDescent="0.25">
      <c r="D1691" s="4"/>
      <c r="E1691" s="4"/>
      <c r="H1691" s="4"/>
      <c r="I1691" s="4"/>
    </row>
  </sheetData>
  <mergeCells count="25">
    <mergeCell ref="AP5:AQ5"/>
    <mergeCell ref="A5:A7"/>
    <mergeCell ref="AB5:AC5"/>
    <mergeCell ref="AN5:AO5"/>
    <mergeCell ref="Z5:AA5"/>
    <mergeCell ref="AF5:AG5"/>
    <mergeCell ref="AH5:AI5"/>
    <mergeCell ref="AJ5:AK5"/>
    <mergeCell ref="AL5:AM5"/>
    <mergeCell ref="A2:AO2"/>
    <mergeCell ref="A3:AO3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X5:Y5"/>
    <mergeCell ref="B5:C5"/>
    <mergeCell ref="A4:AO4"/>
    <mergeCell ref="D5:E5"/>
    <mergeCell ref="AD5:AE5"/>
  </mergeCells>
  <hyperlinks>
    <hyperlink ref="AQ2" location="CONTENTS!B36" display="Å CONTENTS" xr:uid="{00000000-0004-0000-0A00-000000000000}"/>
  </hyperlinks>
  <printOptions horizontalCentered="1" verticalCentered="1"/>
  <pageMargins left="0.23622047244094491" right="0.35433070866141736" top="0.27559055118110237" bottom="0.62992125984251968" header="0" footer="0.51181102362204722"/>
  <pageSetup scale="63" orientation="portrait" r:id="rId1"/>
  <headerFooter alignWithMargins="0"/>
  <rowBreaks count="1" manualBreakCount="1">
    <brk id="77" max="16383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1">
    <tabColor theme="3"/>
  </sheetPr>
  <dimension ref="A1:AN386"/>
  <sheetViews>
    <sheetView showGridLines="0" zoomScaleNormal="100" workbookViewId="0">
      <selection activeCell="B5" sqref="B5"/>
    </sheetView>
  </sheetViews>
  <sheetFormatPr baseColWidth="10" defaultColWidth="11.44140625" defaultRowHeight="13.2" x14ac:dyDescent="0.25"/>
  <cols>
    <col min="1" max="1" width="5" style="585" customWidth="1"/>
    <col min="2" max="2" width="24.88671875" style="621" bestFit="1" customWidth="1"/>
    <col min="3" max="3" width="16.33203125" style="621" customWidth="1"/>
    <col min="4" max="4" width="14.6640625" style="621" customWidth="1"/>
    <col min="5" max="5" width="13.88671875" style="621" bestFit="1" customWidth="1"/>
    <col min="6" max="6" width="12.88671875" style="621" customWidth="1"/>
    <col min="7" max="7" width="13.44140625" style="621" customWidth="1"/>
    <col min="8" max="8" width="12.33203125" style="621" bestFit="1" customWidth="1"/>
    <col min="9" max="9" width="16.33203125" style="621" customWidth="1"/>
    <col min="10" max="11" width="12.44140625" style="621" customWidth="1"/>
    <col min="12" max="12" width="12.6640625" style="621" bestFit="1" customWidth="1"/>
    <col min="13" max="13" width="12.88671875" style="621" customWidth="1"/>
    <col min="14" max="14" width="12.6640625" style="621" bestFit="1" customWidth="1"/>
    <col min="15" max="15" width="10.6640625" style="621" bestFit="1" customWidth="1"/>
    <col min="16" max="16" width="8.33203125" style="621" customWidth="1"/>
    <col min="17" max="17" width="8.88671875" style="621" customWidth="1"/>
    <col min="18" max="18" width="12.6640625" style="621" bestFit="1" customWidth="1"/>
    <col min="19" max="19" width="16.5546875" style="621" customWidth="1"/>
    <col min="20" max="20" width="12.88671875" style="621" bestFit="1" customWidth="1"/>
    <col min="21" max="21" width="7" style="621" customWidth="1"/>
    <col min="22" max="22" width="8.6640625" style="621" bestFit="1" customWidth="1"/>
    <col min="23" max="24" width="11.5546875" style="621" bestFit="1" customWidth="1"/>
    <col min="25" max="16384" width="11.44140625" style="621"/>
  </cols>
  <sheetData>
    <row r="1" spans="2:15" s="130" customFormat="1" x14ac:dyDescent="0.25">
      <c r="B1" s="585"/>
      <c r="C1" s="585"/>
      <c r="D1" s="585"/>
      <c r="E1" s="585"/>
      <c r="F1" s="585"/>
      <c r="G1" s="585"/>
      <c r="H1" s="585"/>
      <c r="I1" s="585"/>
      <c r="J1" s="585"/>
      <c r="K1" s="585"/>
      <c r="L1" s="585"/>
      <c r="M1" s="585"/>
      <c r="N1" s="585"/>
      <c r="O1" s="585"/>
    </row>
    <row r="2" spans="2:15" s="130" customFormat="1" ht="30" customHeight="1" x14ac:dyDescent="0.25">
      <c r="B2" s="829" t="s">
        <v>186</v>
      </c>
      <c r="C2" s="829"/>
      <c r="D2" s="829"/>
      <c r="E2" s="829"/>
      <c r="F2" s="829"/>
      <c r="G2" s="829"/>
      <c r="H2" s="829"/>
      <c r="I2" s="829"/>
      <c r="J2" s="829"/>
      <c r="K2" s="829"/>
      <c r="L2" s="829"/>
      <c r="M2" s="829"/>
      <c r="N2" s="830"/>
      <c r="O2" s="316" t="s">
        <v>43</v>
      </c>
    </row>
    <row r="3" spans="2:15" s="130" customFormat="1" x14ac:dyDescent="0.25">
      <c r="B3" s="585"/>
      <c r="C3" s="585"/>
      <c r="D3" s="585"/>
      <c r="E3" s="585"/>
      <c r="F3" s="585"/>
      <c r="G3" s="585"/>
      <c r="H3" s="585"/>
      <c r="I3" s="585"/>
      <c r="J3" s="585"/>
      <c r="K3" s="585"/>
      <c r="L3" s="585"/>
      <c r="M3" s="585"/>
      <c r="N3" s="585"/>
      <c r="O3" s="585"/>
    </row>
    <row r="4" spans="2:15" s="130" customFormat="1" x14ac:dyDescent="0.25">
      <c r="B4" s="585"/>
      <c r="C4" s="11"/>
      <c r="D4" s="585"/>
      <c r="E4" s="585"/>
      <c r="F4" s="585"/>
      <c r="G4" s="585"/>
      <c r="H4" s="585"/>
      <c r="I4" s="585"/>
      <c r="J4" s="585"/>
      <c r="K4" s="585"/>
      <c r="L4" s="585"/>
      <c r="M4" s="585"/>
      <c r="N4" s="585"/>
      <c r="O4" s="585"/>
    </row>
    <row r="5" spans="2:15" s="130" customFormat="1" x14ac:dyDescent="0.25">
      <c r="B5" s="585"/>
      <c r="C5" s="11"/>
      <c r="D5" s="585"/>
      <c r="E5" s="585"/>
      <c r="F5" s="585"/>
      <c r="G5" s="585"/>
      <c r="H5" s="585"/>
      <c r="I5" s="585"/>
      <c r="J5" s="585"/>
      <c r="K5" s="585"/>
      <c r="L5" s="585"/>
      <c r="M5" s="585"/>
      <c r="N5" s="585"/>
      <c r="O5" s="585"/>
    </row>
    <row r="6" spans="2:15" s="130" customFormat="1" ht="13.8" x14ac:dyDescent="0.25">
      <c r="B6" s="585"/>
      <c r="C6" s="788" t="s">
        <v>126</v>
      </c>
      <c r="D6" s="788"/>
      <c r="E6" s="788"/>
      <c r="F6" s="788"/>
      <c r="G6" s="788"/>
      <c r="H6" s="585"/>
      <c r="I6" s="788" t="s">
        <v>127</v>
      </c>
      <c r="J6" s="788"/>
      <c r="K6" s="788"/>
      <c r="L6" s="788"/>
      <c r="M6" s="788"/>
      <c r="N6" s="585"/>
      <c r="O6" s="585"/>
    </row>
    <row r="7" spans="2:15" s="130" customFormat="1" ht="13.8" x14ac:dyDescent="0.25">
      <c r="B7" s="585"/>
      <c r="C7" s="788" t="s">
        <v>218</v>
      </c>
      <c r="D7" s="788"/>
      <c r="E7" s="788"/>
      <c r="F7" s="788"/>
      <c r="G7" s="788"/>
      <c r="H7" s="585"/>
      <c r="I7" s="788" t="str">
        <f>+C7</f>
        <v>Public Debt of the Central Goverment of Costa Rica</v>
      </c>
      <c r="J7" s="788"/>
      <c r="K7" s="788"/>
      <c r="L7" s="788"/>
      <c r="M7" s="788"/>
      <c r="N7" s="750"/>
      <c r="O7" s="750"/>
    </row>
    <row r="8" spans="2:15" s="130" customFormat="1" ht="13.8" x14ac:dyDescent="0.25">
      <c r="B8" s="585"/>
      <c r="C8" s="788" t="s">
        <v>189</v>
      </c>
      <c r="D8" s="788"/>
      <c r="E8" s="788"/>
      <c r="F8" s="788"/>
      <c r="G8" s="788"/>
      <c r="H8" s="585"/>
      <c r="I8" s="788" t="s">
        <v>129</v>
      </c>
      <c r="J8" s="788"/>
      <c r="K8" s="788"/>
      <c r="L8" s="788"/>
      <c r="M8" s="788"/>
      <c r="N8" s="750"/>
      <c r="O8" s="750"/>
    </row>
    <row r="9" spans="2:15" s="130" customFormat="1" ht="13.8" x14ac:dyDescent="0.25">
      <c r="B9" s="585"/>
      <c r="C9" s="787" t="s">
        <v>66</v>
      </c>
      <c r="D9" s="787"/>
      <c r="E9" s="787"/>
      <c r="F9" s="787"/>
      <c r="G9" s="787"/>
      <c r="H9" s="585"/>
      <c r="I9" s="787" t="str">
        <f>C9</f>
        <v>December 2020</v>
      </c>
      <c r="J9" s="788"/>
      <c r="K9" s="788"/>
      <c r="L9" s="788"/>
      <c r="M9" s="788"/>
      <c r="N9" s="749"/>
      <c r="O9" s="749"/>
    </row>
    <row r="10" spans="2:15" s="130" customFormat="1" x14ac:dyDescent="0.25">
      <c r="B10" s="585"/>
      <c r="C10" s="585"/>
      <c r="D10" s="585"/>
      <c r="E10" s="585"/>
      <c r="F10" s="585"/>
      <c r="G10" s="585"/>
      <c r="H10" s="585"/>
      <c r="I10" s="585"/>
      <c r="J10" s="585"/>
      <c r="K10" s="585"/>
      <c r="L10" s="585"/>
      <c r="M10" s="585"/>
      <c r="N10" s="585"/>
      <c r="O10" s="585"/>
    </row>
    <row r="11" spans="2:15" s="130" customFormat="1" x14ac:dyDescent="0.25">
      <c r="B11" s="585"/>
      <c r="C11" s="585"/>
      <c r="D11" s="585"/>
      <c r="E11" s="585"/>
      <c r="F11" s="585"/>
      <c r="G11" s="585"/>
      <c r="H11" s="585"/>
      <c r="I11" s="585"/>
      <c r="J11" s="585"/>
      <c r="K11" s="585"/>
      <c r="L11" s="585"/>
      <c r="M11" s="585"/>
      <c r="N11" s="585"/>
      <c r="O11" s="585"/>
    </row>
    <row r="12" spans="2:15" s="130" customFormat="1" x14ac:dyDescent="0.25">
      <c r="B12" s="585"/>
      <c r="C12" s="585"/>
      <c r="D12" s="585"/>
      <c r="E12" s="585"/>
      <c r="F12" s="585"/>
      <c r="G12" s="585"/>
      <c r="H12" s="585"/>
      <c r="I12" s="585"/>
      <c r="J12" s="585"/>
      <c r="K12" s="585"/>
      <c r="L12" s="585"/>
      <c r="M12" s="585"/>
      <c r="N12" s="585"/>
      <c r="O12" s="585"/>
    </row>
    <row r="13" spans="2:15" s="130" customFormat="1" x14ac:dyDescent="0.25">
      <c r="B13" s="585"/>
      <c r="C13" s="585"/>
      <c r="D13" s="585"/>
      <c r="E13" s="585"/>
      <c r="F13" s="585"/>
      <c r="G13" s="585"/>
      <c r="H13" s="585"/>
      <c r="I13" s="585"/>
      <c r="J13" s="585"/>
      <c r="K13" s="585"/>
      <c r="L13" s="585"/>
      <c r="M13" s="585"/>
      <c r="N13" s="585"/>
      <c r="O13" s="585"/>
    </row>
    <row r="14" spans="2:15" s="130" customFormat="1" x14ac:dyDescent="0.25">
      <c r="B14" s="585"/>
      <c r="C14" s="585"/>
      <c r="D14" s="585"/>
      <c r="E14" s="585"/>
      <c r="F14" s="585"/>
      <c r="G14" s="585"/>
      <c r="H14" s="585"/>
      <c r="I14" s="585"/>
      <c r="J14" s="585"/>
      <c r="K14" s="585"/>
      <c r="L14" s="585"/>
      <c r="M14" s="585"/>
      <c r="N14" s="585"/>
      <c r="O14" s="585"/>
    </row>
    <row r="15" spans="2:15" s="130" customFormat="1" x14ac:dyDescent="0.25">
      <c r="B15" s="585"/>
      <c r="C15" s="585"/>
      <c r="D15" s="585"/>
      <c r="E15" s="585"/>
      <c r="F15" s="585"/>
      <c r="G15" s="585"/>
      <c r="H15" s="585"/>
      <c r="I15" s="585"/>
      <c r="J15" s="585"/>
      <c r="K15" s="585"/>
      <c r="L15" s="585"/>
      <c r="M15" s="585"/>
      <c r="N15" s="585"/>
      <c r="O15" s="585"/>
    </row>
    <row r="16" spans="2:15" s="130" customFormat="1" x14ac:dyDescent="0.25">
      <c r="B16" s="585"/>
      <c r="C16" s="585"/>
      <c r="D16" s="585"/>
      <c r="E16" s="585"/>
      <c r="F16" s="585"/>
      <c r="G16" s="585"/>
      <c r="H16" s="585"/>
      <c r="I16" s="585"/>
      <c r="J16" s="585"/>
      <c r="K16" s="585"/>
      <c r="L16" s="585"/>
      <c r="M16" s="585"/>
      <c r="N16" s="585"/>
      <c r="O16" s="585"/>
    </row>
    <row r="17" spans="3:15" s="130" customFormat="1" x14ac:dyDescent="0.25">
      <c r="C17" s="585"/>
      <c r="D17" s="585"/>
      <c r="E17" s="585"/>
      <c r="F17" s="585"/>
      <c r="G17" s="585"/>
      <c r="H17" s="585"/>
      <c r="I17" s="585"/>
      <c r="J17" s="585"/>
      <c r="K17" s="585"/>
      <c r="L17" s="585"/>
      <c r="M17" s="585"/>
      <c r="N17" s="585"/>
      <c r="O17" s="585"/>
    </row>
    <row r="18" spans="3:15" s="130" customFormat="1" x14ac:dyDescent="0.25">
      <c r="C18" s="585"/>
      <c r="D18" s="585"/>
      <c r="E18" s="585"/>
      <c r="F18" s="585"/>
      <c r="G18" s="585"/>
      <c r="H18" s="585"/>
      <c r="I18" s="585"/>
      <c r="J18" s="585"/>
      <c r="K18" s="585"/>
      <c r="L18" s="585"/>
      <c r="M18" s="585"/>
      <c r="N18" s="585"/>
      <c r="O18" s="585"/>
    </row>
    <row r="19" spans="3:15" s="130" customFormat="1" x14ac:dyDescent="0.25">
      <c r="C19" s="585"/>
      <c r="D19" s="585"/>
      <c r="E19" s="585"/>
      <c r="F19" s="585"/>
      <c r="G19" s="585"/>
      <c r="H19" s="585"/>
      <c r="I19" s="585"/>
      <c r="J19" s="585"/>
      <c r="K19" s="585"/>
      <c r="L19" s="585"/>
      <c r="M19" s="585"/>
      <c r="N19" s="585"/>
      <c r="O19" s="585"/>
    </row>
    <row r="20" spans="3:15" s="130" customFormat="1" x14ac:dyDescent="0.25">
      <c r="C20" s="585"/>
      <c r="D20" s="585"/>
      <c r="E20" s="585"/>
      <c r="F20" s="585"/>
      <c r="G20" s="585"/>
      <c r="H20" s="585"/>
      <c r="I20" s="585"/>
      <c r="J20" s="585"/>
      <c r="K20" s="585"/>
      <c r="L20" s="585"/>
      <c r="M20" s="585"/>
      <c r="N20" s="585"/>
      <c r="O20" s="585"/>
    </row>
    <row r="21" spans="3:15" s="130" customFormat="1" x14ac:dyDescent="0.25">
      <c r="C21" s="585"/>
      <c r="D21" s="585"/>
      <c r="E21" s="585"/>
      <c r="F21" s="585"/>
      <c r="G21" s="585"/>
      <c r="H21" s="585"/>
      <c r="I21" s="585"/>
      <c r="J21" s="585"/>
      <c r="K21" s="585"/>
      <c r="L21" s="585"/>
      <c r="M21" s="585"/>
      <c r="N21" s="585"/>
      <c r="O21" s="585"/>
    </row>
    <row r="22" spans="3:15" s="130" customFormat="1" ht="13.8" x14ac:dyDescent="0.25">
      <c r="C22" s="108"/>
      <c r="D22" s="108"/>
      <c r="E22" s="585"/>
      <c r="F22" s="585"/>
      <c r="G22" s="585"/>
      <c r="H22" s="585"/>
      <c r="I22" s="108"/>
      <c r="J22" s="108"/>
      <c r="K22" s="585"/>
      <c r="L22" s="585"/>
      <c r="M22" s="585"/>
      <c r="N22" s="585"/>
      <c r="O22" s="585"/>
    </row>
    <row r="23" spans="3:15" s="130" customFormat="1" x14ac:dyDescent="0.25">
      <c r="C23" s="585"/>
      <c r="D23" s="585"/>
      <c r="E23" s="585"/>
      <c r="F23" s="585"/>
      <c r="G23" s="585"/>
      <c r="H23" s="585"/>
      <c r="I23" s="585"/>
      <c r="J23" s="585"/>
      <c r="K23" s="585"/>
      <c r="L23" s="585"/>
      <c r="M23" s="585"/>
      <c r="N23" s="585"/>
      <c r="O23" s="585"/>
    </row>
    <row r="24" spans="3:15" s="130" customFormat="1" ht="13.8" x14ac:dyDescent="0.25">
      <c r="C24" s="788" t="s">
        <v>131</v>
      </c>
      <c r="D24" s="788"/>
      <c r="E24" s="788"/>
      <c r="F24" s="788"/>
      <c r="G24" s="788"/>
      <c r="H24" s="585"/>
      <c r="I24" s="788" t="s">
        <v>132</v>
      </c>
      <c r="J24" s="788"/>
      <c r="K24" s="788"/>
      <c r="L24" s="788"/>
      <c r="M24" s="788"/>
      <c r="N24" s="585"/>
      <c r="O24" s="585"/>
    </row>
    <row r="25" spans="3:15" s="130" customFormat="1" ht="13.8" x14ac:dyDescent="0.25">
      <c r="C25" s="788" t="str">
        <f>+C7</f>
        <v>Public Debt of the Central Goverment of Costa Rica</v>
      </c>
      <c r="D25" s="788"/>
      <c r="E25" s="788"/>
      <c r="F25" s="788"/>
      <c r="G25" s="788"/>
      <c r="H25" s="585"/>
      <c r="I25" s="831" t="s">
        <v>219</v>
      </c>
      <c r="J25" s="831"/>
      <c r="K25" s="831"/>
      <c r="L25" s="831"/>
      <c r="M25" s="831"/>
      <c r="N25" s="750"/>
      <c r="O25" s="750"/>
    </row>
    <row r="26" spans="3:15" s="130" customFormat="1" ht="13.8" x14ac:dyDescent="0.25">
      <c r="C26" s="788" t="s">
        <v>133</v>
      </c>
      <c r="D26" s="788"/>
      <c r="E26" s="788"/>
      <c r="F26" s="788"/>
      <c r="G26" s="788"/>
      <c r="H26" s="585"/>
      <c r="I26" s="831"/>
      <c r="J26" s="831"/>
      <c r="K26" s="831"/>
      <c r="L26" s="831"/>
      <c r="M26" s="831"/>
      <c r="N26" s="750"/>
      <c r="O26" s="750"/>
    </row>
    <row r="27" spans="3:15" s="130" customFormat="1" ht="13.8" x14ac:dyDescent="0.25">
      <c r="C27" s="787" t="str">
        <f>+C9</f>
        <v>December 2020</v>
      </c>
      <c r="D27" s="788"/>
      <c r="E27" s="788"/>
      <c r="F27" s="788"/>
      <c r="G27" s="788"/>
      <c r="H27" s="585"/>
      <c r="I27" s="787" t="str">
        <f>+C27</f>
        <v>December 2020</v>
      </c>
      <c r="J27" s="788"/>
      <c r="K27" s="788"/>
      <c r="L27" s="788"/>
      <c r="M27" s="788"/>
      <c r="N27" s="749"/>
      <c r="O27" s="749"/>
    </row>
    <row r="28" spans="3:15" s="130" customFormat="1" x14ac:dyDescent="0.25">
      <c r="C28" s="585"/>
      <c r="D28" s="585"/>
      <c r="E28" s="585"/>
      <c r="F28" s="585"/>
      <c r="G28" s="585"/>
      <c r="H28" s="585"/>
      <c r="I28" s="585"/>
      <c r="J28" s="585"/>
      <c r="K28" s="585"/>
      <c r="L28" s="585"/>
      <c r="M28" s="585"/>
      <c r="N28" s="585"/>
      <c r="O28" s="585"/>
    </row>
    <row r="29" spans="3:15" s="130" customFormat="1" x14ac:dyDescent="0.25">
      <c r="C29" s="585"/>
      <c r="D29" s="585"/>
      <c r="E29" s="585"/>
      <c r="F29" s="585"/>
      <c r="G29" s="585"/>
      <c r="H29" s="585"/>
      <c r="I29" s="585"/>
      <c r="J29" s="585"/>
      <c r="K29" s="585"/>
      <c r="L29" s="585"/>
      <c r="M29" s="585"/>
      <c r="N29" s="585"/>
      <c r="O29" s="585"/>
    </row>
    <row r="30" spans="3:15" s="130" customFormat="1" x14ac:dyDescent="0.25">
      <c r="C30" s="585"/>
      <c r="D30" s="585"/>
      <c r="E30" s="585"/>
      <c r="F30" s="585"/>
      <c r="G30" s="585"/>
      <c r="H30" s="585"/>
      <c r="I30" s="585"/>
      <c r="J30" s="585"/>
      <c r="K30" s="585"/>
      <c r="L30" s="585"/>
      <c r="M30" s="585"/>
      <c r="N30" s="585"/>
      <c r="O30" s="585"/>
    </row>
    <row r="31" spans="3:15" s="130" customFormat="1" x14ac:dyDescent="0.25">
      <c r="C31" s="585"/>
      <c r="D31" s="585"/>
      <c r="E31" s="585"/>
      <c r="F31" s="585"/>
      <c r="G31" s="585"/>
      <c r="H31" s="585"/>
      <c r="I31" s="585"/>
      <c r="J31" s="585"/>
      <c r="K31" s="585"/>
      <c r="L31" s="585"/>
      <c r="M31" s="585"/>
      <c r="N31" s="585"/>
      <c r="O31" s="585"/>
    </row>
    <row r="32" spans="3:15" s="130" customFormat="1" x14ac:dyDescent="0.25">
      <c r="C32" s="585"/>
      <c r="D32" s="585"/>
      <c r="E32" s="585"/>
      <c r="F32" s="585"/>
      <c r="G32" s="585"/>
      <c r="H32" s="585"/>
      <c r="I32" s="585"/>
      <c r="J32" s="585"/>
      <c r="K32" s="585"/>
      <c r="L32" s="585"/>
      <c r="M32" s="585"/>
      <c r="N32" s="585"/>
      <c r="O32" s="585"/>
    </row>
    <row r="33" spans="3:25" s="130" customFormat="1" x14ac:dyDescent="0.25">
      <c r="C33" s="585"/>
      <c r="D33" s="585"/>
      <c r="E33" s="585"/>
      <c r="F33" s="585"/>
      <c r="G33" s="585"/>
      <c r="H33" s="585"/>
      <c r="I33" s="585"/>
      <c r="J33" s="585"/>
      <c r="K33" s="585"/>
      <c r="L33" s="585"/>
      <c r="M33" s="585"/>
      <c r="N33" s="585"/>
      <c r="O33" s="585"/>
      <c r="P33" s="585"/>
      <c r="Q33" s="585"/>
      <c r="R33" s="585"/>
      <c r="S33" s="585"/>
      <c r="T33" s="585"/>
      <c r="U33" s="585"/>
      <c r="V33" s="585"/>
      <c r="W33" s="585"/>
      <c r="X33" s="585"/>
      <c r="Y33" s="585"/>
    </row>
    <row r="34" spans="3:25" s="130" customFormat="1" x14ac:dyDescent="0.25">
      <c r="C34" s="585"/>
      <c r="D34" s="585"/>
      <c r="E34" s="585"/>
      <c r="F34" s="585"/>
      <c r="G34" s="585"/>
      <c r="H34" s="585"/>
      <c r="I34" s="585"/>
      <c r="J34" s="585"/>
      <c r="K34" s="585"/>
      <c r="L34" s="585"/>
      <c r="M34" s="585"/>
      <c r="N34" s="585"/>
      <c r="O34" s="585"/>
      <c r="P34" s="585"/>
      <c r="Q34" s="585"/>
      <c r="R34" s="585"/>
      <c r="S34" s="585"/>
      <c r="T34" s="585"/>
      <c r="U34" s="585"/>
      <c r="V34" s="585"/>
      <c r="W34" s="585"/>
      <c r="X34" s="585"/>
      <c r="Y34" s="585"/>
    </row>
    <row r="35" spans="3:25" s="130" customFormat="1" x14ac:dyDescent="0.25">
      <c r="C35" s="585"/>
      <c r="D35" s="585"/>
      <c r="E35" s="585"/>
      <c r="F35" s="585"/>
      <c r="G35" s="585"/>
      <c r="H35" s="585"/>
      <c r="I35" s="585"/>
      <c r="J35" s="585"/>
      <c r="K35" s="585"/>
      <c r="L35" s="585"/>
      <c r="M35" s="585"/>
      <c r="N35" s="585"/>
      <c r="O35" s="585"/>
      <c r="P35" s="585"/>
      <c r="Q35" s="585"/>
      <c r="R35" s="585"/>
      <c r="S35" s="585"/>
      <c r="T35" s="585"/>
      <c r="U35" s="585"/>
      <c r="V35" s="585"/>
      <c r="W35" s="585"/>
      <c r="X35" s="585"/>
      <c r="Y35" s="585"/>
    </row>
    <row r="36" spans="3:25" s="130" customFormat="1" x14ac:dyDescent="0.25">
      <c r="C36" s="585"/>
      <c r="D36" s="585"/>
      <c r="E36" s="585"/>
      <c r="F36" s="585"/>
      <c r="G36" s="585"/>
      <c r="H36" s="585"/>
      <c r="I36" s="585"/>
      <c r="J36" s="585"/>
      <c r="K36" s="585"/>
      <c r="L36" s="585"/>
      <c r="M36" s="585"/>
      <c r="N36" s="585"/>
      <c r="O36" s="585"/>
      <c r="P36" s="585"/>
      <c r="Q36" s="585"/>
      <c r="R36" s="585"/>
      <c r="S36" s="585"/>
      <c r="T36" s="585"/>
      <c r="U36" s="585"/>
      <c r="V36" s="585"/>
      <c r="W36" s="585"/>
      <c r="X36" s="585"/>
      <c r="Y36" s="585"/>
    </row>
    <row r="37" spans="3:25" s="130" customFormat="1" x14ac:dyDescent="0.25">
      <c r="C37" s="585"/>
      <c r="D37" s="585"/>
      <c r="E37" s="585"/>
      <c r="F37" s="585"/>
      <c r="G37" s="585"/>
      <c r="H37" s="585"/>
      <c r="I37" s="585"/>
      <c r="J37" s="585"/>
      <c r="K37" s="585"/>
      <c r="L37" s="585"/>
      <c r="M37" s="585"/>
      <c r="N37" s="585"/>
      <c r="O37" s="585"/>
      <c r="P37" s="585"/>
      <c r="Q37" s="585"/>
      <c r="R37" s="585"/>
      <c r="S37" s="585"/>
      <c r="T37" s="585"/>
      <c r="U37" s="585"/>
      <c r="V37" s="585"/>
      <c r="W37" s="585"/>
      <c r="X37" s="585"/>
      <c r="Y37" s="585"/>
    </row>
    <row r="38" spans="3:25" s="130" customFormat="1" x14ac:dyDescent="0.25">
      <c r="C38" s="585"/>
      <c r="D38" s="585"/>
      <c r="E38" s="585"/>
      <c r="F38" s="585"/>
      <c r="G38" s="585"/>
      <c r="H38" s="585"/>
      <c r="I38" s="585"/>
      <c r="J38" s="585"/>
      <c r="K38" s="585"/>
      <c r="L38" s="585"/>
      <c r="M38" s="585"/>
      <c r="N38" s="585"/>
      <c r="O38" s="585"/>
      <c r="P38" s="585"/>
      <c r="Q38" s="585"/>
      <c r="R38" s="585"/>
      <c r="S38" s="585"/>
      <c r="T38" s="585"/>
      <c r="U38" s="585"/>
      <c r="V38" s="585"/>
      <c r="W38" s="585"/>
      <c r="X38" s="585"/>
      <c r="Y38" s="585"/>
    </row>
    <row r="39" spans="3:25" s="130" customFormat="1" x14ac:dyDescent="0.25">
      <c r="C39" s="585"/>
      <c r="D39" s="585"/>
      <c r="E39" s="585"/>
      <c r="F39" s="585"/>
      <c r="G39" s="585"/>
      <c r="H39" s="585"/>
      <c r="I39" s="585"/>
      <c r="J39" s="585"/>
      <c r="K39" s="585"/>
      <c r="L39" s="585"/>
      <c r="M39" s="585"/>
      <c r="N39" s="585"/>
      <c r="O39" s="585"/>
      <c r="P39" s="585"/>
      <c r="Q39" s="585"/>
      <c r="R39" s="585"/>
      <c r="S39" s="585"/>
      <c r="T39" s="585"/>
      <c r="U39" s="585"/>
      <c r="V39" s="585"/>
      <c r="W39" s="585"/>
      <c r="X39" s="585"/>
      <c r="Y39" s="585"/>
    </row>
    <row r="40" spans="3:25" s="130" customFormat="1" ht="13.8" x14ac:dyDescent="0.25">
      <c r="C40" s="108"/>
      <c r="D40" s="108"/>
      <c r="E40" s="585"/>
      <c r="F40" s="585"/>
      <c r="G40" s="585"/>
      <c r="H40" s="585"/>
      <c r="I40" s="108"/>
      <c r="J40" s="108"/>
      <c r="K40" s="585"/>
      <c r="L40" s="585"/>
      <c r="M40" s="585"/>
      <c r="N40" s="585"/>
      <c r="O40" s="585"/>
      <c r="P40" s="585"/>
      <c r="Q40" s="585"/>
      <c r="R40" s="585"/>
      <c r="S40" s="585"/>
      <c r="T40" s="585"/>
      <c r="U40" s="585"/>
      <c r="V40" s="585"/>
      <c r="W40" s="585"/>
      <c r="X40" s="585"/>
      <c r="Y40" s="585"/>
    </row>
    <row r="41" spans="3:25" s="130" customFormat="1" x14ac:dyDescent="0.25">
      <c r="C41" s="585"/>
      <c r="D41" s="585"/>
      <c r="E41" s="585"/>
      <c r="F41" s="585"/>
      <c r="G41" s="585"/>
      <c r="H41" s="585"/>
      <c r="I41" s="585"/>
      <c r="J41" s="585"/>
      <c r="K41" s="585"/>
      <c r="L41" s="585"/>
      <c r="M41" s="585"/>
      <c r="N41" s="585"/>
      <c r="O41" s="585"/>
      <c r="P41" s="585"/>
      <c r="Q41" s="585"/>
      <c r="R41" s="585"/>
      <c r="S41" s="585"/>
      <c r="T41" s="585"/>
      <c r="U41" s="585"/>
      <c r="V41" s="585"/>
      <c r="W41" s="585"/>
      <c r="X41" s="585"/>
      <c r="Y41" s="585"/>
    </row>
    <row r="42" spans="3:25" s="130" customFormat="1" x14ac:dyDescent="0.25">
      <c r="C42" s="585"/>
      <c r="D42" s="585"/>
      <c r="E42" s="585"/>
      <c r="F42" s="585"/>
      <c r="G42" s="585"/>
      <c r="H42" s="585"/>
      <c r="I42" s="585"/>
      <c r="J42" s="585"/>
      <c r="K42" s="585"/>
      <c r="L42" s="585"/>
      <c r="M42" s="585"/>
      <c r="N42" s="585"/>
      <c r="O42" s="585"/>
      <c r="P42" s="585"/>
      <c r="Q42" s="585"/>
      <c r="R42" s="585"/>
      <c r="S42" s="585"/>
      <c r="T42" s="585"/>
      <c r="U42" s="585"/>
      <c r="V42" s="585"/>
      <c r="W42" s="585"/>
      <c r="X42" s="585"/>
      <c r="Y42" s="585"/>
    </row>
    <row r="43" spans="3:25" s="130" customFormat="1" ht="13.8" x14ac:dyDescent="0.25">
      <c r="C43" s="585"/>
      <c r="D43" s="585"/>
      <c r="E43" s="832" t="s">
        <v>135</v>
      </c>
      <c r="F43" s="832"/>
      <c r="G43" s="832"/>
      <c r="H43" s="832"/>
      <c r="I43" s="832"/>
      <c r="J43" s="832"/>
      <c r="K43" s="585"/>
      <c r="L43" s="585"/>
      <c r="M43" s="585"/>
      <c r="N43" s="585"/>
      <c r="O43" s="585"/>
      <c r="P43" s="585"/>
      <c r="Q43" s="585"/>
      <c r="R43" s="585"/>
      <c r="S43" s="585"/>
      <c r="T43" s="585"/>
      <c r="U43" s="585"/>
      <c r="V43" s="585"/>
      <c r="W43" s="585"/>
      <c r="X43" s="585"/>
      <c r="Y43" s="585"/>
    </row>
    <row r="44" spans="3:25" s="130" customFormat="1" ht="15" customHeight="1" x14ac:dyDescent="0.25">
      <c r="C44" s="760"/>
      <c r="D44" s="760"/>
      <c r="E44" s="832" t="s">
        <v>136</v>
      </c>
      <c r="F44" s="832"/>
      <c r="G44" s="832"/>
      <c r="H44" s="832"/>
      <c r="I44" s="832"/>
      <c r="J44" s="832"/>
      <c r="K44" s="585"/>
      <c r="L44" s="585"/>
      <c r="M44" s="585"/>
      <c r="N44" s="585"/>
      <c r="O44" s="750"/>
      <c r="P44" s="585"/>
      <c r="Q44" s="585"/>
      <c r="R44" s="585"/>
      <c r="S44" s="585"/>
      <c r="T44" s="585"/>
      <c r="U44" s="585"/>
      <c r="V44" s="585"/>
      <c r="W44" s="585"/>
      <c r="X44" s="585"/>
      <c r="Y44" s="585"/>
    </row>
    <row r="45" spans="3:25" s="130" customFormat="1" ht="15" customHeight="1" x14ac:dyDescent="0.25">
      <c r="C45" s="760"/>
      <c r="D45" s="760"/>
      <c r="E45" s="832" t="s">
        <v>220</v>
      </c>
      <c r="F45" s="832"/>
      <c r="G45" s="832"/>
      <c r="H45" s="832"/>
      <c r="I45" s="832"/>
      <c r="J45" s="832"/>
      <c r="K45" s="585"/>
      <c r="L45" s="585"/>
      <c r="M45" s="585"/>
      <c r="N45" s="585"/>
      <c r="O45" s="750"/>
      <c r="P45" s="585"/>
      <c r="Q45" s="585"/>
      <c r="R45" s="585"/>
      <c r="S45" s="585"/>
      <c r="T45" s="585"/>
      <c r="U45" s="585"/>
      <c r="V45" s="585"/>
      <c r="W45" s="585"/>
      <c r="X45" s="585"/>
      <c r="Y45" s="585"/>
    </row>
    <row r="46" spans="3:25" s="130" customFormat="1" ht="15" customHeight="1" x14ac:dyDescent="0.25">
      <c r="C46" s="749"/>
      <c r="D46" s="749"/>
      <c r="E46" s="832" t="s">
        <v>139</v>
      </c>
      <c r="F46" s="832"/>
      <c r="G46" s="832"/>
      <c r="H46" s="832"/>
      <c r="I46" s="832"/>
      <c r="J46" s="832"/>
      <c r="K46" s="585"/>
      <c r="L46" s="585"/>
      <c r="M46" s="585"/>
      <c r="N46" s="585"/>
      <c r="O46" s="749"/>
      <c r="P46" s="585"/>
      <c r="Q46" s="585"/>
      <c r="R46" s="585"/>
      <c r="S46" s="585"/>
      <c r="T46" s="585"/>
      <c r="U46" s="585"/>
      <c r="V46" s="585"/>
      <c r="W46" s="585"/>
      <c r="X46" s="585"/>
      <c r="Y46" s="585"/>
    </row>
    <row r="47" spans="3:25" s="130" customFormat="1" x14ac:dyDescent="0.25">
      <c r="C47" s="585"/>
      <c r="D47" s="585"/>
      <c r="E47" s="585"/>
      <c r="F47" s="585"/>
      <c r="G47" s="585"/>
      <c r="H47" s="585"/>
      <c r="I47" s="585"/>
      <c r="J47" s="585"/>
      <c r="K47" s="585"/>
      <c r="L47" s="585"/>
      <c r="M47" s="585"/>
      <c r="N47" s="585"/>
      <c r="O47" s="585"/>
      <c r="P47" s="585"/>
      <c r="Q47" s="585"/>
      <c r="R47" s="585"/>
      <c r="S47" s="585"/>
      <c r="T47" s="585"/>
      <c r="U47" s="585"/>
      <c r="V47" s="585"/>
      <c r="W47" s="585"/>
      <c r="X47" s="585"/>
      <c r="Y47" s="585"/>
    </row>
    <row r="48" spans="3:25" s="130" customFormat="1" x14ac:dyDescent="0.25">
      <c r="C48" s="585"/>
      <c r="D48" s="585"/>
      <c r="E48" s="585"/>
      <c r="F48" s="585"/>
      <c r="G48" s="585"/>
      <c r="H48" s="585"/>
      <c r="I48" s="585"/>
      <c r="J48" s="585"/>
      <c r="K48" s="585"/>
      <c r="L48" s="585"/>
      <c r="M48" s="585"/>
      <c r="N48" s="585"/>
      <c r="O48" s="585"/>
      <c r="P48" s="585"/>
      <c r="Q48" s="585"/>
      <c r="R48" s="585"/>
      <c r="S48" s="585"/>
      <c r="T48" s="585"/>
      <c r="U48" s="585"/>
      <c r="V48" s="585"/>
      <c r="W48" s="585"/>
      <c r="X48" s="585"/>
      <c r="Y48" s="313"/>
    </row>
    <row r="49" spans="3:28" s="130" customFormat="1" x14ac:dyDescent="0.25">
      <c r="C49" s="585"/>
      <c r="D49" s="585"/>
      <c r="E49" s="585"/>
      <c r="F49" s="585"/>
      <c r="G49" s="585"/>
      <c r="H49" s="585"/>
      <c r="I49" s="585"/>
      <c r="J49" s="585"/>
      <c r="K49" s="585"/>
      <c r="L49" s="585"/>
      <c r="M49" s="585"/>
      <c r="N49" s="585"/>
      <c r="O49" s="585"/>
      <c r="P49" s="585"/>
      <c r="Q49" s="585"/>
      <c r="R49" s="585"/>
      <c r="S49" s="585"/>
      <c r="T49" s="585"/>
      <c r="U49" s="585"/>
      <c r="V49" s="585"/>
      <c r="W49" s="585"/>
      <c r="X49" s="585"/>
      <c r="Y49" s="585"/>
      <c r="Z49" s="585"/>
      <c r="AA49" s="585"/>
      <c r="AB49" s="585"/>
    </row>
    <row r="50" spans="3:28" s="130" customFormat="1" x14ac:dyDescent="0.25">
      <c r="C50" s="585"/>
      <c r="D50" s="585"/>
      <c r="E50" s="585"/>
      <c r="F50" s="585"/>
      <c r="G50" s="585"/>
      <c r="H50" s="585"/>
      <c r="I50" s="585"/>
      <c r="J50" s="585"/>
      <c r="K50" s="585"/>
      <c r="L50" s="585"/>
      <c r="M50" s="585"/>
      <c r="N50" s="585"/>
      <c r="O50" s="585"/>
      <c r="P50" s="585"/>
      <c r="Q50" s="585"/>
      <c r="R50" s="585"/>
      <c r="S50" s="585"/>
      <c r="T50" s="585"/>
      <c r="U50" s="585"/>
      <c r="V50" s="585"/>
      <c r="W50" s="585"/>
      <c r="X50" s="585"/>
      <c r="Y50" s="585"/>
      <c r="Z50" s="585"/>
      <c r="AA50" s="585"/>
      <c r="AB50" s="585"/>
    </row>
    <row r="51" spans="3:28" s="130" customFormat="1" x14ac:dyDescent="0.25">
      <c r="C51" s="585"/>
      <c r="D51" s="585"/>
      <c r="E51" s="585"/>
      <c r="F51" s="585"/>
      <c r="G51" s="585"/>
      <c r="H51" s="585"/>
      <c r="I51" s="585"/>
      <c r="J51" s="585"/>
      <c r="K51" s="585"/>
      <c r="L51" s="585"/>
      <c r="M51" s="585"/>
      <c r="N51" s="585"/>
      <c r="O51" s="585"/>
      <c r="P51" s="585"/>
      <c r="Q51" s="585"/>
      <c r="R51" s="585"/>
      <c r="S51" s="585"/>
      <c r="T51" s="585"/>
      <c r="U51" s="585"/>
      <c r="V51" s="585"/>
      <c r="W51" s="585"/>
      <c r="X51" s="585"/>
      <c r="Y51" s="585"/>
      <c r="Z51" s="585"/>
      <c r="AA51" s="585"/>
      <c r="AB51" s="585"/>
    </row>
    <row r="52" spans="3:28" s="130" customFormat="1" x14ac:dyDescent="0.25">
      <c r="C52" s="585"/>
      <c r="D52" s="585"/>
      <c r="E52" s="585"/>
      <c r="F52" s="585"/>
      <c r="G52" s="585"/>
      <c r="H52" s="585"/>
      <c r="I52" s="585"/>
      <c r="J52" s="585"/>
      <c r="K52" s="585"/>
      <c r="L52" s="585"/>
      <c r="M52" s="585"/>
      <c r="N52" s="585"/>
      <c r="O52" s="585"/>
      <c r="P52" s="585"/>
      <c r="Q52" s="585"/>
      <c r="R52" s="585"/>
      <c r="S52" s="585"/>
      <c r="T52" s="585"/>
      <c r="U52" s="585"/>
      <c r="V52" s="585"/>
      <c r="W52" s="585"/>
      <c r="X52" s="585"/>
      <c r="Y52" s="585"/>
      <c r="Z52" s="585"/>
      <c r="AA52" s="585"/>
      <c r="AB52" s="585"/>
    </row>
    <row r="53" spans="3:28" s="130" customFormat="1" x14ac:dyDescent="0.25">
      <c r="C53" s="585"/>
      <c r="D53" s="585"/>
      <c r="E53" s="585"/>
      <c r="F53" s="585"/>
      <c r="G53" s="585"/>
      <c r="H53" s="585"/>
      <c r="I53" s="585"/>
      <c r="J53" s="585"/>
      <c r="K53" s="585"/>
      <c r="L53" s="585"/>
      <c r="M53" s="585"/>
      <c r="N53" s="585"/>
      <c r="O53" s="585"/>
      <c r="P53" s="585"/>
      <c r="Q53" s="585"/>
      <c r="R53" s="585"/>
      <c r="S53" s="585"/>
      <c r="T53" s="585"/>
      <c r="U53" s="585"/>
      <c r="V53" s="585"/>
      <c r="W53" s="585"/>
      <c r="X53" s="585"/>
      <c r="Y53" s="585"/>
      <c r="Z53" s="585"/>
      <c r="AA53" s="585"/>
      <c r="AB53" s="585"/>
    </row>
    <row r="54" spans="3:28" s="130" customFormat="1" x14ac:dyDescent="0.25">
      <c r="C54" s="585"/>
      <c r="D54" s="585"/>
      <c r="E54" s="585"/>
      <c r="F54" s="585"/>
      <c r="G54" s="585"/>
      <c r="H54" s="585"/>
      <c r="I54" s="585"/>
      <c r="J54" s="585"/>
      <c r="K54" s="585"/>
      <c r="L54" s="585"/>
      <c r="M54" s="585"/>
      <c r="N54" s="585"/>
      <c r="O54" s="585"/>
      <c r="P54" s="585"/>
      <c r="Q54" s="585"/>
      <c r="R54" s="585"/>
      <c r="S54" s="585"/>
      <c r="T54" s="585"/>
      <c r="U54" s="585"/>
      <c r="V54" s="585"/>
      <c r="W54" s="585"/>
      <c r="X54" s="585"/>
      <c r="Y54" s="585"/>
      <c r="Z54" s="585"/>
      <c r="AA54" s="585"/>
      <c r="AB54" s="585"/>
    </row>
    <row r="55" spans="3:28" s="130" customFormat="1" x14ac:dyDescent="0.25">
      <c r="C55" s="585"/>
      <c r="D55" s="585"/>
      <c r="E55" s="585"/>
      <c r="F55" s="585"/>
      <c r="G55" s="585"/>
      <c r="H55" s="585"/>
      <c r="I55" s="585"/>
      <c r="J55" s="585"/>
      <c r="K55" s="585"/>
      <c r="L55" s="585"/>
      <c r="M55" s="585"/>
      <c r="N55" s="585"/>
      <c r="O55" s="585"/>
      <c r="P55" s="585"/>
      <c r="Q55" s="585"/>
      <c r="R55" s="585"/>
      <c r="S55" s="585"/>
      <c r="T55" s="585"/>
      <c r="U55" s="585"/>
      <c r="V55" s="585"/>
      <c r="W55" s="585"/>
      <c r="X55" s="585"/>
      <c r="Y55" s="585"/>
      <c r="Z55" s="585"/>
      <c r="AA55" s="585"/>
      <c r="AB55" s="585"/>
    </row>
    <row r="56" spans="3:28" s="130" customFormat="1" x14ac:dyDescent="0.25">
      <c r="C56" s="585"/>
      <c r="D56" s="585"/>
      <c r="E56" s="585"/>
      <c r="F56" s="585"/>
      <c r="G56" s="585"/>
      <c r="H56" s="585"/>
      <c r="I56" s="585"/>
      <c r="J56" s="585"/>
      <c r="K56" s="585"/>
      <c r="L56" s="585"/>
      <c r="M56" s="585"/>
      <c r="N56" s="585"/>
      <c r="O56" s="585"/>
      <c r="P56" s="585"/>
      <c r="Q56" s="585"/>
      <c r="R56" s="585"/>
      <c r="S56" s="585"/>
      <c r="T56" s="585"/>
      <c r="U56" s="585"/>
      <c r="V56" s="585"/>
      <c r="W56" s="585"/>
      <c r="X56" s="585"/>
      <c r="Y56" s="585"/>
      <c r="Z56" s="585"/>
      <c r="AA56" s="585"/>
      <c r="AB56" s="585"/>
    </row>
    <row r="57" spans="3:28" s="130" customFormat="1" x14ac:dyDescent="0.25">
      <c r="C57" s="585"/>
      <c r="D57" s="585"/>
      <c r="E57" s="585"/>
      <c r="F57" s="585"/>
      <c r="G57" s="585"/>
      <c r="H57" s="585"/>
      <c r="I57" s="585"/>
      <c r="J57" s="585"/>
      <c r="K57" s="585"/>
      <c r="L57" s="585"/>
      <c r="M57" s="585"/>
      <c r="N57" s="585"/>
      <c r="O57" s="585"/>
      <c r="P57" s="585"/>
      <c r="Q57" s="585"/>
      <c r="R57" s="585"/>
      <c r="S57" s="585"/>
      <c r="T57" s="585"/>
      <c r="U57" s="585"/>
      <c r="V57" s="585"/>
      <c r="W57" s="585"/>
      <c r="X57" s="585"/>
      <c r="Y57" s="585"/>
      <c r="Z57" s="314"/>
      <c r="AA57" s="585"/>
      <c r="AB57" s="314"/>
    </row>
    <row r="58" spans="3:28" s="130" customFormat="1" x14ac:dyDescent="0.25">
      <c r="C58" s="585"/>
      <c r="D58" s="585"/>
      <c r="E58" s="585"/>
      <c r="F58" s="585"/>
      <c r="G58" s="585"/>
      <c r="H58" s="585"/>
      <c r="I58" s="585"/>
      <c r="J58" s="585"/>
      <c r="K58" s="585"/>
      <c r="L58" s="585"/>
      <c r="M58" s="585"/>
      <c r="N58" s="585"/>
      <c r="O58" s="585"/>
      <c r="P58" s="585"/>
      <c r="Q58" s="585"/>
      <c r="R58" s="585"/>
      <c r="S58" s="585"/>
      <c r="T58" s="585"/>
      <c r="U58" s="585"/>
      <c r="V58" s="585"/>
      <c r="W58" s="585"/>
      <c r="X58" s="585"/>
      <c r="Y58" s="585"/>
      <c r="Z58" s="314"/>
      <c r="AA58" s="585"/>
      <c r="AB58" s="314"/>
    </row>
    <row r="59" spans="3:28" s="130" customFormat="1" x14ac:dyDescent="0.25">
      <c r="C59" s="585"/>
      <c r="D59" s="585"/>
      <c r="E59" s="585"/>
      <c r="F59" s="585"/>
      <c r="G59" s="585"/>
      <c r="H59" s="585"/>
      <c r="I59" s="585"/>
      <c r="J59" s="585"/>
      <c r="K59" s="585"/>
      <c r="L59" s="585"/>
      <c r="M59" s="585"/>
      <c r="N59" s="585"/>
      <c r="O59" s="585"/>
      <c r="P59" s="585"/>
      <c r="Q59" s="585"/>
      <c r="R59" s="585"/>
      <c r="S59" s="585"/>
      <c r="T59" s="585"/>
      <c r="U59" s="585"/>
      <c r="V59" s="585"/>
      <c r="W59" s="585"/>
      <c r="X59" s="585"/>
      <c r="Y59" s="585"/>
      <c r="Z59" s="314"/>
      <c r="AA59" s="585"/>
      <c r="AB59" s="314"/>
    </row>
    <row r="60" spans="3:28" s="130" customFormat="1" ht="13.8" x14ac:dyDescent="0.25">
      <c r="C60" s="108"/>
      <c r="D60" s="108"/>
      <c r="E60" s="585"/>
      <c r="F60" s="585"/>
      <c r="G60" s="585"/>
      <c r="H60" s="585"/>
      <c r="I60" s="585"/>
      <c r="J60" s="585"/>
      <c r="K60" s="585"/>
      <c r="L60" s="585"/>
      <c r="M60" s="585"/>
      <c r="N60" s="585"/>
      <c r="O60" s="585"/>
      <c r="P60" s="585"/>
      <c r="Q60" s="585"/>
      <c r="R60" s="585"/>
      <c r="S60" s="585"/>
      <c r="T60" s="585"/>
      <c r="U60" s="585"/>
      <c r="V60" s="585"/>
      <c r="W60" s="585"/>
      <c r="X60" s="585"/>
      <c r="Y60" s="585"/>
      <c r="Z60" s="314"/>
      <c r="AA60" s="585"/>
      <c r="AB60" s="314"/>
    </row>
    <row r="61" spans="3:28" s="130" customFormat="1" ht="13.8" x14ac:dyDescent="0.25">
      <c r="C61" s="585"/>
      <c r="D61" s="585"/>
      <c r="E61" s="585"/>
      <c r="F61" s="585"/>
      <c r="G61" s="585"/>
      <c r="H61" s="585"/>
      <c r="I61" s="108"/>
      <c r="J61" s="108"/>
      <c r="K61" s="585"/>
      <c r="L61" s="585"/>
      <c r="M61" s="585"/>
      <c r="N61" s="585"/>
      <c r="O61" s="585"/>
      <c r="P61" s="585"/>
      <c r="Q61" s="585"/>
      <c r="R61" s="585"/>
      <c r="S61" s="585"/>
      <c r="T61" s="585"/>
      <c r="U61" s="585"/>
      <c r="V61" s="585"/>
      <c r="W61" s="585"/>
      <c r="X61" s="585"/>
      <c r="Y61" s="585"/>
      <c r="Z61" s="314"/>
      <c r="AA61" s="585"/>
      <c r="AB61" s="314"/>
    </row>
    <row r="62" spans="3:28" s="130" customFormat="1" x14ac:dyDescent="0.25">
      <c r="C62" s="585"/>
      <c r="D62" s="585"/>
      <c r="E62" s="585"/>
      <c r="F62" s="585"/>
      <c r="G62" s="585"/>
      <c r="H62" s="585"/>
      <c r="I62" s="585"/>
      <c r="J62" s="585"/>
      <c r="K62" s="585"/>
      <c r="L62" s="585"/>
      <c r="M62" s="585"/>
      <c r="N62" s="585"/>
      <c r="O62" s="585"/>
      <c r="P62" s="585"/>
      <c r="Q62" s="585"/>
      <c r="R62" s="585"/>
      <c r="S62" s="585"/>
      <c r="T62" s="585"/>
      <c r="U62" s="585"/>
      <c r="V62" s="585"/>
      <c r="W62" s="585"/>
      <c r="X62" s="585"/>
      <c r="Y62" s="585"/>
      <c r="Z62" s="314"/>
      <c r="AA62" s="585"/>
      <c r="AB62" s="314"/>
    </row>
    <row r="63" spans="3:28" s="130" customFormat="1" ht="13.8" x14ac:dyDescent="0.25">
      <c r="C63" s="585"/>
      <c r="D63" s="788"/>
      <c r="E63" s="788"/>
      <c r="F63" s="788"/>
      <c r="G63" s="788"/>
      <c r="H63" s="788"/>
      <c r="I63" s="788"/>
      <c r="J63" s="788"/>
      <c r="K63" s="788"/>
      <c r="L63" s="585"/>
      <c r="M63" s="585"/>
      <c r="N63" s="585"/>
      <c r="O63" s="585"/>
      <c r="P63" s="585"/>
      <c r="Q63" s="585"/>
      <c r="R63" s="585"/>
      <c r="S63" s="585"/>
      <c r="T63" s="585"/>
      <c r="U63" s="585"/>
      <c r="V63" s="585"/>
      <c r="W63" s="585"/>
      <c r="X63" s="585"/>
      <c r="Y63" s="585"/>
      <c r="Z63" s="314"/>
      <c r="AA63" s="585"/>
      <c r="AB63" s="314"/>
    </row>
    <row r="64" spans="3:28" s="130" customFormat="1" ht="13.8" x14ac:dyDescent="0.25">
      <c r="C64" s="585"/>
      <c r="D64" s="750"/>
      <c r="E64" s="750"/>
      <c r="F64" s="750"/>
      <c r="G64" s="750"/>
      <c r="H64" s="750"/>
      <c r="I64" s="750"/>
      <c r="J64" s="750"/>
      <c r="K64" s="750"/>
      <c r="L64" s="585"/>
      <c r="M64" s="585"/>
      <c r="N64" s="585"/>
      <c r="O64" s="585"/>
      <c r="P64" s="585"/>
      <c r="Q64" s="585"/>
      <c r="R64" s="585"/>
      <c r="S64" s="585"/>
      <c r="T64" s="585"/>
      <c r="U64" s="585"/>
      <c r="V64" s="585"/>
      <c r="W64" s="585"/>
      <c r="X64" s="585"/>
      <c r="Y64" s="585"/>
      <c r="Z64" s="314"/>
      <c r="AA64" s="585"/>
      <c r="AB64" s="314"/>
    </row>
    <row r="65" spans="4:28" s="130" customFormat="1" ht="13.8" x14ac:dyDescent="0.25">
      <c r="D65" s="750"/>
      <c r="E65" s="750"/>
      <c r="F65" s="750"/>
      <c r="G65" s="750"/>
      <c r="H65" s="750"/>
      <c r="I65" s="750"/>
      <c r="J65" s="750"/>
      <c r="K65" s="750"/>
      <c r="L65" s="585"/>
      <c r="M65" s="585"/>
      <c r="N65" s="585"/>
      <c r="O65" s="585"/>
      <c r="P65" s="585"/>
      <c r="Q65" s="585"/>
      <c r="R65" s="585"/>
      <c r="S65" s="585"/>
      <c r="T65" s="585"/>
      <c r="U65" s="585"/>
      <c r="V65" s="585"/>
      <c r="W65" s="585"/>
      <c r="X65" s="585"/>
      <c r="Y65" s="585"/>
      <c r="Z65" s="314"/>
      <c r="AA65" s="585"/>
      <c r="AB65" s="314"/>
    </row>
    <row r="66" spans="4:28" s="130" customFormat="1" ht="13.8" x14ac:dyDescent="0.25">
      <c r="D66" s="750"/>
      <c r="E66" s="750"/>
      <c r="F66" s="750"/>
      <c r="G66" s="750"/>
      <c r="H66" s="750"/>
      <c r="I66" s="750"/>
      <c r="J66" s="750"/>
      <c r="K66" s="750"/>
      <c r="L66" s="585"/>
      <c r="M66" s="585"/>
      <c r="N66" s="585"/>
      <c r="O66" s="585"/>
      <c r="P66" s="585"/>
      <c r="Q66" s="585"/>
      <c r="R66" s="585"/>
      <c r="S66" s="585"/>
      <c r="T66" s="585"/>
      <c r="U66" s="585"/>
      <c r="V66" s="585"/>
      <c r="W66" s="585"/>
      <c r="X66" s="585"/>
      <c r="Y66" s="585"/>
      <c r="Z66" s="314"/>
      <c r="AA66" s="585"/>
      <c r="AB66" s="314"/>
    </row>
    <row r="67" spans="4:28" s="130" customFormat="1" ht="13.8" x14ac:dyDescent="0.25">
      <c r="D67" s="750"/>
      <c r="E67" s="750"/>
      <c r="F67" s="750"/>
      <c r="G67" s="750"/>
      <c r="H67" s="750"/>
      <c r="I67" s="750"/>
      <c r="J67" s="750"/>
      <c r="K67" s="750"/>
      <c r="L67" s="585"/>
      <c r="M67" s="585"/>
      <c r="N67" s="585"/>
      <c r="O67" s="585"/>
      <c r="P67" s="585"/>
      <c r="Q67" s="585"/>
      <c r="R67" s="585"/>
      <c r="S67" s="585"/>
      <c r="T67" s="585"/>
      <c r="U67" s="585"/>
      <c r="V67" s="585"/>
      <c r="W67" s="585"/>
      <c r="X67" s="585"/>
      <c r="Y67" s="585"/>
      <c r="Z67" s="314"/>
      <c r="AA67" s="585"/>
      <c r="AB67" s="314"/>
    </row>
    <row r="68" spans="4:28" s="130" customFormat="1" ht="13.8" x14ac:dyDescent="0.25">
      <c r="D68" s="750"/>
      <c r="E68" s="750"/>
      <c r="F68" s="750"/>
      <c r="G68" s="750"/>
      <c r="H68" s="750"/>
      <c r="I68" s="750"/>
      <c r="J68" s="750"/>
      <c r="K68" s="750"/>
      <c r="L68" s="585"/>
      <c r="M68" s="585"/>
      <c r="N68" s="585"/>
      <c r="O68" s="585"/>
      <c r="P68" s="585"/>
      <c r="Q68" s="585"/>
      <c r="R68" s="585"/>
      <c r="S68" s="585"/>
      <c r="T68" s="585"/>
      <c r="U68" s="585"/>
      <c r="V68" s="585"/>
      <c r="W68" s="585"/>
      <c r="X68" s="585"/>
      <c r="Y68" s="585"/>
      <c r="Z68" s="314"/>
      <c r="AA68" s="585"/>
      <c r="AB68" s="314"/>
    </row>
    <row r="69" spans="4:28" s="130" customFormat="1" ht="13.8" x14ac:dyDescent="0.25">
      <c r="D69" s="750"/>
      <c r="E69" s="750"/>
      <c r="F69" s="750"/>
      <c r="G69" s="750"/>
      <c r="H69" s="750"/>
      <c r="I69" s="750"/>
      <c r="J69" s="750"/>
      <c r="K69" s="750"/>
      <c r="L69" s="585"/>
      <c r="M69" s="585"/>
      <c r="N69" s="585"/>
      <c r="O69" s="585"/>
      <c r="P69" s="585"/>
      <c r="Q69" s="585"/>
      <c r="R69" s="585"/>
      <c r="S69" s="585"/>
      <c r="T69" s="585"/>
      <c r="U69" s="585"/>
      <c r="V69" s="585"/>
      <c r="W69" s="585"/>
      <c r="X69" s="585"/>
      <c r="Y69" s="585"/>
      <c r="Z69" s="314"/>
      <c r="AA69" s="585"/>
      <c r="AB69" s="314"/>
    </row>
    <row r="70" spans="4:28" s="130" customFormat="1" ht="13.8" x14ac:dyDescent="0.25">
      <c r="D70" s="832" t="s">
        <v>221</v>
      </c>
      <c r="E70" s="832"/>
      <c r="F70" s="832"/>
      <c r="G70" s="832"/>
      <c r="H70" s="832"/>
      <c r="I70" s="832"/>
      <c r="J70" s="832"/>
      <c r="K70" s="832"/>
      <c r="L70" s="585"/>
      <c r="M70" s="585"/>
      <c r="N70" s="585"/>
      <c r="O70" s="585"/>
      <c r="P70" s="585"/>
      <c r="Q70" s="585"/>
      <c r="R70" s="585"/>
      <c r="S70" s="585"/>
      <c r="T70" s="585"/>
      <c r="U70" s="585"/>
      <c r="V70" s="585"/>
      <c r="W70" s="585"/>
      <c r="X70" s="585"/>
      <c r="Y70" s="585"/>
      <c r="Z70" s="314"/>
      <c r="AA70" s="585"/>
      <c r="AB70" s="314"/>
    </row>
    <row r="71" spans="4:28" s="130" customFormat="1" ht="13.8" x14ac:dyDescent="0.25">
      <c r="D71" s="788" t="s">
        <v>136</v>
      </c>
      <c r="E71" s="788"/>
      <c r="F71" s="788"/>
      <c r="G71" s="788"/>
      <c r="H71" s="788"/>
      <c r="I71" s="788"/>
      <c r="J71" s="788"/>
      <c r="K71" s="788"/>
      <c r="L71" s="585"/>
      <c r="M71" s="585"/>
      <c r="N71" s="585"/>
      <c r="O71" s="585"/>
      <c r="P71" s="585"/>
      <c r="Q71" s="585"/>
      <c r="R71" s="585"/>
      <c r="S71" s="585"/>
      <c r="T71" s="585"/>
      <c r="U71" s="585"/>
      <c r="V71" s="585"/>
      <c r="W71" s="585"/>
      <c r="X71" s="585"/>
      <c r="Y71" s="585"/>
      <c r="Z71" s="314"/>
      <c r="AA71" s="585"/>
      <c r="AB71" s="314"/>
    </row>
    <row r="72" spans="4:28" s="130" customFormat="1" ht="13.8" x14ac:dyDescent="0.25">
      <c r="D72" s="788" t="s">
        <v>222</v>
      </c>
      <c r="E72" s="788"/>
      <c r="F72" s="788"/>
      <c r="G72" s="788"/>
      <c r="H72" s="788"/>
      <c r="I72" s="788"/>
      <c r="J72" s="788"/>
      <c r="K72" s="788"/>
      <c r="L72" s="585"/>
      <c r="M72" s="585"/>
      <c r="N72" s="585"/>
      <c r="O72" s="585"/>
      <c r="P72" s="585"/>
      <c r="Q72" s="585"/>
      <c r="R72" s="585"/>
      <c r="S72" s="585"/>
      <c r="T72" s="585"/>
      <c r="U72" s="585"/>
      <c r="V72" s="585"/>
      <c r="W72" s="585"/>
      <c r="X72" s="585"/>
      <c r="Y72" s="585"/>
      <c r="Z72" s="314"/>
      <c r="AA72" s="585"/>
      <c r="AB72" s="314"/>
    </row>
    <row r="73" spans="4:28" s="130" customFormat="1" ht="13.8" x14ac:dyDescent="0.25">
      <c r="D73" s="788" t="s">
        <v>223</v>
      </c>
      <c r="E73" s="788"/>
      <c r="F73" s="788"/>
      <c r="G73" s="788"/>
      <c r="H73" s="788"/>
      <c r="I73" s="788"/>
      <c r="J73" s="788"/>
      <c r="K73" s="788"/>
      <c r="L73" s="585"/>
      <c r="M73" s="585"/>
      <c r="N73" s="585"/>
      <c r="O73" s="585"/>
      <c r="P73" s="585"/>
      <c r="Q73" s="585"/>
      <c r="R73" s="585"/>
      <c r="S73" s="585"/>
      <c r="T73" s="585"/>
      <c r="U73" s="585"/>
      <c r="V73" s="585"/>
      <c r="W73" s="585"/>
      <c r="X73" s="585"/>
      <c r="Y73" s="585"/>
      <c r="Z73" s="314"/>
      <c r="AA73" s="585"/>
      <c r="AB73" s="314"/>
    </row>
    <row r="74" spans="4:28" s="130" customFormat="1" ht="13.8" x14ac:dyDescent="0.25">
      <c r="D74" s="787" t="s">
        <v>123</v>
      </c>
      <c r="E74" s="787"/>
      <c r="F74" s="787"/>
      <c r="G74" s="787"/>
      <c r="H74" s="787"/>
      <c r="I74" s="787"/>
      <c r="J74" s="787"/>
      <c r="K74" s="787"/>
      <c r="L74" s="585"/>
      <c r="M74" s="313"/>
      <c r="N74" s="313"/>
      <c r="O74" s="313"/>
      <c r="P74" s="585"/>
      <c r="Q74" s="585"/>
      <c r="R74" s="585"/>
      <c r="S74" s="585"/>
      <c r="T74" s="585"/>
      <c r="U74" s="585"/>
      <c r="V74" s="585"/>
      <c r="W74" s="585"/>
      <c r="X74" s="585"/>
      <c r="Y74" s="585"/>
      <c r="Z74" s="314"/>
      <c r="AA74" s="585"/>
      <c r="AB74" s="314"/>
    </row>
    <row r="75" spans="4:28" s="130" customFormat="1" x14ac:dyDescent="0.25">
      <c r="D75" s="585"/>
      <c r="E75" s="585"/>
      <c r="F75" s="585"/>
      <c r="G75" s="585"/>
      <c r="H75" s="585"/>
      <c r="I75" s="585"/>
      <c r="J75" s="585"/>
      <c r="K75" s="585"/>
      <c r="L75" s="585"/>
      <c r="M75" s="313"/>
      <c r="N75" s="313"/>
      <c r="O75" s="313"/>
      <c r="P75" s="585"/>
      <c r="Q75" s="585"/>
      <c r="R75" s="585"/>
      <c r="S75" s="585"/>
      <c r="T75" s="585"/>
      <c r="U75" s="585"/>
      <c r="V75" s="585"/>
      <c r="W75" s="585"/>
      <c r="X75" s="585"/>
      <c r="Y75" s="585"/>
      <c r="Z75" s="314"/>
      <c r="AA75" s="585"/>
      <c r="AB75" s="314"/>
    </row>
    <row r="76" spans="4:28" s="130" customFormat="1" x14ac:dyDescent="0.25">
      <c r="D76" s="585"/>
      <c r="E76" s="585"/>
      <c r="F76" s="585"/>
      <c r="G76" s="585"/>
      <c r="H76" s="585"/>
      <c r="I76" s="585"/>
      <c r="J76" s="585"/>
      <c r="K76" s="585"/>
      <c r="L76" s="585"/>
      <c r="M76" s="585"/>
      <c r="N76" s="585"/>
      <c r="O76" s="585"/>
      <c r="P76" s="585"/>
      <c r="Q76" s="585"/>
      <c r="R76" s="585"/>
      <c r="S76" s="585"/>
      <c r="T76" s="585"/>
      <c r="U76" s="585"/>
      <c r="V76" s="585"/>
      <c r="W76" s="585"/>
      <c r="X76" s="585"/>
      <c r="Y76" s="585"/>
      <c r="Z76" s="314"/>
      <c r="AA76" s="585"/>
      <c r="AB76" s="314"/>
    </row>
    <row r="77" spans="4:28" s="130" customFormat="1" x14ac:dyDescent="0.25">
      <c r="D77" s="585"/>
      <c r="E77" s="585"/>
      <c r="F77" s="585"/>
      <c r="G77" s="585"/>
      <c r="H77" s="585"/>
      <c r="I77" s="585"/>
      <c r="J77" s="585"/>
      <c r="K77" s="585"/>
      <c r="L77" s="585"/>
      <c r="M77" s="585"/>
      <c r="N77" s="585"/>
      <c r="O77" s="585"/>
      <c r="P77" s="585"/>
      <c r="Q77" s="585"/>
      <c r="R77" s="585"/>
      <c r="S77" s="585"/>
      <c r="T77" s="585"/>
      <c r="U77" s="585"/>
      <c r="V77" s="585"/>
      <c r="W77" s="585"/>
      <c r="X77" s="585"/>
      <c r="Y77" s="585"/>
      <c r="Z77" s="314"/>
      <c r="AA77" s="585"/>
      <c r="AB77" s="314"/>
    </row>
    <row r="78" spans="4:28" s="130" customFormat="1" x14ac:dyDescent="0.25">
      <c r="D78" s="585"/>
      <c r="E78" s="585"/>
      <c r="F78" s="585"/>
      <c r="G78" s="585"/>
      <c r="H78" s="585"/>
      <c r="I78" s="585"/>
      <c r="J78" s="585"/>
      <c r="K78" s="585"/>
      <c r="L78" s="585"/>
      <c r="M78" s="585"/>
      <c r="N78" s="585"/>
      <c r="O78" s="585"/>
      <c r="P78" s="585"/>
      <c r="Q78" s="585"/>
      <c r="R78" s="585"/>
      <c r="S78" s="585"/>
      <c r="T78" s="585"/>
      <c r="U78" s="585"/>
      <c r="V78" s="585"/>
      <c r="W78" s="585"/>
      <c r="X78" s="585"/>
      <c r="Y78" s="585"/>
      <c r="Z78" s="314"/>
      <c r="AA78" s="585"/>
      <c r="AB78" s="314"/>
    </row>
    <row r="79" spans="4:28" s="130" customFormat="1" x14ac:dyDescent="0.25">
      <c r="D79" s="585"/>
      <c r="E79" s="585"/>
      <c r="F79" s="585"/>
      <c r="G79" s="585"/>
      <c r="H79" s="585"/>
      <c r="I79" s="585"/>
      <c r="J79" s="585"/>
      <c r="K79" s="585"/>
      <c r="L79" s="585"/>
      <c r="M79" s="585"/>
      <c r="N79" s="585"/>
      <c r="O79" s="585"/>
      <c r="P79" s="585"/>
      <c r="Q79" s="585"/>
      <c r="R79" s="585"/>
      <c r="S79" s="585"/>
      <c r="T79" s="585"/>
      <c r="U79" s="585"/>
      <c r="V79" s="585"/>
      <c r="W79" s="585"/>
      <c r="X79" s="585"/>
      <c r="Y79" s="585"/>
      <c r="Z79" s="314"/>
      <c r="AA79" s="585"/>
      <c r="AB79" s="314"/>
    </row>
    <row r="80" spans="4:28" s="130" customFormat="1" x14ac:dyDescent="0.25">
      <c r="D80" s="585"/>
      <c r="E80" s="585"/>
      <c r="F80" s="585"/>
      <c r="G80" s="585"/>
      <c r="H80" s="585"/>
      <c r="I80" s="585"/>
      <c r="J80" s="585"/>
      <c r="K80" s="585"/>
      <c r="L80" s="585"/>
      <c r="M80" s="585"/>
      <c r="N80" s="585"/>
      <c r="O80" s="585"/>
      <c r="P80" s="585"/>
      <c r="Q80" s="585"/>
      <c r="R80" s="585"/>
      <c r="S80" s="585"/>
      <c r="T80" s="585"/>
      <c r="U80" s="585"/>
      <c r="V80" s="585"/>
      <c r="W80" s="585"/>
      <c r="X80" s="585"/>
      <c r="Y80" s="585"/>
      <c r="Z80" s="314"/>
      <c r="AA80" s="585"/>
      <c r="AB80" s="585"/>
    </row>
    <row r="81" spans="26:26" s="130" customFormat="1" x14ac:dyDescent="0.25">
      <c r="Z81" s="314"/>
    </row>
    <row r="82" spans="26:26" s="130" customFormat="1" x14ac:dyDescent="0.25">
      <c r="Z82" s="585"/>
    </row>
    <row r="83" spans="26:26" s="130" customFormat="1" x14ac:dyDescent="0.25">
      <c r="Z83" s="585"/>
    </row>
    <row r="84" spans="26:26" s="130" customFormat="1" x14ac:dyDescent="0.25">
      <c r="Z84" s="585"/>
    </row>
    <row r="85" spans="26:26" s="130" customFormat="1" x14ac:dyDescent="0.25">
      <c r="Z85" s="585"/>
    </row>
    <row r="86" spans="26:26" s="130" customFormat="1" x14ac:dyDescent="0.25">
      <c r="Z86" s="585"/>
    </row>
    <row r="87" spans="26:26" s="130" customFormat="1" x14ac:dyDescent="0.25">
      <c r="Z87" s="585"/>
    </row>
    <row r="88" spans="26:26" s="130" customFormat="1" x14ac:dyDescent="0.25">
      <c r="Z88" s="585"/>
    </row>
    <row r="89" spans="26:26" s="130" customFormat="1" x14ac:dyDescent="0.25">
      <c r="Z89" s="585"/>
    </row>
    <row r="90" spans="26:26" s="130" customFormat="1" x14ac:dyDescent="0.25">
      <c r="Z90" s="585"/>
    </row>
    <row r="91" spans="26:26" s="130" customFormat="1" x14ac:dyDescent="0.25">
      <c r="Z91" s="585"/>
    </row>
    <row r="92" spans="26:26" s="130" customFormat="1" x14ac:dyDescent="0.25">
      <c r="Z92" s="585"/>
    </row>
    <row r="93" spans="26:26" s="130" customFormat="1" x14ac:dyDescent="0.25">
      <c r="Z93" s="585"/>
    </row>
    <row r="94" spans="26:26" s="130" customFormat="1" x14ac:dyDescent="0.25">
      <c r="Z94" s="585"/>
    </row>
    <row r="95" spans="26:26" s="130" customFormat="1" x14ac:dyDescent="0.25">
      <c r="Z95" s="585"/>
    </row>
    <row r="96" spans="26:26" s="130" customFormat="1" x14ac:dyDescent="0.25">
      <c r="Z96" s="585"/>
    </row>
    <row r="97" spans="4:15" s="130" customFormat="1" x14ac:dyDescent="0.25">
      <c r="D97" s="585"/>
      <c r="E97" s="585"/>
      <c r="F97" s="585"/>
      <c r="G97" s="585"/>
      <c r="H97" s="585"/>
      <c r="I97" s="585"/>
      <c r="J97" s="585"/>
      <c r="K97" s="585"/>
      <c r="L97" s="585"/>
      <c r="M97" s="585"/>
      <c r="N97" s="585"/>
      <c r="O97" s="585"/>
    </row>
    <row r="98" spans="4:15" s="130" customFormat="1" x14ac:dyDescent="0.25">
      <c r="D98" s="585"/>
      <c r="E98" s="585"/>
      <c r="F98" s="585"/>
      <c r="G98" s="585"/>
      <c r="H98" s="585"/>
      <c r="I98" s="585"/>
      <c r="J98" s="585"/>
      <c r="K98" s="585"/>
      <c r="L98" s="585"/>
      <c r="M98" s="585"/>
      <c r="N98" s="585"/>
      <c r="O98" s="585"/>
    </row>
    <row r="99" spans="4:15" s="130" customFormat="1" ht="26.25" customHeight="1" x14ac:dyDescent="0.25">
      <c r="D99" s="585"/>
      <c r="E99" s="585"/>
      <c r="F99" s="585"/>
      <c r="G99" s="585"/>
      <c r="H99" s="585"/>
      <c r="I99" s="585"/>
      <c r="J99" s="585"/>
      <c r="K99" s="585"/>
      <c r="L99" s="316" t="s">
        <v>43</v>
      </c>
      <c r="M99" s="585"/>
      <c r="N99" s="585"/>
      <c r="O99" s="585"/>
    </row>
    <row r="100" spans="4:15" s="130" customFormat="1" ht="13.8" x14ac:dyDescent="0.25">
      <c r="D100" s="788" t="s">
        <v>224</v>
      </c>
      <c r="E100" s="788"/>
      <c r="F100" s="788"/>
      <c r="G100" s="788"/>
      <c r="H100" s="788"/>
      <c r="I100" s="788"/>
      <c r="J100" s="788"/>
      <c r="K100" s="788"/>
      <c r="L100" s="585"/>
      <c r="M100" s="585"/>
      <c r="N100" s="585"/>
      <c r="O100" s="585"/>
    </row>
    <row r="101" spans="4:15" s="130" customFormat="1" ht="13.8" x14ac:dyDescent="0.25">
      <c r="D101" s="788" t="s">
        <v>136</v>
      </c>
      <c r="E101" s="788"/>
      <c r="F101" s="788"/>
      <c r="G101" s="788"/>
      <c r="H101" s="788"/>
      <c r="I101" s="788"/>
      <c r="J101" s="788"/>
      <c r="K101" s="788"/>
      <c r="L101" s="585"/>
      <c r="M101" s="585"/>
      <c r="N101" s="585"/>
      <c r="O101" s="585"/>
    </row>
    <row r="102" spans="4:15" s="130" customFormat="1" ht="13.8" x14ac:dyDescent="0.25">
      <c r="D102" s="788" t="s">
        <v>222</v>
      </c>
      <c r="E102" s="788"/>
      <c r="F102" s="788"/>
      <c r="G102" s="788"/>
      <c r="H102" s="788"/>
      <c r="I102" s="788"/>
      <c r="J102" s="788"/>
      <c r="K102" s="788"/>
      <c r="L102" s="585"/>
      <c r="M102" s="585"/>
      <c r="N102" s="585"/>
      <c r="O102" s="585"/>
    </row>
    <row r="103" spans="4:15" s="130" customFormat="1" ht="13.8" x14ac:dyDescent="0.25">
      <c r="D103" s="788" t="str">
        <f>+D73</f>
        <v>December 31st  2020</v>
      </c>
      <c r="E103" s="788"/>
      <c r="F103" s="788"/>
      <c r="G103" s="788"/>
      <c r="H103" s="788"/>
      <c r="I103" s="788"/>
      <c r="J103" s="788"/>
      <c r="K103" s="788"/>
      <c r="L103" s="585"/>
      <c r="M103" s="585"/>
      <c r="N103" s="585"/>
      <c r="O103" s="585"/>
    </row>
    <row r="104" spans="4:15" s="130" customFormat="1" ht="13.8" x14ac:dyDescent="0.25">
      <c r="D104" s="788" t="s">
        <v>44</v>
      </c>
      <c r="E104" s="788"/>
      <c r="F104" s="788"/>
      <c r="G104" s="788"/>
      <c r="H104" s="788"/>
      <c r="I104" s="788"/>
      <c r="J104" s="788"/>
      <c r="K104" s="788"/>
      <c r="L104" s="195"/>
      <c r="M104" s="195"/>
      <c r="N104" s="195"/>
      <c r="O104" s="585"/>
    </row>
    <row r="105" spans="4:15" s="130" customFormat="1" ht="13.8" x14ac:dyDescent="0.25">
      <c r="D105" s="788"/>
      <c r="E105" s="788"/>
      <c r="F105" s="788"/>
      <c r="G105" s="788"/>
      <c r="H105" s="788"/>
      <c r="I105" s="788"/>
      <c r="J105" s="788"/>
      <c r="K105" s="788"/>
      <c r="L105" s="195"/>
      <c r="M105" s="195"/>
      <c r="N105" s="195"/>
      <c r="O105" s="585"/>
    </row>
    <row r="106" spans="4:15" s="130" customFormat="1" x14ac:dyDescent="0.25">
      <c r="D106" s="585"/>
      <c r="E106" s="585"/>
      <c r="F106" s="585"/>
      <c r="G106" s="585"/>
      <c r="H106" s="585"/>
      <c r="I106" s="585"/>
      <c r="J106" s="585"/>
      <c r="K106" s="585"/>
      <c r="L106" s="195"/>
      <c r="M106" s="195"/>
      <c r="N106" s="195"/>
      <c r="O106" s="585"/>
    </row>
    <row r="107" spans="4:15" s="130" customFormat="1" x14ac:dyDescent="0.25">
      <c r="D107" s="585"/>
      <c r="E107" s="585"/>
      <c r="F107" s="585"/>
      <c r="G107" s="585"/>
      <c r="H107" s="585"/>
      <c r="I107" s="585"/>
      <c r="J107" s="585"/>
      <c r="K107" s="585"/>
      <c r="L107" s="195"/>
      <c r="M107" s="195"/>
      <c r="N107" s="195"/>
      <c r="O107" s="585"/>
    </row>
    <row r="108" spans="4:15" s="130" customFormat="1" x14ac:dyDescent="0.25">
      <c r="D108" s="585"/>
      <c r="E108" s="585"/>
      <c r="F108" s="585"/>
      <c r="G108" s="585"/>
      <c r="H108" s="585"/>
      <c r="I108" s="585"/>
      <c r="J108" s="585"/>
      <c r="K108" s="585"/>
      <c r="L108" s="195"/>
      <c r="M108" s="195"/>
      <c r="N108" s="195"/>
      <c r="O108" s="585"/>
    </row>
    <row r="109" spans="4:15" s="130" customFormat="1" x14ac:dyDescent="0.25">
      <c r="D109" s="585"/>
      <c r="E109" s="585"/>
      <c r="F109" s="585"/>
      <c r="G109" s="585"/>
      <c r="H109" s="585"/>
      <c r="I109" s="585"/>
      <c r="J109" s="585"/>
      <c r="K109" s="585"/>
      <c r="L109" s="195"/>
      <c r="M109" s="195"/>
      <c r="N109" s="195"/>
      <c r="O109" s="195"/>
    </row>
    <row r="110" spans="4:15" s="130" customFormat="1" x14ac:dyDescent="0.25">
      <c r="D110" s="585"/>
      <c r="E110" s="585"/>
      <c r="F110" s="585"/>
      <c r="G110" s="585"/>
      <c r="H110" s="585"/>
      <c r="I110" s="585"/>
      <c r="J110" s="585"/>
      <c r="K110" s="585"/>
      <c r="L110" s="195"/>
      <c r="M110" s="195"/>
      <c r="N110" s="195"/>
      <c r="O110" s="585"/>
    </row>
    <row r="111" spans="4:15" s="130" customFormat="1" x14ac:dyDescent="0.25">
      <c r="D111" s="585"/>
      <c r="E111" s="585"/>
      <c r="F111" s="585"/>
      <c r="G111" s="585"/>
      <c r="H111" s="585"/>
      <c r="I111" s="585"/>
      <c r="J111" s="585"/>
      <c r="K111" s="585"/>
      <c r="L111" s="195"/>
      <c r="M111" s="195"/>
      <c r="N111" s="195"/>
      <c r="O111" s="195"/>
    </row>
    <row r="112" spans="4:15" s="130" customFormat="1" x14ac:dyDescent="0.25">
      <c r="D112" s="585"/>
      <c r="E112" s="585"/>
      <c r="F112" s="585"/>
      <c r="G112" s="585"/>
      <c r="H112" s="585"/>
      <c r="I112" s="585"/>
      <c r="J112" s="585"/>
      <c r="K112" s="585"/>
      <c r="L112" s="585"/>
      <c r="M112" s="585"/>
      <c r="N112" s="585"/>
      <c r="O112" s="585"/>
    </row>
    <row r="113" spans="13:15" s="130" customFormat="1" x14ac:dyDescent="0.25">
      <c r="M113" s="107"/>
      <c r="N113" s="107"/>
      <c r="O113" s="107"/>
    </row>
    <row r="114" spans="13:15" s="130" customFormat="1" x14ac:dyDescent="0.25">
      <c r="M114" s="107"/>
      <c r="N114" s="107"/>
      <c r="O114" s="107"/>
    </row>
    <row r="115" spans="13:15" s="130" customFormat="1" x14ac:dyDescent="0.25">
      <c r="M115" s="107"/>
      <c r="N115" s="107"/>
      <c r="O115" s="107"/>
    </row>
    <row r="116" spans="13:15" s="130" customFormat="1" x14ac:dyDescent="0.25">
      <c r="M116" s="107"/>
      <c r="N116" s="107"/>
      <c r="O116" s="107"/>
    </row>
    <row r="117" spans="13:15" s="130" customFormat="1" x14ac:dyDescent="0.25">
      <c r="M117" s="107"/>
      <c r="N117" s="107"/>
      <c r="O117" s="107"/>
    </row>
    <row r="118" spans="13:15" s="130" customFormat="1" x14ac:dyDescent="0.25">
      <c r="M118" s="107"/>
      <c r="N118" s="107"/>
      <c r="O118" s="107"/>
    </row>
    <row r="119" spans="13:15" s="130" customFormat="1" x14ac:dyDescent="0.25">
      <c r="M119" s="107"/>
      <c r="N119" s="107"/>
      <c r="O119" s="107"/>
    </row>
    <row r="120" spans="13:15" s="130" customFormat="1" x14ac:dyDescent="0.25">
      <c r="M120" s="107"/>
      <c r="N120" s="107"/>
      <c r="O120" s="107"/>
    </row>
    <row r="121" spans="13:15" s="130" customFormat="1" x14ac:dyDescent="0.25">
      <c r="M121" s="107"/>
      <c r="N121" s="107"/>
      <c r="O121" s="107"/>
    </row>
    <row r="122" spans="13:15" s="130" customFormat="1" x14ac:dyDescent="0.25">
      <c r="M122" s="107"/>
      <c r="N122" s="107"/>
      <c r="O122" s="107"/>
    </row>
    <row r="123" spans="13:15" s="130" customFormat="1" x14ac:dyDescent="0.25">
      <c r="M123" s="107"/>
      <c r="N123" s="107"/>
      <c r="O123" s="107"/>
    </row>
    <row r="124" spans="13:15" s="130" customFormat="1" x14ac:dyDescent="0.25">
      <c r="M124" s="107"/>
      <c r="N124" s="107"/>
      <c r="O124" s="107"/>
    </row>
    <row r="125" spans="13:15" s="130" customFormat="1" x14ac:dyDescent="0.25">
      <c r="M125" s="107"/>
      <c r="N125" s="107"/>
      <c r="O125" s="107"/>
    </row>
    <row r="126" spans="13:15" s="130" customFormat="1" x14ac:dyDescent="0.25">
      <c r="M126" s="585"/>
      <c r="N126" s="585"/>
      <c r="O126" s="585"/>
    </row>
    <row r="127" spans="13:15" s="130" customFormat="1" x14ac:dyDescent="0.25">
      <c r="M127" s="585"/>
      <c r="N127" s="585"/>
      <c r="O127" s="585"/>
    </row>
    <row r="128" spans="13:15" s="130" customFormat="1" x14ac:dyDescent="0.25">
      <c r="M128" s="585"/>
      <c r="N128" s="585"/>
      <c r="O128" s="585"/>
    </row>
    <row r="129" spans="4:15" s="130" customFormat="1" ht="13.8" x14ac:dyDescent="0.25">
      <c r="D129" s="788" t="s">
        <v>225</v>
      </c>
      <c r="E129" s="788"/>
      <c r="F129" s="788"/>
      <c r="G129" s="788"/>
      <c r="H129" s="788"/>
      <c r="I129" s="788"/>
      <c r="J129" s="788"/>
      <c r="K129" s="788"/>
      <c r="L129" s="585"/>
      <c r="M129" s="585"/>
      <c r="N129" s="585"/>
      <c r="O129" s="585"/>
    </row>
    <row r="130" spans="4:15" s="130" customFormat="1" ht="13.8" x14ac:dyDescent="0.25">
      <c r="D130" s="788" t="s">
        <v>136</v>
      </c>
      <c r="E130" s="788"/>
      <c r="F130" s="788"/>
      <c r="G130" s="788"/>
      <c r="H130" s="788"/>
      <c r="I130" s="788"/>
      <c r="J130" s="788"/>
      <c r="K130" s="788"/>
      <c r="L130" s="585"/>
      <c r="M130" s="195"/>
      <c r="N130" s="195"/>
      <c r="O130" s="195"/>
    </row>
    <row r="131" spans="4:15" s="130" customFormat="1" ht="15" customHeight="1" x14ac:dyDescent="0.25">
      <c r="D131" s="788" t="s">
        <v>222</v>
      </c>
      <c r="E131" s="788"/>
      <c r="F131" s="788"/>
      <c r="G131" s="788"/>
      <c r="H131" s="788"/>
      <c r="I131" s="788"/>
      <c r="J131" s="788"/>
      <c r="K131" s="788"/>
      <c r="L131" s="585"/>
      <c r="M131" s="585"/>
      <c r="N131" s="585"/>
      <c r="O131" s="585"/>
    </row>
    <row r="132" spans="4:15" s="130" customFormat="1" ht="13.8" x14ac:dyDescent="0.25">
      <c r="D132" s="788" t="str">
        <f>+D103</f>
        <v>December 31st  2020</v>
      </c>
      <c r="E132" s="788"/>
      <c r="F132" s="788"/>
      <c r="G132" s="788"/>
      <c r="H132" s="788"/>
      <c r="I132" s="788"/>
      <c r="J132" s="788"/>
      <c r="K132" s="788"/>
      <c r="L132" s="585"/>
      <c r="M132" s="585"/>
      <c r="N132" s="585"/>
      <c r="O132" s="585"/>
    </row>
    <row r="133" spans="4:15" s="130" customFormat="1" ht="13.8" x14ac:dyDescent="0.25">
      <c r="D133" s="788"/>
      <c r="E133" s="788"/>
      <c r="F133" s="788"/>
      <c r="G133" s="788"/>
      <c r="H133" s="788"/>
      <c r="I133" s="788"/>
      <c r="J133" s="788"/>
      <c r="K133" s="788"/>
      <c r="L133" s="585"/>
      <c r="M133" s="585"/>
      <c r="N133" s="585"/>
      <c r="O133" s="585"/>
    </row>
    <row r="134" spans="4:15" s="130" customFormat="1" ht="13.8" x14ac:dyDescent="0.25">
      <c r="D134" s="788"/>
      <c r="E134" s="788"/>
      <c r="F134" s="788"/>
      <c r="G134" s="788"/>
      <c r="H134" s="788"/>
      <c r="I134" s="788"/>
      <c r="J134" s="788"/>
      <c r="K134" s="788"/>
      <c r="L134" s="585"/>
      <c r="M134" s="585"/>
      <c r="N134" s="585"/>
      <c r="O134" s="585"/>
    </row>
    <row r="135" spans="4:15" s="130" customFormat="1" x14ac:dyDescent="0.25">
      <c r="D135" s="585"/>
      <c r="E135" s="585"/>
      <c r="F135" s="585"/>
      <c r="G135" s="585"/>
      <c r="H135" s="585"/>
      <c r="I135" s="585"/>
      <c r="J135" s="585"/>
      <c r="K135" s="585"/>
      <c r="L135" s="585"/>
      <c r="M135" s="585"/>
      <c r="N135" s="585"/>
      <c r="O135" s="585"/>
    </row>
    <row r="136" spans="4:15" s="363" customFormat="1" x14ac:dyDescent="0.25">
      <c r="D136" s="585"/>
      <c r="E136" s="585"/>
      <c r="F136" s="585"/>
      <c r="G136" s="585"/>
      <c r="H136" s="585"/>
      <c r="I136" s="585"/>
      <c r="J136" s="585"/>
      <c r="K136" s="585"/>
      <c r="L136" s="585"/>
      <c r="M136" s="585"/>
      <c r="N136" s="585"/>
      <c r="O136" s="585"/>
    </row>
    <row r="137" spans="4:15" s="363" customFormat="1" x14ac:dyDescent="0.25">
      <c r="D137" s="585"/>
      <c r="E137" s="585"/>
      <c r="F137" s="585"/>
      <c r="G137" s="585"/>
      <c r="H137" s="585"/>
      <c r="I137" s="585"/>
      <c r="J137" s="585"/>
      <c r="K137" s="585"/>
      <c r="L137" s="585"/>
      <c r="M137" s="585"/>
      <c r="N137" s="585"/>
      <c r="O137" s="585"/>
    </row>
    <row r="138" spans="4:15" s="363" customFormat="1" x14ac:dyDescent="0.25">
      <c r="D138" s="585"/>
      <c r="E138" s="585"/>
      <c r="F138" s="585"/>
      <c r="G138" s="585"/>
      <c r="H138" s="585"/>
      <c r="I138" s="585"/>
      <c r="J138" s="585"/>
      <c r="K138" s="585"/>
      <c r="L138" s="585"/>
      <c r="M138" s="585"/>
      <c r="N138" s="585"/>
      <c r="O138" s="585"/>
    </row>
    <row r="139" spans="4:15" s="130" customFormat="1" x14ac:dyDescent="0.25">
      <c r="D139" s="585"/>
      <c r="E139" s="585"/>
      <c r="F139" s="585"/>
      <c r="G139" s="585"/>
      <c r="H139" s="585"/>
      <c r="I139" s="585"/>
      <c r="J139" s="585"/>
      <c r="K139" s="585"/>
      <c r="L139" s="585"/>
      <c r="M139" s="585"/>
      <c r="N139" s="585"/>
      <c r="O139" s="585"/>
    </row>
    <row r="140" spans="4:15" s="130" customFormat="1" x14ac:dyDescent="0.25">
      <c r="D140" s="585"/>
      <c r="E140" s="585"/>
      <c r="F140" s="585"/>
      <c r="G140" s="585"/>
      <c r="H140" s="585"/>
      <c r="I140" s="585"/>
      <c r="J140" s="585"/>
      <c r="K140" s="585"/>
      <c r="L140" s="585"/>
      <c r="M140" s="585"/>
      <c r="N140" s="585"/>
      <c r="O140" s="585"/>
    </row>
    <row r="141" spans="4:15" s="130" customFormat="1" x14ac:dyDescent="0.25">
      <c r="D141" s="585"/>
      <c r="E141" s="585"/>
      <c r="F141" s="585"/>
      <c r="G141" s="585"/>
      <c r="H141" s="585"/>
      <c r="I141" s="585"/>
      <c r="J141" s="585"/>
      <c r="K141" s="585"/>
      <c r="L141" s="585"/>
      <c r="M141" s="585"/>
      <c r="N141" s="585"/>
      <c r="O141" s="585"/>
    </row>
    <row r="142" spans="4:15" s="130" customFormat="1" x14ac:dyDescent="0.25">
      <c r="D142" s="585"/>
      <c r="E142" s="585"/>
      <c r="F142" s="585"/>
      <c r="G142" s="585"/>
      <c r="H142" s="585"/>
      <c r="I142" s="585"/>
      <c r="J142" s="585"/>
      <c r="K142" s="585"/>
      <c r="L142" s="585"/>
      <c r="M142" s="585"/>
      <c r="N142" s="585"/>
      <c r="O142" s="585"/>
    </row>
    <row r="143" spans="4:15" s="130" customFormat="1" x14ac:dyDescent="0.25">
      <c r="D143" s="585"/>
      <c r="E143" s="585"/>
      <c r="F143" s="585"/>
      <c r="G143" s="585"/>
      <c r="H143" s="585"/>
      <c r="I143" s="585"/>
      <c r="J143" s="585"/>
      <c r="K143" s="585"/>
      <c r="L143" s="585"/>
      <c r="M143" s="585"/>
      <c r="N143" s="585"/>
      <c r="O143" s="585"/>
    </row>
    <row r="144" spans="4:15" s="130" customFormat="1" x14ac:dyDescent="0.25">
      <c r="D144" s="585"/>
      <c r="E144" s="585"/>
      <c r="F144" s="585"/>
      <c r="G144" s="585"/>
      <c r="H144" s="585"/>
      <c r="I144" s="585"/>
      <c r="J144" s="585"/>
      <c r="K144" s="585"/>
      <c r="L144" s="585"/>
      <c r="M144" s="585"/>
      <c r="N144" s="585"/>
      <c r="O144" s="585"/>
    </row>
    <row r="145" spans="4:12" s="130" customFormat="1" x14ac:dyDescent="0.25">
      <c r="D145" s="585"/>
      <c r="E145" s="585"/>
      <c r="F145" s="585"/>
      <c r="G145" s="585"/>
      <c r="H145" s="585"/>
      <c r="I145" s="585"/>
      <c r="J145" s="585"/>
      <c r="K145" s="585"/>
      <c r="L145" s="585"/>
    </row>
    <row r="146" spans="4:12" s="130" customFormat="1" x14ac:dyDescent="0.25">
      <c r="D146" s="585"/>
      <c r="E146" s="585"/>
      <c r="F146" s="585"/>
      <c r="G146" s="585"/>
      <c r="H146" s="585"/>
      <c r="I146" s="585"/>
      <c r="J146" s="585"/>
      <c r="K146" s="585"/>
      <c r="L146" s="585"/>
    </row>
    <row r="147" spans="4:12" s="130" customFormat="1" x14ac:dyDescent="0.25">
      <c r="D147" s="585"/>
      <c r="E147" s="585"/>
      <c r="F147" s="585"/>
      <c r="G147" s="585"/>
      <c r="H147" s="585"/>
      <c r="I147" s="585"/>
      <c r="J147" s="585"/>
      <c r="K147" s="585"/>
      <c r="L147" s="585"/>
    </row>
    <row r="148" spans="4:12" s="130" customFormat="1" x14ac:dyDescent="0.25">
      <c r="D148" s="585"/>
      <c r="E148" s="585"/>
      <c r="F148" s="585"/>
      <c r="G148" s="585"/>
      <c r="H148" s="585"/>
      <c r="I148" s="585"/>
      <c r="J148" s="585"/>
      <c r="K148" s="585"/>
      <c r="L148" s="585"/>
    </row>
    <row r="149" spans="4:12" s="130" customFormat="1" x14ac:dyDescent="0.25">
      <c r="D149" s="585"/>
      <c r="E149" s="585"/>
      <c r="F149" s="585"/>
      <c r="G149" s="585"/>
      <c r="H149" s="585"/>
      <c r="I149" s="585"/>
      <c r="J149" s="585"/>
      <c r="K149" s="585"/>
      <c r="L149" s="585"/>
    </row>
    <row r="150" spans="4:12" s="130" customFormat="1" x14ac:dyDescent="0.25">
      <c r="D150" s="585"/>
      <c r="E150" s="585"/>
      <c r="F150" s="585"/>
      <c r="G150" s="585"/>
      <c r="H150" s="585"/>
      <c r="I150" s="585"/>
      <c r="J150" s="585"/>
      <c r="K150" s="585"/>
      <c r="L150" s="585"/>
    </row>
    <row r="151" spans="4:12" s="130" customFormat="1" x14ac:dyDescent="0.25">
      <c r="D151" s="585"/>
      <c r="E151" s="585"/>
      <c r="F151" s="585"/>
      <c r="G151" s="585"/>
      <c r="H151" s="585"/>
      <c r="I151" s="585"/>
      <c r="J151" s="585"/>
      <c r="K151" s="585"/>
      <c r="L151" s="585"/>
    </row>
    <row r="152" spans="4:12" s="130" customFormat="1" x14ac:dyDescent="0.25">
      <c r="D152" s="585"/>
      <c r="E152" s="585"/>
      <c r="F152" s="585"/>
      <c r="G152" s="585"/>
      <c r="H152" s="585"/>
      <c r="I152" s="585"/>
      <c r="J152" s="585"/>
      <c r="K152" s="585"/>
      <c r="L152" s="585"/>
    </row>
    <row r="153" spans="4:12" s="130" customFormat="1" x14ac:dyDescent="0.25">
      <c r="D153" s="585"/>
      <c r="E153" s="585"/>
      <c r="F153" s="585"/>
      <c r="G153" s="585"/>
      <c r="H153" s="585"/>
      <c r="I153" s="585"/>
      <c r="J153" s="585"/>
      <c r="K153" s="585"/>
      <c r="L153" s="585"/>
    </row>
    <row r="154" spans="4:12" s="130" customFormat="1" x14ac:dyDescent="0.25">
      <c r="D154" s="585"/>
      <c r="E154" s="585"/>
      <c r="F154" s="585"/>
      <c r="G154" s="585"/>
      <c r="H154" s="585"/>
      <c r="I154" s="585"/>
      <c r="J154" s="585"/>
      <c r="K154" s="585"/>
      <c r="L154" s="585"/>
    </row>
    <row r="155" spans="4:12" s="130" customFormat="1" x14ac:dyDescent="0.25">
      <c r="D155" s="585"/>
      <c r="E155" s="585"/>
      <c r="F155" s="585"/>
      <c r="G155" s="585"/>
      <c r="H155" s="585"/>
      <c r="I155" s="585"/>
      <c r="J155" s="585"/>
      <c r="K155" s="585"/>
      <c r="L155" s="585"/>
    </row>
    <row r="156" spans="4:12" s="130" customFormat="1" x14ac:dyDescent="0.25">
      <c r="D156" s="585"/>
      <c r="E156" s="585"/>
      <c r="F156" s="585"/>
      <c r="G156" s="585"/>
      <c r="H156" s="585"/>
      <c r="I156" s="585"/>
      <c r="J156" s="585"/>
      <c r="K156" s="585"/>
      <c r="L156" s="585"/>
    </row>
    <row r="157" spans="4:12" s="130" customFormat="1" x14ac:dyDescent="0.25">
      <c r="D157" s="585"/>
      <c r="E157" s="585"/>
      <c r="F157" s="585"/>
      <c r="G157" s="585"/>
      <c r="H157" s="585"/>
      <c r="I157" s="585"/>
      <c r="J157" s="585"/>
      <c r="K157" s="585"/>
      <c r="L157" s="585"/>
    </row>
    <row r="158" spans="4:12" s="130" customFormat="1" ht="29.25" customHeight="1" x14ac:dyDescent="0.25">
      <c r="D158" s="585"/>
      <c r="E158" s="585"/>
      <c r="F158" s="585"/>
      <c r="G158" s="585"/>
      <c r="H158" s="585"/>
      <c r="I158" s="585"/>
      <c r="J158" s="585"/>
      <c r="K158" s="585"/>
      <c r="L158" s="316" t="s">
        <v>43</v>
      </c>
    </row>
    <row r="159" spans="4:12" s="130" customFormat="1" ht="13.8" x14ac:dyDescent="0.25">
      <c r="D159" s="788" t="s">
        <v>226</v>
      </c>
      <c r="E159" s="788"/>
      <c r="F159" s="788"/>
      <c r="G159" s="788"/>
      <c r="H159" s="788"/>
      <c r="I159" s="788"/>
      <c r="J159" s="788"/>
      <c r="K159" s="788"/>
      <c r="L159" s="585"/>
    </row>
    <row r="160" spans="4:12" s="130" customFormat="1" ht="13.8" x14ac:dyDescent="0.25">
      <c r="D160" s="831" t="s">
        <v>192</v>
      </c>
      <c r="E160" s="831"/>
      <c r="F160" s="831"/>
      <c r="G160" s="831"/>
      <c r="H160" s="831"/>
      <c r="I160" s="831"/>
      <c r="J160" s="831"/>
      <c r="K160" s="831"/>
      <c r="L160" s="585"/>
    </row>
    <row r="161" spans="4:11" s="130" customFormat="1" ht="13.8" x14ac:dyDescent="0.25">
      <c r="D161" s="831" t="s">
        <v>227</v>
      </c>
      <c r="E161" s="831"/>
      <c r="F161" s="831"/>
      <c r="G161" s="831"/>
      <c r="H161" s="831"/>
      <c r="I161" s="831"/>
      <c r="J161" s="831"/>
      <c r="K161" s="831"/>
    </row>
    <row r="162" spans="4:11" s="130" customFormat="1" ht="13.8" x14ac:dyDescent="0.25">
      <c r="D162" s="831" t="s">
        <v>138</v>
      </c>
      <c r="E162" s="831"/>
      <c r="F162" s="831"/>
      <c r="G162" s="831"/>
      <c r="H162" s="831"/>
      <c r="I162" s="831"/>
      <c r="J162" s="831"/>
      <c r="K162" s="831"/>
    </row>
    <row r="163" spans="4:11" s="130" customFormat="1" ht="13.8" x14ac:dyDescent="0.25">
      <c r="D163" s="788" t="s">
        <v>139</v>
      </c>
      <c r="E163" s="788"/>
      <c r="F163" s="788"/>
      <c r="G163" s="788"/>
      <c r="H163" s="788"/>
      <c r="I163" s="788"/>
      <c r="J163" s="788"/>
      <c r="K163" s="788"/>
    </row>
    <row r="164" spans="4:11" s="130" customFormat="1" x14ac:dyDescent="0.25">
      <c r="D164" s="585"/>
      <c r="E164" s="585"/>
      <c r="F164" s="585"/>
      <c r="G164" s="585"/>
      <c r="H164" s="585"/>
      <c r="I164" s="585"/>
      <c r="J164" s="585"/>
      <c r="K164" s="585"/>
    </row>
    <row r="165" spans="4:11" s="130" customFormat="1" x14ac:dyDescent="0.25">
      <c r="D165" s="585"/>
      <c r="E165" s="585"/>
      <c r="F165" s="585"/>
      <c r="G165" s="585"/>
      <c r="H165" s="585"/>
      <c r="I165" s="585"/>
      <c r="J165" s="585"/>
      <c r="K165" s="585"/>
    </row>
    <row r="166" spans="4:11" s="130" customFormat="1" x14ac:dyDescent="0.25">
      <c r="D166" s="585"/>
      <c r="E166" s="585"/>
      <c r="F166" s="585"/>
      <c r="G166" s="585"/>
      <c r="H166" s="585"/>
      <c r="I166" s="585"/>
      <c r="J166" s="585"/>
      <c r="K166" s="585"/>
    </row>
    <row r="167" spans="4:11" s="130" customFormat="1" x14ac:dyDescent="0.25">
      <c r="D167" s="585"/>
      <c r="E167" s="585"/>
      <c r="F167" s="585"/>
      <c r="G167" s="585"/>
      <c r="H167" s="585"/>
      <c r="I167" s="585"/>
      <c r="J167" s="585"/>
      <c r="K167" s="585"/>
    </row>
    <row r="168" spans="4:11" s="130" customFormat="1" x14ac:dyDescent="0.25">
      <c r="D168" s="585"/>
      <c r="E168" s="585"/>
      <c r="F168" s="585"/>
      <c r="G168" s="585"/>
      <c r="H168" s="585"/>
      <c r="I168" s="585"/>
      <c r="J168" s="585"/>
      <c r="K168" s="585"/>
    </row>
    <row r="169" spans="4:11" s="130" customFormat="1" x14ac:dyDescent="0.25">
      <c r="D169" s="585"/>
      <c r="E169" s="585"/>
      <c r="F169" s="585"/>
      <c r="G169" s="585"/>
      <c r="H169" s="585"/>
      <c r="I169" s="585"/>
      <c r="J169" s="585"/>
      <c r="K169" s="585"/>
    </row>
    <row r="170" spans="4:11" s="130" customFormat="1" x14ac:dyDescent="0.25">
      <c r="D170" s="585"/>
      <c r="E170" s="585"/>
      <c r="F170" s="585"/>
      <c r="G170" s="585"/>
      <c r="H170" s="585"/>
      <c r="I170" s="585"/>
      <c r="J170" s="585"/>
      <c r="K170" s="585"/>
    </row>
    <row r="171" spans="4:11" s="130" customFormat="1" x14ac:dyDescent="0.25">
      <c r="D171" s="585"/>
      <c r="E171" s="585"/>
      <c r="F171" s="585"/>
      <c r="G171" s="585"/>
      <c r="H171" s="585"/>
      <c r="I171" s="585"/>
      <c r="J171" s="585"/>
      <c r="K171" s="585"/>
    </row>
    <row r="172" spans="4:11" s="130" customFormat="1" x14ac:dyDescent="0.25">
      <c r="D172" s="585"/>
      <c r="E172" s="585"/>
      <c r="F172" s="585"/>
      <c r="G172" s="585"/>
      <c r="H172" s="585"/>
      <c r="I172" s="585"/>
      <c r="J172" s="585"/>
      <c r="K172" s="585"/>
    </row>
    <row r="173" spans="4:11" s="130" customFormat="1" x14ac:dyDescent="0.25">
      <c r="D173" s="585"/>
      <c r="E173" s="585"/>
      <c r="F173" s="585"/>
      <c r="G173" s="585"/>
      <c r="H173" s="585"/>
      <c r="I173" s="585"/>
      <c r="J173" s="585"/>
      <c r="K173" s="585"/>
    </row>
    <row r="174" spans="4:11" s="130" customFormat="1" x14ac:dyDescent="0.25">
      <c r="D174" s="585"/>
      <c r="E174" s="585"/>
      <c r="F174" s="585"/>
      <c r="G174" s="585"/>
      <c r="H174" s="585"/>
      <c r="I174" s="585"/>
      <c r="J174" s="585"/>
      <c r="K174" s="585"/>
    </row>
    <row r="175" spans="4:11" s="130" customFormat="1" x14ac:dyDescent="0.25">
      <c r="D175" s="585"/>
      <c r="E175" s="585"/>
      <c r="F175" s="585"/>
      <c r="G175" s="585"/>
      <c r="H175" s="585"/>
      <c r="I175" s="585"/>
      <c r="J175" s="585"/>
      <c r="K175" s="585"/>
    </row>
    <row r="176" spans="4:11" s="130" customFormat="1" x14ac:dyDescent="0.25">
      <c r="D176" s="585"/>
      <c r="E176" s="585"/>
      <c r="F176" s="585"/>
      <c r="G176" s="585"/>
      <c r="H176" s="585"/>
      <c r="I176" s="585"/>
      <c r="J176" s="585"/>
      <c r="K176" s="585"/>
    </row>
    <row r="177" spans="1:34" s="130" customFormat="1" x14ac:dyDescent="0.25">
      <c r="A177" s="585"/>
      <c r="B177" s="585"/>
      <c r="C177" s="585"/>
      <c r="D177" s="585"/>
      <c r="E177" s="585"/>
      <c r="F177" s="585"/>
      <c r="G177" s="585"/>
      <c r="H177" s="585"/>
      <c r="I177" s="585"/>
      <c r="J177" s="585"/>
      <c r="K177" s="585"/>
      <c r="L177" s="585"/>
      <c r="M177" s="585"/>
      <c r="N177" s="585"/>
      <c r="O177" s="585"/>
      <c r="P177" s="585"/>
      <c r="Q177" s="585"/>
      <c r="R177" s="585"/>
      <c r="S177" s="585"/>
      <c r="T177" s="585"/>
      <c r="U177" s="585"/>
      <c r="V177" s="585"/>
      <c r="W177" s="585"/>
      <c r="X177" s="585"/>
      <c r="Y177" s="585"/>
      <c r="Z177" s="585"/>
      <c r="AA177" s="585"/>
      <c r="AB177" s="585"/>
      <c r="AC177" s="585"/>
      <c r="AD177" s="585"/>
      <c r="AE177" s="585"/>
      <c r="AF177" s="585"/>
      <c r="AG177" s="585"/>
      <c r="AH177" s="585"/>
    </row>
    <row r="178" spans="1:34" s="130" customFormat="1" x14ac:dyDescent="0.25">
      <c r="A178" s="585"/>
      <c r="B178" s="585"/>
      <c r="C178" s="585"/>
      <c r="D178" s="585"/>
      <c r="E178" s="585"/>
      <c r="F178" s="585"/>
      <c r="G178" s="585"/>
      <c r="H178" s="585"/>
      <c r="I178" s="585"/>
      <c r="J178" s="585"/>
      <c r="K178" s="585"/>
      <c r="L178" s="585"/>
      <c r="M178" s="585"/>
      <c r="N178" s="585"/>
      <c r="O178" s="585"/>
      <c r="P178" s="585"/>
      <c r="Q178" s="585"/>
      <c r="R178" s="585"/>
      <c r="S178" s="585"/>
      <c r="T178" s="585"/>
      <c r="U178" s="585"/>
      <c r="V178" s="585"/>
      <c r="W178" s="585"/>
      <c r="X178" s="585"/>
      <c r="Y178" s="585"/>
      <c r="Z178" s="585"/>
      <c r="AA178" s="585"/>
      <c r="AB178" s="585"/>
      <c r="AC178" s="585"/>
      <c r="AD178" s="585"/>
      <c r="AE178" s="585"/>
      <c r="AF178" s="585"/>
      <c r="AG178" s="585"/>
      <c r="AH178" s="585"/>
    </row>
    <row r="179" spans="1:34" s="130" customFormat="1" x14ac:dyDescent="0.25">
      <c r="A179" s="585"/>
      <c r="B179" s="585"/>
      <c r="C179" s="585"/>
      <c r="D179" s="585"/>
      <c r="E179" s="585"/>
      <c r="F179" s="585"/>
      <c r="G179" s="585"/>
      <c r="H179" s="585"/>
      <c r="I179" s="585"/>
      <c r="J179" s="585"/>
      <c r="K179" s="585"/>
      <c r="L179" s="585"/>
      <c r="M179" s="585"/>
      <c r="N179" s="585"/>
      <c r="O179" s="585"/>
      <c r="P179" s="585"/>
      <c r="Q179" s="585"/>
      <c r="R179" s="585"/>
      <c r="S179" s="585"/>
      <c r="T179" s="585"/>
      <c r="U179" s="585"/>
      <c r="V179" s="585"/>
      <c r="W179" s="585"/>
      <c r="X179" s="585"/>
      <c r="Y179" s="585"/>
      <c r="Z179" s="585"/>
      <c r="AA179" s="585"/>
      <c r="AB179" s="585"/>
      <c r="AC179" s="585"/>
      <c r="AD179" s="585"/>
      <c r="AE179" s="585"/>
      <c r="AF179" s="585"/>
      <c r="AG179" s="585"/>
      <c r="AH179" s="585"/>
    </row>
    <row r="180" spans="1:34" s="130" customFormat="1" x14ac:dyDescent="0.25">
      <c r="A180" s="585"/>
      <c r="B180" s="585"/>
      <c r="C180" s="585"/>
      <c r="D180" s="585"/>
      <c r="E180" s="585"/>
      <c r="F180" s="585"/>
      <c r="G180" s="585"/>
      <c r="H180" s="585"/>
      <c r="I180" s="585"/>
      <c r="J180" s="585"/>
      <c r="K180" s="585"/>
      <c r="L180" s="585"/>
      <c r="M180" s="585"/>
      <c r="N180" s="585"/>
      <c r="O180" s="585"/>
      <c r="P180" s="585"/>
      <c r="Q180" s="585"/>
      <c r="R180" s="585"/>
      <c r="S180" s="585"/>
      <c r="T180" s="585"/>
      <c r="U180" s="585"/>
      <c r="V180" s="585"/>
      <c r="W180" s="585"/>
      <c r="X180" s="585"/>
      <c r="Y180" s="585"/>
      <c r="Z180" s="585"/>
      <c r="AA180" s="585"/>
      <c r="AB180" s="585"/>
      <c r="AC180" s="585"/>
      <c r="AD180" s="585"/>
      <c r="AE180" s="585"/>
      <c r="AF180" s="585"/>
      <c r="AG180" s="585"/>
      <c r="AH180" s="585"/>
    </row>
    <row r="181" spans="1:34" s="130" customFormat="1" x14ac:dyDescent="0.25">
      <c r="A181" s="585"/>
      <c r="B181" s="585"/>
      <c r="C181" s="585"/>
      <c r="D181" s="585"/>
      <c r="E181" s="585"/>
      <c r="F181" s="585"/>
      <c r="G181" s="585"/>
      <c r="H181" s="585"/>
      <c r="I181" s="585"/>
      <c r="J181" s="585"/>
      <c r="K181" s="585"/>
      <c r="L181" s="585"/>
      <c r="M181" s="585"/>
      <c r="N181" s="585"/>
      <c r="O181" s="585"/>
      <c r="P181" s="585"/>
      <c r="Q181" s="585"/>
      <c r="R181" s="585"/>
      <c r="S181" s="585"/>
      <c r="T181" s="585"/>
      <c r="U181" s="585"/>
      <c r="V181" s="585"/>
      <c r="W181" s="585"/>
      <c r="X181" s="585"/>
      <c r="Y181" s="585"/>
      <c r="Z181" s="585"/>
      <c r="AA181" s="585"/>
      <c r="AB181" s="585"/>
      <c r="AC181" s="585"/>
      <c r="AD181" s="585"/>
      <c r="AE181" s="585"/>
      <c r="AF181" s="585"/>
      <c r="AG181" s="585"/>
      <c r="AH181" s="585"/>
    </row>
    <row r="182" spans="1:34" s="363" customFormat="1" x14ac:dyDescent="0.25">
      <c r="A182" s="585"/>
      <c r="B182" s="585"/>
      <c r="C182" s="585"/>
      <c r="D182" s="585"/>
      <c r="E182" s="585"/>
      <c r="F182" s="585"/>
      <c r="G182" s="585"/>
      <c r="H182" s="585"/>
      <c r="I182" s="585"/>
      <c r="J182" s="585"/>
      <c r="K182" s="585"/>
      <c r="L182" s="585"/>
      <c r="M182" s="585"/>
      <c r="N182" s="585"/>
      <c r="O182" s="585"/>
      <c r="P182" s="585"/>
      <c r="Q182" s="585"/>
      <c r="R182" s="585"/>
      <c r="S182" s="585"/>
      <c r="T182" s="585"/>
      <c r="U182" s="585"/>
      <c r="V182" s="585"/>
      <c r="W182" s="585"/>
      <c r="X182" s="585"/>
      <c r="Y182" s="585"/>
      <c r="Z182" s="585"/>
      <c r="AA182" s="585"/>
      <c r="AB182" s="585"/>
      <c r="AC182" s="585"/>
      <c r="AD182" s="585"/>
      <c r="AE182" s="585"/>
      <c r="AF182" s="585"/>
      <c r="AG182" s="585"/>
      <c r="AH182" s="585"/>
    </row>
    <row r="183" spans="1:34" s="585" customFormat="1" ht="27.75" customHeight="1" x14ac:dyDescent="0.25">
      <c r="G183" s="316" t="s">
        <v>43</v>
      </c>
    </row>
    <row r="184" spans="1:34" s="585" customFormat="1" x14ac:dyDescent="0.25">
      <c r="A184" s="187"/>
      <c r="B184" s="187"/>
      <c r="C184" s="187"/>
      <c r="D184" s="187"/>
      <c r="E184" s="187"/>
      <c r="F184" s="187"/>
      <c r="G184" s="187"/>
      <c r="H184" s="187"/>
      <c r="I184" s="187"/>
      <c r="J184" s="187"/>
      <c r="K184" s="187"/>
      <c r="L184" s="187"/>
      <c r="M184" s="187"/>
      <c r="N184" s="187"/>
      <c r="O184" s="187"/>
      <c r="P184" s="187"/>
      <c r="Q184" s="187"/>
      <c r="R184" s="187"/>
      <c r="S184" s="187"/>
      <c r="T184" s="187"/>
      <c r="U184" s="187"/>
      <c r="V184" s="187"/>
      <c r="W184" s="187"/>
      <c r="X184" s="187"/>
      <c r="Y184" s="187"/>
      <c r="Z184" s="187"/>
      <c r="AA184" s="187"/>
      <c r="AB184" s="187"/>
      <c r="AC184" s="187"/>
      <c r="AD184" s="187"/>
      <c r="AE184" s="187"/>
      <c r="AF184" s="187"/>
      <c r="AG184" s="187"/>
      <c r="AH184" s="187"/>
    </row>
    <row r="185" spans="1:34" s="585" customFormat="1" x14ac:dyDescent="0.25">
      <c r="A185" s="187"/>
      <c r="B185" s="187"/>
      <c r="C185" s="187"/>
      <c r="D185" s="187"/>
      <c r="E185" s="187"/>
      <c r="F185" s="187"/>
      <c r="G185" s="187"/>
      <c r="H185" s="187"/>
      <c r="I185" s="187"/>
      <c r="J185" s="187"/>
      <c r="K185" s="187"/>
      <c r="L185" s="187"/>
      <c r="M185" s="187"/>
      <c r="N185" s="187"/>
      <c r="O185" s="187"/>
      <c r="P185" s="187"/>
      <c r="Q185" s="187"/>
      <c r="R185" s="187"/>
      <c r="S185" s="187"/>
      <c r="T185" s="187"/>
      <c r="U185" s="187"/>
      <c r="V185" s="187"/>
      <c r="W185" s="187"/>
      <c r="X185" s="187"/>
      <c r="Y185" s="187"/>
      <c r="Z185" s="187"/>
      <c r="AA185" s="187"/>
      <c r="AB185" s="187"/>
      <c r="AC185" s="187"/>
      <c r="AD185" s="187"/>
      <c r="AE185" s="187"/>
      <c r="AF185" s="187"/>
      <c r="AG185" s="187"/>
      <c r="AH185" s="187"/>
    </row>
    <row r="186" spans="1:34" s="585" customFormat="1" x14ac:dyDescent="0.25">
      <c r="A186" s="187"/>
      <c r="B186" s="187"/>
      <c r="C186" s="187"/>
      <c r="D186" s="187"/>
      <c r="E186" s="187"/>
      <c r="F186" s="187"/>
      <c r="G186" s="187"/>
      <c r="H186" s="187"/>
      <c r="I186" s="187"/>
      <c r="J186" s="187"/>
      <c r="K186" s="187"/>
      <c r="L186" s="187"/>
      <c r="M186" s="187"/>
      <c r="N186" s="187"/>
      <c r="O186" s="187"/>
      <c r="P186" s="187"/>
      <c r="Q186" s="187"/>
      <c r="R186" s="187"/>
      <c r="S186" s="187"/>
      <c r="T186" s="187"/>
      <c r="U186" s="187"/>
      <c r="V186" s="187"/>
      <c r="W186" s="187"/>
      <c r="X186" s="187"/>
      <c r="Y186" s="187"/>
      <c r="Z186" s="187"/>
      <c r="AA186" s="187"/>
      <c r="AB186" s="187"/>
      <c r="AC186" s="187"/>
      <c r="AD186" s="187"/>
      <c r="AE186" s="187"/>
      <c r="AF186" s="187"/>
      <c r="AG186" s="187"/>
      <c r="AH186" s="187"/>
    </row>
    <row r="187" spans="1:34" s="298" customFormat="1" x14ac:dyDescent="0.25">
      <c r="A187" s="621"/>
      <c r="B187" s="621"/>
      <c r="C187" s="621"/>
      <c r="D187" s="621"/>
      <c r="E187" s="621"/>
      <c r="F187" s="621"/>
      <c r="G187" s="621"/>
      <c r="H187" s="621"/>
      <c r="I187" s="621"/>
      <c r="J187" s="621"/>
      <c r="K187" s="621"/>
      <c r="L187" s="621"/>
      <c r="M187" s="621"/>
      <c r="N187" s="621"/>
      <c r="O187" s="621"/>
      <c r="P187" s="621"/>
      <c r="Q187" s="621"/>
      <c r="R187" s="621"/>
      <c r="S187" s="621"/>
      <c r="T187" s="621"/>
      <c r="U187" s="621"/>
      <c r="V187" s="621"/>
      <c r="W187" s="621"/>
      <c r="X187" s="621"/>
      <c r="Y187" s="621"/>
      <c r="Z187" s="621"/>
      <c r="AA187" s="621"/>
      <c r="AB187" s="621"/>
      <c r="AC187" s="621"/>
      <c r="AD187" s="621"/>
      <c r="AE187" s="621"/>
      <c r="AF187" s="621"/>
      <c r="AG187" s="621"/>
      <c r="AH187" s="621"/>
    </row>
    <row r="188" spans="1:34" s="298" customFormat="1" x14ac:dyDescent="0.25">
      <c r="A188" s="621"/>
      <c r="B188" s="621"/>
      <c r="C188" s="621"/>
      <c r="D188" s="621"/>
      <c r="E188" s="621"/>
      <c r="F188" s="621"/>
      <c r="G188" s="621"/>
      <c r="H188" s="621"/>
      <c r="I188" s="621"/>
      <c r="J188" s="621"/>
      <c r="K188" s="621"/>
      <c r="L188" s="621"/>
      <c r="M188" s="621"/>
      <c r="N188" s="621"/>
      <c r="O188" s="621"/>
      <c r="P188" s="621"/>
      <c r="Q188" s="621"/>
      <c r="R188" s="621"/>
      <c r="S188" s="621"/>
      <c r="T188" s="621"/>
      <c r="U188" s="621"/>
      <c r="V188" s="621"/>
      <c r="W188" s="621"/>
      <c r="X188" s="621"/>
      <c r="Y188" s="621"/>
      <c r="Z188" s="621"/>
      <c r="AA188" s="621"/>
      <c r="AB188" s="621"/>
      <c r="AC188" s="621"/>
      <c r="AD188" s="621"/>
      <c r="AE188" s="621"/>
      <c r="AF188" s="621"/>
      <c r="AG188" s="621"/>
      <c r="AH188" s="621"/>
    </row>
    <row r="189" spans="1:34" s="298" customFormat="1" x14ac:dyDescent="0.25">
      <c r="A189" s="621"/>
      <c r="B189" s="621" t="s">
        <v>154</v>
      </c>
      <c r="C189" s="748">
        <v>1998</v>
      </c>
      <c r="D189" s="748">
        <v>1999</v>
      </c>
      <c r="E189" s="748">
        <v>2000</v>
      </c>
      <c r="F189" s="748">
        <v>2001</v>
      </c>
      <c r="G189" s="748">
        <v>2002</v>
      </c>
      <c r="H189" s="748">
        <v>2003</v>
      </c>
      <c r="I189" s="748">
        <v>2004</v>
      </c>
      <c r="J189" s="748">
        <v>2005</v>
      </c>
      <c r="K189" s="748">
        <v>2006</v>
      </c>
      <c r="L189" s="748">
        <v>2007</v>
      </c>
      <c r="M189" s="748">
        <v>2008</v>
      </c>
      <c r="N189" s="748">
        <v>2009</v>
      </c>
      <c r="O189" s="748">
        <v>2010</v>
      </c>
      <c r="P189" s="748">
        <v>2011</v>
      </c>
      <c r="Q189" s="748">
        <v>2012</v>
      </c>
      <c r="R189" s="748">
        <v>2013</v>
      </c>
      <c r="S189" s="748">
        <v>2014</v>
      </c>
      <c r="T189" s="748">
        <v>2015</v>
      </c>
      <c r="U189" s="748">
        <v>2016</v>
      </c>
      <c r="V189" s="748">
        <v>2017</v>
      </c>
      <c r="W189" s="748">
        <v>2018</v>
      </c>
      <c r="X189" s="748">
        <v>2019</v>
      </c>
      <c r="Y189" s="748">
        <v>2020</v>
      </c>
      <c r="Z189" s="621"/>
      <c r="AA189" s="621"/>
      <c r="AB189" s="621"/>
      <c r="AC189" s="621"/>
      <c r="AD189" s="621"/>
      <c r="AE189" s="621"/>
      <c r="AF189" s="621"/>
      <c r="AG189" s="621"/>
      <c r="AH189" s="621"/>
    </row>
    <row r="190" spans="1:34" s="298" customFormat="1" x14ac:dyDescent="0.25">
      <c r="A190" s="621"/>
      <c r="B190" s="624" t="s">
        <v>228</v>
      </c>
      <c r="C190" s="551">
        <v>3.2004121004156866E-2</v>
      </c>
      <c r="D190" s="551">
        <v>3.6391427842005365E-2</v>
      </c>
      <c r="E190" s="551">
        <v>3.81249643073324E-2</v>
      </c>
      <c r="F190" s="551">
        <v>4.0865338503919581E-2</v>
      </c>
      <c r="G190" s="551">
        <v>4.3681979802857429E-2</v>
      </c>
      <c r="H190" s="551">
        <v>4.3362718350630179E-2</v>
      </c>
      <c r="I190" s="551">
        <v>4.120132452352266E-2</v>
      </c>
      <c r="J190" s="551">
        <v>4.1294305579947878E-2</v>
      </c>
      <c r="K190" s="551">
        <v>3.7800063408307868E-2</v>
      </c>
      <c r="L190" s="551">
        <v>3.0394081378454906E-2</v>
      </c>
      <c r="M190" s="551">
        <v>2.1117255871403829E-2</v>
      </c>
      <c r="N190" s="551">
        <v>2.0587138905648391E-2</v>
      </c>
      <c r="O190" s="551">
        <v>2.0547383680933912E-2</v>
      </c>
      <c r="P190" s="551">
        <v>2.1079644974624685E-2</v>
      </c>
      <c r="Q190" s="551">
        <v>2.0256166298744001E-2</v>
      </c>
      <c r="R190" s="551">
        <v>2.546419703236347E-2</v>
      </c>
      <c r="S190" s="551">
        <v>2.5675008207117392E-2</v>
      </c>
      <c r="T190" s="551">
        <v>2.7391950359842144E-2</v>
      </c>
      <c r="U190" s="626">
        <v>2.8262610661706277E-2</v>
      </c>
      <c r="V190" s="626">
        <v>3.1293557609412111E-2</v>
      </c>
      <c r="W190" s="626">
        <v>3.5418363984483107E-2</v>
      </c>
      <c r="X190" s="626">
        <v>4.1821119200911278E-2</v>
      </c>
      <c r="Y190" s="626">
        <f>+'PUBLIC DEBT COLONES'!AP42</f>
        <v>4.6069244987859241E-2</v>
      </c>
      <c r="Z190" s="621"/>
      <c r="AA190" s="621"/>
      <c r="AB190" s="621"/>
      <c r="AC190" s="621"/>
      <c r="AD190" s="621"/>
      <c r="AE190" s="621"/>
      <c r="AF190" s="621"/>
      <c r="AG190" s="621"/>
      <c r="AH190" s="621"/>
    </row>
    <row r="191" spans="1:34" s="298" customFormat="1" x14ac:dyDescent="0.25">
      <c r="A191" s="621"/>
      <c r="B191" s="624" t="s">
        <v>229</v>
      </c>
      <c r="C191" s="551">
        <v>0.26103361441524786</v>
      </c>
      <c r="D191" s="551">
        <v>0.29999192597323077</v>
      </c>
      <c r="E191" s="551">
        <v>0.29319421365864323</v>
      </c>
      <c r="F191" s="551">
        <v>0.30373043171128977</v>
      </c>
      <c r="G191" s="551">
        <v>0.33182049583140399</v>
      </c>
      <c r="H191" s="551">
        <v>0.32120260413605195</v>
      </c>
      <c r="I191" s="551">
        <v>0.30967041354266189</v>
      </c>
      <c r="J191" s="551">
        <v>0.30509012312924028</v>
      </c>
      <c r="K191" s="551">
        <v>0.27301601980633738</v>
      </c>
      <c r="L191" s="551">
        <v>0.20443344724138421</v>
      </c>
      <c r="M191" s="551">
        <v>0.13664744047412949</v>
      </c>
      <c r="N191" s="551">
        <v>0.1528981977050283</v>
      </c>
      <c r="O191" s="551">
        <v>0.14687118167546959</v>
      </c>
      <c r="P191" s="551">
        <v>0.1491478488425067</v>
      </c>
      <c r="Q191" s="551">
        <v>0.14475896887354675</v>
      </c>
      <c r="R191" s="551">
        <v>0.17902367911028574</v>
      </c>
      <c r="S191" s="551">
        <v>0.1834775691308092</v>
      </c>
      <c r="T191" s="551">
        <v>0.1909714074996344</v>
      </c>
      <c r="U191" s="626">
        <v>0.19235820998646913</v>
      </c>
      <c r="V191" s="626">
        <v>0.21587905241203384</v>
      </c>
      <c r="W191" s="626">
        <v>0.24946985755956325</v>
      </c>
      <c r="X191" s="626">
        <v>0.2886839344634104</v>
      </c>
      <c r="Y191" s="626">
        <f>+'PUBLIC DEBT COLONES'!AP43</f>
        <v>0.35812843824255597</v>
      </c>
      <c r="Z191" s="621"/>
      <c r="AA191" s="621"/>
      <c r="AB191" s="621"/>
      <c r="AC191" s="621"/>
      <c r="AD191" s="621"/>
      <c r="AE191" s="621"/>
      <c r="AF191" s="621"/>
      <c r="AG191" s="621"/>
      <c r="AH191" s="621"/>
    </row>
    <row r="192" spans="1:34" s="298" customFormat="1" x14ac:dyDescent="0.25">
      <c r="A192" s="621"/>
      <c r="B192" s="624" t="s">
        <v>230</v>
      </c>
      <c r="C192" s="551">
        <v>0.21730848794586913</v>
      </c>
      <c r="D192" s="551">
        <v>0.25405263753071317</v>
      </c>
      <c r="E192" s="551">
        <v>0.23760194807496116</v>
      </c>
      <c r="F192" s="551">
        <v>0.25208849049106652</v>
      </c>
      <c r="G192" s="551">
        <v>0.25394052494389974</v>
      </c>
      <c r="H192" s="551">
        <v>0.26054739941323457</v>
      </c>
      <c r="I192" s="551">
        <v>0.26106927198091384</v>
      </c>
      <c r="J192" s="551">
        <v>0.27313013729857849</v>
      </c>
      <c r="K192" s="551">
        <v>0.2602939766745645</v>
      </c>
      <c r="L192" s="551">
        <v>0.21344810815507687</v>
      </c>
      <c r="M192" s="551">
        <v>0.13826466784522573</v>
      </c>
      <c r="N192" s="551">
        <v>0.12284414617751484</v>
      </c>
      <c r="O192" s="551">
        <v>0.10811044862496903</v>
      </c>
      <c r="P192" s="551">
        <v>0.11641727454813505</v>
      </c>
      <c r="Q192" s="551">
        <v>0.11072762737976037</v>
      </c>
      <c r="R192" s="551">
        <v>0.12993125519333804</v>
      </c>
      <c r="S192" s="551">
        <v>0.12731475547399546</v>
      </c>
      <c r="T192" s="551">
        <v>0.12945733370904614</v>
      </c>
      <c r="U192" s="626">
        <v>0.14149098025992915</v>
      </c>
      <c r="V192" s="626">
        <v>0.1511411790365205</v>
      </c>
      <c r="W192" s="626">
        <v>0.1756499154619994</v>
      </c>
      <c r="X192" s="626">
        <v>0.1925344860709145</v>
      </c>
      <c r="Y192" s="626">
        <f>+'PUBLIC DEBT COLONES'!AP44</f>
        <v>0.218856354165892</v>
      </c>
      <c r="Z192" s="621"/>
      <c r="AA192" s="621"/>
      <c r="AB192" s="621"/>
      <c r="AC192" s="621"/>
      <c r="AD192" s="621"/>
      <c r="AE192" s="621"/>
      <c r="AF192" s="621"/>
      <c r="AG192" s="621"/>
      <c r="AH192" s="621"/>
    </row>
    <row r="193" spans="1:40" s="298" customFormat="1" x14ac:dyDescent="0.25">
      <c r="A193" s="621"/>
      <c r="B193" s="702"/>
      <c r="C193" s="717"/>
      <c r="D193" s="717"/>
      <c r="E193" s="717"/>
      <c r="F193" s="717"/>
      <c r="G193" s="717"/>
      <c r="H193" s="717"/>
      <c r="I193" s="717"/>
      <c r="J193" s="717"/>
      <c r="K193" s="717"/>
      <c r="L193" s="717"/>
      <c r="M193" s="717"/>
      <c r="N193" s="717"/>
      <c r="O193" s="717"/>
      <c r="P193" s="717"/>
      <c r="Q193" s="717"/>
      <c r="R193" s="717"/>
      <c r="S193" s="621"/>
      <c r="T193" s="748"/>
      <c r="U193" s="621"/>
      <c r="V193" s="621"/>
      <c r="W193" s="621"/>
      <c r="X193" s="621"/>
      <c r="Y193" s="621"/>
      <c r="Z193" s="621"/>
      <c r="AA193" s="621"/>
      <c r="AB193" s="621"/>
      <c r="AC193" s="621"/>
      <c r="AD193" s="621"/>
      <c r="AE193" s="621"/>
      <c r="AF193" s="621"/>
      <c r="AG193" s="621"/>
      <c r="AH193" s="621"/>
    </row>
    <row r="194" spans="1:40" s="298" customFormat="1" x14ac:dyDescent="0.25">
      <c r="A194" s="621"/>
      <c r="B194" s="702"/>
      <c r="C194" s="717"/>
      <c r="D194" s="717"/>
      <c r="E194" s="717"/>
      <c r="F194" s="717"/>
      <c r="G194" s="717"/>
      <c r="H194" s="717"/>
      <c r="I194" s="717"/>
      <c r="J194" s="717"/>
      <c r="K194" s="717"/>
      <c r="L194" s="717"/>
      <c r="M194" s="717"/>
      <c r="N194" s="717"/>
      <c r="O194" s="717"/>
      <c r="P194" s="718"/>
      <c r="Q194" s="717"/>
      <c r="R194" s="717"/>
      <c r="S194" s="621"/>
      <c r="T194" s="621"/>
      <c r="U194" s="621"/>
      <c r="V194" s="621"/>
      <c r="W194" s="621"/>
      <c r="X194" s="621"/>
      <c r="Y194" s="621"/>
      <c r="Z194" s="621"/>
      <c r="AA194" s="621"/>
      <c r="AB194" s="621"/>
      <c r="AC194" s="621"/>
      <c r="AD194" s="621"/>
      <c r="AE194" s="621"/>
      <c r="AF194" s="621"/>
      <c r="AG194" s="621"/>
      <c r="AH194" s="621"/>
    </row>
    <row r="195" spans="1:40" s="298" customFormat="1" x14ac:dyDescent="0.25">
      <c r="A195" s="621"/>
      <c r="B195" s="702"/>
      <c r="C195" s="717"/>
      <c r="D195" s="717"/>
      <c r="E195" s="717"/>
      <c r="F195" s="717"/>
      <c r="G195" s="717"/>
      <c r="H195" s="717"/>
      <c r="I195" s="717"/>
      <c r="J195" s="717"/>
      <c r="K195" s="717"/>
      <c r="L195" s="717"/>
      <c r="M195" s="717"/>
      <c r="N195" s="717"/>
      <c r="O195" s="717"/>
      <c r="P195" s="718"/>
      <c r="Q195" s="717"/>
      <c r="R195" s="717"/>
      <c r="S195" s="621"/>
      <c r="T195" s="621"/>
      <c r="U195" s="621"/>
      <c r="V195" s="621"/>
      <c r="W195" s="621"/>
      <c r="X195" s="719"/>
      <c r="Y195" s="719"/>
      <c r="Z195" s="621"/>
      <c r="AA195" s="621"/>
      <c r="AB195" s="621"/>
      <c r="AC195" s="621"/>
      <c r="AD195" s="621"/>
      <c r="AE195" s="621"/>
      <c r="AF195" s="621"/>
      <c r="AG195" s="621"/>
      <c r="AH195" s="621"/>
    </row>
    <row r="196" spans="1:40" s="298" customFormat="1" x14ac:dyDescent="0.25">
      <c r="A196" s="621"/>
      <c r="B196" s="702"/>
      <c r="C196" s="717"/>
      <c r="D196" s="717"/>
      <c r="E196" s="717"/>
      <c r="F196" s="717"/>
      <c r="G196" s="717"/>
      <c r="H196" s="717"/>
      <c r="I196" s="717"/>
      <c r="J196" s="717"/>
      <c r="K196" s="717"/>
      <c r="L196" s="717"/>
      <c r="M196" s="717"/>
      <c r="N196" s="717"/>
      <c r="O196" s="717"/>
      <c r="P196" s="718"/>
      <c r="Q196" s="717"/>
      <c r="R196" s="717"/>
      <c r="S196" s="621"/>
      <c r="T196" s="621"/>
      <c r="U196" s="621"/>
      <c r="V196" s="621"/>
      <c r="W196" s="621"/>
      <c r="X196" s="720"/>
      <c r="Y196" s="720"/>
      <c r="Z196" s="621"/>
      <c r="AA196" s="621"/>
      <c r="AB196" s="621"/>
      <c r="AC196" s="621"/>
      <c r="AD196" s="621"/>
      <c r="AE196" s="621"/>
      <c r="AF196" s="621"/>
      <c r="AG196" s="621"/>
      <c r="AH196" s="621"/>
    </row>
    <row r="197" spans="1:40" s="298" customFormat="1" x14ac:dyDescent="0.25">
      <c r="A197" s="621"/>
      <c r="B197" s="702"/>
      <c r="C197" s="717"/>
      <c r="D197" s="717"/>
      <c r="E197" s="717"/>
      <c r="F197" s="717"/>
      <c r="G197" s="717"/>
      <c r="H197" s="717"/>
      <c r="I197" s="717"/>
      <c r="J197" s="717"/>
      <c r="K197" s="717"/>
      <c r="L197" s="717"/>
      <c r="M197" s="717"/>
      <c r="N197" s="717"/>
      <c r="O197" s="717"/>
      <c r="P197" s="718"/>
      <c r="Q197" s="717"/>
      <c r="R197" s="717"/>
      <c r="S197" s="621"/>
      <c r="T197" s="621"/>
      <c r="U197" s="621"/>
      <c r="V197" s="621"/>
      <c r="W197" s="621"/>
      <c r="X197" s="621"/>
      <c r="Y197" s="621"/>
      <c r="Z197" s="719"/>
      <c r="AA197" s="721"/>
      <c r="AB197" s="702"/>
      <c r="AC197" s="621"/>
      <c r="AD197" s="621"/>
      <c r="AE197" s="621"/>
      <c r="AF197" s="621"/>
      <c r="AG197" s="621"/>
      <c r="AH197" s="621"/>
    </row>
    <row r="198" spans="1:40" s="298" customFormat="1" x14ac:dyDescent="0.25">
      <c r="A198" s="621"/>
      <c r="B198" s="702"/>
      <c r="C198" s="748">
        <v>1998</v>
      </c>
      <c r="D198" s="748">
        <v>1999</v>
      </c>
      <c r="E198" s="748">
        <v>2000</v>
      </c>
      <c r="F198" s="748">
        <v>2001</v>
      </c>
      <c r="G198" s="748">
        <v>2002</v>
      </c>
      <c r="H198" s="748">
        <v>2003</v>
      </c>
      <c r="I198" s="748">
        <v>2004</v>
      </c>
      <c r="J198" s="748">
        <v>2005</v>
      </c>
      <c r="K198" s="748">
        <v>2006</v>
      </c>
      <c r="L198" s="748">
        <v>2007</v>
      </c>
      <c r="M198" s="748">
        <v>2008</v>
      </c>
      <c r="N198" s="748">
        <v>2009</v>
      </c>
      <c r="O198" s="748">
        <v>2010</v>
      </c>
      <c r="P198" s="748">
        <v>2011</v>
      </c>
      <c r="Q198" s="748">
        <v>2012</v>
      </c>
      <c r="R198" s="748">
        <v>2013</v>
      </c>
      <c r="S198" s="748">
        <v>2014</v>
      </c>
      <c r="T198" s="748">
        <v>2015</v>
      </c>
      <c r="U198" s="748">
        <v>2016</v>
      </c>
      <c r="V198" s="748">
        <v>2017</v>
      </c>
      <c r="W198" s="748">
        <v>2018</v>
      </c>
      <c r="X198" s="748">
        <v>2019</v>
      </c>
      <c r="Y198" s="748">
        <v>2020</v>
      </c>
      <c r="Z198" s="621"/>
      <c r="AA198" s="621"/>
      <c r="AB198" s="621"/>
      <c r="AC198" s="702"/>
      <c r="AD198" s="702"/>
      <c r="AE198" s="702"/>
      <c r="AF198" s="702"/>
      <c r="AG198" s="702"/>
      <c r="AH198" s="702"/>
      <c r="AI198" s="678"/>
      <c r="AJ198" s="678"/>
      <c r="AK198" s="678"/>
      <c r="AL198" s="678"/>
      <c r="AM198" s="678"/>
      <c r="AN198" s="678"/>
    </row>
    <row r="199" spans="1:40" s="298" customFormat="1" x14ac:dyDescent="0.25">
      <c r="A199" s="621"/>
      <c r="B199" s="624" t="s">
        <v>231</v>
      </c>
      <c r="C199" s="551">
        <v>0.39509367698940512</v>
      </c>
      <c r="D199" s="551">
        <v>0.35185452957393093</v>
      </c>
      <c r="E199" s="551">
        <v>0.39026294420085617</v>
      </c>
      <c r="F199" s="551">
        <v>0.39809178125940697</v>
      </c>
      <c r="G199" s="551">
        <v>0.41634518072513244</v>
      </c>
      <c r="H199" s="551">
        <v>0.40760148969692417</v>
      </c>
      <c r="I199" s="551">
        <v>0.41213096042152642</v>
      </c>
      <c r="J199" s="551">
        <v>0.37519223888691128</v>
      </c>
      <c r="K199" s="551">
        <v>0.33208594402619462</v>
      </c>
      <c r="L199" s="551">
        <v>0.27101849007343759</v>
      </c>
      <c r="M199" s="551">
        <v>0.24116100074484942</v>
      </c>
      <c r="N199" s="551">
        <v>0.26150811631953597</v>
      </c>
      <c r="O199" s="551">
        <v>0.28378379326893644</v>
      </c>
      <c r="P199" s="551">
        <v>0.29852630275373754</v>
      </c>
      <c r="Q199" s="551">
        <v>0.34303977316171441</v>
      </c>
      <c r="R199" s="551">
        <v>0.35940659729986518</v>
      </c>
      <c r="S199" s="551">
        <v>0.38546392565043136</v>
      </c>
      <c r="T199" s="626">
        <v>0.40984552274213998</v>
      </c>
      <c r="U199" s="626">
        <v>0.45208774762192727</v>
      </c>
      <c r="V199" s="626">
        <v>0.49180191610994989</v>
      </c>
      <c r="W199" s="626">
        <v>0.53552536147973584</v>
      </c>
      <c r="X199" s="722">
        <v>0.5848221333024084</v>
      </c>
      <c r="Y199" s="722">
        <f>+'PUBLIC DEBT COLONES'!AP47</f>
        <v>0.66536200134110013</v>
      </c>
      <c r="Z199" s="621"/>
      <c r="AA199" s="621"/>
      <c r="AB199" s="621"/>
      <c r="AC199" s="621"/>
      <c r="AD199" s="621"/>
      <c r="AE199" s="621"/>
      <c r="AF199" s="621"/>
      <c r="AG199" s="621"/>
      <c r="AH199" s="621"/>
    </row>
    <row r="200" spans="1:40" s="298" customFormat="1" x14ac:dyDescent="0.25">
      <c r="A200" s="621"/>
      <c r="B200" s="624" t="s">
        <v>232</v>
      </c>
      <c r="C200" s="551">
        <v>0.31398824382883767</v>
      </c>
      <c r="D200" s="551">
        <v>0.26597036454360462</v>
      </c>
      <c r="E200" s="551">
        <v>0.28209475513202414</v>
      </c>
      <c r="F200" s="551">
        <v>0.28561166929545079</v>
      </c>
      <c r="G200" s="551">
        <v>0.2918070992041259</v>
      </c>
      <c r="H200" s="551">
        <v>0.27425514653269445</v>
      </c>
      <c r="I200" s="551">
        <v>0.27611140017606672</v>
      </c>
      <c r="J200" s="551">
        <v>0.25159115568414459</v>
      </c>
      <c r="K200" s="551">
        <v>0.22801000441389196</v>
      </c>
      <c r="L200" s="551">
        <v>0.18903790050773786</v>
      </c>
      <c r="M200" s="551">
        <v>0.17088111201236955</v>
      </c>
      <c r="N200" s="551">
        <v>0.20610537014586677</v>
      </c>
      <c r="O200" s="551">
        <v>0.22554808504619792</v>
      </c>
      <c r="P200" s="551">
        <v>0.25056239573867395</v>
      </c>
      <c r="Q200" s="551">
        <v>0.28376407146003363</v>
      </c>
      <c r="R200" s="551">
        <v>0.28834990326012072</v>
      </c>
      <c r="S200" s="551">
        <v>0.29815112357386836</v>
      </c>
      <c r="T200" s="626">
        <v>0.30871855884786326</v>
      </c>
      <c r="U200" s="626">
        <v>0.34820432491839287</v>
      </c>
      <c r="V200" s="626">
        <v>0.38852520315939981</v>
      </c>
      <c r="W200" s="626">
        <v>0.42753995841551506</v>
      </c>
      <c r="X200" s="722">
        <v>0.45703871921272499</v>
      </c>
      <c r="Y200" s="722">
        <f>+'PUBLIC DEBT COLONES'!AP54</f>
        <v>0.50749224073449539</v>
      </c>
      <c r="Z200" s="621"/>
      <c r="AA200" s="621"/>
      <c r="AB200" s="621"/>
      <c r="AC200" s="621"/>
      <c r="AD200" s="621"/>
      <c r="AE200" s="621"/>
      <c r="AF200" s="621"/>
      <c r="AG200" s="621"/>
      <c r="AH200" s="621"/>
    </row>
    <row r="201" spans="1:40" s="298" customFormat="1" x14ac:dyDescent="0.25">
      <c r="A201" s="621"/>
      <c r="B201" s="624" t="s">
        <v>233</v>
      </c>
      <c r="C201" s="551">
        <v>8.1105433160567453E-2</v>
      </c>
      <c r="D201" s="551">
        <v>8.5884165030326323E-2</v>
      </c>
      <c r="E201" s="551">
        <v>0.10816818906883198</v>
      </c>
      <c r="F201" s="551">
        <v>0.11248011196395617</v>
      </c>
      <c r="G201" s="551">
        <v>0.12453808152100659</v>
      </c>
      <c r="H201" s="551">
        <v>0.13334634316422969</v>
      </c>
      <c r="I201" s="551">
        <v>0.13601956024545966</v>
      </c>
      <c r="J201" s="551">
        <v>0.12360108320276669</v>
      </c>
      <c r="K201" s="551">
        <v>0.10407593961230265</v>
      </c>
      <c r="L201" s="551">
        <v>8.1980589565699716E-2</v>
      </c>
      <c r="M201" s="551">
        <v>7.0279888732479839E-2</v>
      </c>
      <c r="N201" s="551">
        <v>5.54027461736692E-2</v>
      </c>
      <c r="O201" s="551">
        <v>5.8235708222738498E-2</v>
      </c>
      <c r="P201" s="551">
        <v>4.7963907015063603E-2</v>
      </c>
      <c r="Q201" s="551">
        <v>5.9275701701680776E-2</v>
      </c>
      <c r="R201" s="551">
        <v>7.1056694039744461E-2</v>
      </c>
      <c r="S201" s="551">
        <v>8.7312802076562973E-2</v>
      </c>
      <c r="T201" s="626">
        <v>0.10112696389427672</v>
      </c>
      <c r="U201" s="626">
        <v>0.10388342270353441</v>
      </c>
      <c r="V201" s="626">
        <v>0.1032767129505501</v>
      </c>
      <c r="W201" s="626">
        <v>0.10798540306422089</v>
      </c>
      <c r="X201" s="722">
        <v>0.12778341408968341</v>
      </c>
      <c r="Y201" s="722">
        <f>+'PUBLIC DEBT COLONES'!AP60</f>
        <v>0.15786976060660471</v>
      </c>
      <c r="Z201" s="621"/>
      <c r="AA201" s="621"/>
      <c r="AB201" s="621"/>
      <c r="AC201" s="621"/>
      <c r="AD201" s="621"/>
      <c r="AE201" s="621"/>
      <c r="AF201" s="621"/>
      <c r="AG201" s="621"/>
      <c r="AH201" s="621"/>
    </row>
    <row r="202" spans="1:40" s="298" customFormat="1" x14ac:dyDescent="0.25">
      <c r="A202" s="621"/>
      <c r="B202" s="621"/>
      <c r="C202" s="621"/>
      <c r="D202" s="621"/>
      <c r="E202" s="621"/>
      <c r="F202" s="621"/>
      <c r="G202" s="621"/>
      <c r="H202" s="621"/>
      <c r="I202" s="621"/>
      <c r="J202" s="621"/>
      <c r="K202" s="621"/>
      <c r="L202" s="621"/>
      <c r="M202" s="720"/>
      <c r="N202" s="720"/>
      <c r="O202" s="720"/>
      <c r="P202" s="621"/>
      <c r="Q202" s="621"/>
      <c r="R202" s="621"/>
      <c r="S202" s="623"/>
      <c r="T202" s="621"/>
      <c r="U202" s="621"/>
      <c r="V202" s="621"/>
      <c r="W202" s="621"/>
      <c r="X202" s="621"/>
      <c r="Y202" s="621"/>
      <c r="Z202" s="621"/>
      <c r="AA202" s="621"/>
      <c r="AB202" s="621"/>
      <c r="AC202" s="621"/>
      <c r="AD202" s="621"/>
      <c r="AE202" s="621"/>
      <c r="AF202" s="621"/>
      <c r="AG202" s="621"/>
      <c r="AH202" s="621"/>
    </row>
    <row r="203" spans="1:40" s="298" customFormat="1" x14ac:dyDescent="0.25">
      <c r="A203" s="621"/>
      <c r="B203" s="723" t="s">
        <v>234</v>
      </c>
      <c r="C203" s="702"/>
      <c r="D203" s="702"/>
      <c r="E203" s="702"/>
      <c r="F203" s="621"/>
      <c r="G203" s="621"/>
      <c r="H203" s="621"/>
      <c r="I203" s="621"/>
      <c r="J203" s="621"/>
      <c r="K203" s="621"/>
      <c r="L203" s="621"/>
      <c r="M203" s="621"/>
      <c r="N203" s="621"/>
      <c r="O203" s="621"/>
      <c r="P203" s="621"/>
      <c r="Q203" s="621"/>
      <c r="R203" s="621"/>
      <c r="S203" s="623"/>
      <c r="T203" s="621"/>
      <c r="U203" s="621"/>
      <c r="V203" s="621"/>
      <c r="W203" s="621"/>
      <c r="X203" s="621"/>
      <c r="Y203" s="621"/>
      <c r="Z203" s="621"/>
      <c r="AA203" s="621"/>
      <c r="AB203" s="621"/>
      <c r="AC203" s="621"/>
      <c r="AD203" s="621"/>
      <c r="AE203" s="621"/>
      <c r="AF203" s="621"/>
      <c r="AG203" s="621"/>
      <c r="AH203" s="621"/>
    </row>
    <row r="204" spans="1:40" s="298" customFormat="1" x14ac:dyDescent="0.25">
      <c r="A204" s="621"/>
      <c r="B204" s="702"/>
      <c r="C204" s="702"/>
      <c r="D204" s="702"/>
      <c r="E204" s="702"/>
      <c r="F204" s="621"/>
      <c r="G204" s="621"/>
      <c r="H204" s="621"/>
      <c r="I204" s="621"/>
      <c r="J204" s="621"/>
      <c r="K204" s="621"/>
      <c r="L204" s="621"/>
      <c r="M204" s="621"/>
      <c r="N204" s="621"/>
      <c r="O204" s="621"/>
      <c r="P204" s="621"/>
      <c r="Q204" s="621"/>
      <c r="R204" s="621"/>
      <c r="S204" s="623"/>
      <c r="T204" s="621"/>
      <c r="U204" s="621"/>
      <c r="V204" s="621"/>
      <c r="W204" s="621"/>
      <c r="X204" s="621"/>
      <c r="Y204" s="621"/>
    </row>
    <row r="205" spans="1:40" s="298" customFormat="1" x14ac:dyDescent="0.25">
      <c r="A205" s="621"/>
      <c r="B205" s="621"/>
      <c r="C205" s="621"/>
      <c r="D205" s="621"/>
      <c r="E205" s="621"/>
      <c r="F205" s="621"/>
      <c r="G205" s="621"/>
      <c r="H205" s="621"/>
      <c r="I205" s="621"/>
      <c r="J205" s="621"/>
      <c r="K205" s="621"/>
      <c r="L205" s="621"/>
      <c r="M205" s="621"/>
      <c r="N205" s="621"/>
      <c r="O205" s="621"/>
      <c r="P205" s="621"/>
      <c r="Q205" s="621"/>
      <c r="R205" s="621"/>
      <c r="S205" s="623"/>
      <c r="T205" s="623"/>
      <c r="U205" s="621"/>
      <c r="V205" s="621"/>
      <c r="W205" s="621"/>
      <c r="X205" s="621"/>
      <c r="Y205" s="621"/>
    </row>
    <row r="206" spans="1:40" s="298" customFormat="1" x14ac:dyDescent="0.25">
      <c r="A206" s="621"/>
      <c r="B206" s="702"/>
      <c r="C206" s="702"/>
      <c r="D206" s="702"/>
      <c r="E206" s="702"/>
      <c r="F206" s="702"/>
      <c r="G206" s="702"/>
      <c r="H206" s="761" t="s">
        <v>235</v>
      </c>
      <c r="I206" s="761" t="s">
        <v>235</v>
      </c>
      <c r="J206" s="702"/>
      <c r="K206" s="621"/>
      <c r="L206" s="621"/>
      <c r="M206" s="621"/>
      <c r="N206" s="621"/>
      <c r="O206" s="621"/>
      <c r="P206" s="621"/>
      <c r="Q206" s="621"/>
      <c r="R206" s="621"/>
      <c r="S206" s="623"/>
      <c r="T206" s="621"/>
      <c r="U206" s="621"/>
      <c r="V206" s="621"/>
      <c r="W206" s="621"/>
      <c r="X206" s="621"/>
      <c r="Y206" s="621"/>
    </row>
    <row r="207" spans="1:40" s="298" customFormat="1" x14ac:dyDescent="0.25">
      <c r="A207" s="621"/>
      <c r="B207" s="702"/>
      <c r="C207" s="702"/>
      <c r="D207" s="702"/>
      <c r="E207" s="702"/>
      <c r="F207" s="702"/>
      <c r="G207" s="702"/>
      <c r="H207" s="724">
        <v>0.08</v>
      </c>
      <c r="I207" s="724">
        <v>0.1</v>
      </c>
      <c r="J207" s="702"/>
      <c r="K207" s="621"/>
      <c r="L207" s="621"/>
      <c r="M207" s="621"/>
      <c r="N207" s="621"/>
      <c r="O207" s="621"/>
      <c r="P207" s="621"/>
      <c r="Q207" s="621"/>
      <c r="R207" s="621"/>
      <c r="S207" s="623"/>
      <c r="T207" s="621"/>
      <c r="U207" s="621"/>
      <c r="V207" s="621"/>
      <c r="W207" s="621"/>
      <c r="X207" s="621"/>
      <c r="Y207" s="621"/>
    </row>
    <row r="208" spans="1:40" s="298" customFormat="1" x14ac:dyDescent="0.25">
      <c r="A208" s="621"/>
      <c r="B208" s="833" t="s">
        <v>236</v>
      </c>
      <c r="C208" s="833"/>
      <c r="D208" s="833"/>
      <c r="E208" s="833"/>
      <c r="F208" s="702"/>
      <c r="G208" s="702"/>
      <c r="H208" s="725">
        <f>+E246*H207</f>
        <v>1942603.9987600541</v>
      </c>
      <c r="I208" s="725">
        <f>+E246*I207</f>
        <v>2428254.9984500678</v>
      </c>
      <c r="J208" s="702"/>
      <c r="K208" s="833" t="s">
        <v>236</v>
      </c>
      <c r="L208" s="833"/>
      <c r="M208" s="833"/>
      <c r="N208" s="833"/>
      <c r="O208" s="702"/>
      <c r="P208" s="702"/>
      <c r="Q208" s="702"/>
      <c r="R208" s="761" t="s">
        <v>235</v>
      </c>
      <c r="S208" s="706"/>
      <c r="T208" s="621"/>
      <c r="U208" s="621"/>
      <c r="V208" s="621"/>
      <c r="W208" s="621"/>
      <c r="X208" s="621"/>
      <c r="Y208" s="621"/>
    </row>
    <row r="209" spans="1:25" s="298" customFormat="1" x14ac:dyDescent="0.25">
      <c r="A209" s="621"/>
      <c r="B209" s="834" t="s">
        <v>237</v>
      </c>
      <c r="C209" s="834"/>
      <c r="D209" s="834"/>
      <c r="E209" s="834"/>
      <c r="F209" s="702"/>
      <c r="G209" s="702"/>
      <c r="H209" s="702"/>
      <c r="I209" s="702"/>
      <c r="J209" s="702"/>
      <c r="K209" s="834" t="str">
        <f>+B209</f>
        <v>Al 31 de Diciembre 2020.  En millones de colones.</v>
      </c>
      <c r="L209" s="834"/>
      <c r="M209" s="834"/>
      <c r="N209" s="834"/>
      <c r="O209" s="702"/>
      <c r="P209" s="702"/>
      <c r="Q209" s="702"/>
      <c r="R209" s="724">
        <v>0.08</v>
      </c>
      <c r="S209" s="726"/>
      <c r="T209" s="621"/>
      <c r="U209" s="621"/>
      <c r="V209" s="621"/>
      <c r="W209" s="621"/>
      <c r="X209" s="621"/>
      <c r="Y209" s="621"/>
    </row>
    <row r="210" spans="1:25" s="298" customFormat="1" x14ac:dyDescent="0.25">
      <c r="A210" s="621"/>
      <c r="B210" s="702"/>
      <c r="C210" s="727" t="s">
        <v>232</v>
      </c>
      <c r="D210" s="727" t="s">
        <v>233</v>
      </c>
      <c r="E210" s="761" t="s">
        <v>238</v>
      </c>
      <c r="F210" s="702"/>
      <c r="G210" s="761" t="s">
        <v>145</v>
      </c>
      <c r="H210" s="702"/>
      <c r="I210" s="702"/>
      <c r="J210" s="702"/>
      <c r="K210" s="834" t="s">
        <v>239</v>
      </c>
      <c r="L210" s="834"/>
      <c r="M210" s="834"/>
      <c r="N210" s="834"/>
      <c r="O210" s="702"/>
      <c r="P210" s="702"/>
      <c r="Q210" s="702"/>
      <c r="R210" s="725">
        <f>+N246*R209</f>
        <v>1942603.9987600548</v>
      </c>
      <c r="S210" s="706"/>
      <c r="T210" s="621"/>
      <c r="U210" s="621"/>
      <c r="V210" s="621"/>
      <c r="W210" s="621"/>
      <c r="X210" s="621"/>
      <c r="Y210" s="621"/>
    </row>
    <row r="211" spans="1:25" s="298" customFormat="1" ht="26.4" x14ac:dyDescent="0.25">
      <c r="A211" s="621"/>
      <c r="B211" s="761"/>
      <c r="C211" s="706"/>
      <c r="D211" s="706"/>
      <c r="E211" s="706"/>
      <c r="F211" s="702"/>
      <c r="G211" s="622"/>
      <c r="H211" s="706"/>
      <c r="I211" s="706"/>
      <c r="J211" s="702"/>
      <c r="K211" s="728"/>
      <c r="L211" s="729" t="s">
        <v>232</v>
      </c>
      <c r="M211" s="729" t="s">
        <v>233</v>
      </c>
      <c r="N211" s="730" t="s">
        <v>238</v>
      </c>
      <c r="O211" s="728"/>
      <c r="P211" s="728"/>
      <c r="Q211" s="730" t="s">
        <v>145</v>
      </c>
      <c r="R211" s="728"/>
      <c r="S211" s="706"/>
      <c r="T211" s="621"/>
      <c r="U211" s="621"/>
      <c r="V211" s="621"/>
      <c r="W211" s="621"/>
      <c r="X211" s="621"/>
      <c r="Y211" s="621"/>
    </row>
    <row r="212" spans="1:25" s="298" customFormat="1" x14ac:dyDescent="0.25">
      <c r="A212" s="621"/>
      <c r="B212" s="761"/>
      <c r="C212" s="731"/>
      <c r="D212" s="623"/>
      <c r="E212" s="623"/>
      <c r="F212" s="702"/>
      <c r="G212" s="622"/>
      <c r="H212" s="706"/>
      <c r="I212" s="706"/>
      <c r="J212" s="702"/>
      <c r="K212" s="761"/>
      <c r="L212" s="732"/>
      <c r="M212" s="732"/>
      <c r="N212" s="732"/>
      <c r="O212" s="702"/>
      <c r="P212" s="761"/>
      <c r="Q212" s="622"/>
      <c r="R212" s="706"/>
      <c r="S212" s="706"/>
      <c r="T212" s="621"/>
      <c r="U212" s="621"/>
      <c r="V212" s="621"/>
      <c r="W212" s="621"/>
      <c r="X212" s="621"/>
      <c r="Y212" s="621"/>
    </row>
    <row r="213" spans="1:25" s="298" customFormat="1" x14ac:dyDescent="0.25">
      <c r="A213" s="621"/>
      <c r="B213" s="761">
        <v>2021</v>
      </c>
      <c r="C213" s="731">
        <v>2350231.4955271767</v>
      </c>
      <c r="D213" s="623">
        <f t="shared" ref="D213:D245" si="0">+$B$247*D258</f>
        <v>61900.467606064769</v>
      </c>
      <c r="E213" s="623">
        <f>SUM(C213:D213)</f>
        <v>2412131.9631332415</v>
      </c>
      <c r="F213" s="702"/>
      <c r="G213" s="622">
        <f t="shared" ref="G213:G243" si="1">+E213/$E$246</f>
        <v>9.9336023797866477E-2</v>
      </c>
      <c r="H213" s="706">
        <f t="shared" ref="H213:H244" si="2">+$H$208-E213</f>
        <v>-469527.96437318739</v>
      </c>
      <c r="I213" s="706">
        <f t="shared" ref="I213:I244" si="3">+$I$208-E213</f>
        <v>16123.03531682631</v>
      </c>
      <c r="J213" s="702"/>
      <c r="K213" s="761">
        <v>2021</v>
      </c>
      <c r="L213" s="732">
        <f t="shared" ref="L213:N228" si="4">+C213</f>
        <v>2350231.4955271767</v>
      </c>
      <c r="M213" s="732">
        <f t="shared" si="4"/>
        <v>61900.467606064769</v>
      </c>
      <c r="N213" s="732">
        <f t="shared" si="4"/>
        <v>2412131.9631332415</v>
      </c>
      <c r="O213" s="702"/>
      <c r="P213" s="761">
        <v>2021</v>
      </c>
      <c r="Q213" s="622">
        <f t="shared" ref="Q213:S228" si="5">+G213</f>
        <v>9.9336023797866477E-2</v>
      </c>
      <c r="R213" s="706">
        <f t="shared" si="5"/>
        <v>-469527.96437318739</v>
      </c>
      <c r="S213" s="706">
        <f t="shared" si="5"/>
        <v>16123.03531682631</v>
      </c>
      <c r="T213" s="621"/>
      <c r="U213" s="621"/>
      <c r="V213" s="621"/>
      <c r="W213" s="621"/>
      <c r="X213" s="621"/>
      <c r="Y213" s="621"/>
    </row>
    <row r="214" spans="1:25" s="298" customFormat="1" x14ac:dyDescent="0.25">
      <c r="A214" s="621"/>
      <c r="B214" s="761">
        <v>2022</v>
      </c>
      <c r="C214" s="731">
        <v>2043325.4948499375</v>
      </c>
      <c r="D214" s="623">
        <f t="shared" si="0"/>
        <v>66783.726235986891</v>
      </c>
      <c r="E214" s="623">
        <f>SUM(C214:D214)</f>
        <v>2110109.2210859242</v>
      </c>
      <c r="F214" s="702"/>
      <c r="G214" s="622">
        <f t="shared" si="1"/>
        <v>8.6898172656199091E-2</v>
      </c>
      <c r="H214" s="706">
        <f t="shared" si="2"/>
        <v>-167505.22232587007</v>
      </c>
      <c r="I214" s="706">
        <f t="shared" si="3"/>
        <v>318145.77736414364</v>
      </c>
      <c r="J214" s="702"/>
      <c r="K214" s="761">
        <v>2022</v>
      </c>
      <c r="L214" s="732">
        <f t="shared" si="4"/>
        <v>2043325.4948499375</v>
      </c>
      <c r="M214" s="732">
        <f t="shared" si="4"/>
        <v>66783.726235986891</v>
      </c>
      <c r="N214" s="732">
        <f t="shared" si="4"/>
        <v>2110109.2210859242</v>
      </c>
      <c r="O214" s="702"/>
      <c r="P214" s="761">
        <v>2022</v>
      </c>
      <c r="Q214" s="622">
        <f t="shared" si="5"/>
        <v>8.6898172656199091E-2</v>
      </c>
      <c r="R214" s="706">
        <f t="shared" si="5"/>
        <v>-167505.22232587007</v>
      </c>
      <c r="S214" s="706">
        <f t="shared" si="5"/>
        <v>318145.77736414364</v>
      </c>
      <c r="T214" s="621"/>
      <c r="U214" s="621"/>
      <c r="V214" s="621"/>
      <c r="W214" s="621"/>
      <c r="X214" s="621"/>
      <c r="Y214" s="621"/>
    </row>
    <row r="215" spans="1:25" s="298" customFormat="1" x14ac:dyDescent="0.25">
      <c r="A215" s="621"/>
      <c r="B215" s="761">
        <v>2023</v>
      </c>
      <c r="C215" s="731">
        <v>1681835.0030125782</v>
      </c>
      <c r="D215" s="623">
        <f t="shared" si="0"/>
        <v>742430.32491881994</v>
      </c>
      <c r="E215" s="623">
        <f t="shared" ref="E215:E244" si="6">SUM(C215:D215)</f>
        <v>2424265.3279313981</v>
      </c>
      <c r="F215" s="702"/>
      <c r="G215" s="622">
        <f t="shared" si="1"/>
        <v>9.9835698041547696E-2</v>
      </c>
      <c r="H215" s="706">
        <f t="shared" si="2"/>
        <v>-481661.32917134394</v>
      </c>
      <c r="I215" s="706">
        <f t="shared" si="3"/>
        <v>3989.6705186697654</v>
      </c>
      <c r="J215" s="702"/>
      <c r="K215" s="761">
        <v>2023</v>
      </c>
      <c r="L215" s="732">
        <f t="shared" si="4"/>
        <v>1681835.0030125782</v>
      </c>
      <c r="M215" s="732">
        <f t="shared" si="4"/>
        <v>742430.32491881994</v>
      </c>
      <c r="N215" s="732">
        <f t="shared" si="4"/>
        <v>2424265.3279313981</v>
      </c>
      <c r="O215" s="702"/>
      <c r="P215" s="761">
        <v>2023</v>
      </c>
      <c r="Q215" s="622">
        <f t="shared" si="5"/>
        <v>9.9835698041547696E-2</v>
      </c>
      <c r="R215" s="706">
        <f t="shared" si="5"/>
        <v>-481661.32917134394</v>
      </c>
      <c r="S215" s="706">
        <f t="shared" si="5"/>
        <v>3989.6705186697654</v>
      </c>
      <c r="T215" s="621"/>
      <c r="U215" s="621"/>
      <c r="V215" s="621"/>
      <c r="W215" s="621"/>
      <c r="X215" s="621"/>
      <c r="Y215" s="621"/>
    </row>
    <row r="216" spans="1:25" s="298" customFormat="1" x14ac:dyDescent="0.25">
      <c r="A216" s="621"/>
      <c r="B216" s="761">
        <v>2024</v>
      </c>
      <c r="C216" s="731">
        <v>1877021.0830935535</v>
      </c>
      <c r="D216" s="623">
        <f t="shared" si="0"/>
        <v>239553.85920500732</v>
      </c>
      <c r="E216" s="623">
        <f t="shared" si="6"/>
        <v>2116574.9422985609</v>
      </c>
      <c r="F216" s="702"/>
      <c r="G216" s="622">
        <f t="shared" si="1"/>
        <v>8.7164442929163158E-2</v>
      </c>
      <c r="H216" s="706">
        <f t="shared" si="2"/>
        <v>-173970.94353850675</v>
      </c>
      <c r="I216" s="706">
        <f t="shared" si="3"/>
        <v>311680.05615150696</v>
      </c>
      <c r="J216" s="702"/>
      <c r="K216" s="761">
        <v>2024</v>
      </c>
      <c r="L216" s="732">
        <f t="shared" si="4"/>
        <v>1877021.0830935535</v>
      </c>
      <c r="M216" s="732">
        <f t="shared" si="4"/>
        <v>239553.85920500732</v>
      </c>
      <c r="N216" s="732">
        <f t="shared" si="4"/>
        <v>2116574.9422985609</v>
      </c>
      <c r="O216" s="702"/>
      <c r="P216" s="761">
        <v>2024</v>
      </c>
      <c r="Q216" s="622">
        <f t="shared" si="5"/>
        <v>8.7164442929163158E-2</v>
      </c>
      <c r="R216" s="706">
        <f t="shared" si="5"/>
        <v>-173970.94353850675</v>
      </c>
      <c r="S216" s="706">
        <f t="shared" si="5"/>
        <v>311680.05615150696</v>
      </c>
      <c r="T216" s="621"/>
      <c r="U216" s="621"/>
      <c r="V216" s="621"/>
      <c r="W216" s="621"/>
      <c r="X216" s="621"/>
      <c r="Y216" s="621"/>
    </row>
    <row r="217" spans="1:25" s="298" customFormat="1" x14ac:dyDescent="0.25">
      <c r="A217" s="621"/>
      <c r="B217" s="761">
        <v>2025</v>
      </c>
      <c r="C217" s="731">
        <v>1441328.100934986</v>
      </c>
      <c r="D217" s="623">
        <f t="shared" si="0"/>
        <v>574306.01795324893</v>
      </c>
      <c r="E217" s="623">
        <f t="shared" si="6"/>
        <v>2015634.118888235</v>
      </c>
      <c r="F217" s="702"/>
      <c r="G217" s="622">
        <f t="shared" si="1"/>
        <v>8.3007514456875223E-2</v>
      </c>
      <c r="H217" s="706">
        <f t="shared" si="2"/>
        <v>-73030.120128180832</v>
      </c>
      <c r="I217" s="706">
        <f t="shared" si="3"/>
        <v>412620.87956183287</v>
      </c>
      <c r="J217" s="702"/>
      <c r="K217" s="761">
        <v>2025</v>
      </c>
      <c r="L217" s="732">
        <f t="shared" si="4"/>
        <v>1441328.100934986</v>
      </c>
      <c r="M217" s="732">
        <f t="shared" si="4"/>
        <v>574306.01795324893</v>
      </c>
      <c r="N217" s="732">
        <f t="shared" si="4"/>
        <v>2015634.118888235</v>
      </c>
      <c r="O217" s="702"/>
      <c r="P217" s="761">
        <v>2025</v>
      </c>
      <c r="Q217" s="622">
        <f t="shared" si="5"/>
        <v>8.3007514456875223E-2</v>
      </c>
      <c r="R217" s="706">
        <f t="shared" si="5"/>
        <v>-73030.120128180832</v>
      </c>
      <c r="S217" s="706">
        <f t="shared" si="5"/>
        <v>412620.87956183287</v>
      </c>
      <c r="T217" s="621"/>
      <c r="U217" s="621"/>
      <c r="V217" s="621"/>
      <c r="W217" s="621"/>
      <c r="X217" s="621"/>
      <c r="Y217" s="621"/>
    </row>
    <row r="218" spans="1:25" s="298" customFormat="1" x14ac:dyDescent="0.25">
      <c r="A218" s="621"/>
      <c r="B218" s="761">
        <v>2026</v>
      </c>
      <c r="C218" s="731">
        <v>1705289.080881408</v>
      </c>
      <c r="D218" s="623">
        <f t="shared" si="0"/>
        <v>125240.57011404242</v>
      </c>
      <c r="E218" s="623">
        <f t="shared" si="6"/>
        <v>1830529.6509954503</v>
      </c>
      <c r="F218" s="702"/>
      <c r="G218" s="622">
        <f t="shared" si="1"/>
        <v>7.5384572549582321E-2</v>
      </c>
      <c r="H218" s="706">
        <f t="shared" si="2"/>
        <v>112074.34776460379</v>
      </c>
      <c r="I218" s="706">
        <f t="shared" si="3"/>
        <v>597725.3474546175</v>
      </c>
      <c r="J218" s="702"/>
      <c r="K218" s="761">
        <v>2026</v>
      </c>
      <c r="L218" s="732">
        <f t="shared" si="4"/>
        <v>1705289.080881408</v>
      </c>
      <c r="M218" s="732">
        <f t="shared" si="4"/>
        <v>125240.57011404242</v>
      </c>
      <c r="N218" s="732">
        <f t="shared" si="4"/>
        <v>1830529.6509954503</v>
      </c>
      <c r="O218" s="702"/>
      <c r="P218" s="761">
        <v>2026</v>
      </c>
      <c r="Q218" s="622">
        <f t="shared" si="5"/>
        <v>7.5384572549582321E-2</v>
      </c>
      <c r="R218" s="706">
        <f t="shared" si="5"/>
        <v>112074.34776460379</v>
      </c>
      <c r="S218" s="706">
        <f t="shared" si="5"/>
        <v>597725.3474546175</v>
      </c>
      <c r="T218" s="621"/>
      <c r="U218" s="621"/>
      <c r="V218" s="621"/>
      <c r="W218" s="621"/>
      <c r="X218" s="621"/>
      <c r="Y218" s="621"/>
    </row>
    <row r="219" spans="1:25" s="298" customFormat="1" x14ac:dyDescent="0.25">
      <c r="A219" s="621"/>
      <c r="B219" s="761">
        <v>2027</v>
      </c>
      <c r="C219" s="731">
        <v>1331490.9663897676</v>
      </c>
      <c r="D219" s="623">
        <f t="shared" si="0"/>
        <v>124867.11579942243</v>
      </c>
      <c r="E219" s="623">
        <f t="shared" si="6"/>
        <v>1456358.08218919</v>
      </c>
      <c r="F219" s="702"/>
      <c r="G219" s="622">
        <f t="shared" si="1"/>
        <v>5.997550023036171E-2</v>
      </c>
      <c r="H219" s="706">
        <f t="shared" si="2"/>
        <v>486245.91657086415</v>
      </c>
      <c r="I219" s="706">
        <f t="shared" si="3"/>
        <v>971896.91626087786</v>
      </c>
      <c r="J219" s="702"/>
      <c r="K219" s="761">
        <v>2027</v>
      </c>
      <c r="L219" s="732">
        <f t="shared" si="4"/>
        <v>1331490.9663897676</v>
      </c>
      <c r="M219" s="732">
        <f t="shared" si="4"/>
        <v>124867.11579942243</v>
      </c>
      <c r="N219" s="732">
        <f t="shared" si="4"/>
        <v>1456358.08218919</v>
      </c>
      <c r="O219" s="702"/>
      <c r="P219" s="761">
        <v>2027</v>
      </c>
      <c r="Q219" s="622">
        <f t="shared" si="5"/>
        <v>5.997550023036171E-2</v>
      </c>
      <c r="R219" s="706">
        <f t="shared" si="5"/>
        <v>486245.91657086415</v>
      </c>
      <c r="S219" s="706">
        <f t="shared" si="5"/>
        <v>971896.91626087786</v>
      </c>
      <c r="T219" s="621"/>
      <c r="U219" s="621"/>
      <c r="V219" s="621"/>
      <c r="W219" s="621"/>
      <c r="X219" s="621"/>
      <c r="Y219" s="621"/>
    </row>
    <row r="220" spans="1:25" s="298" customFormat="1" x14ac:dyDescent="0.25">
      <c r="A220" s="621"/>
      <c r="B220" s="761">
        <v>2028</v>
      </c>
      <c r="C220" s="731">
        <v>1113941.926655456</v>
      </c>
      <c r="D220" s="623">
        <f t="shared" si="0"/>
        <v>122759.71121108424</v>
      </c>
      <c r="E220" s="623">
        <f t="shared" si="6"/>
        <v>1236701.6378665401</v>
      </c>
      <c r="F220" s="702"/>
      <c r="G220" s="622">
        <f t="shared" si="1"/>
        <v>5.0929644483627759E-2</v>
      </c>
      <c r="H220" s="706">
        <f t="shared" si="2"/>
        <v>705902.36089351401</v>
      </c>
      <c r="I220" s="706">
        <f t="shared" si="3"/>
        <v>1191553.3605835277</v>
      </c>
      <c r="J220" s="702"/>
      <c r="K220" s="761">
        <v>2028</v>
      </c>
      <c r="L220" s="732">
        <f t="shared" si="4"/>
        <v>1113941.926655456</v>
      </c>
      <c r="M220" s="732">
        <f t="shared" si="4"/>
        <v>122759.71121108424</v>
      </c>
      <c r="N220" s="732">
        <f t="shared" si="4"/>
        <v>1236701.6378665401</v>
      </c>
      <c r="O220" s="702"/>
      <c r="P220" s="761">
        <v>2028</v>
      </c>
      <c r="Q220" s="622">
        <f t="shared" si="5"/>
        <v>5.0929644483627759E-2</v>
      </c>
      <c r="R220" s="706">
        <f t="shared" si="5"/>
        <v>705902.36089351401</v>
      </c>
      <c r="S220" s="706">
        <f t="shared" si="5"/>
        <v>1191553.3605835277</v>
      </c>
      <c r="T220" s="621"/>
      <c r="U220" s="621"/>
      <c r="V220" s="621"/>
      <c r="W220" s="621"/>
      <c r="X220" s="621"/>
      <c r="Y220" s="621"/>
    </row>
    <row r="221" spans="1:25" s="298" customFormat="1" x14ac:dyDescent="0.25">
      <c r="A221" s="621"/>
      <c r="B221" s="761">
        <v>2029</v>
      </c>
      <c r="C221" s="731">
        <v>1362932.4171935294</v>
      </c>
      <c r="D221" s="623">
        <f t="shared" si="0"/>
        <v>365529.88330990903</v>
      </c>
      <c r="E221" s="623">
        <f t="shared" si="6"/>
        <v>1728462.3005034383</v>
      </c>
      <c r="F221" s="702"/>
      <c r="G221" s="622">
        <f t="shared" si="1"/>
        <v>7.1181251623355021E-2</v>
      </c>
      <c r="H221" s="706">
        <f t="shared" si="2"/>
        <v>214141.69825661578</v>
      </c>
      <c r="I221" s="706">
        <f t="shared" si="3"/>
        <v>699792.69794662949</v>
      </c>
      <c r="J221" s="702"/>
      <c r="K221" s="761">
        <v>2029</v>
      </c>
      <c r="L221" s="732">
        <f t="shared" si="4"/>
        <v>1362932.4171935294</v>
      </c>
      <c r="M221" s="732">
        <f t="shared" si="4"/>
        <v>365529.88330990903</v>
      </c>
      <c r="N221" s="732">
        <f t="shared" si="4"/>
        <v>1728462.3005034383</v>
      </c>
      <c r="O221" s="702"/>
      <c r="P221" s="761">
        <v>2029</v>
      </c>
      <c r="Q221" s="622">
        <f t="shared" si="5"/>
        <v>7.1181251623355021E-2</v>
      </c>
      <c r="R221" s="706">
        <f t="shared" si="5"/>
        <v>214141.69825661578</v>
      </c>
      <c r="S221" s="706">
        <f t="shared" si="5"/>
        <v>699792.69794662949</v>
      </c>
      <c r="T221" s="621"/>
      <c r="U221" s="621"/>
      <c r="V221" s="621"/>
      <c r="W221" s="621"/>
      <c r="X221" s="621"/>
      <c r="Y221" s="621"/>
    </row>
    <row r="222" spans="1:25" s="298" customFormat="1" x14ac:dyDescent="0.25">
      <c r="A222" s="621"/>
      <c r="B222" s="761">
        <v>2030</v>
      </c>
      <c r="C222" s="731">
        <v>1059378.8672850209</v>
      </c>
      <c r="D222" s="623">
        <f t="shared" si="0"/>
        <v>363951.79457581765</v>
      </c>
      <c r="E222" s="623">
        <f t="shared" si="6"/>
        <v>1423330.6618608385</v>
      </c>
      <c r="F222" s="702"/>
      <c r="G222" s="622">
        <f t="shared" si="1"/>
        <v>5.8615370410823292E-2</v>
      </c>
      <c r="H222" s="706">
        <f t="shared" si="2"/>
        <v>519273.33689921559</v>
      </c>
      <c r="I222" s="706">
        <f t="shared" si="3"/>
        <v>1004924.3365892293</v>
      </c>
      <c r="J222" s="702"/>
      <c r="K222" s="761">
        <v>2030</v>
      </c>
      <c r="L222" s="732">
        <f t="shared" si="4"/>
        <v>1059378.8672850209</v>
      </c>
      <c r="M222" s="732">
        <f t="shared" si="4"/>
        <v>363951.79457581765</v>
      </c>
      <c r="N222" s="732">
        <f t="shared" si="4"/>
        <v>1423330.6618608385</v>
      </c>
      <c r="O222" s="702"/>
      <c r="P222" s="761">
        <v>2030</v>
      </c>
      <c r="Q222" s="622">
        <f t="shared" si="5"/>
        <v>5.8615370410823292E-2</v>
      </c>
      <c r="R222" s="706">
        <f t="shared" si="5"/>
        <v>519273.33689921559</v>
      </c>
      <c r="S222" s="706">
        <f t="shared" si="5"/>
        <v>1004924.3365892293</v>
      </c>
      <c r="T222" s="621"/>
      <c r="U222" s="621"/>
      <c r="V222" s="621"/>
      <c r="W222" s="621"/>
      <c r="X222" s="621"/>
      <c r="Y222" s="621"/>
    </row>
    <row r="223" spans="1:25" s="298" customFormat="1" x14ac:dyDescent="0.25">
      <c r="A223" s="621"/>
      <c r="B223" s="761">
        <v>2031</v>
      </c>
      <c r="C223" s="731">
        <v>677245.15013172524</v>
      </c>
      <c r="D223" s="623">
        <f t="shared" si="0"/>
        <v>361529.8932375891</v>
      </c>
      <c r="E223" s="623">
        <f t="shared" si="6"/>
        <v>1038775.0433693144</v>
      </c>
      <c r="F223" s="702"/>
      <c r="G223" s="622">
        <f t="shared" si="1"/>
        <v>4.2778663856652403E-2</v>
      </c>
      <c r="H223" s="706">
        <f t="shared" si="2"/>
        <v>903828.95539073972</v>
      </c>
      <c r="I223" s="706">
        <f t="shared" si="3"/>
        <v>1389479.9550807534</v>
      </c>
      <c r="J223" s="702"/>
      <c r="K223" s="761">
        <v>2031</v>
      </c>
      <c r="L223" s="732">
        <f t="shared" si="4"/>
        <v>677245.15013172524</v>
      </c>
      <c r="M223" s="732">
        <f t="shared" si="4"/>
        <v>361529.8932375891</v>
      </c>
      <c r="N223" s="732">
        <f t="shared" si="4"/>
        <v>1038775.0433693144</v>
      </c>
      <c r="O223" s="702"/>
      <c r="P223" s="761">
        <v>2031</v>
      </c>
      <c r="Q223" s="622">
        <f t="shared" si="5"/>
        <v>4.2778663856652403E-2</v>
      </c>
      <c r="R223" s="706">
        <f t="shared" si="5"/>
        <v>903828.95539073972</v>
      </c>
      <c r="S223" s="706">
        <f t="shared" si="5"/>
        <v>1389479.9550807534</v>
      </c>
      <c r="T223" s="621"/>
      <c r="U223" s="621"/>
      <c r="V223" s="621"/>
      <c r="W223" s="621"/>
      <c r="X223" s="621"/>
      <c r="Y223" s="621"/>
    </row>
    <row r="224" spans="1:25" s="298" customFormat="1" x14ac:dyDescent="0.25">
      <c r="A224" s="621"/>
      <c r="B224" s="761">
        <v>2032</v>
      </c>
      <c r="C224" s="731">
        <v>97674.089194329601</v>
      </c>
      <c r="D224" s="623">
        <f t="shared" si="0"/>
        <v>112812.49809431873</v>
      </c>
      <c r="E224" s="623">
        <f t="shared" si="6"/>
        <v>210486.58728864833</v>
      </c>
      <c r="F224" s="702"/>
      <c r="G224" s="622">
        <f t="shared" si="1"/>
        <v>8.6682241948642103E-3</v>
      </c>
      <c r="H224" s="706">
        <f t="shared" si="2"/>
        <v>1732117.4114714058</v>
      </c>
      <c r="I224" s="706">
        <f t="shared" si="3"/>
        <v>2217768.4111614195</v>
      </c>
      <c r="J224" s="702"/>
      <c r="K224" s="761">
        <v>2032</v>
      </c>
      <c r="L224" s="732">
        <f t="shared" si="4"/>
        <v>97674.089194329601</v>
      </c>
      <c r="M224" s="732">
        <f t="shared" si="4"/>
        <v>112812.49809431873</v>
      </c>
      <c r="N224" s="732">
        <f t="shared" si="4"/>
        <v>210486.58728864833</v>
      </c>
      <c r="O224" s="702"/>
      <c r="P224" s="761">
        <v>2032</v>
      </c>
      <c r="Q224" s="622">
        <f t="shared" si="5"/>
        <v>8.6682241948642103E-3</v>
      </c>
      <c r="R224" s="706">
        <f t="shared" si="5"/>
        <v>1732117.4114714058</v>
      </c>
      <c r="S224" s="706">
        <f t="shared" si="5"/>
        <v>2217768.4111614195</v>
      </c>
      <c r="T224" s="621"/>
      <c r="U224" s="621"/>
      <c r="V224" s="621"/>
      <c r="W224" s="621"/>
      <c r="X224" s="621"/>
      <c r="Y224" s="621"/>
    </row>
    <row r="225" spans="1:25" s="298" customFormat="1" x14ac:dyDescent="0.25">
      <c r="A225" s="621"/>
      <c r="B225" s="761">
        <v>2033</v>
      </c>
      <c r="C225" s="731">
        <v>204925.02379644755</v>
      </c>
      <c r="D225" s="623">
        <f t="shared" si="0"/>
        <v>112402.13801646381</v>
      </c>
      <c r="E225" s="623">
        <f t="shared" si="6"/>
        <v>317327.16181291139</v>
      </c>
      <c r="F225" s="702"/>
      <c r="G225" s="622">
        <f t="shared" si="1"/>
        <v>1.3068115252123782E-2</v>
      </c>
      <c r="H225" s="706">
        <f t="shared" si="2"/>
        <v>1625276.8369471426</v>
      </c>
      <c r="I225" s="706">
        <f t="shared" si="3"/>
        <v>2110927.8366371565</v>
      </c>
      <c r="J225" s="702"/>
      <c r="K225" s="761">
        <v>2033</v>
      </c>
      <c r="L225" s="732">
        <f t="shared" si="4"/>
        <v>204925.02379644755</v>
      </c>
      <c r="M225" s="732">
        <f t="shared" si="4"/>
        <v>112402.13801646381</v>
      </c>
      <c r="N225" s="732">
        <f t="shared" si="4"/>
        <v>317327.16181291139</v>
      </c>
      <c r="O225" s="702"/>
      <c r="P225" s="761">
        <v>2033</v>
      </c>
      <c r="Q225" s="622">
        <f t="shared" si="5"/>
        <v>1.3068115252123782E-2</v>
      </c>
      <c r="R225" s="706">
        <f t="shared" si="5"/>
        <v>1625276.8369471426</v>
      </c>
      <c r="S225" s="706">
        <f t="shared" si="5"/>
        <v>2110927.8366371565</v>
      </c>
      <c r="T225" s="621"/>
      <c r="U225" s="621"/>
      <c r="V225" s="621"/>
      <c r="W225" s="621"/>
      <c r="X225" s="621"/>
      <c r="Y225" s="621"/>
    </row>
    <row r="226" spans="1:25" s="298" customFormat="1" x14ac:dyDescent="0.25">
      <c r="A226" s="621"/>
      <c r="B226" s="761">
        <v>2034</v>
      </c>
      <c r="C226" s="731">
        <v>185531.8806358923</v>
      </c>
      <c r="D226" s="623">
        <f t="shared" si="0"/>
        <v>112402.13801646381</v>
      </c>
      <c r="E226" s="623">
        <f t="shared" si="6"/>
        <v>297934.01865235611</v>
      </c>
      <c r="F226" s="702"/>
      <c r="G226" s="622">
        <f t="shared" si="1"/>
        <v>1.2269470003872105E-2</v>
      </c>
      <c r="H226" s="706">
        <f t="shared" si="2"/>
        <v>1644669.9801076981</v>
      </c>
      <c r="I226" s="706">
        <f t="shared" si="3"/>
        <v>2130320.9797977116</v>
      </c>
      <c r="J226" s="702"/>
      <c r="K226" s="761">
        <v>2034</v>
      </c>
      <c r="L226" s="732">
        <f t="shared" si="4"/>
        <v>185531.8806358923</v>
      </c>
      <c r="M226" s="732">
        <f t="shared" si="4"/>
        <v>112402.13801646381</v>
      </c>
      <c r="N226" s="732">
        <f t="shared" si="4"/>
        <v>297934.01865235611</v>
      </c>
      <c r="O226" s="702"/>
      <c r="P226" s="761">
        <v>2034</v>
      </c>
      <c r="Q226" s="622">
        <f t="shared" si="5"/>
        <v>1.2269470003872105E-2</v>
      </c>
      <c r="R226" s="706">
        <f t="shared" si="5"/>
        <v>1644669.9801076981</v>
      </c>
      <c r="S226" s="706">
        <f t="shared" si="5"/>
        <v>2130320.9797977116</v>
      </c>
      <c r="T226" s="621"/>
      <c r="U226" s="621"/>
      <c r="V226" s="621"/>
      <c r="W226" s="621"/>
      <c r="X226" s="621"/>
      <c r="Y226" s="621"/>
    </row>
    <row r="227" spans="1:25" s="298" customFormat="1" x14ac:dyDescent="0.25">
      <c r="A227" s="621"/>
      <c r="B227" s="761">
        <v>2035</v>
      </c>
      <c r="C227" s="731">
        <v>263830.6512365606</v>
      </c>
      <c r="D227" s="623">
        <f t="shared" si="0"/>
        <v>102655.93716632343</v>
      </c>
      <c r="E227" s="623">
        <f t="shared" si="6"/>
        <v>366486.58840288402</v>
      </c>
      <c r="F227" s="702"/>
      <c r="G227" s="622">
        <f t="shared" si="1"/>
        <v>1.5092590713776312E-2</v>
      </c>
      <c r="H227" s="706">
        <f t="shared" si="2"/>
        <v>1576117.41035717</v>
      </c>
      <c r="I227" s="706">
        <f t="shared" si="3"/>
        <v>2061768.4100471837</v>
      </c>
      <c r="J227" s="702"/>
      <c r="K227" s="761">
        <v>2035</v>
      </c>
      <c r="L227" s="732">
        <f t="shared" si="4"/>
        <v>263830.6512365606</v>
      </c>
      <c r="M227" s="732">
        <f>+D227</f>
        <v>102655.93716632343</v>
      </c>
      <c r="N227" s="732">
        <f>+E227</f>
        <v>366486.58840288402</v>
      </c>
      <c r="O227" s="702"/>
      <c r="P227" s="761">
        <v>2035</v>
      </c>
      <c r="Q227" s="622">
        <f t="shared" si="5"/>
        <v>1.5092590713776312E-2</v>
      </c>
      <c r="R227" s="706">
        <f t="shared" si="5"/>
        <v>1576117.41035717</v>
      </c>
      <c r="S227" s="706">
        <f t="shared" si="5"/>
        <v>2061768.4100471837</v>
      </c>
      <c r="T227" s="621"/>
      <c r="U227" s="621"/>
      <c r="V227" s="621"/>
      <c r="W227" s="621"/>
      <c r="X227" s="621"/>
      <c r="Y227" s="621"/>
    </row>
    <row r="228" spans="1:25" s="298" customFormat="1" x14ac:dyDescent="0.25">
      <c r="A228" s="621"/>
      <c r="B228" s="761">
        <v>2036</v>
      </c>
      <c r="C228" s="731">
        <v>282214.06435999996</v>
      </c>
      <c r="D228" s="623">
        <f t="shared" si="0"/>
        <v>99622.932837586268</v>
      </c>
      <c r="E228" s="623">
        <f t="shared" si="6"/>
        <v>381836.99719758623</v>
      </c>
      <c r="F228" s="702"/>
      <c r="G228" s="622">
        <f t="shared" si="1"/>
        <v>1.5724748736904041E-2</v>
      </c>
      <c r="H228" s="706">
        <f t="shared" si="2"/>
        <v>1560767.0015624678</v>
      </c>
      <c r="I228" s="706">
        <f t="shared" si="3"/>
        <v>2046418.0012524817</v>
      </c>
      <c r="J228" s="702"/>
      <c r="K228" s="761">
        <v>2036</v>
      </c>
      <c r="L228" s="732">
        <f t="shared" si="4"/>
        <v>282214.06435999996</v>
      </c>
      <c r="M228" s="732">
        <f>+D228</f>
        <v>99622.932837586268</v>
      </c>
      <c r="N228" s="732">
        <f>+E228</f>
        <v>381836.99719758623</v>
      </c>
      <c r="O228" s="702"/>
      <c r="P228" s="761">
        <v>2036</v>
      </c>
      <c r="Q228" s="622">
        <f t="shared" si="5"/>
        <v>1.5724748736904041E-2</v>
      </c>
      <c r="R228" s="706">
        <f t="shared" si="5"/>
        <v>1560767.0015624678</v>
      </c>
      <c r="S228" s="706">
        <f t="shared" si="5"/>
        <v>2046418.0012524817</v>
      </c>
      <c r="T228" s="621"/>
      <c r="U228" s="621"/>
      <c r="V228" s="621"/>
      <c r="W228" s="621"/>
      <c r="X228" s="621"/>
      <c r="Y228" s="621"/>
    </row>
    <row r="229" spans="1:25" s="298" customFormat="1" x14ac:dyDescent="0.25">
      <c r="A229" s="621"/>
      <c r="B229" s="761">
        <v>2037</v>
      </c>
      <c r="C229" s="731">
        <v>2521.4553000000001</v>
      </c>
      <c r="D229" s="623">
        <f t="shared" si="0"/>
        <v>93590.632490300923</v>
      </c>
      <c r="E229" s="623">
        <f t="shared" si="6"/>
        <v>96112.087790300924</v>
      </c>
      <c r="F229" s="702"/>
      <c r="G229" s="622">
        <f t="shared" si="1"/>
        <v>3.9580722721315664E-3</v>
      </c>
      <c r="H229" s="706">
        <f t="shared" si="2"/>
        <v>1846491.9109697533</v>
      </c>
      <c r="I229" s="706">
        <f t="shared" si="3"/>
        <v>2332142.9106597668</v>
      </c>
      <c r="J229" s="702"/>
      <c r="K229" s="761" t="s">
        <v>240</v>
      </c>
      <c r="L229" s="732">
        <f>SUM(C229:C233)</f>
        <v>294113.3798</v>
      </c>
      <c r="M229" s="732">
        <f>SUM(D229:D233)</f>
        <v>268063.86667636019</v>
      </c>
      <c r="N229" s="732">
        <f>SUM(E229:E233)</f>
        <v>562177.24647636013</v>
      </c>
      <c r="O229" s="702"/>
      <c r="P229" s="761" t="s">
        <v>240</v>
      </c>
      <c r="Q229" s="622">
        <f>SUM(G229:G233)</f>
        <v>2.3151491372825038E-2</v>
      </c>
      <c r="R229" s="706">
        <f>SUM(H229:H233)</f>
        <v>9150842.7473239098</v>
      </c>
      <c r="S229" s="706">
        <f>SUM(I229:I233)</f>
        <v>11579097.745773979</v>
      </c>
      <c r="T229" s="621"/>
      <c r="U229" s="621"/>
      <c r="V229" s="621"/>
      <c r="W229" s="621"/>
      <c r="X229" s="621"/>
      <c r="Y229" s="621"/>
    </row>
    <row r="230" spans="1:25" s="298" customFormat="1" x14ac:dyDescent="0.25">
      <c r="A230" s="621"/>
      <c r="B230" s="761">
        <v>2038</v>
      </c>
      <c r="C230" s="731"/>
      <c r="D230" s="623">
        <f t="shared" si="0"/>
        <v>74128.993513384019</v>
      </c>
      <c r="E230" s="623">
        <f t="shared" si="6"/>
        <v>74128.993513384019</v>
      </c>
      <c r="F230" s="702"/>
      <c r="G230" s="622">
        <f t="shared" si="1"/>
        <v>3.0527680808111117E-3</v>
      </c>
      <c r="H230" s="706">
        <f t="shared" si="2"/>
        <v>1868475.00524667</v>
      </c>
      <c r="I230" s="706">
        <f t="shared" si="3"/>
        <v>2354126.0049366839</v>
      </c>
      <c r="J230" s="702"/>
      <c r="K230" s="761" t="s">
        <v>241</v>
      </c>
      <c r="L230" s="732">
        <f>SUM(C234:C245)</f>
        <v>548745.54446749995</v>
      </c>
      <c r="M230" s="732">
        <f>SUM(D234:D245)</f>
        <v>1804682.8900803025</v>
      </c>
      <c r="N230" s="732">
        <f>SUM(E234:E245)</f>
        <v>2353428.4345478029</v>
      </c>
      <c r="O230" s="702"/>
      <c r="P230" s="761" t="s">
        <v>242</v>
      </c>
      <c r="Q230" s="622">
        <f>SUM(G234:G245)</f>
        <v>9.691850468958052E-2</v>
      </c>
      <c r="R230" s="706">
        <f>SUM(H234:H245)</f>
        <v>20957819.55057285</v>
      </c>
      <c r="S230" s="706">
        <f>SUM(I234:I245)</f>
        <v>26785631.54685301</v>
      </c>
      <c r="T230" s="621"/>
      <c r="U230" s="621"/>
      <c r="V230" s="621"/>
      <c r="W230" s="621"/>
      <c r="X230" s="621"/>
      <c r="Y230" s="621"/>
    </row>
    <row r="231" spans="1:25" s="298" customFormat="1" x14ac:dyDescent="0.25">
      <c r="A231" s="621"/>
      <c r="B231" s="761">
        <v>2039</v>
      </c>
      <c r="C231" s="731">
        <v>135453.5</v>
      </c>
      <c r="D231" s="623">
        <f t="shared" si="0"/>
        <v>54762.280000404862</v>
      </c>
      <c r="E231" s="623">
        <f t="shared" si="6"/>
        <v>190215.78000040486</v>
      </c>
      <c r="F231" s="702"/>
      <c r="G231" s="622">
        <f t="shared" si="1"/>
        <v>7.8334351261221662E-3</v>
      </c>
      <c r="H231" s="706">
        <f t="shared" si="2"/>
        <v>1752388.2187596492</v>
      </c>
      <c r="I231" s="706">
        <f t="shared" si="3"/>
        <v>2238039.2184496629</v>
      </c>
      <c r="J231" s="702"/>
      <c r="K231" s="761"/>
      <c r="L231" s="732"/>
      <c r="M231" s="732"/>
      <c r="N231" s="732"/>
      <c r="O231" s="702"/>
      <c r="P231" s="761"/>
      <c r="Q231" s="622"/>
      <c r="R231" s="706"/>
      <c r="S231" s="706"/>
      <c r="T231" s="621"/>
      <c r="U231" s="621"/>
      <c r="V231" s="621"/>
      <c r="W231" s="621"/>
      <c r="X231" s="621"/>
      <c r="Y231" s="621"/>
    </row>
    <row r="232" spans="1:25" s="298" customFormat="1" x14ac:dyDescent="0.25">
      <c r="A232" s="621"/>
      <c r="B232" s="761">
        <v>2040</v>
      </c>
      <c r="C232" s="731">
        <v>156138.42449999999</v>
      </c>
      <c r="D232" s="623">
        <f t="shared" si="0"/>
        <v>29198.3447303332</v>
      </c>
      <c r="E232" s="623">
        <f t="shared" si="6"/>
        <v>185336.76923033319</v>
      </c>
      <c r="F232" s="702"/>
      <c r="G232" s="622">
        <f t="shared" si="1"/>
        <v>7.6325085029633173E-3</v>
      </c>
      <c r="H232" s="706">
        <f t="shared" si="2"/>
        <v>1757267.229529721</v>
      </c>
      <c r="I232" s="706">
        <f t="shared" si="3"/>
        <v>2242918.2292197347</v>
      </c>
      <c r="J232" s="702"/>
      <c r="K232" s="761"/>
      <c r="L232" s="732"/>
      <c r="M232" s="732"/>
      <c r="N232" s="732"/>
      <c r="O232" s="702"/>
      <c r="P232" s="761"/>
      <c r="Q232" s="622"/>
      <c r="R232" s="706"/>
      <c r="S232" s="706"/>
      <c r="T232" s="621"/>
      <c r="U232" s="621"/>
      <c r="V232" s="621"/>
      <c r="W232" s="621"/>
      <c r="X232" s="621"/>
      <c r="Y232" s="621"/>
    </row>
    <row r="233" spans="1:25" s="298" customFormat="1" x14ac:dyDescent="0.25">
      <c r="A233" s="621"/>
      <c r="B233" s="761">
        <v>2041</v>
      </c>
      <c r="C233" s="731"/>
      <c r="D233" s="623">
        <f t="shared" si="0"/>
        <v>16383.615941937198</v>
      </c>
      <c r="E233" s="623">
        <f t="shared" si="6"/>
        <v>16383.615941937198</v>
      </c>
      <c r="F233" s="702"/>
      <c r="G233" s="622">
        <f t="shared" si="1"/>
        <v>6.7470739079687704E-4</v>
      </c>
      <c r="H233" s="706">
        <f t="shared" si="2"/>
        <v>1926220.3828181168</v>
      </c>
      <c r="I233" s="706">
        <f t="shared" si="3"/>
        <v>2411871.3825081307</v>
      </c>
      <c r="J233" s="702"/>
      <c r="K233" s="761"/>
      <c r="L233" s="732"/>
      <c r="M233" s="732"/>
      <c r="N233" s="732"/>
      <c r="O233" s="702"/>
      <c r="P233" s="761"/>
      <c r="Q233" s="622"/>
      <c r="R233" s="706"/>
      <c r="S233" s="706"/>
      <c r="T233" s="621"/>
      <c r="U233" s="621"/>
      <c r="V233" s="621"/>
      <c r="W233" s="621"/>
      <c r="X233" s="621"/>
      <c r="Y233" s="621"/>
    </row>
    <row r="234" spans="1:25" s="298" customFormat="1" x14ac:dyDescent="0.25">
      <c r="A234" s="621"/>
      <c r="B234" s="761">
        <v>2042</v>
      </c>
      <c r="C234" s="731"/>
      <c r="D234" s="623">
        <f t="shared" si="0"/>
        <v>13955.245899954798</v>
      </c>
      <c r="E234" s="623">
        <f t="shared" si="6"/>
        <v>13955.245899954798</v>
      </c>
      <c r="F234" s="702"/>
      <c r="G234" s="622">
        <f t="shared" si="1"/>
        <v>5.7470265309295359E-4</v>
      </c>
      <c r="H234" s="706">
        <f t="shared" si="2"/>
        <v>1928648.7528600993</v>
      </c>
      <c r="I234" s="706">
        <f t="shared" si="3"/>
        <v>2414299.752550113</v>
      </c>
      <c r="J234" s="702"/>
      <c r="K234" s="702"/>
      <c r="L234" s="702"/>
      <c r="M234" s="702"/>
      <c r="N234" s="702"/>
      <c r="O234" s="702"/>
      <c r="P234" s="702"/>
      <c r="Q234" s="702"/>
      <c r="R234" s="702"/>
      <c r="S234" s="702"/>
      <c r="T234" s="621"/>
      <c r="U234" s="621"/>
      <c r="V234" s="621"/>
      <c r="W234" s="621"/>
      <c r="X234" s="621"/>
      <c r="Y234" s="621"/>
    </row>
    <row r="235" spans="1:25" s="298" customFormat="1" x14ac:dyDescent="0.25">
      <c r="A235" s="621"/>
      <c r="B235" s="761">
        <v>2043</v>
      </c>
      <c r="C235" s="731">
        <v>37176.494467500001</v>
      </c>
      <c r="D235" s="623">
        <f t="shared" si="0"/>
        <v>319396.8758271854</v>
      </c>
      <c r="E235" s="623">
        <f t="shared" si="6"/>
        <v>356573.37029468542</v>
      </c>
      <c r="F235" s="702"/>
      <c r="G235" s="622">
        <f t="shared" si="1"/>
        <v>1.4684346187788468E-2</v>
      </c>
      <c r="H235" s="706">
        <f t="shared" si="2"/>
        <v>1586030.6284653686</v>
      </c>
      <c r="I235" s="706">
        <f t="shared" si="3"/>
        <v>2071681.6281553824</v>
      </c>
      <c r="J235" s="702"/>
      <c r="K235" s="761"/>
      <c r="L235" s="732"/>
      <c r="M235" s="706"/>
      <c r="N235" s="706"/>
      <c r="O235" s="702"/>
      <c r="P235" s="622"/>
      <c r="Q235" s="706"/>
      <c r="R235" s="706"/>
      <c r="S235" s="706"/>
      <c r="T235" s="621"/>
      <c r="U235" s="621"/>
      <c r="V235" s="621"/>
      <c r="W235" s="621"/>
      <c r="X235" s="621"/>
      <c r="Y235" s="621"/>
    </row>
    <row r="236" spans="1:25" s="298" customFormat="1" x14ac:dyDescent="0.25">
      <c r="A236" s="621"/>
      <c r="B236" s="761">
        <v>2044</v>
      </c>
      <c r="C236" s="731">
        <v>376168.75</v>
      </c>
      <c r="D236" s="623">
        <f t="shared" si="0"/>
        <v>625251.52775541716</v>
      </c>
      <c r="E236" s="623">
        <f t="shared" si="6"/>
        <v>1001420.2777554172</v>
      </c>
      <c r="F236" s="702"/>
      <c r="G236" s="622">
        <f t="shared" si="1"/>
        <v>4.1240326011667404E-2</v>
      </c>
      <c r="H236" s="706">
        <f t="shared" si="2"/>
        <v>941183.72100463696</v>
      </c>
      <c r="I236" s="706">
        <f t="shared" si="3"/>
        <v>1426834.7206946507</v>
      </c>
      <c r="J236" s="702"/>
      <c r="K236" s="761"/>
      <c r="L236" s="732"/>
      <c r="M236" s="706"/>
      <c r="N236" s="706"/>
      <c r="O236" s="702"/>
      <c r="P236" s="622"/>
      <c r="Q236" s="706"/>
      <c r="R236" s="706"/>
      <c r="S236" s="706"/>
      <c r="T236" s="621"/>
      <c r="U236" s="621"/>
      <c r="V236" s="621"/>
      <c r="W236" s="621"/>
      <c r="X236" s="621"/>
      <c r="Y236" s="621"/>
    </row>
    <row r="237" spans="1:25" s="298" customFormat="1" x14ac:dyDescent="0.25">
      <c r="A237" s="621"/>
      <c r="B237" s="761">
        <v>2045</v>
      </c>
      <c r="C237" s="731"/>
      <c r="D237" s="623">
        <f t="shared" si="0"/>
        <v>809973.52775541716</v>
      </c>
      <c r="E237" s="623">
        <f t="shared" si="6"/>
        <v>809973.52775541716</v>
      </c>
      <c r="F237" s="702"/>
      <c r="G237" s="622">
        <f t="shared" si="1"/>
        <v>3.3356197280451007E-2</v>
      </c>
      <c r="H237" s="706">
        <f t="shared" si="2"/>
        <v>1132630.471004637</v>
      </c>
      <c r="I237" s="706">
        <f t="shared" si="3"/>
        <v>1618281.4706946507</v>
      </c>
      <c r="J237" s="702"/>
      <c r="K237" s="761"/>
      <c r="L237" s="732"/>
      <c r="M237" s="706"/>
      <c r="N237" s="706"/>
      <c r="O237" s="702"/>
      <c r="P237" s="622"/>
      <c r="Q237" s="706"/>
      <c r="R237" s="706"/>
      <c r="S237" s="706"/>
      <c r="T237" s="621"/>
      <c r="U237" s="621"/>
      <c r="V237" s="621"/>
      <c r="W237" s="621"/>
      <c r="X237" s="621"/>
      <c r="Y237" s="621"/>
    </row>
    <row r="238" spans="1:25" s="298" customFormat="1" x14ac:dyDescent="0.25">
      <c r="A238" s="621"/>
      <c r="B238" s="761">
        <v>2046</v>
      </c>
      <c r="C238" s="731"/>
      <c r="D238" s="623">
        <f t="shared" si="0"/>
        <v>9511.5277554172008</v>
      </c>
      <c r="E238" s="623">
        <f t="shared" si="6"/>
        <v>9511.5277554172008</v>
      </c>
      <c r="F238" s="702"/>
      <c r="G238" s="622">
        <f t="shared" si="1"/>
        <v>3.9170217960998E-4</v>
      </c>
      <c r="H238" s="706">
        <f t="shared" si="2"/>
        <v>1933092.471004637</v>
      </c>
      <c r="I238" s="706">
        <f t="shared" si="3"/>
        <v>2418743.4706946504</v>
      </c>
      <c r="J238" s="702"/>
      <c r="K238" s="761"/>
      <c r="L238" s="732"/>
      <c r="M238" s="706"/>
      <c r="N238" s="706"/>
      <c r="O238" s="702"/>
      <c r="P238" s="622"/>
      <c r="Q238" s="706"/>
      <c r="R238" s="706"/>
      <c r="S238" s="706"/>
      <c r="T238" s="621"/>
      <c r="U238" s="621"/>
      <c r="V238" s="621"/>
      <c r="W238" s="621"/>
      <c r="X238" s="621"/>
      <c r="Y238" s="621"/>
    </row>
    <row r="239" spans="1:25" s="298" customFormat="1" x14ac:dyDescent="0.25">
      <c r="A239" s="621"/>
      <c r="B239" s="761">
        <v>2047</v>
      </c>
      <c r="C239" s="731">
        <v>15599.9</v>
      </c>
      <c r="D239" s="623">
        <f t="shared" si="0"/>
        <v>9129.5596038172007</v>
      </c>
      <c r="E239" s="623">
        <f t="shared" si="6"/>
        <v>24729.459603817202</v>
      </c>
      <c r="F239" s="702"/>
      <c r="G239" s="622">
        <f t="shared" si="1"/>
        <v>1.0184045588128834E-3</v>
      </c>
      <c r="H239" s="706">
        <f t="shared" si="2"/>
        <v>1917874.5391562369</v>
      </c>
      <c r="I239" s="706">
        <f t="shared" si="3"/>
        <v>2403525.5388462506</v>
      </c>
      <c r="J239" s="702"/>
      <c r="K239" s="761"/>
      <c r="L239" s="732"/>
      <c r="M239" s="706"/>
      <c r="N239" s="706"/>
      <c r="O239" s="702"/>
      <c r="P239" s="622"/>
      <c r="Q239" s="706"/>
      <c r="R239" s="706"/>
      <c r="S239" s="706"/>
      <c r="T239" s="621"/>
      <c r="U239" s="621"/>
      <c r="V239" s="621"/>
      <c r="W239" s="621"/>
      <c r="X239" s="621"/>
      <c r="Y239" s="621"/>
    </row>
    <row r="240" spans="1:25" s="298" customFormat="1" x14ac:dyDescent="0.25">
      <c r="A240" s="621"/>
      <c r="B240" s="761">
        <v>2048</v>
      </c>
      <c r="C240" s="731"/>
      <c r="D240" s="623">
        <f t="shared" si="0"/>
        <v>8732.3127261532009</v>
      </c>
      <c r="E240" s="623">
        <f t="shared" si="6"/>
        <v>8732.3127261532009</v>
      </c>
      <c r="F240" s="702"/>
      <c r="G240" s="622">
        <f t="shared" si="1"/>
        <v>3.5961267378125256E-4</v>
      </c>
      <c r="H240" s="706">
        <f t="shared" si="2"/>
        <v>1933871.6860339008</v>
      </c>
      <c r="I240" s="706">
        <f t="shared" si="3"/>
        <v>2419522.6857239148</v>
      </c>
      <c r="J240" s="702"/>
      <c r="K240" s="761"/>
      <c r="L240" s="732"/>
      <c r="M240" s="706"/>
      <c r="N240" s="706"/>
      <c r="O240" s="702"/>
      <c r="P240" s="622"/>
      <c r="Q240" s="706"/>
      <c r="R240" s="706"/>
      <c r="S240" s="706"/>
      <c r="T240" s="621"/>
      <c r="U240" s="621"/>
      <c r="V240" s="621"/>
      <c r="W240" s="621"/>
      <c r="X240" s="621"/>
      <c r="Y240" s="621"/>
    </row>
    <row r="241" spans="1:25" s="298" customFormat="1" x14ac:dyDescent="0.25">
      <c r="A241" s="621"/>
      <c r="B241" s="761">
        <v>2049</v>
      </c>
      <c r="C241" s="731"/>
      <c r="D241" s="623">
        <f t="shared" si="0"/>
        <v>8732.3127569402004</v>
      </c>
      <c r="E241" s="623">
        <f t="shared" si="6"/>
        <v>8732.3127569402004</v>
      </c>
      <c r="F241" s="702"/>
      <c r="G241" s="622">
        <f t="shared" si="1"/>
        <v>3.5961267504911772E-4</v>
      </c>
      <c r="H241" s="706">
        <f t="shared" si="2"/>
        <v>1933871.6860031139</v>
      </c>
      <c r="I241" s="706">
        <f t="shared" si="3"/>
        <v>2419522.6856931276</v>
      </c>
      <c r="J241" s="702"/>
      <c r="K241" s="761"/>
      <c r="L241" s="732"/>
      <c r="M241" s="706"/>
      <c r="N241" s="706"/>
      <c r="O241" s="702"/>
      <c r="P241" s="622"/>
      <c r="Q241" s="706"/>
      <c r="R241" s="706"/>
      <c r="S241" s="706"/>
      <c r="T241" s="621"/>
      <c r="U241" s="621"/>
      <c r="V241" s="621"/>
      <c r="W241" s="621"/>
      <c r="X241" s="621"/>
      <c r="Y241" s="621"/>
    </row>
    <row r="242" spans="1:25" s="298" customFormat="1" x14ac:dyDescent="0.25">
      <c r="A242" s="621"/>
      <c r="B242" s="761">
        <v>2050</v>
      </c>
      <c r="C242" s="621">
        <v>98498.95</v>
      </c>
      <c r="D242" s="623">
        <f t="shared" si="0"/>
        <v>0</v>
      </c>
      <c r="E242" s="623">
        <f t="shared" si="6"/>
        <v>98498.95</v>
      </c>
      <c r="F242" s="702"/>
      <c r="G242" s="622">
        <f t="shared" si="1"/>
        <v>4.0563676410785088E-3</v>
      </c>
      <c r="H242" s="706">
        <f t="shared" si="2"/>
        <v>1844105.0487600542</v>
      </c>
      <c r="I242" s="706">
        <f t="shared" si="3"/>
        <v>2329756.0484500676</v>
      </c>
      <c r="J242" s="702"/>
      <c r="K242" s="761"/>
      <c r="L242" s="702"/>
      <c r="M242" s="706"/>
      <c r="N242" s="706"/>
      <c r="O242" s="702"/>
      <c r="P242" s="622"/>
      <c r="Q242" s="706"/>
      <c r="R242" s="706"/>
      <c r="S242" s="706"/>
      <c r="T242" s="621"/>
      <c r="U242" s="621"/>
      <c r="V242" s="621"/>
      <c r="W242" s="621"/>
      <c r="X242" s="621"/>
      <c r="Y242" s="621"/>
    </row>
    <row r="243" spans="1:25" s="298" customFormat="1" x14ac:dyDescent="0.25">
      <c r="A243" s="621"/>
      <c r="B243" s="761">
        <v>2051</v>
      </c>
      <c r="C243" s="621">
        <v>21301.45</v>
      </c>
      <c r="D243" s="623">
        <f t="shared" si="0"/>
        <v>0</v>
      </c>
      <c r="E243" s="623">
        <f t="shared" si="6"/>
        <v>21301.45</v>
      </c>
      <c r="F243" s="702"/>
      <c r="G243" s="622">
        <f t="shared" si="1"/>
        <v>8.7723282824894895E-4</v>
      </c>
      <c r="H243" s="706">
        <f t="shared" si="2"/>
        <v>1921302.5487600542</v>
      </c>
      <c r="I243" s="706">
        <f t="shared" si="3"/>
        <v>2406953.5484500676</v>
      </c>
      <c r="J243" s="702"/>
      <c r="K243" s="761"/>
      <c r="L243" s="702"/>
      <c r="M243" s="706"/>
      <c r="N243" s="706"/>
      <c r="O243" s="702"/>
      <c r="P243" s="622"/>
      <c r="Q243" s="706"/>
      <c r="R243" s="706"/>
      <c r="S243" s="706"/>
      <c r="T243" s="621"/>
      <c r="U243" s="621"/>
      <c r="V243" s="621"/>
      <c r="W243" s="621"/>
      <c r="X243" s="621"/>
      <c r="Y243" s="621"/>
    </row>
    <row r="244" spans="1:25" s="298" customFormat="1" x14ac:dyDescent="0.25">
      <c r="A244" s="621"/>
      <c r="B244" s="761">
        <v>2052</v>
      </c>
      <c r="C244" s="713">
        <v>0</v>
      </c>
      <c r="D244" s="623">
        <f t="shared" si="0"/>
        <v>0</v>
      </c>
      <c r="E244" s="623">
        <f t="shared" si="6"/>
        <v>0</v>
      </c>
      <c r="F244" s="702"/>
      <c r="G244" s="622">
        <f>+E244/$E$246</f>
        <v>0</v>
      </c>
      <c r="H244" s="706">
        <f t="shared" si="2"/>
        <v>1942603.9987600541</v>
      </c>
      <c r="I244" s="706">
        <f t="shared" si="3"/>
        <v>2428254.9984500678</v>
      </c>
      <c r="J244" s="702"/>
      <c r="K244" s="761"/>
      <c r="L244" s="733"/>
      <c r="M244" s="706"/>
      <c r="N244" s="706"/>
      <c r="O244" s="702"/>
      <c r="P244" s="622"/>
      <c r="Q244" s="706"/>
      <c r="R244" s="706"/>
      <c r="S244" s="702"/>
      <c r="T244" s="621"/>
      <c r="U244" s="621"/>
      <c r="V244" s="621"/>
      <c r="W244" s="621"/>
      <c r="X244" s="621"/>
      <c r="Y244" s="621"/>
    </row>
    <row r="245" spans="1:25" s="298" customFormat="1" x14ac:dyDescent="0.25">
      <c r="A245" s="621"/>
      <c r="B245" s="761">
        <v>2053</v>
      </c>
      <c r="C245" s="732">
        <v>0</v>
      </c>
      <c r="D245" s="623">
        <f t="shared" si="0"/>
        <v>0</v>
      </c>
      <c r="E245" s="623">
        <f t="shared" ref="E245" si="7">SUM(C245:D245)</f>
        <v>0</v>
      </c>
      <c r="F245" s="702"/>
      <c r="G245" s="622">
        <f>+E245/$E$246</f>
        <v>0</v>
      </c>
      <c r="H245" s="706">
        <f t="shared" ref="H245" si="8">+$H$208-E245</f>
        <v>1942603.9987600541</v>
      </c>
      <c r="I245" s="706">
        <f t="shared" ref="I245" si="9">+$I$208-E245</f>
        <v>2428254.9984500678</v>
      </c>
      <c r="J245" s="702"/>
      <c r="K245" s="702"/>
      <c r="L245" s="702"/>
      <c r="M245" s="702"/>
      <c r="N245" s="702"/>
      <c r="O245" s="702"/>
      <c r="P245" s="702"/>
      <c r="Q245" s="702"/>
      <c r="R245" s="702"/>
      <c r="S245" s="702"/>
      <c r="T245" s="621"/>
      <c r="U245" s="621"/>
      <c r="V245" s="621"/>
      <c r="W245" s="621"/>
      <c r="X245" s="621"/>
      <c r="Y245" s="621"/>
    </row>
    <row r="246" spans="1:25" s="298" customFormat="1" x14ac:dyDescent="0.25">
      <c r="A246" s="621"/>
      <c r="B246" s="702"/>
      <c r="C246" s="625">
        <f>SUM(C212:C245)</f>
        <v>18521054.219445866</v>
      </c>
      <c r="D246" s="625">
        <f t="shared" ref="D246:E246" si="10">SUM(D212:D245)</f>
        <v>5761495.7650548099</v>
      </c>
      <c r="E246" s="625">
        <f t="shared" si="10"/>
        <v>24282549.984500676</v>
      </c>
      <c r="F246" s="702"/>
      <c r="G246" s="622">
        <f>SUM(G212:G245)</f>
        <v>1.0000000000000002</v>
      </c>
      <c r="H246" s="702"/>
      <c r="I246" s="702"/>
      <c r="J246" s="702"/>
      <c r="K246" s="702"/>
      <c r="L246" s="625">
        <f>SUM(L212:L244)</f>
        <v>18521054.219445869</v>
      </c>
      <c r="M246" s="625">
        <f>SUM(M212:M244)</f>
        <v>5761495.7650548117</v>
      </c>
      <c r="N246" s="625">
        <f>SUM(N212:N244)</f>
        <v>24282549.984500684</v>
      </c>
      <c r="O246" s="702"/>
      <c r="P246" s="702"/>
      <c r="Q246" s="622">
        <f>SUM(Q212:Q244)</f>
        <v>1.0000000000000002</v>
      </c>
      <c r="R246" s="702"/>
      <c r="S246" s="702"/>
      <c r="T246" s="621"/>
      <c r="U246" s="621"/>
      <c r="V246" s="621"/>
      <c r="W246" s="621"/>
      <c r="X246" s="621"/>
      <c r="Y246" s="621"/>
    </row>
    <row r="247" spans="1:25" s="298" customFormat="1" x14ac:dyDescent="0.25">
      <c r="A247" s="621"/>
      <c r="B247" s="734">
        <f>+'PUBLIC DEBT USD'!AP81</f>
        <v>615.74</v>
      </c>
      <c r="C247" s="735">
        <f>+'Domestic Debt Colones'!AP7</f>
        <v>18521054.219445854</v>
      </c>
      <c r="D247" s="713">
        <f>+'EXTERNAL DEBT COLONES'!AP7</f>
        <v>5761495.7650861247</v>
      </c>
      <c r="E247" s="713">
        <f>SUM(E212:E245)</f>
        <v>24282549.984500676</v>
      </c>
      <c r="F247" s="702"/>
      <c r="G247" s="702"/>
      <c r="H247" s="702"/>
      <c r="I247" s="702"/>
      <c r="J247" s="702"/>
      <c r="K247" s="734"/>
      <c r="L247" s="736">
        <f>+L246-C246</f>
        <v>0</v>
      </c>
      <c r="M247" s="733">
        <f>+M246-D246</f>
        <v>0</v>
      </c>
      <c r="N247" s="706">
        <f>+N246-E246</f>
        <v>0</v>
      </c>
      <c r="O247" s="702"/>
      <c r="P247" s="702"/>
      <c r="Q247" s="702"/>
      <c r="R247" s="702"/>
      <c r="S247" s="702"/>
      <c r="T247" s="621"/>
      <c r="U247" s="621"/>
      <c r="V247" s="621"/>
      <c r="W247" s="621"/>
      <c r="X247" s="621"/>
      <c r="Y247" s="621"/>
    </row>
    <row r="248" spans="1:25" s="298" customFormat="1" x14ac:dyDescent="0.25">
      <c r="A248" s="621"/>
      <c r="B248" s="702"/>
      <c r="C248" s="706">
        <f>+C246-C247</f>
        <v>0</v>
      </c>
      <c r="D248" s="706">
        <f>+D246-D247</f>
        <v>-3.131479024887085E-5</v>
      </c>
      <c r="E248" s="706">
        <f>+E246-E247</f>
        <v>0</v>
      </c>
      <c r="F248" s="702"/>
      <c r="G248" s="702"/>
      <c r="H248" s="702"/>
      <c r="I248" s="702"/>
      <c r="J248" s="702"/>
      <c r="K248" s="702"/>
      <c r="L248" s="706"/>
      <c r="M248" s="707"/>
      <c r="N248" s="706"/>
      <c r="O248" s="702"/>
      <c r="P248" s="702"/>
      <c r="Q248" s="702"/>
      <c r="R248" s="702"/>
      <c r="S248" s="702"/>
      <c r="T248" s="621"/>
      <c r="U248" s="621"/>
      <c r="V248" s="621"/>
      <c r="W248" s="621"/>
      <c r="X248" s="621"/>
      <c r="Y248" s="621"/>
    </row>
    <row r="249" spans="1:25" s="298" customFormat="1" x14ac:dyDescent="0.25">
      <c r="A249" s="621"/>
      <c r="B249" s="702"/>
      <c r="C249" s="702"/>
      <c r="D249" s="702"/>
      <c r="E249" s="702"/>
      <c r="F249" s="702"/>
      <c r="G249" s="702"/>
      <c r="H249" s="702"/>
      <c r="I249" s="702"/>
      <c r="J249" s="702"/>
      <c r="K249" s="702"/>
      <c r="L249" s="702"/>
      <c r="M249" s="702"/>
      <c r="N249" s="702"/>
      <c r="O249" s="702"/>
      <c r="P249" s="702"/>
      <c r="Q249" s="702"/>
      <c r="R249" s="702"/>
      <c r="S249" s="702"/>
      <c r="T249" s="621"/>
      <c r="U249" s="621"/>
      <c r="V249" s="621"/>
      <c r="W249" s="621"/>
      <c r="X249" s="621"/>
      <c r="Y249" s="621"/>
    </row>
    <row r="250" spans="1:25" s="298" customFormat="1" x14ac:dyDescent="0.25">
      <c r="A250" s="621"/>
      <c r="B250" s="702"/>
      <c r="C250" s="702"/>
      <c r="D250" s="702"/>
      <c r="E250" s="702"/>
      <c r="F250" s="702"/>
      <c r="G250" s="702"/>
      <c r="H250" s="702"/>
      <c r="I250" s="702"/>
      <c r="J250" s="702"/>
      <c r="K250" s="702"/>
      <c r="L250" s="702"/>
      <c r="M250" s="702"/>
      <c r="N250" s="702"/>
      <c r="O250" s="702"/>
      <c r="P250" s="702"/>
      <c r="Q250" s="702"/>
      <c r="R250" s="702"/>
      <c r="S250" s="702"/>
      <c r="T250" s="621"/>
      <c r="U250" s="621"/>
      <c r="V250" s="621"/>
      <c r="W250" s="621"/>
      <c r="X250" s="621"/>
      <c r="Y250" s="621"/>
    </row>
    <row r="251" spans="1:25" s="298" customFormat="1" x14ac:dyDescent="0.25">
      <c r="A251" s="621"/>
      <c r="B251" s="702"/>
      <c r="C251" s="702"/>
      <c r="D251" s="702"/>
      <c r="E251" s="702"/>
      <c r="F251" s="702"/>
      <c r="G251" s="702"/>
      <c r="H251" s="761" t="s">
        <v>235</v>
      </c>
      <c r="I251" s="761" t="s">
        <v>235</v>
      </c>
      <c r="J251" s="702"/>
      <c r="K251" s="702"/>
      <c r="L251" s="833" t="s">
        <v>243</v>
      </c>
      <c r="M251" s="833"/>
      <c r="N251" s="833"/>
      <c r="O251" s="833"/>
      <c r="P251" s="833"/>
      <c r="Q251" s="833"/>
      <c r="R251" s="833"/>
      <c r="S251" s="702"/>
      <c r="T251" s="621"/>
      <c r="U251" s="621"/>
      <c r="V251" s="621"/>
      <c r="W251" s="621"/>
      <c r="X251" s="621"/>
      <c r="Y251" s="621"/>
    </row>
    <row r="252" spans="1:25" s="298" customFormat="1" x14ac:dyDescent="0.25">
      <c r="A252" s="621"/>
      <c r="B252" s="702"/>
      <c r="C252" s="702"/>
      <c r="D252" s="702"/>
      <c r="E252" s="702"/>
      <c r="F252" s="702"/>
      <c r="G252" s="702"/>
      <c r="H252" s="724">
        <v>0.08</v>
      </c>
      <c r="I252" s="724">
        <v>0.1</v>
      </c>
      <c r="J252" s="702"/>
      <c r="K252" s="833" t="s">
        <v>244</v>
      </c>
      <c r="L252" s="833"/>
      <c r="M252" s="833"/>
      <c r="N252" s="833"/>
      <c r="O252" s="702"/>
      <c r="P252" s="702"/>
      <c r="Q252" s="702"/>
      <c r="R252" s="702"/>
      <c r="S252" s="702"/>
      <c r="T252" s="621"/>
      <c r="U252" s="621"/>
      <c r="V252" s="621"/>
      <c r="W252" s="621"/>
      <c r="X252" s="621"/>
      <c r="Y252" s="621"/>
    </row>
    <row r="253" spans="1:25" s="298" customFormat="1" x14ac:dyDescent="0.25">
      <c r="A253" s="621"/>
      <c r="B253" s="833" t="s">
        <v>236</v>
      </c>
      <c r="C253" s="833"/>
      <c r="D253" s="833"/>
      <c r="E253" s="833"/>
      <c r="F253" s="702"/>
      <c r="G253" s="702"/>
      <c r="H253" s="725">
        <f>+E291*H252</f>
        <v>3154.9095377270505</v>
      </c>
      <c r="I253" s="725">
        <f>+E291*I252</f>
        <v>3943.6369221588134</v>
      </c>
      <c r="J253" s="702"/>
      <c r="K253" s="834" t="str">
        <f>+B253</f>
        <v>Perfil de Vencimientos</v>
      </c>
      <c r="L253" s="834"/>
      <c r="M253" s="834"/>
      <c r="N253" s="834"/>
      <c r="O253" s="702"/>
      <c r="P253" s="702"/>
      <c r="Q253" s="761" t="s">
        <v>235</v>
      </c>
      <c r="R253" s="761" t="s">
        <v>235</v>
      </c>
      <c r="S253" s="702"/>
      <c r="T253" s="621"/>
      <c r="U253" s="621"/>
      <c r="V253" s="621"/>
      <c r="W253" s="621"/>
      <c r="X253" s="621"/>
      <c r="Y253" s="621"/>
    </row>
    <row r="254" spans="1:25" s="298" customFormat="1" x14ac:dyDescent="0.25">
      <c r="A254" s="621"/>
      <c r="B254" s="834" t="s">
        <v>245</v>
      </c>
      <c r="C254" s="834"/>
      <c r="D254" s="834"/>
      <c r="E254" s="834"/>
      <c r="F254" s="702"/>
      <c r="G254" s="702"/>
      <c r="H254" s="702"/>
      <c r="I254" s="702"/>
      <c r="J254" s="702"/>
      <c r="K254" s="834" t="s">
        <v>246</v>
      </c>
      <c r="L254" s="834"/>
      <c r="M254" s="834"/>
      <c r="N254" s="834"/>
      <c r="O254" s="702"/>
      <c r="P254" s="702"/>
      <c r="Q254" s="724">
        <v>0.08</v>
      </c>
      <c r="R254" s="724">
        <v>0.1</v>
      </c>
      <c r="S254" s="728"/>
      <c r="T254" s="621"/>
      <c r="U254" s="621"/>
      <c r="V254" s="621"/>
      <c r="W254" s="621"/>
      <c r="X254" s="621"/>
      <c r="Y254" s="621"/>
    </row>
    <row r="255" spans="1:25" s="298" customFormat="1" ht="26.4" x14ac:dyDescent="0.25">
      <c r="A255" s="621"/>
      <c r="B255" s="702"/>
      <c r="C255" s="761" t="s">
        <v>232</v>
      </c>
      <c r="D255" s="761" t="s">
        <v>233</v>
      </c>
      <c r="E255" s="761" t="s">
        <v>238</v>
      </c>
      <c r="F255" s="702"/>
      <c r="G255" s="761" t="s">
        <v>145</v>
      </c>
      <c r="H255" s="702"/>
      <c r="I255" s="702"/>
      <c r="J255" s="702"/>
      <c r="K255" s="728"/>
      <c r="L255" s="729" t="s">
        <v>232</v>
      </c>
      <c r="M255" s="729" t="s">
        <v>233</v>
      </c>
      <c r="N255" s="730" t="s">
        <v>238</v>
      </c>
      <c r="O255" s="728"/>
      <c r="P255" s="730" t="s">
        <v>145</v>
      </c>
      <c r="Q255" s="725">
        <f>+N291*Q254</f>
        <v>3154.909537727051</v>
      </c>
      <c r="R255" s="725">
        <f>+R254*N291</f>
        <v>3943.6369221588138</v>
      </c>
      <c r="S255" s="702"/>
      <c r="T255" s="621"/>
      <c r="U255" s="621"/>
      <c r="V255" s="621"/>
      <c r="W255" s="621"/>
      <c r="X255" s="621"/>
      <c r="Y255" s="621"/>
    </row>
    <row r="256" spans="1:25" s="298" customFormat="1" x14ac:dyDescent="0.25">
      <c r="A256" s="621"/>
      <c r="B256" s="761"/>
      <c r="C256" s="706"/>
      <c r="D256" s="706"/>
      <c r="E256" s="706"/>
      <c r="F256" s="702"/>
      <c r="G256" s="622"/>
      <c r="H256" s="706"/>
      <c r="I256" s="706"/>
      <c r="J256" s="702"/>
      <c r="K256" s="761"/>
      <c r="L256" s="732"/>
      <c r="M256" s="732"/>
      <c r="N256" s="732"/>
      <c r="O256" s="702"/>
      <c r="P256" s="622"/>
      <c r="Q256" s="706"/>
      <c r="R256" s="706"/>
      <c r="S256" s="702"/>
      <c r="T256" s="621"/>
      <c r="U256" s="621"/>
      <c r="V256" s="621"/>
      <c r="W256" s="621"/>
      <c r="X256" s="621"/>
      <c r="Y256" s="621"/>
    </row>
    <row r="257" spans="1:25" s="298" customFormat="1" x14ac:dyDescent="0.25">
      <c r="A257" s="621"/>
      <c r="B257" s="761"/>
      <c r="C257" s="737"/>
      <c r="D257" s="713"/>
      <c r="E257" s="732"/>
      <c r="F257" s="702"/>
      <c r="G257" s="622"/>
      <c r="H257" s="706"/>
      <c r="I257" s="706"/>
      <c r="J257" s="702"/>
      <c r="K257" s="761"/>
      <c r="L257" s="732"/>
      <c r="M257" s="732"/>
      <c r="N257" s="732"/>
      <c r="O257" s="702"/>
      <c r="P257" s="622"/>
      <c r="Q257" s="706"/>
      <c r="R257" s="706"/>
      <c r="S257" s="702"/>
      <c r="T257" s="621"/>
      <c r="U257" s="621"/>
      <c r="V257" s="621"/>
      <c r="W257" s="621"/>
      <c r="X257" s="621"/>
      <c r="Y257" s="621"/>
    </row>
    <row r="258" spans="1:25" s="298" customFormat="1" x14ac:dyDescent="0.25">
      <c r="A258" s="621"/>
      <c r="B258" s="761">
        <v>2021</v>
      </c>
      <c r="C258" s="737">
        <f t="shared" ref="C258:C290" si="11">+C213/$B$247</f>
        <v>3816.9219078298902</v>
      </c>
      <c r="D258" s="713">
        <v>100.53020366723742</v>
      </c>
      <c r="E258" s="732">
        <f t="shared" ref="E258:E290" si="12">SUM(C258:D258)</f>
        <v>3917.4521114971276</v>
      </c>
      <c r="F258" s="702"/>
      <c r="G258" s="622">
        <f t="shared" ref="G258:G289" si="13">+E258/$E$291</f>
        <v>9.9336023797866477E-2</v>
      </c>
      <c r="H258" s="706">
        <f t="shared" ref="H258:H289" si="14">+$H$253-E258</f>
        <v>-762.54257377007707</v>
      </c>
      <c r="I258" s="706">
        <f t="shared" ref="I258:I289" si="15">+$I$253-E258</f>
        <v>26.184810661685788</v>
      </c>
      <c r="J258" s="702"/>
      <c r="K258" s="761">
        <v>2021</v>
      </c>
      <c r="L258" s="732">
        <f t="shared" ref="L258:N273" si="16">+C258</f>
        <v>3816.9219078298902</v>
      </c>
      <c r="M258" s="732">
        <f t="shared" si="16"/>
        <v>100.53020366723742</v>
      </c>
      <c r="N258" s="732">
        <f t="shared" si="16"/>
        <v>3917.4521114971276</v>
      </c>
      <c r="O258" s="702"/>
      <c r="P258" s="622">
        <f t="shared" ref="P258:R273" si="17">+G258</f>
        <v>9.9336023797866477E-2</v>
      </c>
      <c r="Q258" s="706">
        <f t="shared" si="17"/>
        <v>-762.54257377007707</v>
      </c>
      <c r="R258" s="706">
        <f t="shared" si="17"/>
        <v>26.184810661685788</v>
      </c>
      <c r="S258" s="702"/>
      <c r="T258" s="621"/>
      <c r="U258" s="621"/>
      <c r="V258" s="621"/>
      <c r="W258" s="621"/>
      <c r="X258" s="621"/>
      <c r="Y258" s="621"/>
    </row>
    <row r="259" spans="1:25" s="298" customFormat="1" x14ac:dyDescent="0.25">
      <c r="A259" s="621"/>
      <c r="B259" s="761">
        <v>2022</v>
      </c>
      <c r="C259" s="737">
        <f>+C214/$B$247</f>
        <v>3318.4875025983979</v>
      </c>
      <c r="D259" s="713">
        <v>108.46091895278347</v>
      </c>
      <c r="E259" s="732">
        <f t="shared" si="12"/>
        <v>3426.9484215511816</v>
      </c>
      <c r="F259" s="702"/>
      <c r="G259" s="622">
        <f t="shared" si="13"/>
        <v>8.6898172656199105E-2</v>
      </c>
      <c r="H259" s="706">
        <f t="shared" si="14"/>
        <v>-272.03888382413106</v>
      </c>
      <c r="I259" s="706">
        <f t="shared" si="15"/>
        <v>516.68850060763179</v>
      </c>
      <c r="J259" s="702"/>
      <c r="K259" s="761">
        <v>2022</v>
      </c>
      <c r="L259" s="732">
        <f t="shared" si="16"/>
        <v>3318.4875025983979</v>
      </c>
      <c r="M259" s="732">
        <f t="shared" si="16"/>
        <v>108.46091895278347</v>
      </c>
      <c r="N259" s="732">
        <f t="shared" si="16"/>
        <v>3426.9484215511816</v>
      </c>
      <c r="O259" s="702"/>
      <c r="P259" s="622">
        <f t="shared" si="17"/>
        <v>8.6898172656199105E-2</v>
      </c>
      <c r="Q259" s="706">
        <f t="shared" si="17"/>
        <v>-272.03888382413106</v>
      </c>
      <c r="R259" s="706">
        <f t="shared" si="17"/>
        <v>516.68850060763179</v>
      </c>
      <c r="S259" s="702"/>
      <c r="T259" s="621"/>
      <c r="U259" s="621"/>
      <c r="V259" s="621"/>
      <c r="W259" s="621"/>
      <c r="X259" s="621"/>
      <c r="Y259" s="621"/>
    </row>
    <row r="260" spans="1:25" s="298" customFormat="1" x14ac:dyDescent="0.25">
      <c r="A260" s="621"/>
      <c r="B260" s="761">
        <v>2023</v>
      </c>
      <c r="C260" s="737">
        <f t="shared" si="11"/>
        <v>2731.4044938002698</v>
      </c>
      <c r="D260" s="713">
        <v>1205.752955661188</v>
      </c>
      <c r="E260" s="732">
        <f t="shared" si="12"/>
        <v>3937.1574494614579</v>
      </c>
      <c r="F260" s="702"/>
      <c r="G260" s="622">
        <f t="shared" si="13"/>
        <v>9.9835698041547696E-2</v>
      </c>
      <c r="H260" s="706">
        <f t="shared" si="14"/>
        <v>-782.24791173440735</v>
      </c>
      <c r="I260" s="706">
        <f t="shared" si="15"/>
        <v>6.4794726973555044</v>
      </c>
      <c r="J260" s="702"/>
      <c r="K260" s="761">
        <v>2023</v>
      </c>
      <c r="L260" s="732">
        <f t="shared" si="16"/>
        <v>2731.4044938002698</v>
      </c>
      <c r="M260" s="732">
        <f t="shared" si="16"/>
        <v>1205.752955661188</v>
      </c>
      <c r="N260" s="732">
        <f t="shared" si="16"/>
        <v>3937.1574494614579</v>
      </c>
      <c r="O260" s="702"/>
      <c r="P260" s="622">
        <f t="shared" si="17"/>
        <v>9.9835698041547696E-2</v>
      </c>
      <c r="Q260" s="706">
        <f t="shared" si="17"/>
        <v>-782.24791173440735</v>
      </c>
      <c r="R260" s="706">
        <f t="shared" si="17"/>
        <v>6.4794726973555044</v>
      </c>
      <c r="S260" s="702"/>
      <c r="T260" s="621"/>
      <c r="U260" s="621"/>
      <c r="V260" s="621"/>
      <c r="W260" s="621"/>
      <c r="X260" s="621"/>
      <c r="Y260" s="621"/>
    </row>
    <row r="261" spans="1:25" s="298" customFormat="1" x14ac:dyDescent="0.25">
      <c r="A261" s="621"/>
      <c r="B261" s="761">
        <v>2024</v>
      </c>
      <c r="C261" s="737">
        <f t="shared" si="11"/>
        <v>3048.3988097144143</v>
      </c>
      <c r="D261" s="713">
        <v>389.05034463411067</v>
      </c>
      <c r="E261" s="732">
        <f t="shared" si="12"/>
        <v>3437.4491543485251</v>
      </c>
      <c r="F261" s="702"/>
      <c r="G261" s="622">
        <f t="shared" si="13"/>
        <v>8.7164442929163158E-2</v>
      </c>
      <c r="H261" s="706">
        <f t="shared" si="14"/>
        <v>-282.53961662147458</v>
      </c>
      <c r="I261" s="706">
        <f t="shared" si="15"/>
        <v>506.18776781028828</v>
      </c>
      <c r="J261" s="702"/>
      <c r="K261" s="761">
        <v>2024</v>
      </c>
      <c r="L261" s="732">
        <f t="shared" si="16"/>
        <v>3048.3988097144143</v>
      </c>
      <c r="M261" s="732">
        <f t="shared" si="16"/>
        <v>389.05034463411067</v>
      </c>
      <c r="N261" s="732">
        <f t="shared" si="16"/>
        <v>3437.4491543485251</v>
      </c>
      <c r="O261" s="702"/>
      <c r="P261" s="622">
        <f t="shared" si="17"/>
        <v>8.7164442929163158E-2</v>
      </c>
      <c r="Q261" s="706">
        <f t="shared" si="17"/>
        <v>-282.53961662147458</v>
      </c>
      <c r="R261" s="706">
        <f t="shared" si="17"/>
        <v>506.18776781028828</v>
      </c>
      <c r="S261" s="702"/>
      <c r="T261" s="621"/>
      <c r="U261" s="621"/>
      <c r="V261" s="621"/>
      <c r="W261" s="621"/>
      <c r="X261" s="621"/>
      <c r="Y261" s="621"/>
    </row>
    <row r="262" spans="1:25" s="298" customFormat="1" x14ac:dyDescent="0.25">
      <c r="A262" s="621"/>
      <c r="B262" s="761">
        <v>2025</v>
      </c>
      <c r="C262" s="737">
        <f t="shared" si="11"/>
        <v>2340.8063483531782</v>
      </c>
      <c r="D262" s="713">
        <v>932.70863993446733</v>
      </c>
      <c r="E262" s="732">
        <f t="shared" si="12"/>
        <v>3273.5149882876458</v>
      </c>
      <c r="F262" s="702"/>
      <c r="G262" s="622">
        <f t="shared" si="13"/>
        <v>8.3007514456875223E-2</v>
      </c>
      <c r="H262" s="706">
        <f t="shared" si="14"/>
        <v>-118.60545056059527</v>
      </c>
      <c r="I262" s="706">
        <f t="shared" si="15"/>
        <v>670.12193387116758</v>
      </c>
      <c r="J262" s="702"/>
      <c r="K262" s="761">
        <v>2025</v>
      </c>
      <c r="L262" s="732">
        <f t="shared" si="16"/>
        <v>2340.8063483531782</v>
      </c>
      <c r="M262" s="732">
        <f t="shared" si="16"/>
        <v>932.70863993446733</v>
      </c>
      <c r="N262" s="732">
        <f t="shared" si="16"/>
        <v>3273.5149882876458</v>
      </c>
      <c r="O262" s="702"/>
      <c r="P262" s="622">
        <f t="shared" si="17"/>
        <v>8.3007514456875223E-2</v>
      </c>
      <c r="Q262" s="706">
        <f t="shared" si="17"/>
        <v>-118.60545056059527</v>
      </c>
      <c r="R262" s="706">
        <f t="shared" si="17"/>
        <v>670.12193387116758</v>
      </c>
      <c r="S262" s="702"/>
      <c r="T262" s="621"/>
      <c r="U262" s="621"/>
      <c r="V262" s="621"/>
      <c r="W262" s="621"/>
      <c r="X262" s="621"/>
      <c r="Y262" s="621"/>
    </row>
    <row r="263" spans="1:25" s="298" customFormat="1" x14ac:dyDescent="0.25">
      <c r="A263" s="621"/>
      <c r="B263" s="761">
        <v>2026</v>
      </c>
      <c r="C263" s="737">
        <f t="shared" si="11"/>
        <v>2769.4953728544642</v>
      </c>
      <c r="D263" s="713">
        <v>203.39846382246145</v>
      </c>
      <c r="E263" s="732">
        <f t="shared" si="12"/>
        <v>2972.8938366769257</v>
      </c>
      <c r="F263" s="702"/>
      <c r="G263" s="622">
        <f t="shared" si="13"/>
        <v>7.5384572549582321E-2</v>
      </c>
      <c r="H263" s="706">
        <f t="shared" si="14"/>
        <v>182.01570105012479</v>
      </c>
      <c r="I263" s="706">
        <f t="shared" si="15"/>
        <v>970.74308548188765</v>
      </c>
      <c r="J263" s="702"/>
      <c r="K263" s="761">
        <v>2026</v>
      </c>
      <c r="L263" s="732">
        <f t="shared" si="16"/>
        <v>2769.4953728544642</v>
      </c>
      <c r="M263" s="732">
        <f t="shared" si="16"/>
        <v>203.39846382246145</v>
      </c>
      <c r="N263" s="732">
        <f t="shared" si="16"/>
        <v>2972.8938366769257</v>
      </c>
      <c r="O263" s="702"/>
      <c r="P263" s="622">
        <f t="shared" si="17"/>
        <v>7.5384572549582321E-2</v>
      </c>
      <c r="Q263" s="706">
        <f t="shared" si="17"/>
        <v>182.01570105012479</v>
      </c>
      <c r="R263" s="706">
        <f t="shared" si="17"/>
        <v>970.74308548188765</v>
      </c>
      <c r="S263" s="702"/>
      <c r="T263" s="621"/>
      <c r="U263" s="621"/>
      <c r="V263" s="621"/>
      <c r="W263" s="621"/>
      <c r="X263" s="621"/>
      <c r="Y263" s="621"/>
    </row>
    <row r="264" spans="1:25" s="298" customFormat="1" x14ac:dyDescent="0.25">
      <c r="A264" s="621"/>
      <c r="B264" s="761">
        <v>2027</v>
      </c>
      <c r="C264" s="737">
        <f t="shared" si="11"/>
        <v>2162.424020511527</v>
      </c>
      <c r="D264" s="713">
        <v>202.79195082246147</v>
      </c>
      <c r="E264" s="732">
        <f t="shared" si="12"/>
        <v>2365.2159713339884</v>
      </c>
      <c r="F264" s="702"/>
      <c r="G264" s="622">
        <f t="shared" si="13"/>
        <v>5.997550023036171E-2</v>
      </c>
      <c r="H264" s="706">
        <f t="shared" si="14"/>
        <v>789.69356639306216</v>
      </c>
      <c r="I264" s="706">
        <f t="shared" si="15"/>
        <v>1578.420950824825</v>
      </c>
      <c r="J264" s="702"/>
      <c r="K264" s="761">
        <v>2027</v>
      </c>
      <c r="L264" s="732">
        <f t="shared" si="16"/>
        <v>2162.424020511527</v>
      </c>
      <c r="M264" s="732">
        <f t="shared" si="16"/>
        <v>202.79195082246147</v>
      </c>
      <c r="N264" s="732">
        <f t="shared" si="16"/>
        <v>2365.2159713339884</v>
      </c>
      <c r="O264" s="702"/>
      <c r="P264" s="622">
        <f t="shared" si="17"/>
        <v>5.997550023036171E-2</v>
      </c>
      <c r="Q264" s="706">
        <f t="shared" si="17"/>
        <v>789.69356639306216</v>
      </c>
      <c r="R264" s="706">
        <f t="shared" si="17"/>
        <v>1578.420950824825</v>
      </c>
      <c r="S264" s="702"/>
      <c r="T264" s="621"/>
      <c r="U264" s="621"/>
      <c r="V264" s="621"/>
      <c r="W264" s="621"/>
      <c r="X264" s="621"/>
      <c r="Y264" s="621"/>
    </row>
    <row r="265" spans="1:25" s="298" customFormat="1" x14ac:dyDescent="0.25">
      <c r="A265" s="621"/>
      <c r="B265" s="761">
        <v>2028</v>
      </c>
      <c r="C265" s="737">
        <f t="shared" si="11"/>
        <v>1809.1108692881021</v>
      </c>
      <c r="D265" s="713">
        <v>199.36939489246149</v>
      </c>
      <c r="E265" s="732">
        <f t="shared" si="12"/>
        <v>2008.4802641805636</v>
      </c>
      <c r="F265" s="702"/>
      <c r="G265" s="622">
        <f t="shared" si="13"/>
        <v>5.0929644483627759E-2</v>
      </c>
      <c r="H265" s="706">
        <f t="shared" si="14"/>
        <v>1146.4292735464869</v>
      </c>
      <c r="I265" s="706">
        <f t="shared" si="15"/>
        <v>1935.1566579782498</v>
      </c>
      <c r="J265" s="702"/>
      <c r="K265" s="761">
        <v>2028</v>
      </c>
      <c r="L265" s="732">
        <f t="shared" si="16"/>
        <v>1809.1108692881021</v>
      </c>
      <c r="M265" s="732">
        <f t="shared" si="16"/>
        <v>199.36939489246149</v>
      </c>
      <c r="N265" s="732">
        <f t="shared" si="16"/>
        <v>2008.4802641805636</v>
      </c>
      <c r="O265" s="702"/>
      <c r="P265" s="622">
        <f t="shared" si="17"/>
        <v>5.0929644483627759E-2</v>
      </c>
      <c r="Q265" s="706">
        <f t="shared" si="17"/>
        <v>1146.4292735464869</v>
      </c>
      <c r="R265" s="706">
        <f t="shared" si="17"/>
        <v>1935.1566579782498</v>
      </c>
      <c r="S265" s="702"/>
      <c r="T265" s="621"/>
      <c r="U265" s="621"/>
      <c r="V265" s="621"/>
      <c r="W265" s="621"/>
      <c r="X265" s="621"/>
      <c r="Y265" s="621"/>
    </row>
    <row r="266" spans="1:25" s="298" customFormat="1" x14ac:dyDescent="0.25">
      <c r="A266" s="621"/>
      <c r="B266" s="761">
        <v>2029</v>
      </c>
      <c r="C266" s="737">
        <f t="shared" si="11"/>
        <v>2213.486889260937</v>
      </c>
      <c r="D266" s="713">
        <v>593.64323141246143</v>
      </c>
      <c r="E266" s="732">
        <f t="shared" si="12"/>
        <v>2807.1301206733983</v>
      </c>
      <c r="F266" s="702"/>
      <c r="G266" s="622">
        <f t="shared" si="13"/>
        <v>7.1181251623355021E-2</v>
      </c>
      <c r="H266" s="706">
        <f t="shared" si="14"/>
        <v>347.7794170536522</v>
      </c>
      <c r="I266" s="706">
        <f t="shared" si="15"/>
        <v>1136.5068014854151</v>
      </c>
      <c r="J266" s="702"/>
      <c r="K266" s="761">
        <v>2029</v>
      </c>
      <c r="L266" s="732">
        <f t="shared" si="16"/>
        <v>2213.486889260937</v>
      </c>
      <c r="M266" s="732">
        <f t="shared" si="16"/>
        <v>593.64323141246143</v>
      </c>
      <c r="N266" s="732">
        <f t="shared" si="16"/>
        <v>2807.1301206733983</v>
      </c>
      <c r="O266" s="702"/>
      <c r="P266" s="622">
        <f t="shared" si="17"/>
        <v>7.1181251623355021E-2</v>
      </c>
      <c r="Q266" s="706">
        <f t="shared" si="17"/>
        <v>347.7794170536522</v>
      </c>
      <c r="R266" s="706">
        <f t="shared" si="17"/>
        <v>1136.5068014854151</v>
      </c>
      <c r="S266" s="702"/>
      <c r="T266" s="621"/>
      <c r="U266" s="621"/>
      <c r="V266" s="621"/>
      <c r="W266" s="621"/>
      <c r="X266" s="621"/>
      <c r="Y266" s="621"/>
    </row>
    <row r="267" spans="1:25" s="298" customFormat="1" x14ac:dyDescent="0.25">
      <c r="A267" s="621"/>
      <c r="B267" s="761">
        <v>2030</v>
      </c>
      <c r="C267" s="737">
        <f t="shared" si="11"/>
        <v>1720.4970722789178</v>
      </c>
      <c r="D267" s="713">
        <v>591.08031730246148</v>
      </c>
      <c r="E267" s="732">
        <f t="shared" si="12"/>
        <v>2311.5773895813791</v>
      </c>
      <c r="F267" s="702"/>
      <c r="G267" s="622">
        <f t="shared" si="13"/>
        <v>5.8615370410823285E-2</v>
      </c>
      <c r="H267" s="706">
        <f t="shared" si="14"/>
        <v>843.33214814567145</v>
      </c>
      <c r="I267" s="706">
        <f t="shared" si="15"/>
        <v>1632.0595325774343</v>
      </c>
      <c r="J267" s="702"/>
      <c r="K267" s="761">
        <v>2030</v>
      </c>
      <c r="L267" s="732">
        <f t="shared" si="16"/>
        <v>1720.4970722789178</v>
      </c>
      <c r="M267" s="732">
        <f t="shared" si="16"/>
        <v>591.08031730246148</v>
      </c>
      <c r="N267" s="732">
        <f t="shared" si="16"/>
        <v>2311.5773895813791</v>
      </c>
      <c r="O267" s="702"/>
      <c r="P267" s="622">
        <f t="shared" si="17"/>
        <v>5.8615370410823285E-2</v>
      </c>
      <c r="Q267" s="706">
        <f t="shared" si="17"/>
        <v>843.33214814567145</v>
      </c>
      <c r="R267" s="706">
        <f t="shared" si="17"/>
        <v>1632.0595325774343</v>
      </c>
      <c r="S267" s="702"/>
      <c r="T267" s="621"/>
      <c r="U267" s="621"/>
      <c r="V267" s="621"/>
      <c r="W267" s="621"/>
      <c r="X267" s="621"/>
      <c r="Y267" s="621"/>
    </row>
    <row r="268" spans="1:25" s="298" customFormat="1" x14ac:dyDescent="0.25">
      <c r="A268" s="621"/>
      <c r="B268" s="761">
        <v>2031</v>
      </c>
      <c r="C268" s="737">
        <f t="shared" si="11"/>
        <v>1099.8881835380603</v>
      </c>
      <c r="D268" s="713">
        <v>587.14699911909099</v>
      </c>
      <c r="E268" s="732">
        <f t="shared" si="12"/>
        <v>1687.0351826571514</v>
      </c>
      <c r="F268" s="702"/>
      <c r="G268" s="622">
        <f t="shared" si="13"/>
        <v>4.2778663856652403E-2</v>
      </c>
      <c r="H268" s="706">
        <f t="shared" si="14"/>
        <v>1467.8743550698991</v>
      </c>
      <c r="I268" s="706">
        <f t="shared" si="15"/>
        <v>2256.601739501662</v>
      </c>
      <c r="J268" s="702"/>
      <c r="K268" s="761">
        <v>2031</v>
      </c>
      <c r="L268" s="732">
        <f t="shared" si="16"/>
        <v>1099.8881835380603</v>
      </c>
      <c r="M268" s="732">
        <f t="shared" si="16"/>
        <v>587.14699911909099</v>
      </c>
      <c r="N268" s="732">
        <f t="shared" si="16"/>
        <v>1687.0351826571514</v>
      </c>
      <c r="O268" s="702"/>
      <c r="P268" s="622">
        <f t="shared" si="17"/>
        <v>4.2778663856652403E-2</v>
      </c>
      <c r="Q268" s="706">
        <f t="shared" si="17"/>
        <v>1467.8743550698991</v>
      </c>
      <c r="R268" s="706">
        <f t="shared" si="17"/>
        <v>2256.601739501662</v>
      </c>
      <c r="S268" s="702"/>
      <c r="T268" s="621"/>
      <c r="U268" s="621"/>
      <c r="V268" s="621"/>
      <c r="W268" s="621"/>
      <c r="X268" s="621"/>
      <c r="Y268" s="621"/>
    </row>
    <row r="269" spans="1:25" s="298" customFormat="1" x14ac:dyDescent="0.25">
      <c r="A269" s="621"/>
      <c r="B269" s="761">
        <v>2032</v>
      </c>
      <c r="C269" s="737">
        <f t="shared" si="11"/>
        <v>158.62878681639913</v>
      </c>
      <c r="D269" s="713">
        <v>183.21450302776938</v>
      </c>
      <c r="E269" s="732">
        <f t="shared" si="12"/>
        <v>341.84328984416851</v>
      </c>
      <c r="F269" s="702"/>
      <c r="G269" s="622">
        <f t="shared" si="13"/>
        <v>8.6682241948642103E-3</v>
      </c>
      <c r="H269" s="706">
        <f t="shared" si="14"/>
        <v>2813.0662478828822</v>
      </c>
      <c r="I269" s="706">
        <f t="shared" si="15"/>
        <v>3601.793632314645</v>
      </c>
      <c r="J269" s="702"/>
      <c r="K269" s="761">
        <v>2032</v>
      </c>
      <c r="L269" s="732">
        <f t="shared" si="16"/>
        <v>158.62878681639913</v>
      </c>
      <c r="M269" s="732">
        <f t="shared" si="16"/>
        <v>183.21450302776938</v>
      </c>
      <c r="N269" s="732">
        <f t="shared" si="16"/>
        <v>341.84328984416851</v>
      </c>
      <c r="O269" s="702"/>
      <c r="P269" s="622">
        <f t="shared" si="17"/>
        <v>8.6682241948642103E-3</v>
      </c>
      <c r="Q269" s="706">
        <f t="shared" si="17"/>
        <v>2813.0662478828822</v>
      </c>
      <c r="R269" s="706">
        <f t="shared" si="17"/>
        <v>3601.793632314645</v>
      </c>
      <c r="S269" s="702"/>
      <c r="T269" s="621"/>
      <c r="U269" s="621"/>
      <c r="V269" s="621"/>
      <c r="W269" s="621"/>
      <c r="X269" s="621"/>
      <c r="Y269" s="621"/>
    </row>
    <row r="270" spans="1:25" s="298" customFormat="1" x14ac:dyDescent="0.25">
      <c r="A270" s="621"/>
      <c r="B270" s="761">
        <v>2033</v>
      </c>
      <c r="C270" s="737">
        <f t="shared" si="11"/>
        <v>332.81096533674531</v>
      </c>
      <c r="D270" s="713">
        <v>182.5480527762754</v>
      </c>
      <c r="E270" s="732">
        <f t="shared" si="12"/>
        <v>515.35901811302074</v>
      </c>
      <c r="F270" s="702"/>
      <c r="G270" s="622">
        <f t="shared" si="13"/>
        <v>1.3068115252123782E-2</v>
      </c>
      <c r="H270" s="706">
        <f t="shared" si="14"/>
        <v>2639.5505196140298</v>
      </c>
      <c r="I270" s="706">
        <f t="shared" si="15"/>
        <v>3428.2779040457926</v>
      </c>
      <c r="J270" s="702"/>
      <c r="K270" s="761">
        <v>2033</v>
      </c>
      <c r="L270" s="732">
        <f t="shared" si="16"/>
        <v>332.81096533674531</v>
      </c>
      <c r="M270" s="732">
        <f t="shared" si="16"/>
        <v>182.5480527762754</v>
      </c>
      <c r="N270" s="732">
        <f t="shared" si="16"/>
        <v>515.35901811302074</v>
      </c>
      <c r="O270" s="702"/>
      <c r="P270" s="622">
        <f t="shared" si="17"/>
        <v>1.3068115252123782E-2</v>
      </c>
      <c r="Q270" s="706">
        <f t="shared" si="17"/>
        <v>2639.5505196140298</v>
      </c>
      <c r="R270" s="706">
        <f t="shared" si="17"/>
        <v>3428.2779040457926</v>
      </c>
      <c r="S270" s="702"/>
      <c r="T270" s="621"/>
      <c r="U270" s="621"/>
      <c r="V270" s="621"/>
      <c r="W270" s="621"/>
      <c r="X270" s="621"/>
      <c r="Y270" s="621"/>
    </row>
    <row r="271" spans="1:25" s="298" customFormat="1" x14ac:dyDescent="0.25">
      <c r="A271" s="621"/>
      <c r="B271" s="761">
        <v>2034</v>
      </c>
      <c r="C271" s="737">
        <f t="shared" si="11"/>
        <v>301.31529644962535</v>
      </c>
      <c r="D271" s="713">
        <v>182.5480527762754</v>
      </c>
      <c r="E271" s="732">
        <f t="shared" si="12"/>
        <v>483.86334922590072</v>
      </c>
      <c r="F271" s="702"/>
      <c r="G271" s="622">
        <f t="shared" si="13"/>
        <v>1.2269470003872105E-2</v>
      </c>
      <c r="H271" s="706">
        <f t="shared" si="14"/>
        <v>2671.04618850115</v>
      </c>
      <c r="I271" s="706">
        <f t="shared" si="15"/>
        <v>3459.7735729329124</v>
      </c>
      <c r="J271" s="702"/>
      <c r="K271" s="761">
        <v>2034</v>
      </c>
      <c r="L271" s="732">
        <f t="shared" si="16"/>
        <v>301.31529644962535</v>
      </c>
      <c r="M271" s="732">
        <f t="shared" si="16"/>
        <v>182.5480527762754</v>
      </c>
      <c r="N271" s="732">
        <f t="shared" si="16"/>
        <v>483.86334922590072</v>
      </c>
      <c r="O271" s="702"/>
      <c r="P271" s="622">
        <f t="shared" si="17"/>
        <v>1.2269470003872105E-2</v>
      </c>
      <c r="Q271" s="706">
        <f t="shared" si="17"/>
        <v>2671.04618850115</v>
      </c>
      <c r="R271" s="706">
        <f t="shared" si="17"/>
        <v>3459.7735729329124</v>
      </c>
      <c r="S271" s="702"/>
      <c r="T271" s="621"/>
      <c r="U271" s="621"/>
      <c r="V271" s="621"/>
      <c r="W271" s="621"/>
      <c r="X271" s="621"/>
      <c r="Y271" s="621"/>
    </row>
    <row r="272" spans="1:25" s="298" customFormat="1" x14ac:dyDescent="0.25">
      <c r="A272" s="621"/>
      <c r="B272" s="761">
        <v>2035</v>
      </c>
      <c r="C272" s="737">
        <f t="shared" si="11"/>
        <v>428.47736258251956</v>
      </c>
      <c r="D272" s="713">
        <v>166.71961731627542</v>
      </c>
      <c r="E272" s="732">
        <f t="shared" si="12"/>
        <v>595.19697989879501</v>
      </c>
      <c r="F272" s="702"/>
      <c r="G272" s="622">
        <f t="shared" si="13"/>
        <v>1.5092590713776312E-2</v>
      </c>
      <c r="H272" s="706">
        <f t="shared" si="14"/>
        <v>2559.7125578282557</v>
      </c>
      <c r="I272" s="706">
        <f t="shared" si="15"/>
        <v>3348.4399422600181</v>
      </c>
      <c r="J272" s="702"/>
      <c r="K272" s="761">
        <v>2035</v>
      </c>
      <c r="L272" s="732">
        <f t="shared" si="16"/>
        <v>428.47736258251956</v>
      </c>
      <c r="M272" s="732">
        <f t="shared" si="16"/>
        <v>166.71961731627542</v>
      </c>
      <c r="N272" s="732">
        <f t="shared" si="16"/>
        <v>595.19697989879501</v>
      </c>
      <c r="O272" s="702"/>
      <c r="P272" s="622">
        <f t="shared" si="17"/>
        <v>1.5092590713776312E-2</v>
      </c>
      <c r="Q272" s="706">
        <f t="shared" si="17"/>
        <v>2559.7125578282557</v>
      </c>
      <c r="R272" s="706">
        <f t="shared" si="17"/>
        <v>3348.4399422600181</v>
      </c>
      <c r="S272" s="702"/>
      <c r="T272" s="621"/>
      <c r="U272" s="621"/>
      <c r="V272" s="621"/>
      <c r="W272" s="621"/>
      <c r="X272" s="621"/>
      <c r="Y272" s="621"/>
    </row>
    <row r="273" spans="1:25" s="298" customFormat="1" x14ac:dyDescent="0.25">
      <c r="A273" s="621"/>
      <c r="B273" s="761">
        <v>2036</v>
      </c>
      <c r="C273" s="737">
        <f t="shared" si="11"/>
        <v>458.33316718095296</v>
      </c>
      <c r="D273" s="713">
        <v>161.7938299242964</v>
      </c>
      <c r="E273" s="732">
        <f t="shared" si="12"/>
        <v>620.1269971052493</v>
      </c>
      <c r="F273" s="702"/>
      <c r="G273" s="622">
        <f t="shared" si="13"/>
        <v>1.5724748736904038E-2</v>
      </c>
      <c r="H273" s="706">
        <f t="shared" si="14"/>
        <v>2534.7825406218012</v>
      </c>
      <c r="I273" s="706">
        <f t="shared" si="15"/>
        <v>3323.5099250535641</v>
      </c>
      <c r="J273" s="702"/>
      <c r="K273" s="761">
        <v>2036</v>
      </c>
      <c r="L273" s="732">
        <f t="shared" si="16"/>
        <v>458.33316718095296</v>
      </c>
      <c r="M273" s="732">
        <f t="shared" si="16"/>
        <v>161.7938299242964</v>
      </c>
      <c r="N273" s="732">
        <f t="shared" si="16"/>
        <v>620.1269971052493</v>
      </c>
      <c r="O273" s="702"/>
      <c r="P273" s="622">
        <f t="shared" si="17"/>
        <v>1.5724748736904038E-2</v>
      </c>
      <c r="Q273" s="706">
        <f t="shared" si="17"/>
        <v>2534.7825406218012</v>
      </c>
      <c r="R273" s="706">
        <f t="shared" si="17"/>
        <v>3323.5099250535641</v>
      </c>
      <c r="S273" s="702"/>
      <c r="T273" s="621"/>
      <c r="U273" s="621"/>
      <c r="V273" s="621"/>
      <c r="W273" s="621"/>
      <c r="X273" s="621"/>
      <c r="Y273" s="621"/>
    </row>
    <row r="274" spans="1:25" s="298" customFormat="1" x14ac:dyDescent="0.25">
      <c r="A274" s="621"/>
      <c r="B274" s="761">
        <v>2037</v>
      </c>
      <c r="C274" s="737">
        <f t="shared" si="11"/>
        <v>4.0949999999999998</v>
      </c>
      <c r="D274" s="713">
        <v>151.9969995295107</v>
      </c>
      <c r="E274" s="732">
        <f t="shared" si="12"/>
        <v>156.0919995295107</v>
      </c>
      <c r="F274" s="702"/>
      <c r="G274" s="622">
        <f t="shared" si="13"/>
        <v>3.9580722721315664E-3</v>
      </c>
      <c r="H274" s="706">
        <f t="shared" si="14"/>
        <v>2998.8175381975398</v>
      </c>
      <c r="I274" s="706">
        <f t="shared" si="15"/>
        <v>3787.5449226293026</v>
      </c>
      <c r="J274" s="702"/>
      <c r="K274" s="761" t="s">
        <v>240</v>
      </c>
      <c r="L274" s="732">
        <f>SUM(C274:C278)</f>
        <v>477.65839445220382</v>
      </c>
      <c r="M274" s="732">
        <f>SUM(D274:D278)</f>
        <v>435.35236735693667</v>
      </c>
      <c r="N274" s="732">
        <f>SUM(E274:E278)</f>
        <v>913.01076180914049</v>
      </c>
      <c r="O274" s="702"/>
      <c r="P274" s="622">
        <f>SUM(G274:G278)</f>
        <v>2.3151491372825038E-2</v>
      </c>
      <c r="Q274" s="706">
        <f>SUM(H274:H278)</f>
        <v>14861.536926826111</v>
      </c>
      <c r="R274" s="706">
        <f>SUM(I274:I278)</f>
        <v>18805.173848984927</v>
      </c>
      <c r="S274" s="702"/>
      <c r="T274" s="621"/>
      <c r="U274" s="621"/>
      <c r="V274" s="621"/>
      <c r="W274" s="621"/>
      <c r="X274" s="621"/>
      <c r="Y274" s="621"/>
    </row>
    <row r="275" spans="1:25" s="298" customFormat="1" x14ac:dyDescent="0.25">
      <c r="A275" s="621"/>
      <c r="B275" s="761">
        <v>2038</v>
      </c>
      <c r="C275" s="737">
        <f t="shared" si="11"/>
        <v>0</v>
      </c>
      <c r="D275" s="713">
        <v>120.390089182746</v>
      </c>
      <c r="E275" s="732">
        <f t="shared" si="12"/>
        <v>120.390089182746</v>
      </c>
      <c r="F275" s="702"/>
      <c r="G275" s="622">
        <f t="shared" si="13"/>
        <v>3.0527680808111117E-3</v>
      </c>
      <c r="H275" s="706">
        <f t="shared" si="14"/>
        <v>3034.5194485443044</v>
      </c>
      <c r="I275" s="706">
        <f t="shared" si="15"/>
        <v>3823.2468329760673</v>
      </c>
      <c r="J275" s="702"/>
      <c r="K275" s="761" t="s">
        <v>241</v>
      </c>
      <c r="L275" s="732">
        <f>SUM(C279:C290)</f>
        <v>891.19684358251868</v>
      </c>
      <c r="M275" s="732">
        <f>SUM(D279:D290)</f>
        <v>2930.917091759999</v>
      </c>
      <c r="N275" s="732">
        <f>SUM(E279:E290)</f>
        <v>3822.1139353425178</v>
      </c>
      <c r="O275" s="702"/>
      <c r="P275" s="622">
        <f>SUM(G279:G290)</f>
        <v>9.691850468958052E-2</v>
      </c>
      <c r="Q275" s="706">
        <f>SUM(H279:H290)</f>
        <v>34036.800517382093</v>
      </c>
      <c r="R275" s="706">
        <f>SUM(I279:I290)</f>
        <v>43501.529130563235</v>
      </c>
      <c r="S275" s="702"/>
      <c r="T275" s="621"/>
      <c r="U275" s="621"/>
      <c r="V275" s="621"/>
      <c r="W275" s="621"/>
      <c r="X275" s="621"/>
      <c r="Y275" s="621"/>
    </row>
    <row r="276" spans="1:25" s="298" customFormat="1" x14ac:dyDescent="0.25">
      <c r="A276" s="621"/>
      <c r="B276" s="761">
        <v>2039</v>
      </c>
      <c r="C276" s="737">
        <f t="shared" si="11"/>
        <v>219.98489622243153</v>
      </c>
      <c r="D276" s="713">
        <v>88.937343684680002</v>
      </c>
      <c r="E276" s="732">
        <f t="shared" si="12"/>
        <v>308.92223990711153</v>
      </c>
      <c r="F276" s="702"/>
      <c r="G276" s="622">
        <f t="shared" si="13"/>
        <v>7.8334351261221662E-3</v>
      </c>
      <c r="H276" s="706">
        <f t="shared" si="14"/>
        <v>2845.9872978199392</v>
      </c>
      <c r="I276" s="706">
        <f t="shared" si="15"/>
        <v>3634.714682251702</v>
      </c>
      <c r="J276" s="702"/>
      <c r="K276" s="761"/>
      <c r="L276" s="732"/>
      <c r="M276" s="732"/>
      <c r="N276" s="732"/>
      <c r="O276" s="702"/>
      <c r="P276" s="622"/>
      <c r="Q276" s="706"/>
      <c r="R276" s="706"/>
      <c r="S276" s="702"/>
      <c r="T276" s="621"/>
      <c r="U276" s="621"/>
      <c r="V276" s="621"/>
      <c r="W276" s="621"/>
      <c r="X276" s="621"/>
      <c r="Y276" s="621"/>
    </row>
    <row r="277" spans="1:25" s="298" customFormat="1" x14ac:dyDescent="0.25">
      <c r="A277" s="621"/>
      <c r="B277" s="761">
        <v>2040</v>
      </c>
      <c r="C277" s="737">
        <f t="shared" si="11"/>
        <v>253.57849822977229</v>
      </c>
      <c r="D277" s="713">
        <v>47.41992518</v>
      </c>
      <c r="E277" s="732">
        <f t="shared" si="12"/>
        <v>300.99842340977227</v>
      </c>
      <c r="F277" s="702"/>
      <c r="G277" s="622">
        <f t="shared" si="13"/>
        <v>7.6325085029633173E-3</v>
      </c>
      <c r="H277" s="706">
        <f t="shared" si="14"/>
        <v>2853.9111143172781</v>
      </c>
      <c r="I277" s="706">
        <f t="shared" si="15"/>
        <v>3642.638498749041</v>
      </c>
      <c r="J277" s="702"/>
      <c r="K277" s="761"/>
      <c r="L277" s="732"/>
      <c r="M277" s="732"/>
      <c r="N277" s="732"/>
      <c r="O277" s="702"/>
      <c r="P277" s="622"/>
      <c r="Q277" s="706"/>
      <c r="R277" s="706"/>
      <c r="S277" s="702"/>
      <c r="T277" s="621"/>
      <c r="U277" s="621"/>
      <c r="V277" s="621"/>
      <c r="W277" s="621"/>
      <c r="X277" s="621"/>
      <c r="Y277" s="621"/>
    </row>
    <row r="278" spans="1:25" s="298" customFormat="1" x14ac:dyDescent="0.25">
      <c r="A278" s="621"/>
      <c r="B278" s="761">
        <v>2041</v>
      </c>
      <c r="C278" s="737">
        <f t="shared" si="11"/>
        <v>0</v>
      </c>
      <c r="D278" s="713">
        <v>26.608009779999996</v>
      </c>
      <c r="E278" s="732">
        <f t="shared" si="12"/>
        <v>26.608009779999996</v>
      </c>
      <c r="F278" s="702"/>
      <c r="G278" s="622">
        <f t="shared" si="13"/>
        <v>6.7470739079687704E-4</v>
      </c>
      <c r="H278" s="706">
        <f t="shared" si="14"/>
        <v>3128.3015279470505</v>
      </c>
      <c r="I278" s="706">
        <f t="shared" si="15"/>
        <v>3917.0289123788134</v>
      </c>
      <c r="J278" s="702"/>
      <c r="K278" s="761"/>
      <c r="L278" s="732"/>
      <c r="M278" s="732"/>
      <c r="N278" s="732"/>
      <c r="O278" s="702"/>
      <c r="P278" s="622"/>
      <c r="Q278" s="706"/>
      <c r="R278" s="706"/>
      <c r="S278" s="702"/>
      <c r="T278" s="621"/>
      <c r="U278" s="621"/>
      <c r="V278" s="621"/>
      <c r="W278" s="621"/>
      <c r="X278" s="621"/>
      <c r="Y278" s="621"/>
    </row>
    <row r="279" spans="1:25" s="298" customFormat="1" x14ac:dyDescent="0.25">
      <c r="A279" s="621"/>
      <c r="B279" s="761">
        <v>2042</v>
      </c>
      <c r="C279" s="737">
        <f t="shared" si="11"/>
        <v>0</v>
      </c>
      <c r="D279" s="713">
        <v>22.664186019999995</v>
      </c>
      <c r="E279" s="732">
        <f t="shared" si="12"/>
        <v>22.664186019999995</v>
      </c>
      <c r="F279" s="702"/>
      <c r="G279" s="622">
        <f t="shared" si="13"/>
        <v>5.7470265309295359E-4</v>
      </c>
      <c r="H279" s="706">
        <f t="shared" si="14"/>
        <v>3132.2453517070503</v>
      </c>
      <c r="I279" s="706">
        <f t="shared" si="15"/>
        <v>3920.9727361388132</v>
      </c>
      <c r="J279" s="702"/>
      <c r="K279" s="702"/>
      <c r="L279" s="702"/>
      <c r="M279" s="702"/>
      <c r="N279" s="702"/>
      <c r="O279" s="702"/>
      <c r="P279" s="702"/>
      <c r="Q279" s="702"/>
      <c r="R279" s="702"/>
      <c r="S279" s="702"/>
      <c r="T279" s="621"/>
      <c r="U279" s="621"/>
      <c r="V279" s="621"/>
      <c r="W279" s="621"/>
      <c r="X279" s="621"/>
      <c r="Y279" s="621"/>
    </row>
    <row r="280" spans="1:25" s="298" customFormat="1" x14ac:dyDescent="0.25">
      <c r="A280" s="621"/>
      <c r="B280" s="761">
        <v>2043</v>
      </c>
      <c r="C280" s="737">
        <f t="shared" si="11"/>
        <v>60.376935829246108</v>
      </c>
      <c r="D280" s="713">
        <v>518.72036220999996</v>
      </c>
      <c r="E280" s="732">
        <f t="shared" si="12"/>
        <v>579.09729803924608</v>
      </c>
      <c r="F280" s="702"/>
      <c r="G280" s="622">
        <f t="shared" si="13"/>
        <v>1.4684346187788466E-2</v>
      </c>
      <c r="H280" s="706">
        <f t="shared" si="14"/>
        <v>2575.8122396878043</v>
      </c>
      <c r="I280" s="706">
        <f t="shared" si="15"/>
        <v>3364.5396241195672</v>
      </c>
      <c r="J280" s="702"/>
      <c r="K280" s="761"/>
      <c r="L280" s="737"/>
      <c r="M280" s="733"/>
      <c r="N280" s="732"/>
      <c r="O280" s="702"/>
      <c r="P280" s="622"/>
      <c r="Q280" s="706"/>
      <c r="R280" s="706"/>
      <c r="S280" s="702"/>
      <c r="T280" s="621"/>
      <c r="U280" s="621"/>
      <c r="V280" s="621"/>
      <c r="W280" s="621"/>
      <c r="X280" s="621"/>
      <c r="Y280" s="621"/>
    </row>
    <row r="281" spans="1:25" s="298" customFormat="1" x14ac:dyDescent="0.25">
      <c r="A281" s="621"/>
      <c r="B281" s="761">
        <v>2044</v>
      </c>
      <c r="C281" s="737">
        <f t="shared" si="11"/>
        <v>610.92141163478095</v>
      </c>
      <c r="D281" s="713">
        <v>1015.4473117799998</v>
      </c>
      <c r="E281" s="732">
        <f t="shared" si="12"/>
        <v>1626.3687234147808</v>
      </c>
      <c r="F281" s="702"/>
      <c r="G281" s="622">
        <f t="shared" si="13"/>
        <v>4.1240326011667404E-2</v>
      </c>
      <c r="H281" s="706">
        <f t="shared" si="14"/>
        <v>1528.5408143122697</v>
      </c>
      <c r="I281" s="706">
        <f t="shared" si="15"/>
        <v>2317.2681987440328</v>
      </c>
      <c r="J281" s="702"/>
      <c r="K281" s="761"/>
      <c r="L281" s="737"/>
      <c r="M281" s="733"/>
      <c r="N281" s="732"/>
      <c r="O281" s="702"/>
      <c r="P281" s="622"/>
      <c r="Q281" s="706"/>
      <c r="R281" s="706"/>
      <c r="S281" s="702"/>
      <c r="T281" s="621"/>
      <c r="U281" s="621"/>
      <c r="V281" s="621"/>
      <c r="W281" s="621"/>
      <c r="X281" s="621"/>
      <c r="Y281" s="621"/>
    </row>
    <row r="282" spans="1:25" s="298" customFormat="1" x14ac:dyDescent="0.25">
      <c r="A282" s="621"/>
      <c r="B282" s="761">
        <v>2045</v>
      </c>
      <c r="C282" s="737">
        <f t="shared" si="11"/>
        <v>0</v>
      </c>
      <c r="D282" s="713">
        <v>1315.4473117799998</v>
      </c>
      <c r="E282" s="732">
        <f t="shared" si="12"/>
        <v>1315.4473117799998</v>
      </c>
      <c r="F282" s="702"/>
      <c r="G282" s="622">
        <f t="shared" si="13"/>
        <v>3.3356197280451007E-2</v>
      </c>
      <c r="H282" s="706">
        <f t="shared" si="14"/>
        <v>1839.4622259470507</v>
      </c>
      <c r="I282" s="706">
        <f t="shared" si="15"/>
        <v>2628.1896103788135</v>
      </c>
      <c r="J282" s="702"/>
      <c r="K282" s="761"/>
      <c r="L282" s="737"/>
      <c r="M282" s="733"/>
      <c r="N282" s="732"/>
      <c r="O282" s="702"/>
      <c r="P282" s="622"/>
      <c r="Q282" s="706"/>
      <c r="R282" s="706"/>
      <c r="S282" s="702"/>
      <c r="T282" s="621"/>
      <c r="U282" s="621"/>
      <c r="V282" s="621"/>
      <c r="W282" s="621"/>
      <c r="X282" s="621"/>
      <c r="Y282" s="621"/>
    </row>
    <row r="283" spans="1:25" s="298" customFormat="1" x14ac:dyDescent="0.25">
      <c r="A283" s="621"/>
      <c r="B283" s="761">
        <v>2046</v>
      </c>
      <c r="C283" s="737">
        <f t="shared" si="11"/>
        <v>0</v>
      </c>
      <c r="D283" s="713">
        <v>15.44731178</v>
      </c>
      <c r="E283" s="732">
        <f t="shared" si="12"/>
        <v>15.44731178</v>
      </c>
      <c r="F283" s="702"/>
      <c r="G283" s="622">
        <f t="shared" si="13"/>
        <v>3.9170217960997995E-4</v>
      </c>
      <c r="H283" s="706">
        <f t="shared" si="14"/>
        <v>3139.4622259470507</v>
      </c>
      <c r="I283" s="706">
        <f t="shared" si="15"/>
        <v>3928.1896103788135</v>
      </c>
      <c r="J283" s="702"/>
      <c r="K283" s="761"/>
      <c r="L283" s="737"/>
      <c r="M283" s="733"/>
      <c r="N283" s="732"/>
      <c r="O283" s="702"/>
      <c r="P283" s="622"/>
      <c r="Q283" s="706"/>
      <c r="R283" s="706"/>
      <c r="S283" s="702"/>
      <c r="T283" s="621"/>
      <c r="U283" s="621"/>
      <c r="V283" s="621"/>
      <c r="W283" s="621"/>
      <c r="X283" s="621"/>
      <c r="Y283" s="621"/>
    </row>
    <row r="284" spans="1:25" s="298" customFormat="1" x14ac:dyDescent="0.25">
      <c r="A284" s="621"/>
      <c r="B284" s="761">
        <v>2047</v>
      </c>
      <c r="C284" s="737">
        <f t="shared" si="11"/>
        <v>25.335206418293435</v>
      </c>
      <c r="D284" s="713">
        <v>14.826971780000001</v>
      </c>
      <c r="E284" s="732">
        <f t="shared" si="12"/>
        <v>40.162178198293432</v>
      </c>
      <c r="F284" s="702"/>
      <c r="G284" s="622">
        <f t="shared" si="13"/>
        <v>1.0184045588128834E-3</v>
      </c>
      <c r="H284" s="706">
        <f t="shared" si="14"/>
        <v>3114.747359528757</v>
      </c>
      <c r="I284" s="706">
        <f t="shared" si="15"/>
        <v>3903.4747439605198</v>
      </c>
      <c r="J284" s="702"/>
      <c r="K284" s="761"/>
      <c r="L284" s="737"/>
      <c r="M284" s="733"/>
      <c r="N284" s="732"/>
      <c r="O284" s="702"/>
      <c r="P284" s="622"/>
      <c r="Q284" s="706"/>
      <c r="R284" s="706"/>
      <c r="S284" s="702"/>
      <c r="T284" s="621"/>
      <c r="U284" s="621"/>
      <c r="V284" s="621"/>
      <c r="W284" s="621"/>
      <c r="X284" s="621"/>
      <c r="Y284" s="621"/>
    </row>
    <row r="285" spans="1:25" s="298" customFormat="1" x14ac:dyDescent="0.25">
      <c r="A285" s="621"/>
      <c r="B285" s="761">
        <v>2048</v>
      </c>
      <c r="C285" s="737">
        <f t="shared" si="11"/>
        <v>0</v>
      </c>
      <c r="D285" s="713">
        <v>14.18181818</v>
      </c>
      <c r="E285" s="732">
        <f t="shared" si="12"/>
        <v>14.18181818</v>
      </c>
      <c r="F285" s="702"/>
      <c r="G285" s="622">
        <f t="shared" si="13"/>
        <v>3.5961267378125251E-4</v>
      </c>
      <c r="H285" s="706">
        <f t="shared" si="14"/>
        <v>3140.7277195470506</v>
      </c>
      <c r="I285" s="706">
        <f t="shared" si="15"/>
        <v>3929.4551039788134</v>
      </c>
      <c r="J285" s="702"/>
      <c r="K285" s="761"/>
      <c r="L285" s="737"/>
      <c r="M285" s="733"/>
      <c r="N285" s="732"/>
      <c r="O285" s="702"/>
      <c r="P285" s="622"/>
      <c r="Q285" s="706"/>
      <c r="R285" s="706"/>
      <c r="S285" s="702"/>
      <c r="T285" s="621"/>
      <c r="U285" s="621"/>
      <c r="V285" s="621"/>
      <c r="W285" s="621"/>
      <c r="X285" s="621"/>
      <c r="Y285" s="621"/>
    </row>
    <row r="286" spans="1:25" s="298" customFormat="1" x14ac:dyDescent="0.25">
      <c r="A286" s="621"/>
      <c r="B286" s="761">
        <v>2049</v>
      </c>
      <c r="C286" s="737">
        <f t="shared" si="11"/>
        <v>0</v>
      </c>
      <c r="D286" s="713">
        <v>14.181818230000001</v>
      </c>
      <c r="E286" s="732">
        <f t="shared" si="12"/>
        <v>14.181818230000001</v>
      </c>
      <c r="F286" s="702"/>
      <c r="G286" s="622">
        <f t="shared" si="13"/>
        <v>3.5961267504911777E-4</v>
      </c>
      <c r="H286" s="706">
        <f t="shared" si="14"/>
        <v>3140.7277194970507</v>
      </c>
      <c r="I286" s="706">
        <f t="shared" si="15"/>
        <v>3929.4551039288135</v>
      </c>
      <c r="J286" s="702"/>
      <c r="K286" s="761"/>
      <c r="L286" s="737"/>
      <c r="M286" s="733"/>
      <c r="N286" s="732"/>
      <c r="O286" s="702"/>
      <c r="P286" s="622"/>
      <c r="Q286" s="706"/>
      <c r="R286" s="706"/>
      <c r="S286" s="702"/>
      <c r="T286" s="621"/>
      <c r="U286" s="621"/>
      <c r="V286" s="621"/>
      <c r="W286" s="621"/>
      <c r="X286" s="621"/>
      <c r="Y286" s="621"/>
    </row>
    <row r="287" spans="1:25" s="298" customFormat="1" x14ac:dyDescent="0.25">
      <c r="A287" s="621"/>
      <c r="B287" s="761">
        <v>2050</v>
      </c>
      <c r="C287" s="737">
        <f t="shared" si="11"/>
        <v>159.96841199207458</v>
      </c>
      <c r="D287" s="713"/>
      <c r="E287" s="732">
        <f t="shared" si="12"/>
        <v>159.96841199207458</v>
      </c>
      <c r="F287" s="702"/>
      <c r="G287" s="622">
        <f t="shared" si="13"/>
        <v>4.0563676410785097E-3</v>
      </c>
      <c r="H287" s="706">
        <f t="shared" si="14"/>
        <v>2994.9411257349761</v>
      </c>
      <c r="I287" s="706">
        <f t="shared" si="15"/>
        <v>3783.668510166739</v>
      </c>
      <c r="J287" s="702"/>
      <c r="K287" s="761"/>
      <c r="L287" s="737"/>
      <c r="M287" s="733"/>
      <c r="N287" s="732"/>
      <c r="O287" s="702"/>
      <c r="P287" s="622"/>
      <c r="Q287" s="706"/>
      <c r="R287" s="706"/>
      <c r="S287" s="702"/>
      <c r="T287" s="621"/>
      <c r="U287" s="621"/>
      <c r="V287" s="621"/>
      <c r="W287" s="621"/>
      <c r="X287" s="621"/>
      <c r="Y287" s="621"/>
    </row>
    <row r="288" spans="1:25" s="298" customFormat="1" x14ac:dyDescent="0.25">
      <c r="A288" s="621"/>
      <c r="B288" s="761">
        <v>2051</v>
      </c>
      <c r="C288" s="737">
        <f t="shared" si="11"/>
        <v>34.594877708123562</v>
      </c>
      <c r="D288" s="713"/>
      <c r="E288" s="732">
        <f t="shared" si="12"/>
        <v>34.594877708123562</v>
      </c>
      <c r="F288" s="702"/>
      <c r="G288" s="622">
        <f t="shared" si="13"/>
        <v>8.7723282824894906E-4</v>
      </c>
      <c r="H288" s="706">
        <f t="shared" si="14"/>
        <v>3120.314660018927</v>
      </c>
      <c r="I288" s="706">
        <f t="shared" si="15"/>
        <v>3909.0420444506899</v>
      </c>
      <c r="J288" s="702"/>
      <c r="K288" s="761"/>
      <c r="L288" s="737"/>
      <c r="M288" s="733"/>
      <c r="N288" s="732"/>
      <c r="O288" s="702"/>
      <c r="P288" s="622"/>
      <c r="Q288" s="706"/>
      <c r="R288" s="706"/>
      <c r="S288" s="702"/>
      <c r="T288" s="621"/>
      <c r="U288" s="621"/>
      <c r="V288" s="621"/>
      <c r="W288" s="621"/>
      <c r="X288" s="621"/>
      <c r="Y288" s="621"/>
    </row>
    <row r="289" spans="1:25" s="298" customFormat="1" x14ac:dyDescent="0.25">
      <c r="A289" s="621"/>
      <c r="B289" s="761">
        <v>2052</v>
      </c>
      <c r="C289" s="737">
        <f t="shared" si="11"/>
        <v>0</v>
      </c>
      <c r="D289" s="713"/>
      <c r="E289" s="732">
        <f t="shared" si="12"/>
        <v>0</v>
      </c>
      <c r="F289" s="702"/>
      <c r="G289" s="622">
        <f t="shared" si="13"/>
        <v>0</v>
      </c>
      <c r="H289" s="706">
        <f t="shared" si="14"/>
        <v>3154.9095377270505</v>
      </c>
      <c r="I289" s="706">
        <f t="shared" si="15"/>
        <v>3943.6369221588134</v>
      </c>
      <c r="J289" s="702"/>
      <c r="K289" s="761"/>
      <c r="L289" s="737"/>
      <c r="M289" s="733"/>
      <c r="N289" s="732"/>
      <c r="O289" s="702"/>
      <c r="P289" s="622"/>
      <c r="Q289" s="706"/>
      <c r="R289" s="706"/>
      <c r="S289" s="702"/>
      <c r="T289" s="621"/>
      <c r="U289" s="621"/>
      <c r="V289" s="621"/>
      <c r="W289" s="621"/>
      <c r="X289" s="621"/>
      <c r="Y289" s="621"/>
    </row>
    <row r="290" spans="1:25" s="298" customFormat="1" x14ac:dyDescent="0.25">
      <c r="A290" s="621"/>
      <c r="B290" s="761">
        <v>2053</v>
      </c>
      <c r="C290" s="737">
        <f t="shared" si="11"/>
        <v>0</v>
      </c>
      <c r="D290" s="737"/>
      <c r="E290" s="732">
        <f t="shared" si="12"/>
        <v>0</v>
      </c>
      <c r="F290" s="702"/>
      <c r="G290" s="622">
        <f t="shared" ref="G290" si="18">+E290/$E$291</f>
        <v>0</v>
      </c>
      <c r="H290" s="706">
        <f t="shared" ref="H290" si="19">+$H$253-E290</f>
        <v>3154.9095377270505</v>
      </c>
      <c r="I290" s="706">
        <f t="shared" ref="I290" si="20">+$I$253-E290</f>
        <v>3943.6369221588134</v>
      </c>
      <c r="J290" s="702"/>
      <c r="K290" s="702"/>
      <c r="L290" s="702"/>
      <c r="M290" s="702"/>
      <c r="N290" s="702"/>
      <c r="O290" s="702"/>
      <c r="P290" s="702"/>
      <c r="Q290" s="702"/>
      <c r="R290" s="702"/>
      <c r="S290" s="702"/>
      <c r="T290" s="621"/>
      <c r="U290" s="621"/>
      <c r="V290" s="621"/>
      <c r="W290" s="621"/>
      <c r="X290" s="621"/>
      <c r="Y290" s="621"/>
    </row>
    <row r="291" spans="1:25" s="298" customFormat="1" x14ac:dyDescent="0.25">
      <c r="A291" s="621"/>
      <c r="B291" s="702"/>
      <c r="C291" s="738">
        <f>SUM(C257:C290)</f>
        <v>30079.342286429131</v>
      </c>
      <c r="D291" s="738">
        <f t="shared" ref="D291" si="21">SUM(D257:D290)</f>
        <v>9357.0269351590141</v>
      </c>
      <c r="E291" s="738">
        <f>SUM(E257:E290)</f>
        <v>39436.369221588131</v>
      </c>
      <c r="F291" s="702"/>
      <c r="G291" s="622">
        <f>SUM(G257:G290)</f>
        <v>1.0000000000000002</v>
      </c>
      <c r="H291" s="702"/>
      <c r="I291" s="702"/>
      <c r="J291" s="702"/>
      <c r="K291" s="702"/>
      <c r="L291" s="738">
        <f>SUM(L257:L289)</f>
        <v>30079.342286429128</v>
      </c>
      <c r="M291" s="738">
        <f>SUM(M257:M289)</f>
        <v>9357.0269351590141</v>
      </c>
      <c r="N291" s="738">
        <f>SUM(N257:N289)</f>
        <v>39436.369221588138</v>
      </c>
      <c r="O291" s="702"/>
      <c r="P291" s="622">
        <f>SUM(P257:P289)</f>
        <v>1.0000000000000002</v>
      </c>
      <c r="Q291" s="702"/>
      <c r="R291" s="702"/>
      <c r="S291" s="702"/>
      <c r="T291" s="621"/>
      <c r="U291" s="621"/>
      <c r="V291" s="621"/>
      <c r="W291" s="621"/>
      <c r="X291" s="621"/>
      <c r="Y291" s="621"/>
    </row>
    <row r="292" spans="1:25" s="298" customFormat="1" x14ac:dyDescent="0.25">
      <c r="A292" s="621"/>
      <c r="B292" s="702"/>
      <c r="C292" s="739">
        <f>+'Domestic Debt USD'!AP8</f>
        <v>30079.342286429099</v>
      </c>
      <c r="D292" s="732">
        <f>+'EXTERNAL DEBT USD'!AP7</f>
        <v>9357.0269352098694</v>
      </c>
      <c r="E292" s="707">
        <f>SUM(C292:D292)</f>
        <v>39436.369221638968</v>
      </c>
      <c r="F292" s="702"/>
      <c r="G292" s="702"/>
      <c r="H292" s="702"/>
      <c r="I292" s="702"/>
      <c r="J292" s="702"/>
      <c r="K292" s="702"/>
      <c r="L292" s="707">
        <f>+L291-C291</f>
        <v>0</v>
      </c>
      <c r="M292" s="733">
        <f>+M291-D291</f>
        <v>0</v>
      </c>
      <c r="N292" s="732">
        <f>+N291-E291</f>
        <v>0</v>
      </c>
      <c r="O292" s="702"/>
      <c r="P292" s="702"/>
      <c r="Q292" s="702"/>
      <c r="R292" s="702"/>
      <c r="S292" s="702"/>
      <c r="T292" s="621"/>
      <c r="U292" s="621"/>
      <c r="V292" s="621"/>
      <c r="W292" s="621"/>
      <c r="X292" s="621"/>
      <c r="Y292" s="621"/>
    </row>
    <row r="293" spans="1:25" s="298" customFormat="1" x14ac:dyDescent="0.25">
      <c r="A293" s="621"/>
      <c r="B293" s="702"/>
      <c r="C293" s="707">
        <f>+C291-C292</f>
        <v>3.2741809263825417E-11</v>
      </c>
      <c r="D293" s="707">
        <f t="shared" ref="D293:E293" si="22">+D291-D292</f>
        <v>-5.0855305744335055E-8</v>
      </c>
      <c r="E293" s="707">
        <f t="shared" si="22"/>
        <v>-5.0837115850299597E-8</v>
      </c>
      <c r="F293" s="702"/>
      <c r="G293" s="702"/>
      <c r="H293" s="702"/>
      <c r="I293" s="702"/>
      <c r="J293" s="702"/>
      <c r="K293" s="621"/>
      <c r="L293" s="621"/>
      <c r="M293" s="621"/>
      <c r="N293" s="621"/>
      <c r="O293" s="621"/>
      <c r="P293" s="621"/>
      <c r="Q293" s="621"/>
      <c r="R293" s="621"/>
      <c r="S293" s="621"/>
      <c r="T293" s="621"/>
      <c r="U293" s="621"/>
      <c r="V293" s="621"/>
      <c r="W293" s="621"/>
      <c r="X293" s="621"/>
      <c r="Y293" s="621"/>
    </row>
    <row r="294" spans="1:25" s="298" customFormat="1" x14ac:dyDescent="0.25">
      <c r="A294" s="621"/>
      <c r="B294" s="740" t="s">
        <v>247</v>
      </c>
      <c r="C294" s="706"/>
      <c r="D294" s="702"/>
      <c r="E294" s="732"/>
      <c r="F294" s="702"/>
      <c r="G294" s="702"/>
      <c r="H294" s="702"/>
      <c r="I294" s="702"/>
      <c r="J294" s="702"/>
      <c r="K294" s="621"/>
      <c r="L294" s="621"/>
      <c r="M294" s="621"/>
      <c r="N294" s="621"/>
      <c r="O294" s="621"/>
      <c r="P294" s="621"/>
      <c r="Q294" s="621"/>
      <c r="R294" s="621"/>
      <c r="S294" s="621"/>
      <c r="T294" s="621"/>
      <c r="U294" s="621"/>
      <c r="V294" s="621"/>
      <c r="W294" s="621"/>
      <c r="X294" s="621"/>
      <c r="Y294" s="621"/>
    </row>
    <row r="295" spans="1:25" s="298" customFormat="1" x14ac:dyDescent="0.25">
      <c r="A295" s="621"/>
      <c r="B295" s="702"/>
      <c r="C295" s="702"/>
      <c r="D295" s="702"/>
      <c r="E295" s="702"/>
      <c r="F295" s="702"/>
      <c r="G295" s="702"/>
      <c r="H295" s="702"/>
      <c r="I295" s="702"/>
      <c r="J295" s="702"/>
      <c r="K295" s="621"/>
      <c r="L295" s="621"/>
      <c r="M295" s="621"/>
      <c r="N295" s="621"/>
      <c r="O295" s="621"/>
      <c r="P295" s="621"/>
      <c r="Q295" s="621"/>
      <c r="R295" s="621"/>
      <c r="S295" s="621"/>
      <c r="T295" s="621"/>
      <c r="U295" s="621"/>
      <c r="V295" s="621"/>
      <c r="W295" s="621"/>
      <c r="X295" s="621"/>
      <c r="Y295" s="621"/>
    </row>
    <row r="296" spans="1:25" s="298" customFormat="1" x14ac:dyDescent="0.25">
      <c r="A296" s="621"/>
      <c r="B296" s="702"/>
      <c r="C296" s="702"/>
      <c r="D296" s="702"/>
      <c r="E296" s="702"/>
      <c r="F296" s="702"/>
      <c r="G296" s="702"/>
      <c r="H296" s="702"/>
      <c r="I296" s="702"/>
      <c r="J296" s="702"/>
      <c r="K296" s="621"/>
      <c r="L296" s="621"/>
      <c r="M296" s="621"/>
      <c r="N296" s="621"/>
      <c r="O296" s="621"/>
      <c r="P296" s="621"/>
      <c r="Q296" s="621"/>
      <c r="R296" s="621"/>
      <c r="S296" s="621"/>
      <c r="T296" s="621"/>
      <c r="U296" s="621"/>
      <c r="V296" s="621"/>
      <c r="W296" s="621"/>
      <c r="X296" s="621"/>
      <c r="Y296" s="621"/>
    </row>
    <row r="297" spans="1:25" x14ac:dyDescent="0.25">
      <c r="A297" s="187"/>
    </row>
    <row r="298" spans="1:25" x14ac:dyDescent="0.25">
      <c r="A298" s="187"/>
    </row>
    <row r="299" spans="1:25" x14ac:dyDescent="0.25">
      <c r="A299" s="187"/>
    </row>
    <row r="300" spans="1:25" x14ac:dyDescent="0.25">
      <c r="A300" s="187"/>
    </row>
    <row r="301" spans="1:25" x14ac:dyDescent="0.25">
      <c r="A301" s="187"/>
    </row>
    <row r="302" spans="1:25" x14ac:dyDescent="0.25">
      <c r="A302" s="187"/>
    </row>
    <row r="303" spans="1:25" x14ac:dyDescent="0.25">
      <c r="A303" s="187"/>
    </row>
    <row r="304" spans="1:25" x14ac:dyDescent="0.25">
      <c r="A304" s="187"/>
    </row>
    <row r="305" spans="1:1" x14ac:dyDescent="0.25">
      <c r="A305" s="187"/>
    </row>
    <row r="306" spans="1:1" x14ac:dyDescent="0.25">
      <c r="A306" s="187"/>
    </row>
    <row r="307" spans="1:1" x14ac:dyDescent="0.25">
      <c r="A307" s="187"/>
    </row>
    <row r="308" spans="1:1" x14ac:dyDescent="0.25">
      <c r="A308" s="187"/>
    </row>
    <row r="309" spans="1:1" x14ac:dyDescent="0.25">
      <c r="A309" s="187"/>
    </row>
    <row r="310" spans="1:1" x14ac:dyDescent="0.25">
      <c r="A310" s="187"/>
    </row>
    <row r="311" spans="1:1" x14ac:dyDescent="0.25">
      <c r="A311" s="187"/>
    </row>
    <row r="312" spans="1:1" x14ac:dyDescent="0.25">
      <c r="A312" s="187"/>
    </row>
    <row r="313" spans="1:1" x14ac:dyDescent="0.25">
      <c r="A313" s="187"/>
    </row>
    <row r="314" spans="1:1" x14ac:dyDescent="0.25">
      <c r="A314" s="187"/>
    </row>
    <row r="315" spans="1:1" x14ac:dyDescent="0.25">
      <c r="A315" s="187"/>
    </row>
    <row r="316" spans="1:1" x14ac:dyDescent="0.25">
      <c r="A316" s="187"/>
    </row>
    <row r="317" spans="1:1" x14ac:dyDescent="0.25">
      <c r="A317" s="187"/>
    </row>
    <row r="318" spans="1:1" x14ac:dyDescent="0.25">
      <c r="A318" s="187"/>
    </row>
    <row r="319" spans="1:1" x14ac:dyDescent="0.25">
      <c r="A319" s="187"/>
    </row>
    <row r="320" spans="1:1" x14ac:dyDescent="0.25">
      <c r="A320" s="187"/>
    </row>
    <row r="321" spans="1:1" x14ac:dyDescent="0.25">
      <c r="A321" s="187"/>
    </row>
    <row r="322" spans="1:1" x14ac:dyDescent="0.25">
      <c r="A322" s="187"/>
    </row>
    <row r="323" spans="1:1" x14ac:dyDescent="0.25">
      <c r="A323" s="187"/>
    </row>
    <row r="324" spans="1:1" x14ac:dyDescent="0.25">
      <c r="A324" s="187"/>
    </row>
    <row r="325" spans="1:1" x14ac:dyDescent="0.25">
      <c r="A325" s="187"/>
    </row>
    <row r="326" spans="1:1" x14ac:dyDescent="0.25">
      <c r="A326" s="187"/>
    </row>
    <row r="327" spans="1:1" x14ac:dyDescent="0.25">
      <c r="A327" s="187"/>
    </row>
    <row r="328" spans="1:1" x14ac:dyDescent="0.25">
      <c r="A328" s="187"/>
    </row>
    <row r="329" spans="1:1" x14ac:dyDescent="0.25">
      <c r="A329" s="187"/>
    </row>
    <row r="330" spans="1:1" x14ac:dyDescent="0.25">
      <c r="A330" s="187"/>
    </row>
    <row r="331" spans="1:1" x14ac:dyDescent="0.25">
      <c r="A331" s="187"/>
    </row>
    <row r="332" spans="1:1" x14ac:dyDescent="0.25">
      <c r="A332" s="187"/>
    </row>
    <row r="333" spans="1:1" x14ac:dyDescent="0.25">
      <c r="A333" s="187"/>
    </row>
    <row r="334" spans="1:1" x14ac:dyDescent="0.25">
      <c r="A334" s="187"/>
    </row>
    <row r="335" spans="1:1" x14ac:dyDescent="0.25">
      <c r="A335" s="187"/>
    </row>
    <row r="336" spans="1:1" x14ac:dyDescent="0.25">
      <c r="A336" s="187"/>
    </row>
    <row r="337" spans="1:1" x14ac:dyDescent="0.25">
      <c r="A337" s="187"/>
    </row>
    <row r="338" spans="1:1" x14ac:dyDescent="0.25">
      <c r="A338" s="187"/>
    </row>
    <row r="339" spans="1:1" x14ac:dyDescent="0.25">
      <c r="A339" s="187"/>
    </row>
    <row r="340" spans="1:1" x14ac:dyDescent="0.25">
      <c r="A340" s="187"/>
    </row>
    <row r="341" spans="1:1" x14ac:dyDescent="0.25">
      <c r="A341" s="187"/>
    </row>
    <row r="342" spans="1:1" x14ac:dyDescent="0.25">
      <c r="A342" s="187"/>
    </row>
    <row r="343" spans="1:1" x14ac:dyDescent="0.25">
      <c r="A343" s="187"/>
    </row>
    <row r="344" spans="1:1" x14ac:dyDescent="0.25">
      <c r="A344" s="187"/>
    </row>
    <row r="345" spans="1:1" x14ac:dyDescent="0.25">
      <c r="A345" s="187"/>
    </row>
    <row r="346" spans="1:1" x14ac:dyDescent="0.25">
      <c r="A346" s="187"/>
    </row>
    <row r="347" spans="1:1" x14ac:dyDescent="0.25">
      <c r="A347" s="187"/>
    </row>
    <row r="348" spans="1:1" x14ac:dyDescent="0.25">
      <c r="A348" s="187"/>
    </row>
    <row r="349" spans="1:1" x14ac:dyDescent="0.25">
      <c r="A349" s="187"/>
    </row>
    <row r="350" spans="1:1" x14ac:dyDescent="0.25">
      <c r="A350" s="187"/>
    </row>
    <row r="351" spans="1:1" x14ac:dyDescent="0.25">
      <c r="A351" s="187"/>
    </row>
    <row r="352" spans="1:1" x14ac:dyDescent="0.25">
      <c r="A352" s="187"/>
    </row>
    <row r="353" spans="1:1" x14ac:dyDescent="0.25">
      <c r="A353" s="187"/>
    </row>
    <row r="354" spans="1:1" x14ac:dyDescent="0.25">
      <c r="A354" s="187"/>
    </row>
    <row r="355" spans="1:1" x14ac:dyDescent="0.25">
      <c r="A355" s="187"/>
    </row>
    <row r="356" spans="1:1" x14ac:dyDescent="0.25">
      <c r="A356" s="187"/>
    </row>
    <row r="357" spans="1:1" x14ac:dyDescent="0.25">
      <c r="A357" s="187"/>
    </row>
    <row r="358" spans="1:1" x14ac:dyDescent="0.25">
      <c r="A358" s="187"/>
    </row>
    <row r="359" spans="1:1" x14ac:dyDescent="0.25">
      <c r="A359" s="187"/>
    </row>
    <row r="360" spans="1:1" x14ac:dyDescent="0.25">
      <c r="A360" s="187"/>
    </row>
    <row r="361" spans="1:1" x14ac:dyDescent="0.25">
      <c r="A361" s="187"/>
    </row>
    <row r="362" spans="1:1" x14ac:dyDescent="0.25">
      <c r="A362" s="187"/>
    </row>
    <row r="363" spans="1:1" x14ac:dyDescent="0.25">
      <c r="A363" s="187"/>
    </row>
    <row r="364" spans="1:1" x14ac:dyDescent="0.25">
      <c r="A364" s="187"/>
    </row>
    <row r="365" spans="1:1" x14ac:dyDescent="0.25">
      <c r="A365" s="187"/>
    </row>
    <row r="366" spans="1:1" x14ac:dyDescent="0.25">
      <c r="A366" s="187"/>
    </row>
    <row r="367" spans="1:1" x14ac:dyDescent="0.25">
      <c r="A367" s="187"/>
    </row>
    <row r="368" spans="1:1" x14ac:dyDescent="0.25">
      <c r="A368" s="187"/>
    </row>
    <row r="369" spans="1:1" x14ac:dyDescent="0.25">
      <c r="A369" s="187"/>
    </row>
    <row r="370" spans="1:1" x14ac:dyDescent="0.25">
      <c r="A370" s="187"/>
    </row>
    <row r="371" spans="1:1" x14ac:dyDescent="0.25">
      <c r="A371" s="187"/>
    </row>
    <row r="372" spans="1:1" x14ac:dyDescent="0.25">
      <c r="A372" s="187"/>
    </row>
    <row r="373" spans="1:1" x14ac:dyDescent="0.25">
      <c r="A373" s="187"/>
    </row>
    <row r="374" spans="1:1" x14ac:dyDescent="0.25">
      <c r="A374" s="187"/>
    </row>
    <row r="375" spans="1:1" x14ac:dyDescent="0.25">
      <c r="A375" s="187"/>
    </row>
    <row r="376" spans="1:1" x14ac:dyDescent="0.25">
      <c r="A376" s="187"/>
    </row>
    <row r="377" spans="1:1" x14ac:dyDescent="0.25">
      <c r="A377" s="187"/>
    </row>
    <row r="378" spans="1:1" x14ac:dyDescent="0.25">
      <c r="A378" s="187"/>
    </row>
    <row r="379" spans="1:1" x14ac:dyDescent="0.25">
      <c r="A379" s="187"/>
    </row>
    <row r="380" spans="1:1" x14ac:dyDescent="0.25">
      <c r="A380" s="187"/>
    </row>
    <row r="381" spans="1:1" x14ac:dyDescent="0.25">
      <c r="A381" s="187"/>
    </row>
    <row r="382" spans="1:1" x14ac:dyDescent="0.25">
      <c r="A382" s="187"/>
    </row>
    <row r="383" spans="1:1" x14ac:dyDescent="0.25">
      <c r="A383" s="187"/>
    </row>
    <row r="384" spans="1:1" x14ac:dyDescent="0.25">
      <c r="A384" s="187"/>
    </row>
    <row r="385" spans="1:1" x14ac:dyDescent="0.25">
      <c r="A385" s="187"/>
    </row>
    <row r="386" spans="1:1" x14ac:dyDescent="0.25">
      <c r="A386" s="187"/>
    </row>
  </sheetData>
  <mergeCells count="54">
    <mergeCell ref="D100:K100"/>
    <mergeCell ref="D129:K129"/>
    <mergeCell ref="D159:K159"/>
    <mergeCell ref="C24:G24"/>
    <mergeCell ref="I24:M24"/>
    <mergeCell ref="I25:M26"/>
    <mergeCell ref="E43:J43"/>
    <mergeCell ref="D70:K70"/>
    <mergeCell ref="D101:K101"/>
    <mergeCell ref="D102:K102"/>
    <mergeCell ref="D103:K103"/>
    <mergeCell ref="D104:K104"/>
    <mergeCell ref="D105:K105"/>
    <mergeCell ref="D132:K132"/>
    <mergeCell ref="D133:K133"/>
    <mergeCell ref="D131:K131"/>
    <mergeCell ref="K253:N253"/>
    <mergeCell ref="K254:N254"/>
    <mergeCell ref="K252:N252"/>
    <mergeCell ref="K209:N209"/>
    <mergeCell ref="K210:N210"/>
    <mergeCell ref="L251:R251"/>
    <mergeCell ref="K208:N208"/>
    <mergeCell ref="B253:E253"/>
    <mergeCell ref="B254:E254"/>
    <mergeCell ref="C7:G7"/>
    <mergeCell ref="C8:G8"/>
    <mergeCell ref="C9:G9"/>
    <mergeCell ref="C27:G27"/>
    <mergeCell ref="D73:K73"/>
    <mergeCell ref="D74:K74"/>
    <mergeCell ref="B208:E208"/>
    <mergeCell ref="B209:E209"/>
    <mergeCell ref="I27:M27"/>
    <mergeCell ref="D163:K163"/>
    <mergeCell ref="D130:K130"/>
    <mergeCell ref="D161:K161"/>
    <mergeCell ref="D162:K162"/>
    <mergeCell ref="B2:N2"/>
    <mergeCell ref="D134:K134"/>
    <mergeCell ref="D160:K160"/>
    <mergeCell ref="E44:J44"/>
    <mergeCell ref="E45:J45"/>
    <mergeCell ref="E46:J46"/>
    <mergeCell ref="D63:K63"/>
    <mergeCell ref="D71:K71"/>
    <mergeCell ref="D72:K72"/>
    <mergeCell ref="I7:M7"/>
    <mergeCell ref="I8:M8"/>
    <mergeCell ref="I9:M9"/>
    <mergeCell ref="C25:G25"/>
    <mergeCell ref="C26:G26"/>
    <mergeCell ref="C6:G6"/>
    <mergeCell ref="I6:M6"/>
  </mergeCells>
  <phoneticPr fontId="0" type="noConversion"/>
  <hyperlinks>
    <hyperlink ref="G183" location="CONTENTS!B36" display="Å CONTENTS" xr:uid="{00000000-0004-0000-0B00-000000000000}"/>
    <hyperlink ref="L158" location="CONTENTS!B36" display="Å CONTENTS" xr:uid="{00000000-0004-0000-0B00-000001000000}"/>
    <hyperlink ref="L99" location="CONTENTS!B36" display="Å CONTENTS" xr:uid="{00000000-0004-0000-0B00-000002000000}"/>
    <hyperlink ref="O2" location="CONTENTS!B36" display="Å CONTENTS" xr:uid="{00000000-0004-0000-0B00-000003000000}"/>
  </hyperlinks>
  <printOptions horizontalCentered="1" verticalCentered="1"/>
  <pageMargins left="0.23622047244094491" right="0.23622047244094491" top="0.51181102362204722" bottom="0.35433070866141736" header="0" footer="0"/>
  <pageSetup scale="67" orientation="landscape" horizontalDpi="300" verticalDpi="300" r:id="rId1"/>
  <headerFooter alignWithMargins="0"/>
  <rowBreaks count="3" manualBreakCount="3">
    <brk id="62" max="14" man="1"/>
    <brk id="124" max="14" man="1"/>
    <brk id="184" max="14" man="1"/>
  </rowBreaks>
  <colBreaks count="1" manualBreakCount="1">
    <brk id="15" max="13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P261"/>
  <sheetViews>
    <sheetView showGridLines="0" zoomScaleNormal="100" workbookViewId="0">
      <selection activeCell="B9" sqref="B9:F9"/>
    </sheetView>
  </sheetViews>
  <sheetFormatPr baseColWidth="10" defaultColWidth="11.44140625" defaultRowHeight="12" x14ac:dyDescent="0.25"/>
  <cols>
    <col min="1" max="1" width="3.6640625" style="317" customWidth="1"/>
    <col min="2" max="6" width="11.44140625" style="317"/>
    <col min="7" max="7" width="11.109375" style="317" bestFit="1" customWidth="1"/>
    <col min="8" max="10" width="11.44140625" style="317"/>
    <col min="11" max="12" width="11.44140625" style="317" customWidth="1"/>
    <col min="13" max="13" width="9.88671875" style="317" bestFit="1" customWidth="1"/>
    <col min="14" max="18" width="11.44140625" style="317" customWidth="1"/>
    <col min="19" max="19" width="13.33203125" style="317" customWidth="1"/>
    <col min="20" max="20" width="13.109375" style="317" customWidth="1"/>
    <col min="21" max="21" width="11.109375" style="340" bestFit="1" customWidth="1"/>
    <col min="22" max="24" width="11.109375" style="327" bestFit="1" customWidth="1"/>
    <col min="25" max="31" width="9.88671875" style="327" bestFit="1" customWidth="1"/>
    <col min="32" max="33" width="9.88671875" style="327" customWidth="1"/>
    <col min="34" max="34" width="17.44140625" style="327" customWidth="1"/>
    <col min="35" max="35" width="9.88671875" style="327" customWidth="1"/>
    <col min="36" max="36" width="12" style="327" bestFit="1" customWidth="1"/>
    <col min="37" max="37" width="13.44140625" style="327" bestFit="1" customWidth="1"/>
    <col min="38" max="38" width="15.88671875" style="327" bestFit="1" customWidth="1"/>
    <col min="39" max="40" width="12.44140625" style="317" bestFit="1" customWidth="1"/>
    <col min="41" max="16384" width="11.44140625" style="317"/>
  </cols>
  <sheetData>
    <row r="1" spans="1:42" s="184" customFormat="1" x14ac:dyDescent="0.25">
      <c r="A1" s="582"/>
      <c r="B1" s="582"/>
      <c r="C1" s="582"/>
      <c r="D1" s="582"/>
      <c r="E1" s="582"/>
      <c r="F1" s="582"/>
      <c r="G1" s="582"/>
      <c r="H1" s="582"/>
      <c r="I1" s="582"/>
      <c r="J1" s="582"/>
      <c r="K1" s="582"/>
      <c r="L1" s="582"/>
      <c r="M1" s="582"/>
      <c r="N1" s="582"/>
      <c r="O1" s="582"/>
      <c r="P1" s="582"/>
      <c r="Q1" s="582"/>
      <c r="R1" s="582"/>
      <c r="S1" s="582"/>
      <c r="T1" s="582"/>
      <c r="U1" s="582"/>
      <c r="V1" s="317"/>
      <c r="W1" s="317"/>
      <c r="X1" s="582"/>
      <c r="Y1" s="583"/>
      <c r="Z1" s="186"/>
      <c r="AA1" s="186"/>
      <c r="AB1" s="186"/>
      <c r="AC1" s="186"/>
      <c r="AD1" s="186"/>
      <c r="AE1" s="186"/>
      <c r="AF1" s="186"/>
      <c r="AG1" s="186"/>
      <c r="AH1" s="186"/>
      <c r="AI1" s="186"/>
      <c r="AJ1" s="186"/>
      <c r="AK1" s="186"/>
      <c r="AL1" s="186"/>
      <c r="AM1" s="186"/>
      <c r="AN1" s="186"/>
      <c r="AO1" s="186"/>
      <c r="AP1" s="186"/>
    </row>
    <row r="2" spans="1:42" s="184" customFormat="1" ht="29.25" customHeight="1" x14ac:dyDescent="0.25">
      <c r="A2" s="835" t="s">
        <v>248</v>
      </c>
      <c r="B2" s="835"/>
      <c r="C2" s="835"/>
      <c r="D2" s="835"/>
      <c r="E2" s="835"/>
      <c r="F2" s="835"/>
      <c r="G2" s="835"/>
      <c r="H2" s="835"/>
      <c r="I2" s="835"/>
      <c r="J2" s="835"/>
      <c r="K2" s="835"/>
      <c r="L2" s="835"/>
      <c r="M2" s="835"/>
      <c r="N2" s="835"/>
      <c r="O2" s="835"/>
      <c r="P2" s="835"/>
      <c r="Q2" s="835"/>
      <c r="R2" s="836"/>
      <c r="S2" s="316" t="s">
        <v>43</v>
      </c>
      <c r="T2" s="758"/>
      <c r="U2" s="758"/>
      <c r="V2" s="755"/>
      <c r="W2" s="317"/>
      <c r="X2" s="582"/>
      <c r="Y2" s="583"/>
      <c r="Z2" s="186"/>
      <c r="AA2" s="186"/>
      <c r="AB2" s="186"/>
      <c r="AC2" s="186"/>
      <c r="AD2" s="186"/>
      <c r="AE2" s="186"/>
      <c r="AF2" s="186"/>
      <c r="AG2" s="186"/>
      <c r="AH2" s="186"/>
      <c r="AI2" s="186"/>
      <c r="AJ2" s="186"/>
      <c r="AK2" s="186"/>
      <c r="AL2" s="186"/>
      <c r="AM2" s="186"/>
      <c r="AN2" s="186"/>
      <c r="AO2" s="186"/>
      <c r="AP2" s="186"/>
    </row>
    <row r="3" spans="1:42" s="184" customFormat="1" ht="15.6" x14ac:dyDescent="0.25">
      <c r="A3" s="763"/>
      <c r="B3" s="763"/>
      <c r="C3" s="763"/>
      <c r="D3" s="763"/>
      <c r="E3" s="763"/>
      <c r="F3" s="763"/>
      <c r="G3" s="763"/>
      <c r="H3" s="763"/>
      <c r="I3" s="763"/>
      <c r="J3" s="763"/>
      <c r="K3" s="763"/>
      <c r="L3" s="763"/>
      <c r="M3" s="763"/>
      <c r="N3" s="763"/>
      <c r="O3" s="763"/>
      <c r="P3" s="763"/>
      <c r="Q3" s="764"/>
      <c r="R3" s="376"/>
      <c r="S3" s="758"/>
      <c r="T3" s="758"/>
      <c r="U3" s="758"/>
      <c r="V3" s="755"/>
      <c r="W3" s="317"/>
      <c r="X3" s="582"/>
      <c r="Y3" s="583"/>
      <c r="Z3" s="186"/>
      <c r="AA3" s="186"/>
      <c r="AB3" s="186"/>
      <c r="AC3" s="186"/>
      <c r="AD3" s="186"/>
      <c r="AE3" s="186"/>
      <c r="AF3" s="186"/>
      <c r="AG3" s="186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s="184" customFormat="1" ht="15.6" x14ac:dyDescent="0.25">
      <c r="A4" s="582"/>
      <c r="B4" s="758"/>
      <c r="C4" s="758"/>
      <c r="D4" s="758"/>
      <c r="E4" s="758"/>
      <c r="F4" s="758"/>
      <c r="G4" s="758"/>
      <c r="H4" s="758"/>
      <c r="I4" s="758"/>
      <c r="J4" s="758"/>
      <c r="K4" s="758"/>
      <c r="L4" s="758"/>
      <c r="M4" s="758"/>
      <c r="N4" s="758"/>
      <c r="O4" s="758"/>
      <c r="P4" s="758"/>
      <c r="Q4" s="758"/>
      <c r="R4" s="758"/>
      <c r="S4" s="758"/>
      <c r="T4" s="758"/>
      <c r="U4" s="758"/>
      <c r="V4" s="755"/>
      <c r="W4" s="375"/>
      <c r="X4" s="582"/>
      <c r="Y4" s="583"/>
      <c r="Z4" s="186"/>
      <c r="AA4" s="186"/>
      <c r="AB4" s="186"/>
      <c r="AC4" s="186"/>
      <c r="AD4" s="186"/>
      <c r="AE4" s="186"/>
      <c r="AF4" s="186"/>
      <c r="AG4" s="186"/>
      <c r="AH4" s="186"/>
      <c r="AI4" s="186"/>
      <c r="AJ4" s="186"/>
      <c r="AK4" s="186"/>
      <c r="AL4" s="186"/>
      <c r="AM4" s="186"/>
      <c r="AN4" s="186"/>
      <c r="AO4" s="186"/>
      <c r="AP4" s="186"/>
    </row>
    <row r="5" spans="1:42" s="376" customFormat="1" ht="12.75" customHeight="1" x14ac:dyDescent="0.25">
      <c r="B5" s="794" t="s">
        <v>136</v>
      </c>
      <c r="C5" s="794"/>
      <c r="D5" s="794"/>
      <c r="E5" s="794"/>
      <c r="F5" s="794"/>
      <c r="G5" s="585"/>
      <c r="H5" s="794" t="s">
        <v>136</v>
      </c>
      <c r="I5" s="794"/>
      <c r="J5" s="794"/>
      <c r="K5" s="794"/>
      <c r="L5" s="794"/>
      <c r="M5" s="585"/>
      <c r="N5" s="794" t="s">
        <v>136</v>
      </c>
      <c r="O5" s="794"/>
      <c r="P5" s="794"/>
      <c r="Q5" s="794"/>
      <c r="R5" s="794"/>
    </row>
    <row r="6" spans="1:42" ht="12.75" customHeight="1" x14ac:dyDescent="0.25">
      <c r="B6" s="794" t="s">
        <v>249</v>
      </c>
      <c r="C6" s="794"/>
      <c r="D6" s="794"/>
      <c r="E6" s="794"/>
      <c r="F6" s="794"/>
      <c r="H6" s="794" t="s">
        <v>249</v>
      </c>
      <c r="I6" s="794"/>
      <c r="J6" s="794"/>
      <c r="K6" s="794"/>
      <c r="L6" s="794"/>
      <c r="N6" s="794" t="s">
        <v>250</v>
      </c>
      <c r="O6" s="794"/>
      <c r="P6" s="794"/>
      <c r="Q6" s="794"/>
      <c r="R6" s="794"/>
    </row>
    <row r="7" spans="1:42" ht="12.75" customHeight="1" x14ac:dyDescent="0.25">
      <c r="B7" s="797">
        <f>+C122</f>
        <v>2021</v>
      </c>
      <c r="C7" s="797"/>
      <c r="D7" s="797"/>
      <c r="E7" s="797"/>
      <c r="F7" s="797"/>
      <c r="H7" s="797">
        <f>+B7</f>
        <v>2021</v>
      </c>
      <c r="I7" s="797"/>
      <c r="J7" s="797"/>
      <c r="K7" s="797"/>
      <c r="L7" s="797"/>
      <c r="N7" s="797">
        <f>+B7</f>
        <v>2021</v>
      </c>
      <c r="O7" s="797"/>
      <c r="P7" s="797"/>
      <c r="Q7" s="797"/>
      <c r="R7" s="797"/>
    </row>
    <row r="8" spans="1:42" ht="11.25" customHeight="1" x14ac:dyDescent="0.25">
      <c r="B8" s="799" t="s">
        <v>223</v>
      </c>
      <c r="C8" s="797"/>
      <c r="D8" s="797"/>
      <c r="E8" s="797"/>
      <c r="F8" s="797"/>
      <c r="H8" s="799" t="str">
        <f>+B8</f>
        <v>December 31st  2020</v>
      </c>
      <c r="I8" s="797"/>
      <c r="J8" s="797"/>
      <c r="K8" s="797"/>
      <c r="L8" s="797"/>
      <c r="N8" s="799" t="str">
        <f>+B8</f>
        <v>December 31st  2020</v>
      </c>
      <c r="O8" s="797"/>
      <c r="P8" s="797"/>
      <c r="Q8" s="797"/>
      <c r="R8" s="797"/>
    </row>
    <row r="9" spans="1:42" ht="13.2" x14ac:dyDescent="0.25">
      <c r="B9" s="797" t="s">
        <v>44</v>
      </c>
      <c r="C9" s="797"/>
      <c r="D9" s="797"/>
      <c r="E9" s="797"/>
      <c r="F9" s="797"/>
      <c r="G9" s="582"/>
      <c r="H9" s="803" t="s">
        <v>123</v>
      </c>
      <c r="I9" s="803"/>
      <c r="J9" s="803"/>
      <c r="K9" s="803"/>
      <c r="L9" s="803"/>
      <c r="M9" s="582"/>
      <c r="N9" s="837"/>
      <c r="O9" s="837"/>
      <c r="P9" s="837"/>
      <c r="Q9" s="837"/>
      <c r="R9" s="837"/>
    </row>
    <row r="10" spans="1:42" ht="14.25" customHeight="1" x14ac:dyDescent="0.25">
      <c r="B10" s="582"/>
      <c r="C10" s="582"/>
      <c r="D10" s="582"/>
      <c r="E10" s="582"/>
      <c r="F10" s="582"/>
      <c r="H10" s="582"/>
      <c r="I10" s="582"/>
      <c r="J10" s="582"/>
      <c r="K10" s="582"/>
      <c r="L10" s="582"/>
      <c r="N10" s="582"/>
      <c r="O10" s="582"/>
      <c r="P10" s="582"/>
      <c r="Q10" s="582"/>
      <c r="R10" s="582"/>
    </row>
    <row r="11" spans="1:42" x14ac:dyDescent="0.25">
      <c r="B11" s="582"/>
      <c r="C11" s="582"/>
      <c r="D11" s="582"/>
      <c r="E11" s="582"/>
      <c r="F11" s="582"/>
      <c r="H11" s="582"/>
      <c r="I11" s="582"/>
      <c r="J11" s="582"/>
      <c r="K11" s="582"/>
      <c r="L11" s="582"/>
      <c r="N11" s="582"/>
      <c r="O11" s="582"/>
      <c r="P11" s="582"/>
      <c r="Q11" s="582"/>
      <c r="R11" s="582"/>
    </row>
    <row r="12" spans="1:42" x14ac:dyDescent="0.25">
      <c r="B12" s="582"/>
      <c r="C12" s="582"/>
      <c r="D12" s="582"/>
      <c r="E12" s="582"/>
      <c r="F12" s="582"/>
      <c r="H12" s="582"/>
      <c r="I12" s="582"/>
      <c r="J12" s="582"/>
      <c r="K12" s="582"/>
      <c r="L12" s="582"/>
      <c r="N12" s="582"/>
      <c r="O12" s="582"/>
      <c r="P12" s="582"/>
      <c r="Q12" s="582"/>
      <c r="R12" s="582"/>
    </row>
    <row r="13" spans="1:42" x14ac:dyDescent="0.25">
      <c r="B13" s="582"/>
      <c r="C13" s="582"/>
      <c r="D13" s="582"/>
      <c r="E13" s="582"/>
      <c r="F13" s="582"/>
      <c r="H13" s="582"/>
      <c r="I13" s="582"/>
      <c r="J13" s="582"/>
      <c r="K13" s="582"/>
      <c r="L13" s="582"/>
      <c r="N13" s="582"/>
      <c r="O13" s="582"/>
      <c r="P13" s="582"/>
      <c r="Q13" s="582"/>
      <c r="R13" s="582"/>
    </row>
    <row r="14" spans="1:42" x14ac:dyDescent="0.25">
      <c r="B14" s="582"/>
      <c r="C14" s="582"/>
      <c r="D14" s="582"/>
      <c r="E14" s="582"/>
      <c r="F14" s="582"/>
      <c r="H14" s="582"/>
      <c r="I14" s="582"/>
      <c r="J14" s="582"/>
      <c r="K14" s="582"/>
      <c r="L14" s="582"/>
      <c r="N14" s="582"/>
      <c r="O14" s="582"/>
      <c r="P14" s="582"/>
      <c r="Q14" s="582"/>
      <c r="R14" s="582"/>
    </row>
    <row r="15" spans="1:42" x14ac:dyDescent="0.25">
      <c r="B15" s="582"/>
      <c r="C15" s="582"/>
      <c r="D15" s="582"/>
      <c r="E15" s="582"/>
      <c r="F15" s="582"/>
      <c r="H15" s="582"/>
      <c r="I15" s="582"/>
      <c r="J15" s="582"/>
      <c r="K15" s="582"/>
      <c r="L15" s="582"/>
      <c r="N15" s="582"/>
      <c r="O15" s="582"/>
      <c r="P15" s="582"/>
      <c r="Q15" s="582"/>
      <c r="R15" s="582"/>
    </row>
    <row r="16" spans="1:42" x14ac:dyDescent="0.25">
      <c r="B16" s="582"/>
      <c r="C16" s="582"/>
      <c r="D16" s="582"/>
      <c r="E16" s="582"/>
      <c r="F16" s="582"/>
      <c r="H16" s="582"/>
      <c r="I16" s="582"/>
      <c r="J16" s="582"/>
      <c r="K16" s="582"/>
      <c r="L16" s="582"/>
      <c r="N16" s="582"/>
      <c r="O16" s="582"/>
      <c r="P16" s="582"/>
      <c r="Q16" s="582"/>
      <c r="R16" s="582"/>
    </row>
    <row r="17" spans="2:18" x14ac:dyDescent="0.25">
      <c r="B17" s="582"/>
      <c r="C17" s="582"/>
      <c r="D17" s="582"/>
      <c r="E17" s="582"/>
      <c r="F17" s="582"/>
      <c r="H17" s="582"/>
      <c r="I17" s="582"/>
      <c r="J17" s="582"/>
      <c r="K17" s="582"/>
      <c r="L17" s="582"/>
      <c r="N17" s="582"/>
      <c r="O17" s="582"/>
      <c r="P17" s="582"/>
      <c r="Q17" s="582"/>
      <c r="R17" s="582"/>
    </row>
    <row r="18" spans="2:18" x14ac:dyDescent="0.25">
      <c r="B18" s="582"/>
      <c r="C18" s="582"/>
      <c r="D18" s="582"/>
      <c r="E18" s="582"/>
      <c r="F18" s="582"/>
      <c r="H18" s="582"/>
      <c r="I18" s="582"/>
      <c r="J18" s="582"/>
      <c r="K18" s="582"/>
      <c r="L18" s="582"/>
      <c r="N18" s="582"/>
      <c r="O18" s="582"/>
      <c r="P18" s="582"/>
      <c r="Q18" s="582"/>
      <c r="R18" s="582"/>
    </row>
    <row r="19" spans="2:18" x14ac:dyDescent="0.25">
      <c r="B19" s="582"/>
      <c r="C19" s="582"/>
      <c r="D19" s="582"/>
      <c r="E19" s="582"/>
      <c r="F19" s="582"/>
      <c r="H19" s="582"/>
      <c r="I19" s="582"/>
      <c r="J19" s="582"/>
      <c r="K19" s="582"/>
      <c r="L19" s="582"/>
      <c r="N19" s="582"/>
      <c r="O19" s="582"/>
      <c r="P19" s="582"/>
      <c r="Q19" s="582"/>
      <c r="R19" s="582"/>
    </row>
    <row r="20" spans="2:18" x14ac:dyDescent="0.25">
      <c r="B20" s="582"/>
      <c r="C20" s="582"/>
      <c r="D20" s="582"/>
      <c r="E20" s="582"/>
      <c r="F20" s="582"/>
      <c r="H20" s="582"/>
      <c r="I20" s="582"/>
      <c r="J20" s="582"/>
      <c r="K20" s="582"/>
      <c r="L20" s="582"/>
      <c r="N20" s="582"/>
      <c r="O20" s="582"/>
      <c r="P20" s="582"/>
      <c r="Q20" s="582"/>
      <c r="R20" s="582"/>
    </row>
    <row r="21" spans="2:18" x14ac:dyDescent="0.25">
      <c r="B21" s="582"/>
      <c r="C21" s="582"/>
      <c r="D21" s="582"/>
      <c r="E21" s="582"/>
      <c r="F21" s="582"/>
      <c r="H21" s="582"/>
      <c r="I21" s="582"/>
      <c r="J21" s="582"/>
      <c r="K21" s="582"/>
      <c r="L21" s="582"/>
      <c r="N21" s="582"/>
      <c r="O21" s="582"/>
      <c r="P21" s="582"/>
      <c r="Q21" s="582"/>
      <c r="R21" s="582"/>
    </row>
    <row r="22" spans="2:18" x14ac:dyDescent="0.25">
      <c r="B22" s="582"/>
      <c r="C22" s="582"/>
      <c r="D22" s="582"/>
      <c r="E22" s="582"/>
      <c r="F22" s="582"/>
      <c r="H22" s="582"/>
      <c r="I22" s="582"/>
      <c r="J22" s="582"/>
      <c r="K22" s="582"/>
      <c r="L22" s="582"/>
      <c r="N22" s="582"/>
      <c r="O22" s="582"/>
      <c r="P22" s="582"/>
      <c r="Q22" s="582"/>
      <c r="R22" s="582"/>
    </row>
    <row r="23" spans="2:18" x14ac:dyDescent="0.25">
      <c r="B23" s="322"/>
      <c r="C23" s="582"/>
      <c r="D23" s="582"/>
      <c r="E23" s="582"/>
      <c r="F23" s="582"/>
      <c r="H23" s="322"/>
      <c r="I23" s="582"/>
      <c r="J23" s="582"/>
      <c r="K23" s="582"/>
      <c r="L23" s="582"/>
      <c r="N23" s="322"/>
      <c r="O23" s="582"/>
      <c r="P23" s="582"/>
      <c r="Q23" s="582"/>
      <c r="R23" s="582"/>
    </row>
    <row r="24" spans="2:18" x14ac:dyDescent="0.25">
      <c r="B24" s="582"/>
      <c r="C24" s="582"/>
      <c r="D24" s="582"/>
      <c r="E24" s="582"/>
      <c r="F24" s="582"/>
      <c r="H24" s="582"/>
      <c r="I24" s="582"/>
      <c r="J24" s="582"/>
      <c r="K24" s="582"/>
      <c r="L24" s="582"/>
      <c r="N24" s="582"/>
      <c r="O24" s="582"/>
      <c r="P24" s="582"/>
      <c r="Q24" s="582"/>
      <c r="R24" s="582"/>
    </row>
    <row r="25" spans="2:18" x14ac:dyDescent="0.25">
      <c r="B25" s="582"/>
      <c r="C25" s="582"/>
      <c r="D25" s="582"/>
      <c r="E25" s="582"/>
      <c r="F25" s="582"/>
      <c r="H25" s="582"/>
      <c r="I25" s="582"/>
      <c r="J25" s="582"/>
      <c r="K25" s="582"/>
      <c r="L25" s="582"/>
      <c r="N25" s="582"/>
      <c r="O25" s="582"/>
      <c r="P25" s="582"/>
      <c r="Q25" s="582"/>
      <c r="R25" s="582"/>
    </row>
    <row r="26" spans="2:18" ht="12.75" customHeight="1" x14ac:dyDescent="0.25">
      <c r="B26" s="793" t="str">
        <f>+B5</f>
        <v>Central Goverment of Costa Rica</v>
      </c>
      <c r="C26" s="793"/>
      <c r="D26" s="793"/>
      <c r="E26" s="793"/>
      <c r="F26" s="793"/>
      <c r="G26" s="376"/>
      <c r="H26" s="793" t="str">
        <f>+H5</f>
        <v>Central Goverment of Costa Rica</v>
      </c>
      <c r="I26" s="793"/>
      <c r="J26" s="793"/>
      <c r="K26" s="793"/>
      <c r="L26" s="793"/>
      <c r="M26" s="376"/>
      <c r="N26" s="794" t="str">
        <f>+N5</f>
        <v>Central Goverment of Costa Rica</v>
      </c>
      <c r="O26" s="794"/>
      <c r="P26" s="794"/>
      <c r="Q26" s="794"/>
      <c r="R26" s="794"/>
    </row>
    <row r="27" spans="2:18" ht="12.75" customHeight="1" x14ac:dyDescent="0.25">
      <c r="B27" s="793" t="str">
        <f>+B6</f>
        <v>Maturity Profile Public Debt</v>
      </c>
      <c r="C27" s="793"/>
      <c r="D27" s="793"/>
      <c r="E27" s="793"/>
      <c r="F27" s="793"/>
      <c r="H27" s="793" t="str">
        <f>+H6</f>
        <v>Maturity Profile Public Debt</v>
      </c>
      <c r="I27" s="793"/>
      <c r="J27" s="793"/>
      <c r="K27" s="793"/>
      <c r="L27" s="793"/>
      <c r="N27" s="794" t="str">
        <f>+N6</f>
        <v>Maturity Profile Public Debt as a percentage of Total Debt</v>
      </c>
      <c r="O27" s="794"/>
      <c r="P27" s="794"/>
      <c r="Q27" s="794"/>
      <c r="R27" s="794"/>
    </row>
    <row r="28" spans="2:18" ht="13.2" x14ac:dyDescent="0.25">
      <c r="B28" s="797">
        <f>+D122</f>
        <v>2022</v>
      </c>
      <c r="C28" s="797"/>
      <c r="D28" s="797"/>
      <c r="E28" s="797"/>
      <c r="F28" s="797"/>
      <c r="H28" s="797">
        <f>+B28</f>
        <v>2022</v>
      </c>
      <c r="I28" s="797"/>
      <c r="J28" s="797"/>
      <c r="K28" s="797"/>
      <c r="L28" s="797"/>
      <c r="N28" s="794">
        <f>+H28</f>
        <v>2022</v>
      </c>
      <c r="O28" s="794"/>
      <c r="P28" s="794"/>
      <c r="Q28" s="794"/>
      <c r="R28" s="794"/>
    </row>
    <row r="29" spans="2:18" ht="13.2" x14ac:dyDescent="0.25">
      <c r="B29" s="799" t="str">
        <f>+B8</f>
        <v>December 31st  2020</v>
      </c>
      <c r="C29" s="797"/>
      <c r="D29" s="797"/>
      <c r="E29" s="797"/>
      <c r="F29" s="797"/>
      <c r="H29" s="799" t="str">
        <f>+H8</f>
        <v>December 31st  2020</v>
      </c>
      <c r="I29" s="797"/>
      <c r="J29" s="797"/>
      <c r="K29" s="797"/>
      <c r="L29" s="797"/>
      <c r="N29" s="797" t="str">
        <f>+N8</f>
        <v>December 31st  2020</v>
      </c>
      <c r="O29" s="797"/>
      <c r="P29" s="797"/>
      <c r="Q29" s="797"/>
      <c r="R29" s="797"/>
    </row>
    <row r="30" spans="2:18" ht="13.2" x14ac:dyDescent="0.25">
      <c r="B30" s="797" t="str">
        <f>+B9</f>
        <v>(Millions of colones)</v>
      </c>
      <c r="C30" s="797"/>
      <c r="D30" s="797"/>
      <c r="E30" s="797"/>
      <c r="F30" s="797"/>
      <c r="G30" s="582"/>
      <c r="H30" s="800" t="str">
        <f>+H9</f>
        <v>(USD million)</v>
      </c>
      <c r="I30" s="800"/>
      <c r="J30" s="800"/>
      <c r="K30" s="800"/>
      <c r="L30" s="800"/>
      <c r="M30" s="582"/>
      <c r="N30" s="799"/>
      <c r="O30" s="797"/>
      <c r="P30" s="797"/>
      <c r="Q30" s="797"/>
      <c r="R30" s="797"/>
    </row>
    <row r="31" spans="2:18" x14ac:dyDescent="0.25">
      <c r="B31" s="582"/>
      <c r="C31" s="582"/>
      <c r="D31" s="582"/>
      <c r="E31" s="582"/>
      <c r="F31" s="582"/>
      <c r="H31" s="582"/>
      <c r="I31" s="582"/>
      <c r="J31" s="582"/>
      <c r="K31" s="582"/>
      <c r="L31" s="582"/>
      <c r="N31" s="582"/>
      <c r="O31" s="582"/>
      <c r="P31" s="582"/>
      <c r="Q31" s="582"/>
      <c r="R31" s="582"/>
    </row>
    <row r="32" spans="2:18" x14ac:dyDescent="0.25">
      <c r="B32" s="582"/>
      <c r="C32" s="582"/>
      <c r="D32" s="582"/>
      <c r="E32" s="582"/>
      <c r="F32" s="582"/>
      <c r="H32" s="582"/>
      <c r="I32" s="582"/>
      <c r="J32" s="582"/>
      <c r="K32" s="582"/>
      <c r="L32" s="582"/>
      <c r="N32" s="582"/>
      <c r="O32" s="582"/>
      <c r="P32" s="582"/>
      <c r="Q32" s="582"/>
      <c r="R32" s="582"/>
    </row>
    <row r="33" spans="2:18" x14ac:dyDescent="0.25">
      <c r="B33" s="582"/>
      <c r="C33" s="582"/>
      <c r="D33" s="582"/>
      <c r="E33" s="582"/>
      <c r="F33" s="582"/>
      <c r="H33" s="582"/>
      <c r="I33" s="582"/>
      <c r="J33" s="582"/>
      <c r="K33" s="582"/>
      <c r="L33" s="582"/>
      <c r="N33" s="582"/>
      <c r="O33" s="582"/>
      <c r="P33" s="582"/>
      <c r="Q33" s="582"/>
      <c r="R33" s="582"/>
    </row>
    <row r="34" spans="2:18" x14ac:dyDescent="0.25">
      <c r="B34" s="582"/>
      <c r="C34" s="582"/>
      <c r="D34" s="582"/>
      <c r="E34" s="582"/>
      <c r="F34" s="582"/>
      <c r="H34" s="582"/>
      <c r="I34" s="582"/>
      <c r="J34" s="582"/>
      <c r="K34" s="582"/>
      <c r="L34" s="582"/>
      <c r="N34" s="582"/>
      <c r="O34" s="582"/>
      <c r="P34" s="582"/>
      <c r="Q34" s="582"/>
      <c r="R34" s="582"/>
    </row>
    <row r="35" spans="2:18" x14ac:dyDescent="0.25">
      <c r="B35" s="582"/>
      <c r="C35" s="582"/>
      <c r="D35" s="582"/>
      <c r="E35" s="582"/>
      <c r="F35" s="582"/>
      <c r="H35" s="582"/>
      <c r="I35" s="582"/>
      <c r="J35" s="582"/>
      <c r="K35" s="582"/>
      <c r="L35" s="582"/>
      <c r="N35" s="582"/>
      <c r="O35" s="582"/>
      <c r="P35" s="582"/>
      <c r="Q35" s="582"/>
      <c r="R35" s="582"/>
    </row>
    <row r="36" spans="2:18" x14ac:dyDescent="0.25">
      <c r="B36" s="582"/>
      <c r="C36" s="582"/>
      <c r="D36" s="582"/>
      <c r="E36" s="582"/>
      <c r="F36" s="582"/>
      <c r="H36" s="582"/>
      <c r="I36" s="582"/>
      <c r="J36" s="582"/>
      <c r="K36" s="582"/>
      <c r="L36" s="582"/>
      <c r="N36" s="582"/>
      <c r="O36" s="582"/>
      <c r="P36" s="582"/>
      <c r="Q36" s="582"/>
      <c r="R36" s="582"/>
    </row>
    <row r="37" spans="2:18" x14ac:dyDescent="0.25">
      <c r="B37" s="582"/>
      <c r="C37" s="582"/>
      <c r="D37" s="582"/>
      <c r="E37" s="582"/>
      <c r="F37" s="582"/>
      <c r="H37" s="582"/>
      <c r="I37" s="582"/>
      <c r="J37" s="582"/>
      <c r="K37" s="582"/>
      <c r="L37" s="582"/>
      <c r="N37" s="582"/>
      <c r="O37" s="582"/>
      <c r="P37" s="582"/>
      <c r="Q37" s="582"/>
      <c r="R37" s="582"/>
    </row>
    <row r="38" spans="2:18" x14ac:dyDescent="0.25">
      <c r="B38" s="582"/>
      <c r="C38" s="582"/>
      <c r="D38" s="582"/>
      <c r="E38" s="582"/>
      <c r="F38" s="582"/>
      <c r="H38" s="582"/>
      <c r="I38" s="582"/>
      <c r="J38" s="582"/>
      <c r="K38" s="582"/>
      <c r="L38" s="582"/>
      <c r="N38" s="582"/>
      <c r="O38" s="582"/>
      <c r="P38" s="582"/>
      <c r="Q38" s="582"/>
      <c r="R38" s="582"/>
    </row>
    <row r="39" spans="2:18" x14ac:dyDescent="0.25">
      <c r="B39" s="582"/>
      <c r="C39" s="582"/>
      <c r="D39" s="582"/>
      <c r="E39" s="582"/>
      <c r="F39" s="582"/>
      <c r="H39" s="582"/>
      <c r="I39" s="582"/>
      <c r="J39" s="582"/>
      <c r="K39" s="582"/>
      <c r="L39" s="582"/>
      <c r="N39" s="582"/>
      <c r="O39" s="582"/>
      <c r="P39" s="582"/>
      <c r="Q39" s="582"/>
      <c r="R39" s="582"/>
    </row>
    <row r="40" spans="2:18" x14ac:dyDescent="0.25">
      <c r="B40" s="582"/>
      <c r="C40" s="582"/>
      <c r="D40" s="582"/>
      <c r="E40" s="582"/>
      <c r="F40" s="582"/>
      <c r="H40" s="582"/>
      <c r="I40" s="582"/>
      <c r="J40" s="582"/>
      <c r="K40" s="582"/>
      <c r="L40" s="582"/>
      <c r="N40" s="582"/>
      <c r="O40" s="582"/>
      <c r="P40" s="582"/>
      <c r="Q40" s="582"/>
      <c r="R40" s="582"/>
    </row>
    <row r="41" spans="2:18" x14ac:dyDescent="0.25">
      <c r="B41" s="582"/>
      <c r="C41" s="582"/>
      <c r="D41" s="582"/>
      <c r="E41" s="582"/>
      <c r="F41" s="582"/>
      <c r="H41" s="582"/>
      <c r="I41" s="582"/>
      <c r="J41" s="582"/>
      <c r="K41" s="582"/>
      <c r="L41" s="582"/>
      <c r="N41" s="582"/>
      <c r="O41" s="582"/>
      <c r="P41" s="582"/>
      <c r="Q41" s="582"/>
      <c r="R41" s="582"/>
    </row>
    <row r="42" spans="2:18" x14ac:dyDescent="0.25">
      <c r="B42" s="582"/>
      <c r="C42" s="582"/>
      <c r="D42" s="582"/>
      <c r="E42" s="582"/>
      <c r="F42" s="582"/>
      <c r="H42" s="582"/>
      <c r="I42" s="582"/>
      <c r="J42" s="582"/>
      <c r="K42" s="582"/>
      <c r="L42" s="582"/>
      <c r="N42" s="582"/>
      <c r="O42" s="582"/>
      <c r="P42" s="582"/>
      <c r="Q42" s="582"/>
      <c r="R42" s="582"/>
    </row>
    <row r="43" spans="2:18" x14ac:dyDescent="0.25">
      <c r="B43" s="582"/>
      <c r="C43" s="582"/>
      <c r="D43" s="582"/>
      <c r="E43" s="582"/>
      <c r="F43" s="582"/>
      <c r="H43" s="582"/>
      <c r="I43" s="582"/>
      <c r="J43" s="582"/>
      <c r="K43" s="582"/>
      <c r="L43" s="582"/>
      <c r="N43" s="582"/>
      <c r="O43" s="582"/>
      <c r="P43" s="582"/>
      <c r="Q43" s="582"/>
      <c r="R43" s="582"/>
    </row>
    <row r="44" spans="2:18" x14ac:dyDescent="0.25">
      <c r="B44" s="322"/>
      <c r="C44" s="582"/>
      <c r="D44" s="582"/>
      <c r="E44" s="582"/>
      <c r="F44" s="582"/>
      <c r="H44" s="322"/>
      <c r="I44" s="582"/>
      <c r="J44" s="582"/>
      <c r="K44" s="582"/>
      <c r="L44" s="582"/>
      <c r="N44" s="322"/>
      <c r="O44" s="582"/>
      <c r="P44" s="582"/>
      <c r="Q44" s="582"/>
      <c r="R44" s="582"/>
    </row>
    <row r="45" spans="2:18" x14ac:dyDescent="0.25">
      <c r="B45" s="582"/>
      <c r="C45" s="582"/>
      <c r="D45" s="582"/>
      <c r="E45" s="582"/>
      <c r="F45" s="582"/>
      <c r="H45" s="582"/>
      <c r="I45" s="582"/>
      <c r="J45" s="582"/>
      <c r="K45" s="582"/>
      <c r="L45" s="582"/>
      <c r="N45" s="582"/>
      <c r="O45" s="582"/>
      <c r="P45" s="582"/>
      <c r="Q45" s="582"/>
      <c r="R45" s="582"/>
    </row>
    <row r="48" spans="2:18" ht="12.75" customHeight="1" x14ac:dyDescent="0.25">
      <c r="B48" s="793" t="str">
        <f>+B5</f>
        <v>Central Goverment of Costa Rica</v>
      </c>
      <c r="C48" s="793"/>
      <c r="D48" s="793"/>
      <c r="E48" s="793"/>
      <c r="F48" s="793"/>
      <c r="H48" s="793" t="str">
        <f>+H26</f>
        <v>Central Goverment of Costa Rica</v>
      </c>
      <c r="I48" s="793"/>
      <c r="J48" s="793"/>
      <c r="K48" s="793"/>
      <c r="L48" s="793"/>
      <c r="M48" s="376"/>
      <c r="N48" s="793" t="str">
        <f>+N26</f>
        <v>Central Goverment of Costa Rica</v>
      </c>
      <c r="O48" s="793"/>
      <c r="P48" s="793"/>
      <c r="Q48" s="793"/>
      <c r="R48" s="793"/>
    </row>
    <row r="49" spans="1:18" ht="12.75" customHeight="1" x14ac:dyDescent="0.25">
      <c r="B49" s="793" t="str">
        <f>+B6</f>
        <v>Maturity Profile Public Debt</v>
      </c>
      <c r="C49" s="793"/>
      <c r="D49" s="793"/>
      <c r="E49" s="793"/>
      <c r="F49" s="793"/>
      <c r="H49" s="793" t="str">
        <f>+H27</f>
        <v>Maturity Profile Public Debt</v>
      </c>
      <c r="I49" s="793"/>
      <c r="J49" s="793"/>
      <c r="K49" s="793"/>
      <c r="L49" s="793"/>
      <c r="N49" s="793" t="str">
        <f>+N27</f>
        <v>Maturity Profile Public Debt as a percentage of Total Debt</v>
      </c>
      <c r="O49" s="793"/>
      <c r="P49" s="793"/>
      <c r="Q49" s="793"/>
      <c r="R49" s="793"/>
    </row>
    <row r="50" spans="1:18" ht="13.2" x14ac:dyDescent="0.25">
      <c r="B50" s="797">
        <f>+E122</f>
        <v>2023</v>
      </c>
      <c r="C50" s="797"/>
      <c r="D50" s="797"/>
      <c r="E50" s="797"/>
      <c r="F50" s="797"/>
      <c r="H50" s="797">
        <f>+B50</f>
        <v>2023</v>
      </c>
      <c r="I50" s="797"/>
      <c r="J50" s="797"/>
      <c r="K50" s="797"/>
      <c r="L50" s="797"/>
      <c r="N50" s="797">
        <v>2021</v>
      </c>
      <c r="O50" s="797"/>
      <c r="P50" s="797"/>
      <c r="Q50" s="797"/>
      <c r="R50" s="797"/>
    </row>
    <row r="51" spans="1:18" ht="13.2" x14ac:dyDescent="0.25">
      <c r="B51" s="799" t="str">
        <f>+B29</f>
        <v>December 31st  2020</v>
      </c>
      <c r="C51" s="797"/>
      <c r="D51" s="797"/>
      <c r="E51" s="797"/>
      <c r="F51" s="797"/>
      <c r="H51" s="799" t="str">
        <f>+B51</f>
        <v>December 31st  2020</v>
      </c>
      <c r="I51" s="797"/>
      <c r="J51" s="797"/>
      <c r="K51" s="797"/>
      <c r="L51" s="797"/>
      <c r="N51" s="797" t="str">
        <f>+N8</f>
        <v>December 31st  2020</v>
      </c>
      <c r="O51" s="797"/>
      <c r="P51" s="797"/>
      <c r="Q51" s="797"/>
      <c r="R51" s="797"/>
    </row>
    <row r="52" spans="1:18" ht="13.2" x14ac:dyDescent="0.25">
      <c r="B52" s="797" t="str">
        <f>+B9</f>
        <v>(Millions of colones)</v>
      </c>
      <c r="C52" s="797"/>
      <c r="D52" s="797"/>
      <c r="E52" s="797"/>
      <c r="F52" s="797"/>
      <c r="H52" s="800" t="str">
        <f>+H9</f>
        <v>(USD million)</v>
      </c>
      <c r="I52" s="800"/>
      <c r="J52" s="800"/>
      <c r="K52" s="800"/>
      <c r="L52" s="800"/>
      <c r="M52" s="582"/>
      <c r="N52" s="799">
        <f>+N9</f>
        <v>0</v>
      </c>
      <c r="O52" s="797"/>
      <c r="P52" s="797"/>
      <c r="Q52" s="797"/>
      <c r="R52" s="797"/>
    </row>
    <row r="53" spans="1:18" ht="18.75" customHeight="1" x14ac:dyDescent="0.25">
      <c r="B53" s="582"/>
      <c r="C53" s="582"/>
      <c r="D53" s="582"/>
      <c r="E53" s="582"/>
      <c r="F53" s="582"/>
      <c r="H53" s="582"/>
      <c r="I53" s="582"/>
      <c r="J53" s="582"/>
      <c r="K53" s="582"/>
      <c r="L53" s="582"/>
      <c r="N53" s="582"/>
      <c r="O53" s="582"/>
      <c r="P53" s="582"/>
      <c r="Q53" s="582"/>
      <c r="R53" s="582"/>
    </row>
    <row r="54" spans="1:18" x14ac:dyDescent="0.25">
      <c r="B54" s="582"/>
      <c r="C54" s="582"/>
      <c r="D54" s="582"/>
      <c r="E54" s="582"/>
      <c r="F54" s="582"/>
      <c r="H54" s="582"/>
      <c r="I54" s="582"/>
      <c r="J54" s="582"/>
      <c r="K54" s="582"/>
      <c r="L54" s="582"/>
      <c r="N54" s="582"/>
      <c r="O54" s="582"/>
      <c r="P54" s="582"/>
      <c r="Q54" s="582"/>
      <c r="R54" s="582"/>
    </row>
    <row r="55" spans="1:18" x14ac:dyDescent="0.25">
      <c r="B55" s="582"/>
      <c r="C55" s="582"/>
      <c r="D55" s="582"/>
      <c r="E55" s="582"/>
      <c r="F55" s="582"/>
      <c r="H55" s="582"/>
      <c r="I55" s="582"/>
      <c r="J55" s="582"/>
      <c r="K55" s="582"/>
      <c r="L55" s="582"/>
      <c r="N55" s="582"/>
      <c r="O55" s="582"/>
      <c r="P55" s="582"/>
      <c r="Q55" s="582"/>
      <c r="R55" s="582"/>
    </row>
    <row r="56" spans="1:18" x14ac:dyDescent="0.25">
      <c r="B56" s="582"/>
      <c r="C56" s="582"/>
      <c r="D56" s="582"/>
      <c r="E56" s="582"/>
      <c r="F56" s="582"/>
      <c r="H56" s="582"/>
      <c r="I56" s="582"/>
      <c r="J56" s="582"/>
      <c r="K56" s="582"/>
      <c r="L56" s="582"/>
      <c r="N56" s="582"/>
      <c r="O56" s="582"/>
      <c r="P56" s="582"/>
      <c r="Q56" s="582"/>
      <c r="R56" s="582"/>
    </row>
    <row r="57" spans="1:18" x14ac:dyDescent="0.25">
      <c r="B57" s="582"/>
      <c r="C57" s="582"/>
      <c r="D57" s="582"/>
      <c r="E57" s="582"/>
      <c r="F57" s="582"/>
      <c r="H57" s="582"/>
      <c r="I57" s="582"/>
      <c r="J57" s="582"/>
      <c r="K57" s="582"/>
      <c r="L57" s="582"/>
      <c r="N57" s="582"/>
      <c r="O57" s="582"/>
      <c r="P57" s="582"/>
      <c r="Q57" s="582"/>
      <c r="R57" s="582"/>
    </row>
    <row r="58" spans="1:18" x14ac:dyDescent="0.25">
      <c r="B58" s="582"/>
      <c r="C58" s="582"/>
      <c r="D58" s="582"/>
      <c r="E58" s="582"/>
      <c r="F58" s="582"/>
      <c r="H58" s="582"/>
      <c r="I58" s="582"/>
      <c r="J58" s="582"/>
      <c r="K58" s="582"/>
      <c r="L58" s="582"/>
      <c r="N58" s="582"/>
      <c r="O58" s="582"/>
      <c r="P58" s="582"/>
      <c r="Q58" s="582"/>
      <c r="R58" s="582"/>
    </row>
    <row r="59" spans="1:18" x14ac:dyDescent="0.25">
      <c r="B59" s="582"/>
      <c r="C59" s="582"/>
      <c r="D59" s="582"/>
      <c r="E59" s="582"/>
      <c r="F59" s="582"/>
      <c r="H59" s="582"/>
      <c r="I59" s="582"/>
      <c r="J59" s="582"/>
      <c r="K59" s="582"/>
      <c r="L59" s="582"/>
      <c r="N59" s="582"/>
      <c r="O59" s="582"/>
      <c r="P59" s="582"/>
      <c r="Q59" s="582"/>
      <c r="R59" s="582"/>
    </row>
    <row r="60" spans="1:18" x14ac:dyDescent="0.25">
      <c r="A60" s="322"/>
      <c r="B60" s="582"/>
      <c r="C60" s="582"/>
      <c r="D60" s="582"/>
      <c r="E60" s="582"/>
      <c r="F60" s="582"/>
      <c r="H60" s="582"/>
      <c r="I60" s="582"/>
      <c r="J60" s="582"/>
      <c r="K60" s="582"/>
      <c r="L60" s="582"/>
      <c r="N60" s="582"/>
      <c r="O60" s="582"/>
      <c r="P60" s="582"/>
      <c r="Q60" s="582"/>
      <c r="R60" s="582"/>
    </row>
    <row r="61" spans="1:18" x14ac:dyDescent="0.25">
      <c r="B61" s="582"/>
      <c r="C61" s="582"/>
      <c r="D61" s="582"/>
      <c r="E61" s="582"/>
      <c r="F61" s="582"/>
      <c r="H61" s="582"/>
      <c r="I61" s="582"/>
      <c r="J61" s="582"/>
      <c r="K61" s="582"/>
      <c r="L61" s="582"/>
      <c r="N61" s="582"/>
      <c r="O61" s="582"/>
      <c r="P61" s="582"/>
      <c r="Q61" s="582"/>
      <c r="R61" s="582"/>
    </row>
    <row r="62" spans="1:18" x14ac:dyDescent="0.25">
      <c r="B62" s="582"/>
      <c r="C62" s="582"/>
      <c r="D62" s="582"/>
      <c r="E62" s="582"/>
      <c r="F62" s="582"/>
      <c r="H62" s="582"/>
      <c r="I62" s="582"/>
      <c r="J62" s="582"/>
      <c r="K62" s="582"/>
      <c r="L62" s="582"/>
      <c r="N62" s="582"/>
      <c r="O62" s="582"/>
      <c r="P62" s="582"/>
      <c r="Q62" s="582"/>
      <c r="R62" s="582"/>
    </row>
    <row r="63" spans="1:18" x14ac:dyDescent="0.25">
      <c r="B63" s="322"/>
      <c r="C63" s="582"/>
      <c r="D63" s="582"/>
      <c r="E63" s="582"/>
      <c r="F63" s="582"/>
      <c r="H63" s="322"/>
      <c r="I63" s="582"/>
      <c r="J63" s="582"/>
      <c r="K63" s="582"/>
      <c r="L63" s="582"/>
      <c r="N63" s="322"/>
      <c r="O63" s="582"/>
      <c r="P63" s="582"/>
      <c r="Q63" s="582"/>
      <c r="R63" s="582"/>
    </row>
    <row r="64" spans="1:18" x14ac:dyDescent="0.25">
      <c r="B64" s="582"/>
      <c r="C64" s="582"/>
      <c r="D64" s="582"/>
      <c r="E64" s="582"/>
      <c r="F64" s="582"/>
      <c r="H64" s="582"/>
      <c r="I64" s="582"/>
      <c r="J64" s="582"/>
      <c r="K64" s="582"/>
      <c r="L64" s="582"/>
      <c r="N64" s="582"/>
      <c r="O64" s="582"/>
      <c r="P64" s="582"/>
      <c r="Q64" s="582"/>
      <c r="R64" s="582"/>
    </row>
    <row r="65" spans="1:42" x14ac:dyDescent="0.25">
      <c r="B65" s="582"/>
      <c r="C65" s="582"/>
      <c r="D65" s="582"/>
      <c r="E65" s="582"/>
      <c r="F65" s="582"/>
      <c r="H65" s="582"/>
      <c r="I65" s="582"/>
      <c r="J65" s="582"/>
      <c r="K65" s="582"/>
      <c r="L65" s="582"/>
      <c r="N65" s="582"/>
      <c r="O65" s="582"/>
      <c r="P65" s="582"/>
      <c r="Q65" s="582"/>
      <c r="R65" s="582"/>
    </row>
    <row r="66" spans="1:42" x14ac:dyDescent="0.25">
      <c r="B66" s="582"/>
      <c r="C66" s="582"/>
      <c r="D66" s="582"/>
      <c r="E66" s="582"/>
      <c r="F66" s="582"/>
      <c r="H66" s="582"/>
      <c r="I66" s="582"/>
      <c r="J66" s="582"/>
      <c r="K66" s="582"/>
      <c r="L66" s="582"/>
      <c r="N66" s="582"/>
      <c r="O66" s="582"/>
      <c r="P66" s="582"/>
      <c r="Q66" s="582"/>
      <c r="R66" s="582"/>
    </row>
    <row r="69" spans="1:42" s="184" customFormat="1" ht="27.75" customHeight="1" x14ac:dyDescent="0.25">
      <c r="A69" s="838" t="str">
        <f>+A2</f>
        <v>Graphics Maturity Profile Public Debt Central Goverment of Costa Rica</v>
      </c>
      <c r="B69" s="838"/>
      <c r="C69" s="838"/>
      <c r="D69" s="838"/>
      <c r="E69" s="838"/>
      <c r="F69" s="838"/>
      <c r="G69" s="838"/>
      <c r="H69" s="838"/>
      <c r="I69" s="838"/>
      <c r="J69" s="838"/>
      <c r="K69" s="838"/>
      <c r="L69" s="838"/>
      <c r="M69" s="838"/>
      <c r="N69" s="838"/>
      <c r="O69" s="838"/>
      <c r="P69" s="838"/>
      <c r="Q69" s="839"/>
      <c r="R69" s="319"/>
      <c r="S69" s="316" t="s">
        <v>43</v>
      </c>
      <c r="T69" s="758"/>
      <c r="U69" s="758"/>
      <c r="V69" s="755"/>
      <c r="W69" s="317"/>
      <c r="X69" s="582"/>
      <c r="Y69" s="583"/>
      <c r="Z69" s="186"/>
      <c r="AA69" s="186"/>
      <c r="AB69" s="186"/>
      <c r="AC69" s="186"/>
      <c r="AD69" s="186"/>
      <c r="AE69" s="186"/>
      <c r="AF69" s="186"/>
      <c r="AG69" s="186"/>
      <c r="AH69" s="186"/>
      <c r="AI69" s="186"/>
      <c r="AJ69" s="186"/>
      <c r="AK69" s="186"/>
      <c r="AL69" s="186"/>
      <c r="AM69" s="186"/>
      <c r="AN69" s="186"/>
      <c r="AO69" s="186"/>
      <c r="AP69" s="186"/>
    </row>
    <row r="70" spans="1:42" s="184" customFormat="1" ht="15.6" x14ac:dyDescent="0.25">
      <c r="A70" s="763"/>
      <c r="B70" s="763"/>
      <c r="C70" s="763"/>
      <c r="D70" s="763"/>
      <c r="E70" s="763"/>
      <c r="F70" s="763"/>
      <c r="G70" s="763"/>
      <c r="H70" s="763"/>
      <c r="I70" s="763"/>
      <c r="J70" s="763"/>
      <c r="K70" s="763"/>
      <c r="L70" s="763"/>
      <c r="M70" s="763"/>
      <c r="N70" s="763"/>
      <c r="O70" s="763"/>
      <c r="P70" s="763"/>
      <c r="Q70" s="764"/>
      <c r="R70" s="376"/>
      <c r="S70" s="758"/>
      <c r="T70" s="758"/>
      <c r="U70" s="758"/>
      <c r="V70" s="755"/>
      <c r="W70" s="317"/>
      <c r="X70" s="582"/>
      <c r="Y70" s="583"/>
      <c r="Z70" s="186"/>
      <c r="AA70" s="186"/>
      <c r="AB70" s="186"/>
      <c r="AC70" s="186"/>
      <c r="AD70" s="186"/>
      <c r="AE70" s="186"/>
      <c r="AF70" s="186"/>
      <c r="AG70" s="186"/>
      <c r="AH70" s="186"/>
      <c r="AI70" s="186"/>
      <c r="AJ70" s="186"/>
      <c r="AK70" s="186"/>
      <c r="AL70" s="186"/>
      <c r="AM70" s="186"/>
      <c r="AN70" s="186"/>
      <c r="AO70" s="186"/>
      <c r="AP70" s="186"/>
    </row>
    <row r="72" spans="1:42" ht="12.75" customHeight="1" x14ac:dyDescent="0.25">
      <c r="B72" s="793" t="str">
        <f>+B5</f>
        <v>Central Goverment of Costa Rica</v>
      </c>
      <c r="C72" s="793"/>
      <c r="D72" s="793"/>
      <c r="E72" s="793"/>
      <c r="F72" s="793"/>
      <c r="H72" s="793" t="str">
        <f>+H5</f>
        <v>Central Goverment of Costa Rica</v>
      </c>
      <c r="I72" s="793"/>
      <c r="J72" s="793"/>
      <c r="K72" s="793"/>
      <c r="L72" s="793"/>
      <c r="M72" s="376"/>
      <c r="N72" s="793" t="str">
        <f>+N48</f>
        <v>Central Goverment of Costa Rica</v>
      </c>
      <c r="O72" s="793"/>
      <c r="P72" s="793"/>
      <c r="Q72" s="793"/>
      <c r="R72" s="793"/>
    </row>
    <row r="73" spans="1:42" ht="12.75" customHeight="1" x14ac:dyDescent="0.25">
      <c r="B73" s="793" t="str">
        <f>+B6</f>
        <v>Maturity Profile Public Debt</v>
      </c>
      <c r="C73" s="793"/>
      <c r="D73" s="793"/>
      <c r="E73" s="793"/>
      <c r="F73" s="793"/>
      <c r="H73" s="793" t="str">
        <f>+H6</f>
        <v>Maturity Profile Public Debt</v>
      </c>
      <c r="I73" s="793"/>
      <c r="J73" s="793"/>
      <c r="K73" s="793"/>
      <c r="L73" s="793"/>
      <c r="N73" s="793" t="str">
        <f t="shared" ref="N73:N76" si="0">+N49</f>
        <v>Maturity Profile Public Debt as a percentage of Total Debt</v>
      </c>
      <c r="O73" s="793"/>
      <c r="P73" s="793"/>
      <c r="Q73" s="793"/>
      <c r="R73" s="793"/>
    </row>
    <row r="74" spans="1:42" ht="12.75" customHeight="1" x14ac:dyDescent="0.25">
      <c r="B74" s="797">
        <f>+F122</f>
        <v>2024</v>
      </c>
      <c r="C74" s="797"/>
      <c r="D74" s="797"/>
      <c r="E74" s="797"/>
      <c r="F74" s="797"/>
      <c r="H74" s="797">
        <f>+B74</f>
        <v>2024</v>
      </c>
      <c r="I74" s="797"/>
      <c r="J74" s="797"/>
      <c r="K74" s="797"/>
      <c r="L74" s="797"/>
      <c r="N74" s="793">
        <v>2022</v>
      </c>
      <c r="O74" s="793"/>
      <c r="P74" s="793"/>
      <c r="Q74" s="793"/>
      <c r="R74" s="793"/>
    </row>
    <row r="75" spans="1:42" ht="13.2" x14ac:dyDescent="0.25">
      <c r="B75" s="799" t="str">
        <f>+B51</f>
        <v>December 31st  2020</v>
      </c>
      <c r="C75" s="799"/>
      <c r="D75" s="799"/>
      <c r="E75" s="799"/>
      <c r="F75" s="799"/>
      <c r="H75" s="799" t="str">
        <f>+B75</f>
        <v>December 31st  2020</v>
      </c>
      <c r="I75" s="799"/>
      <c r="J75" s="799"/>
      <c r="K75" s="799"/>
      <c r="L75" s="799"/>
      <c r="N75" s="793" t="str">
        <f t="shared" si="0"/>
        <v>December 31st  2020</v>
      </c>
      <c r="O75" s="793"/>
      <c r="P75" s="793"/>
      <c r="Q75" s="793"/>
      <c r="R75" s="793"/>
    </row>
    <row r="76" spans="1:42" ht="13.2" x14ac:dyDescent="0.25">
      <c r="B76" s="797" t="str">
        <f>+B9</f>
        <v>(Millions of colones)</v>
      </c>
      <c r="C76" s="797"/>
      <c r="D76" s="797"/>
      <c r="E76" s="797"/>
      <c r="F76" s="797"/>
      <c r="H76" s="800"/>
      <c r="I76" s="800"/>
      <c r="J76" s="800"/>
      <c r="K76" s="800"/>
      <c r="L76" s="800"/>
      <c r="M76" s="582"/>
      <c r="N76" s="793">
        <f t="shared" si="0"/>
        <v>0</v>
      </c>
      <c r="O76" s="793"/>
      <c r="P76" s="793"/>
      <c r="Q76" s="793"/>
      <c r="R76" s="793"/>
    </row>
    <row r="77" spans="1:42" x14ac:dyDescent="0.25">
      <c r="B77" s="582"/>
      <c r="C77" s="582"/>
      <c r="D77" s="582"/>
      <c r="E77" s="582"/>
      <c r="F77" s="582"/>
      <c r="H77" s="582"/>
      <c r="I77" s="582"/>
      <c r="J77" s="582"/>
      <c r="K77" s="582"/>
      <c r="L77" s="582"/>
      <c r="N77" s="582"/>
      <c r="O77" s="582"/>
      <c r="P77" s="582"/>
      <c r="Q77" s="582"/>
      <c r="R77" s="582"/>
    </row>
    <row r="78" spans="1:42" x14ac:dyDescent="0.25">
      <c r="B78" s="582"/>
      <c r="C78" s="582"/>
      <c r="D78" s="582"/>
      <c r="E78" s="582"/>
      <c r="F78" s="582"/>
      <c r="H78" s="582"/>
      <c r="I78" s="582"/>
      <c r="J78" s="582"/>
      <c r="K78" s="582"/>
      <c r="L78" s="582"/>
      <c r="N78" s="582"/>
      <c r="O78" s="582"/>
      <c r="P78" s="582"/>
      <c r="Q78" s="582"/>
      <c r="R78" s="582"/>
    </row>
    <row r="79" spans="1:42" x14ac:dyDescent="0.25">
      <c r="B79" s="582"/>
      <c r="C79" s="582"/>
      <c r="D79" s="582"/>
      <c r="E79" s="582"/>
      <c r="F79" s="582"/>
      <c r="G79" s="317" t="s">
        <v>142</v>
      </c>
      <c r="H79" s="582"/>
      <c r="I79" s="582"/>
      <c r="J79" s="582"/>
      <c r="K79" s="582"/>
      <c r="L79" s="582"/>
      <c r="N79" s="582"/>
      <c r="O79" s="582"/>
      <c r="P79" s="582"/>
      <c r="Q79" s="582"/>
      <c r="R79" s="582"/>
    </row>
    <row r="80" spans="1:42" x14ac:dyDescent="0.25">
      <c r="B80" s="582"/>
      <c r="C80" s="582"/>
      <c r="D80" s="582"/>
      <c r="E80" s="582"/>
      <c r="F80" s="582"/>
      <c r="H80" s="582"/>
      <c r="I80" s="582"/>
      <c r="J80" s="582"/>
      <c r="K80" s="582"/>
      <c r="L80" s="582"/>
      <c r="N80" s="582"/>
      <c r="O80" s="582"/>
      <c r="P80" s="582"/>
      <c r="Q80" s="582"/>
      <c r="R80" s="582"/>
    </row>
    <row r="81" spans="2:41" x14ac:dyDescent="0.25">
      <c r="B81" s="582"/>
      <c r="C81" s="582"/>
      <c r="D81" s="582"/>
      <c r="E81" s="582"/>
      <c r="F81" s="582"/>
      <c r="H81" s="582"/>
      <c r="I81" s="582"/>
      <c r="J81" s="582"/>
      <c r="K81" s="582"/>
      <c r="L81" s="582"/>
      <c r="N81" s="582"/>
      <c r="O81" s="582"/>
      <c r="P81" s="582"/>
      <c r="Q81" s="582"/>
      <c r="R81" s="582"/>
    </row>
    <row r="82" spans="2:41" x14ac:dyDescent="0.25">
      <c r="B82" s="582"/>
      <c r="C82" s="582"/>
      <c r="D82" s="582"/>
      <c r="E82" s="582"/>
      <c r="F82" s="582"/>
      <c r="H82" s="582"/>
      <c r="I82" s="582"/>
      <c r="J82" s="582"/>
      <c r="K82" s="582"/>
      <c r="L82" s="582"/>
      <c r="N82" s="582"/>
      <c r="O82" s="582"/>
      <c r="P82" s="582"/>
      <c r="Q82" s="582"/>
      <c r="R82" s="582"/>
    </row>
    <row r="83" spans="2:41" x14ac:dyDescent="0.25">
      <c r="B83" s="582"/>
      <c r="C83" s="582"/>
      <c r="D83" s="582"/>
      <c r="E83" s="582"/>
      <c r="F83" s="582"/>
      <c r="H83" s="582"/>
      <c r="I83" s="582"/>
      <c r="J83" s="582"/>
      <c r="K83" s="582"/>
      <c r="L83" s="582"/>
      <c r="N83" s="582"/>
      <c r="O83" s="582"/>
      <c r="P83" s="582"/>
      <c r="Q83" s="582"/>
      <c r="R83" s="582"/>
    </row>
    <row r="84" spans="2:41" x14ac:dyDescent="0.25">
      <c r="B84" s="582"/>
      <c r="C84" s="582"/>
      <c r="D84" s="582"/>
      <c r="E84" s="582"/>
      <c r="F84" s="582"/>
      <c r="H84" s="582"/>
      <c r="I84" s="582"/>
      <c r="J84" s="582"/>
      <c r="K84" s="582"/>
      <c r="L84" s="582"/>
      <c r="N84" s="582"/>
      <c r="O84" s="582"/>
      <c r="P84" s="582"/>
      <c r="Q84" s="582"/>
      <c r="R84" s="582"/>
    </row>
    <row r="85" spans="2:41" x14ac:dyDescent="0.25">
      <c r="B85" s="582"/>
      <c r="C85" s="582"/>
      <c r="D85" s="582"/>
      <c r="E85" s="582"/>
      <c r="F85" s="582"/>
      <c r="H85" s="582"/>
      <c r="I85" s="582"/>
      <c r="J85" s="582"/>
      <c r="K85" s="582"/>
      <c r="L85" s="582"/>
      <c r="N85" s="582"/>
      <c r="O85" s="582"/>
      <c r="P85" s="582"/>
      <c r="Q85" s="582"/>
      <c r="R85" s="582"/>
      <c r="U85" s="317"/>
      <c r="V85" s="317"/>
      <c r="W85" s="186"/>
      <c r="X85" s="186"/>
      <c r="Y85" s="186"/>
      <c r="Z85" s="186"/>
      <c r="AA85" s="186"/>
      <c r="AB85" s="186"/>
      <c r="AC85" s="186"/>
      <c r="AD85" s="186"/>
      <c r="AE85" s="186"/>
      <c r="AF85" s="186"/>
      <c r="AG85" s="186"/>
      <c r="AH85" s="186"/>
      <c r="AI85" s="186"/>
      <c r="AJ85" s="186"/>
      <c r="AK85" s="186"/>
      <c r="AL85" s="186"/>
    </row>
    <row r="86" spans="2:41" ht="11.4" x14ac:dyDescent="0.2">
      <c r="B86" s="582"/>
      <c r="C86" s="582"/>
      <c r="D86" s="582"/>
      <c r="E86" s="582"/>
      <c r="F86" s="582"/>
      <c r="H86" s="582"/>
      <c r="I86" s="582"/>
      <c r="J86" s="582"/>
      <c r="K86" s="582"/>
      <c r="L86" s="582"/>
      <c r="N86" s="582"/>
      <c r="O86" s="582"/>
      <c r="P86" s="582"/>
      <c r="Q86" s="582"/>
      <c r="R86" s="582"/>
      <c r="U86" s="317"/>
      <c r="V86" s="317"/>
      <c r="W86" s="317"/>
      <c r="X86" s="317"/>
      <c r="Y86" s="317"/>
      <c r="Z86" s="317"/>
      <c r="AA86" s="317"/>
      <c r="AB86" s="317"/>
      <c r="AC86" s="317"/>
      <c r="AD86" s="317"/>
      <c r="AE86" s="317"/>
      <c r="AF86" s="317"/>
      <c r="AG86" s="317"/>
      <c r="AH86" s="317"/>
      <c r="AI86" s="317"/>
      <c r="AJ86" s="317"/>
      <c r="AK86" s="317"/>
      <c r="AL86" s="317"/>
      <c r="AO86" s="387"/>
    </row>
    <row r="87" spans="2:41" ht="11.4" x14ac:dyDescent="0.2">
      <c r="B87" s="582"/>
      <c r="C87" s="582"/>
      <c r="D87" s="582"/>
      <c r="E87" s="582"/>
      <c r="F87" s="582"/>
      <c r="H87" s="582"/>
      <c r="I87" s="582"/>
      <c r="J87" s="582"/>
      <c r="K87" s="582"/>
      <c r="L87" s="582"/>
      <c r="N87" s="582"/>
      <c r="O87" s="582"/>
      <c r="P87" s="582"/>
      <c r="Q87" s="582"/>
      <c r="R87" s="582"/>
      <c r="U87" s="317"/>
      <c r="V87" s="317"/>
      <c r="W87" s="317"/>
      <c r="X87" s="317"/>
      <c r="Y87" s="317"/>
      <c r="Z87" s="317"/>
      <c r="AA87" s="317"/>
      <c r="AB87" s="317"/>
      <c r="AC87" s="317"/>
      <c r="AD87" s="317"/>
      <c r="AE87" s="317"/>
      <c r="AF87" s="317"/>
      <c r="AG87" s="317"/>
      <c r="AH87" s="317"/>
      <c r="AI87" s="317"/>
      <c r="AJ87" s="317"/>
      <c r="AK87" s="317"/>
      <c r="AL87" s="317"/>
      <c r="AN87" s="388"/>
    </row>
    <row r="88" spans="2:41" ht="11.4" x14ac:dyDescent="0.2">
      <c r="B88" s="582"/>
      <c r="C88" s="582"/>
      <c r="D88" s="582"/>
      <c r="E88" s="582"/>
      <c r="F88" s="582"/>
      <c r="H88" s="582"/>
      <c r="I88" s="582"/>
      <c r="J88" s="582"/>
      <c r="K88" s="582"/>
      <c r="L88" s="582"/>
      <c r="N88" s="582"/>
      <c r="O88" s="582"/>
      <c r="P88" s="582"/>
      <c r="Q88" s="582"/>
      <c r="R88" s="582"/>
      <c r="U88" s="317"/>
      <c r="V88" s="317"/>
      <c r="W88" s="317"/>
      <c r="X88" s="317"/>
      <c r="Y88" s="317"/>
      <c r="Z88" s="317"/>
      <c r="AA88" s="317"/>
      <c r="AB88" s="317"/>
      <c r="AC88" s="317"/>
      <c r="AD88" s="317"/>
      <c r="AE88" s="317"/>
      <c r="AF88" s="317"/>
      <c r="AG88" s="317"/>
      <c r="AH88" s="317"/>
      <c r="AI88" s="317"/>
      <c r="AJ88" s="317"/>
      <c r="AK88" s="317"/>
      <c r="AL88" s="317"/>
    </row>
    <row r="89" spans="2:41" ht="11.4" x14ac:dyDescent="0.2">
      <c r="B89" s="582"/>
      <c r="C89" s="582"/>
      <c r="D89" s="582"/>
      <c r="E89" s="582"/>
      <c r="F89" s="582"/>
      <c r="H89" s="582"/>
      <c r="I89" s="582"/>
      <c r="J89" s="582"/>
      <c r="K89" s="582"/>
      <c r="L89" s="582"/>
      <c r="N89" s="582"/>
      <c r="O89" s="582"/>
      <c r="P89" s="582"/>
      <c r="Q89" s="582"/>
      <c r="R89" s="582"/>
      <c r="U89" s="317"/>
      <c r="V89" s="317"/>
      <c r="W89" s="317"/>
      <c r="X89" s="317"/>
      <c r="Y89" s="317"/>
      <c r="Z89" s="317"/>
      <c r="AA89" s="317"/>
      <c r="AB89" s="317"/>
      <c r="AC89" s="317"/>
      <c r="AD89" s="317"/>
      <c r="AE89" s="317"/>
      <c r="AF89" s="317"/>
      <c r="AG89" s="317"/>
      <c r="AH89" s="317"/>
      <c r="AI89" s="317"/>
      <c r="AJ89" s="317"/>
      <c r="AK89" s="317"/>
      <c r="AL89" s="317"/>
      <c r="AN89" s="387"/>
    </row>
    <row r="90" spans="2:41" ht="12.75" customHeight="1" x14ac:dyDescent="0.25">
      <c r="B90" s="322"/>
      <c r="C90" s="582"/>
      <c r="D90" s="582"/>
      <c r="E90" s="582"/>
      <c r="F90" s="582"/>
      <c r="H90" s="322"/>
      <c r="I90" s="582"/>
      <c r="J90" s="582"/>
      <c r="K90" s="582"/>
      <c r="L90" s="582"/>
      <c r="N90" s="322"/>
      <c r="O90" s="582"/>
      <c r="P90" s="582"/>
      <c r="Q90" s="582"/>
      <c r="R90" s="582"/>
      <c r="U90" s="317"/>
      <c r="V90" s="317"/>
      <c r="W90" s="317"/>
      <c r="X90" s="317"/>
      <c r="Y90" s="317"/>
      <c r="Z90" s="317"/>
      <c r="AA90" s="317"/>
      <c r="AB90" s="317"/>
      <c r="AC90" s="317"/>
      <c r="AD90" s="317"/>
      <c r="AE90" s="317"/>
      <c r="AF90" s="317"/>
      <c r="AG90" s="317"/>
      <c r="AH90" s="317"/>
      <c r="AI90" s="317"/>
      <c r="AJ90" s="317"/>
      <c r="AK90" s="317"/>
      <c r="AL90" s="317"/>
    </row>
    <row r="91" spans="2:41" ht="11.4" x14ac:dyDescent="0.2">
      <c r="B91" s="582"/>
      <c r="C91" s="582"/>
      <c r="D91" s="582"/>
      <c r="E91" s="582"/>
      <c r="F91" s="582"/>
      <c r="H91" s="582"/>
      <c r="I91" s="582"/>
      <c r="J91" s="582"/>
      <c r="K91" s="582"/>
      <c r="L91" s="582"/>
      <c r="N91" s="582"/>
      <c r="O91" s="582"/>
      <c r="P91" s="582"/>
      <c r="Q91" s="582"/>
      <c r="R91" s="582"/>
      <c r="U91" s="317"/>
      <c r="V91" s="317"/>
      <c r="W91" s="317"/>
      <c r="X91" s="317"/>
      <c r="Y91" s="317"/>
      <c r="Z91" s="317"/>
      <c r="AA91" s="317"/>
      <c r="AB91" s="317"/>
      <c r="AC91" s="317"/>
      <c r="AD91" s="317"/>
      <c r="AE91" s="317"/>
      <c r="AF91" s="317"/>
      <c r="AG91" s="317"/>
      <c r="AH91" s="317"/>
      <c r="AI91" s="317"/>
      <c r="AJ91" s="317"/>
      <c r="AK91" s="317"/>
      <c r="AL91" s="317"/>
    </row>
    <row r="92" spans="2:41" ht="13.5" customHeight="1" x14ac:dyDescent="0.2">
      <c r="U92" s="317"/>
      <c r="V92" s="317"/>
      <c r="W92" s="317"/>
      <c r="X92" s="317"/>
      <c r="Y92" s="317"/>
      <c r="Z92" s="317"/>
      <c r="AA92" s="317"/>
      <c r="AB92" s="317"/>
      <c r="AC92" s="317"/>
      <c r="AD92" s="317"/>
      <c r="AE92" s="317"/>
      <c r="AF92" s="317"/>
      <c r="AG92" s="317"/>
      <c r="AH92" s="317"/>
      <c r="AI92" s="317"/>
      <c r="AJ92" s="317"/>
      <c r="AK92" s="317"/>
      <c r="AL92" s="317"/>
    </row>
    <row r="93" spans="2:41" ht="12.75" customHeight="1" x14ac:dyDescent="0.25">
      <c r="B93" s="793" t="str">
        <f>+B5</f>
        <v>Central Goverment of Costa Rica</v>
      </c>
      <c r="C93" s="793"/>
      <c r="D93" s="793"/>
      <c r="E93" s="793"/>
      <c r="F93" s="793"/>
      <c r="H93" s="793" t="str">
        <f>+H26</f>
        <v>Central Goverment of Costa Rica</v>
      </c>
      <c r="I93" s="793"/>
      <c r="J93" s="793"/>
      <c r="K93" s="793"/>
      <c r="L93" s="793"/>
      <c r="M93" s="376"/>
      <c r="N93" s="793" t="str">
        <f>+N72</f>
        <v>Central Goverment of Costa Rica</v>
      </c>
      <c r="O93" s="793"/>
      <c r="P93" s="793"/>
      <c r="Q93" s="793"/>
      <c r="R93" s="793"/>
      <c r="U93" s="317"/>
      <c r="V93" s="317"/>
      <c r="W93" s="317"/>
      <c r="X93" s="317"/>
      <c r="Y93" s="317"/>
      <c r="Z93" s="317"/>
      <c r="AA93" s="317"/>
      <c r="AB93" s="317"/>
      <c r="AC93" s="317"/>
      <c r="AD93" s="317"/>
      <c r="AE93" s="317"/>
      <c r="AF93" s="317"/>
      <c r="AG93" s="317"/>
      <c r="AH93" s="317"/>
      <c r="AI93" s="317"/>
      <c r="AJ93" s="317"/>
      <c r="AK93" s="317"/>
      <c r="AL93" s="317"/>
    </row>
    <row r="94" spans="2:41" ht="12.75" customHeight="1" x14ac:dyDescent="0.2">
      <c r="B94" s="793" t="str">
        <f>+B6</f>
        <v>Maturity Profile Public Debt</v>
      </c>
      <c r="C94" s="793"/>
      <c r="D94" s="793"/>
      <c r="E94" s="793"/>
      <c r="F94" s="793"/>
      <c r="H94" s="793" t="str">
        <f>+H27</f>
        <v>Maturity Profile Public Debt</v>
      </c>
      <c r="I94" s="793"/>
      <c r="J94" s="793"/>
      <c r="K94" s="793"/>
      <c r="L94" s="793"/>
      <c r="N94" s="793" t="str">
        <f t="shared" ref="N94:N97" si="1">+N73</f>
        <v>Maturity Profile Public Debt as a percentage of Total Debt</v>
      </c>
      <c r="O94" s="793"/>
      <c r="P94" s="793"/>
      <c r="Q94" s="793"/>
      <c r="R94" s="793"/>
      <c r="U94" s="317"/>
      <c r="V94" s="317"/>
      <c r="W94" s="317"/>
      <c r="X94" s="317"/>
      <c r="Y94" s="317"/>
      <c r="Z94" s="317"/>
      <c r="AA94" s="317"/>
      <c r="AB94" s="317"/>
      <c r="AC94" s="317"/>
      <c r="AD94" s="317"/>
      <c r="AE94" s="317"/>
      <c r="AF94" s="317"/>
      <c r="AG94" s="317"/>
      <c r="AH94" s="317"/>
      <c r="AI94" s="317"/>
      <c r="AJ94" s="317"/>
      <c r="AK94" s="317"/>
      <c r="AL94" s="317"/>
    </row>
    <row r="95" spans="2:41" ht="13.2" x14ac:dyDescent="0.25">
      <c r="B95" s="797">
        <f>+G122</f>
        <v>2025</v>
      </c>
      <c r="C95" s="797"/>
      <c r="D95" s="797"/>
      <c r="E95" s="797"/>
      <c r="F95" s="797"/>
      <c r="H95" s="797">
        <f>+B95</f>
        <v>2025</v>
      </c>
      <c r="I95" s="797"/>
      <c r="J95" s="797"/>
      <c r="K95" s="797"/>
      <c r="L95" s="797"/>
      <c r="N95" s="793">
        <v>2023</v>
      </c>
      <c r="O95" s="793"/>
      <c r="P95" s="793"/>
      <c r="Q95" s="793"/>
      <c r="R95" s="793"/>
      <c r="U95" s="317"/>
      <c r="V95" s="317"/>
      <c r="W95" s="317"/>
      <c r="X95" s="317"/>
      <c r="Y95" s="317"/>
      <c r="Z95" s="317"/>
      <c r="AA95" s="317"/>
      <c r="AB95" s="317"/>
      <c r="AC95" s="317"/>
      <c r="AD95" s="317"/>
      <c r="AE95" s="317"/>
      <c r="AF95" s="317"/>
      <c r="AG95" s="317"/>
      <c r="AH95" s="317"/>
      <c r="AI95" s="317"/>
      <c r="AJ95" s="317"/>
      <c r="AK95" s="317"/>
      <c r="AL95" s="317"/>
    </row>
    <row r="96" spans="2:41" ht="13.2" x14ac:dyDescent="0.25">
      <c r="B96" s="799" t="str">
        <f>+B75</f>
        <v>December 31st  2020</v>
      </c>
      <c r="C96" s="797"/>
      <c r="D96" s="797"/>
      <c r="E96" s="797"/>
      <c r="F96" s="797"/>
      <c r="H96" s="799" t="str">
        <f>+B96</f>
        <v>December 31st  2020</v>
      </c>
      <c r="I96" s="797"/>
      <c r="J96" s="797"/>
      <c r="K96" s="797"/>
      <c r="L96" s="797"/>
      <c r="N96" s="793" t="str">
        <f t="shared" si="1"/>
        <v>December 31st  2020</v>
      </c>
      <c r="O96" s="793"/>
      <c r="P96" s="793"/>
      <c r="Q96" s="793"/>
      <c r="R96" s="793"/>
      <c r="U96" s="317"/>
      <c r="V96" s="317"/>
      <c r="W96" s="317"/>
      <c r="X96" s="317"/>
      <c r="Y96" s="317"/>
      <c r="Z96" s="317"/>
      <c r="AA96" s="317"/>
      <c r="AB96" s="317"/>
      <c r="AC96" s="317"/>
      <c r="AD96" s="317"/>
      <c r="AE96" s="317"/>
      <c r="AF96" s="317"/>
      <c r="AG96" s="317"/>
      <c r="AH96" s="317"/>
      <c r="AI96" s="317"/>
      <c r="AJ96" s="317"/>
      <c r="AK96" s="317"/>
      <c r="AL96" s="317"/>
    </row>
    <row r="97" spans="1:41" ht="13.2" x14ac:dyDescent="0.25">
      <c r="B97" s="797" t="str">
        <f>+B5</f>
        <v>Central Goverment of Costa Rica</v>
      </c>
      <c r="C97" s="797"/>
      <c r="D97" s="797"/>
      <c r="E97" s="797"/>
      <c r="F97" s="797"/>
      <c r="H97" s="800" t="str">
        <f>+H9</f>
        <v>(USD million)</v>
      </c>
      <c r="I97" s="800"/>
      <c r="J97" s="800"/>
      <c r="K97" s="800"/>
      <c r="L97" s="800"/>
      <c r="M97" s="582"/>
      <c r="N97" s="793">
        <f t="shared" si="1"/>
        <v>0</v>
      </c>
      <c r="O97" s="793"/>
      <c r="P97" s="793"/>
      <c r="Q97" s="793"/>
      <c r="R97" s="793"/>
      <c r="U97" s="317"/>
      <c r="V97" s="317"/>
      <c r="W97" s="317"/>
      <c r="X97" s="317"/>
      <c r="Y97" s="317"/>
      <c r="Z97" s="317"/>
      <c r="AA97" s="317"/>
      <c r="AB97" s="317"/>
      <c r="AC97" s="317"/>
      <c r="AD97" s="317"/>
      <c r="AE97" s="317"/>
      <c r="AF97" s="317"/>
      <c r="AG97" s="317"/>
      <c r="AH97" s="317"/>
      <c r="AI97" s="317"/>
      <c r="AJ97" s="317"/>
      <c r="AK97" s="317"/>
      <c r="AL97" s="317"/>
    </row>
    <row r="98" spans="1:41" ht="11.4" x14ac:dyDescent="0.2">
      <c r="B98" s="582"/>
      <c r="C98" s="582"/>
      <c r="D98" s="582"/>
      <c r="E98" s="582"/>
      <c r="F98" s="582"/>
      <c r="H98" s="582"/>
      <c r="I98" s="582"/>
      <c r="J98" s="582"/>
      <c r="K98" s="582"/>
      <c r="L98" s="582"/>
      <c r="N98" s="582"/>
      <c r="O98" s="582"/>
      <c r="P98" s="582"/>
      <c r="Q98" s="582"/>
      <c r="R98" s="582"/>
      <c r="U98" s="317"/>
      <c r="V98" s="317"/>
      <c r="W98" s="317"/>
      <c r="X98" s="317"/>
      <c r="Y98" s="317"/>
      <c r="Z98" s="317"/>
      <c r="AA98" s="317"/>
      <c r="AB98" s="317"/>
      <c r="AC98" s="317"/>
      <c r="AD98" s="317"/>
      <c r="AE98" s="317"/>
      <c r="AF98" s="317"/>
      <c r="AG98" s="317"/>
      <c r="AH98" s="317"/>
      <c r="AI98" s="317"/>
      <c r="AJ98" s="317"/>
      <c r="AK98" s="317"/>
      <c r="AL98" s="317"/>
    </row>
    <row r="99" spans="1:41" ht="11.4" x14ac:dyDescent="0.2">
      <c r="B99" s="582"/>
      <c r="C99" s="582"/>
      <c r="D99" s="582"/>
      <c r="E99" s="582"/>
      <c r="F99" s="582"/>
      <c r="H99" s="582"/>
      <c r="I99" s="582"/>
      <c r="J99" s="582"/>
      <c r="K99" s="582"/>
      <c r="L99" s="582"/>
      <c r="N99" s="582"/>
      <c r="O99" s="582"/>
      <c r="P99" s="582"/>
      <c r="Q99" s="582"/>
      <c r="R99" s="582"/>
      <c r="U99" s="317"/>
      <c r="V99" s="317"/>
      <c r="W99" s="317"/>
      <c r="X99" s="317"/>
      <c r="Y99" s="317"/>
      <c r="Z99" s="317"/>
      <c r="AA99" s="317"/>
      <c r="AB99" s="317"/>
      <c r="AC99" s="317"/>
      <c r="AD99" s="317"/>
      <c r="AE99" s="317"/>
      <c r="AF99" s="317"/>
      <c r="AG99" s="317"/>
      <c r="AH99" s="317"/>
      <c r="AI99" s="317"/>
      <c r="AJ99" s="317"/>
      <c r="AK99" s="317"/>
      <c r="AL99" s="317"/>
    </row>
    <row r="100" spans="1:41" ht="11.4" x14ac:dyDescent="0.2">
      <c r="B100" s="582"/>
      <c r="C100" s="582"/>
      <c r="D100" s="582"/>
      <c r="E100" s="582"/>
      <c r="F100" s="582"/>
      <c r="H100" s="582"/>
      <c r="I100" s="582"/>
      <c r="J100" s="582"/>
      <c r="K100" s="582"/>
      <c r="L100" s="582"/>
      <c r="N100" s="582"/>
      <c r="O100" s="582"/>
      <c r="P100" s="582"/>
      <c r="Q100" s="582"/>
      <c r="R100" s="582"/>
      <c r="U100" s="317"/>
      <c r="V100" s="317"/>
      <c r="W100" s="317"/>
      <c r="X100" s="317"/>
      <c r="Y100" s="317"/>
      <c r="Z100" s="317"/>
      <c r="AA100" s="317"/>
      <c r="AB100" s="317"/>
      <c r="AC100" s="317"/>
      <c r="AD100" s="317"/>
      <c r="AE100" s="317"/>
      <c r="AF100" s="317"/>
      <c r="AG100" s="317"/>
      <c r="AH100" s="317"/>
      <c r="AI100" s="317"/>
      <c r="AJ100" s="317"/>
      <c r="AK100" s="317"/>
      <c r="AL100" s="317"/>
    </row>
    <row r="101" spans="1:41" ht="11.4" x14ac:dyDescent="0.2">
      <c r="B101" s="582"/>
      <c r="C101" s="582"/>
      <c r="D101" s="582"/>
      <c r="E101" s="582"/>
      <c r="F101" s="582"/>
      <c r="H101" s="582"/>
      <c r="I101" s="582"/>
      <c r="J101" s="582"/>
      <c r="K101" s="582"/>
      <c r="L101" s="582"/>
      <c r="N101" s="582"/>
      <c r="O101" s="582"/>
      <c r="P101" s="582"/>
      <c r="Q101" s="582"/>
      <c r="R101" s="582"/>
      <c r="U101" s="317"/>
      <c r="V101" s="317"/>
      <c r="W101" s="317"/>
      <c r="X101" s="317"/>
      <c r="Y101" s="317"/>
      <c r="Z101" s="317"/>
      <c r="AA101" s="317"/>
      <c r="AB101" s="317"/>
      <c r="AC101" s="317"/>
      <c r="AD101" s="317"/>
      <c r="AE101" s="317"/>
      <c r="AF101" s="317"/>
      <c r="AG101" s="317"/>
      <c r="AH101" s="317"/>
      <c r="AI101" s="317"/>
      <c r="AJ101" s="317"/>
      <c r="AK101" s="317"/>
      <c r="AL101" s="317"/>
    </row>
    <row r="102" spans="1:41" ht="11.4" x14ac:dyDescent="0.2">
      <c r="B102" s="582"/>
      <c r="C102" s="582"/>
      <c r="D102" s="582"/>
      <c r="E102" s="582"/>
      <c r="F102" s="582"/>
      <c r="H102" s="582"/>
      <c r="I102" s="582"/>
      <c r="J102" s="582"/>
      <c r="K102" s="582"/>
      <c r="L102" s="582"/>
      <c r="N102" s="582"/>
      <c r="O102" s="582"/>
      <c r="P102" s="582"/>
      <c r="Q102" s="582"/>
      <c r="R102" s="582"/>
      <c r="U102" s="317"/>
      <c r="V102" s="317"/>
      <c r="W102" s="317"/>
      <c r="X102" s="317"/>
      <c r="Y102" s="317"/>
      <c r="Z102" s="317"/>
      <c r="AA102" s="317"/>
      <c r="AB102" s="317"/>
      <c r="AC102" s="317"/>
      <c r="AD102" s="317"/>
      <c r="AE102" s="317"/>
      <c r="AF102" s="317"/>
      <c r="AG102" s="317"/>
      <c r="AH102" s="317"/>
      <c r="AI102" s="317"/>
      <c r="AJ102" s="317"/>
      <c r="AK102" s="317"/>
      <c r="AL102" s="317"/>
    </row>
    <row r="103" spans="1:41" ht="11.4" x14ac:dyDescent="0.2">
      <c r="B103" s="582"/>
      <c r="C103" s="582"/>
      <c r="D103" s="582"/>
      <c r="E103" s="582"/>
      <c r="F103" s="582"/>
      <c r="H103" s="582"/>
      <c r="I103" s="582"/>
      <c r="J103" s="582"/>
      <c r="K103" s="582"/>
      <c r="L103" s="582"/>
      <c r="N103" s="582"/>
      <c r="O103" s="582"/>
      <c r="P103" s="582"/>
      <c r="Q103" s="582"/>
      <c r="R103" s="582"/>
      <c r="U103" s="317"/>
      <c r="V103" s="317"/>
      <c r="W103" s="317"/>
      <c r="X103" s="317"/>
      <c r="Y103" s="317"/>
      <c r="Z103" s="317"/>
      <c r="AA103" s="317"/>
      <c r="AB103" s="317"/>
      <c r="AC103" s="317"/>
      <c r="AD103" s="317"/>
      <c r="AE103" s="317"/>
      <c r="AF103" s="317"/>
      <c r="AG103" s="317"/>
      <c r="AH103" s="317"/>
      <c r="AI103" s="317"/>
      <c r="AJ103" s="317"/>
      <c r="AK103" s="317"/>
      <c r="AL103" s="317"/>
    </row>
    <row r="104" spans="1:41" ht="11.4" x14ac:dyDescent="0.2">
      <c r="B104" s="582"/>
      <c r="C104" s="582"/>
      <c r="D104" s="582"/>
      <c r="E104" s="582"/>
      <c r="F104" s="582"/>
      <c r="H104" s="582"/>
      <c r="I104" s="582"/>
      <c r="J104" s="582"/>
      <c r="K104" s="582"/>
      <c r="L104" s="582"/>
      <c r="N104" s="582"/>
      <c r="O104" s="582"/>
      <c r="P104" s="582"/>
      <c r="Q104" s="582"/>
      <c r="R104" s="582"/>
      <c r="U104" s="317"/>
      <c r="V104" s="317"/>
      <c r="W104" s="317"/>
      <c r="X104" s="317"/>
      <c r="Y104" s="317"/>
      <c r="Z104" s="317"/>
      <c r="AA104" s="317"/>
      <c r="AB104" s="317"/>
      <c r="AC104" s="317"/>
      <c r="AD104" s="317"/>
      <c r="AE104" s="317"/>
      <c r="AF104" s="317"/>
      <c r="AG104" s="317"/>
      <c r="AH104" s="317"/>
      <c r="AI104" s="317"/>
      <c r="AJ104" s="317"/>
      <c r="AK104" s="317"/>
      <c r="AL104" s="317"/>
    </row>
    <row r="105" spans="1:41" ht="11.4" x14ac:dyDescent="0.2">
      <c r="B105" s="582"/>
      <c r="C105" s="582"/>
      <c r="D105" s="582"/>
      <c r="E105" s="582"/>
      <c r="F105" s="582"/>
      <c r="H105" s="582"/>
      <c r="I105" s="582"/>
      <c r="J105" s="582"/>
      <c r="K105" s="582"/>
      <c r="L105" s="582"/>
      <c r="N105" s="582"/>
      <c r="O105" s="582"/>
      <c r="P105" s="582"/>
      <c r="Q105" s="582"/>
      <c r="R105" s="582"/>
      <c r="U105" s="317"/>
      <c r="V105" s="317"/>
      <c r="W105" s="317"/>
      <c r="X105" s="317"/>
      <c r="Y105" s="317"/>
      <c r="Z105" s="317"/>
      <c r="AA105" s="317"/>
      <c r="AB105" s="317"/>
      <c r="AC105" s="317"/>
      <c r="AD105" s="317"/>
      <c r="AE105" s="317"/>
      <c r="AF105" s="317"/>
      <c r="AG105" s="317"/>
      <c r="AH105" s="317"/>
      <c r="AI105" s="317"/>
      <c r="AJ105" s="317"/>
      <c r="AK105" s="317"/>
      <c r="AL105" s="317"/>
    </row>
    <row r="106" spans="1:41" ht="11.4" x14ac:dyDescent="0.2">
      <c r="B106" s="582"/>
      <c r="C106" s="582"/>
      <c r="D106" s="582"/>
      <c r="E106" s="582"/>
      <c r="F106" s="582"/>
      <c r="H106" s="582"/>
      <c r="I106" s="582"/>
      <c r="J106" s="582"/>
      <c r="K106" s="582"/>
      <c r="L106" s="582"/>
      <c r="N106" s="582"/>
      <c r="O106" s="582"/>
      <c r="P106" s="582"/>
      <c r="Q106" s="582"/>
      <c r="R106" s="582"/>
      <c r="U106" s="317"/>
      <c r="V106" s="317"/>
      <c r="W106" s="317"/>
      <c r="X106" s="317"/>
      <c r="Y106" s="317"/>
      <c r="Z106" s="317"/>
      <c r="AA106" s="317"/>
      <c r="AB106" s="317"/>
      <c r="AC106" s="317"/>
      <c r="AD106" s="317"/>
      <c r="AE106" s="317"/>
      <c r="AF106" s="317"/>
      <c r="AG106" s="317"/>
      <c r="AH106" s="317"/>
      <c r="AI106" s="317"/>
      <c r="AJ106" s="317"/>
      <c r="AK106" s="317"/>
      <c r="AL106" s="317"/>
    </row>
    <row r="107" spans="1:41" ht="11.4" x14ac:dyDescent="0.2">
      <c r="B107" s="582"/>
      <c r="C107" s="582"/>
      <c r="D107" s="582"/>
      <c r="E107" s="582"/>
      <c r="F107" s="582"/>
      <c r="H107" s="582"/>
      <c r="I107" s="582"/>
      <c r="J107" s="582"/>
      <c r="K107" s="582"/>
      <c r="L107" s="582"/>
      <c r="N107" s="582"/>
      <c r="O107" s="582"/>
      <c r="P107" s="582"/>
      <c r="Q107" s="582"/>
      <c r="R107" s="582"/>
      <c r="U107" s="317"/>
      <c r="V107" s="317"/>
      <c r="W107" s="317"/>
      <c r="X107" s="317"/>
      <c r="Y107" s="317"/>
      <c r="Z107" s="317"/>
      <c r="AA107" s="317"/>
      <c r="AB107" s="317"/>
      <c r="AC107" s="317"/>
      <c r="AD107" s="317"/>
      <c r="AE107" s="317"/>
      <c r="AF107" s="317"/>
      <c r="AG107" s="317"/>
      <c r="AH107" s="317"/>
      <c r="AI107" s="317"/>
      <c r="AJ107" s="317"/>
      <c r="AK107" s="317"/>
      <c r="AL107" s="317"/>
    </row>
    <row r="108" spans="1:41" ht="11.4" x14ac:dyDescent="0.2">
      <c r="B108" s="582"/>
      <c r="C108" s="582"/>
      <c r="D108" s="582"/>
      <c r="E108" s="582"/>
      <c r="F108" s="582"/>
      <c r="H108" s="582"/>
      <c r="I108" s="582"/>
      <c r="J108" s="582"/>
      <c r="K108" s="582"/>
      <c r="L108" s="582"/>
      <c r="N108" s="582"/>
      <c r="O108" s="582"/>
      <c r="P108" s="582"/>
      <c r="Q108" s="582"/>
      <c r="R108" s="582"/>
      <c r="U108" s="317"/>
      <c r="V108" s="317"/>
      <c r="W108" s="317"/>
      <c r="X108" s="317"/>
      <c r="Y108" s="317"/>
      <c r="Z108" s="317"/>
      <c r="AA108" s="317"/>
      <c r="AB108" s="317"/>
      <c r="AC108" s="317"/>
      <c r="AD108" s="317"/>
      <c r="AE108" s="317"/>
      <c r="AF108" s="317"/>
      <c r="AG108" s="317"/>
      <c r="AH108" s="317"/>
      <c r="AI108" s="317"/>
      <c r="AJ108" s="317"/>
      <c r="AK108" s="317"/>
      <c r="AL108" s="317"/>
    </row>
    <row r="109" spans="1:41" ht="11.4" x14ac:dyDescent="0.2">
      <c r="B109" s="582"/>
      <c r="C109" s="582"/>
      <c r="D109" s="582"/>
      <c r="E109" s="582"/>
      <c r="F109" s="582"/>
      <c r="H109" s="582"/>
      <c r="I109" s="582"/>
      <c r="J109" s="582"/>
      <c r="K109" s="582"/>
      <c r="L109" s="582"/>
      <c r="N109" s="582"/>
      <c r="O109" s="582"/>
      <c r="P109" s="582"/>
      <c r="Q109" s="582"/>
      <c r="R109" s="582"/>
      <c r="U109" s="317"/>
      <c r="V109" s="317"/>
      <c r="W109" s="317"/>
      <c r="X109" s="317"/>
      <c r="Y109" s="317"/>
      <c r="Z109" s="317"/>
      <c r="AA109" s="317"/>
      <c r="AB109" s="317"/>
      <c r="AC109" s="317"/>
      <c r="AD109" s="317"/>
      <c r="AE109" s="317"/>
      <c r="AF109" s="317"/>
      <c r="AG109" s="317"/>
      <c r="AH109" s="317"/>
      <c r="AI109" s="317"/>
      <c r="AJ109" s="317"/>
      <c r="AK109" s="317"/>
      <c r="AL109" s="317"/>
    </row>
    <row r="110" spans="1:41" x14ac:dyDescent="0.25">
      <c r="A110" s="322"/>
      <c r="B110" s="582"/>
      <c r="C110" s="582"/>
      <c r="D110" s="582"/>
      <c r="E110" s="582"/>
      <c r="F110" s="582"/>
      <c r="H110" s="582"/>
      <c r="I110" s="582"/>
      <c r="J110" s="582"/>
      <c r="K110" s="582"/>
      <c r="L110" s="582"/>
      <c r="N110" s="582"/>
      <c r="O110" s="582"/>
      <c r="P110" s="582"/>
      <c r="Q110" s="582"/>
      <c r="R110" s="582"/>
      <c r="U110" s="317"/>
      <c r="V110" s="317"/>
      <c r="W110" s="317"/>
      <c r="X110" s="317"/>
      <c r="Y110" s="317"/>
      <c r="Z110" s="317"/>
      <c r="AA110" s="317"/>
      <c r="AB110" s="317"/>
      <c r="AC110" s="317"/>
      <c r="AD110" s="317"/>
      <c r="AE110" s="317"/>
      <c r="AF110" s="317"/>
      <c r="AG110" s="317"/>
      <c r="AH110" s="317"/>
      <c r="AI110" s="317"/>
      <c r="AJ110" s="317"/>
      <c r="AK110" s="317"/>
      <c r="AL110" s="317"/>
    </row>
    <row r="111" spans="1:41" ht="11.4" x14ac:dyDescent="0.2">
      <c r="B111" s="582"/>
      <c r="C111" s="582"/>
      <c r="D111" s="582"/>
      <c r="E111" s="582"/>
      <c r="F111" s="582"/>
      <c r="H111" s="582"/>
      <c r="I111" s="582"/>
      <c r="J111" s="582"/>
      <c r="K111" s="582"/>
      <c r="L111" s="582"/>
      <c r="N111" s="582"/>
      <c r="O111" s="582"/>
      <c r="P111" s="582"/>
      <c r="Q111" s="582"/>
      <c r="R111" s="582"/>
      <c r="U111" s="317"/>
      <c r="V111" s="317"/>
      <c r="W111" s="317"/>
      <c r="X111" s="317"/>
      <c r="Y111" s="317"/>
      <c r="Z111" s="317"/>
      <c r="AA111" s="317"/>
      <c r="AB111" s="317"/>
      <c r="AC111" s="317"/>
      <c r="AD111" s="317"/>
      <c r="AE111" s="317"/>
      <c r="AF111" s="317"/>
      <c r="AG111" s="317"/>
      <c r="AH111" s="317"/>
      <c r="AI111" s="317"/>
      <c r="AJ111" s="317"/>
      <c r="AK111" s="317"/>
      <c r="AL111" s="317"/>
      <c r="AN111" s="388"/>
      <c r="AO111" s="387"/>
    </row>
    <row r="112" spans="1:41" x14ac:dyDescent="0.25">
      <c r="B112" s="322"/>
      <c r="C112" s="582"/>
      <c r="D112" s="582"/>
      <c r="E112" s="582"/>
      <c r="F112" s="582"/>
      <c r="H112" s="322"/>
      <c r="I112" s="582"/>
      <c r="J112" s="582"/>
      <c r="K112" s="582"/>
      <c r="L112" s="582"/>
      <c r="N112" s="322"/>
      <c r="O112" s="582"/>
      <c r="P112" s="582"/>
      <c r="Q112" s="582"/>
      <c r="R112" s="582"/>
      <c r="U112" s="317"/>
      <c r="V112" s="317"/>
      <c r="W112" s="317"/>
      <c r="X112" s="317"/>
      <c r="Y112" s="317"/>
      <c r="Z112" s="317"/>
      <c r="AA112" s="317"/>
      <c r="AB112" s="317"/>
      <c r="AC112" s="317"/>
      <c r="AD112" s="317"/>
      <c r="AE112" s="317"/>
      <c r="AF112" s="317"/>
      <c r="AG112" s="317"/>
      <c r="AH112" s="317"/>
      <c r="AI112" s="317"/>
      <c r="AJ112" s="317"/>
      <c r="AK112" s="317"/>
      <c r="AL112" s="317"/>
      <c r="AN112" s="327"/>
    </row>
    <row r="113" spans="2:40" x14ac:dyDescent="0.25">
      <c r="B113" s="582"/>
      <c r="C113" s="582"/>
      <c r="D113" s="582"/>
      <c r="E113" s="582"/>
      <c r="F113" s="582"/>
      <c r="H113" s="582"/>
      <c r="I113" s="582"/>
      <c r="J113" s="582"/>
      <c r="K113" s="582"/>
      <c r="L113" s="582"/>
      <c r="N113" s="582"/>
      <c r="O113" s="582"/>
      <c r="P113" s="582"/>
      <c r="Q113" s="582"/>
      <c r="R113" s="582"/>
      <c r="U113" s="317"/>
      <c r="V113" s="317"/>
      <c r="W113" s="317"/>
      <c r="X113" s="317"/>
      <c r="Y113" s="317"/>
      <c r="Z113" s="317"/>
      <c r="AA113" s="317"/>
      <c r="AB113" s="317"/>
      <c r="AC113" s="317"/>
      <c r="AD113" s="317"/>
      <c r="AE113" s="317"/>
      <c r="AF113" s="317"/>
      <c r="AG113" s="317"/>
      <c r="AH113" s="317"/>
      <c r="AI113" s="317"/>
      <c r="AJ113" s="317"/>
      <c r="AK113" s="317"/>
      <c r="AL113" s="317"/>
      <c r="AN113" s="327"/>
    </row>
    <row r="114" spans="2:40" ht="11.4" x14ac:dyDescent="0.2">
      <c r="U114" s="317"/>
      <c r="V114" s="317"/>
      <c r="W114" s="317"/>
      <c r="X114" s="317"/>
      <c r="Y114" s="317"/>
      <c r="Z114" s="317"/>
      <c r="AA114" s="317"/>
      <c r="AB114" s="317"/>
      <c r="AC114" s="317"/>
      <c r="AD114" s="317"/>
      <c r="AE114" s="317"/>
      <c r="AF114" s="317"/>
      <c r="AG114" s="317"/>
      <c r="AH114" s="317"/>
      <c r="AI114" s="317"/>
      <c r="AJ114" s="317"/>
      <c r="AK114" s="317"/>
      <c r="AL114" s="317"/>
    </row>
    <row r="115" spans="2:40" ht="30" customHeight="1" x14ac:dyDescent="0.2">
      <c r="B115" s="316" t="s">
        <v>43</v>
      </c>
      <c r="U115" s="317"/>
      <c r="V115" s="317"/>
      <c r="W115" s="317"/>
      <c r="X115" s="317"/>
      <c r="Y115" s="317"/>
      <c r="Z115" s="317"/>
      <c r="AA115" s="317"/>
      <c r="AB115" s="317"/>
      <c r="AC115" s="317"/>
      <c r="AD115" s="317"/>
      <c r="AE115" s="317"/>
      <c r="AF115" s="317"/>
      <c r="AG115" s="317"/>
      <c r="AH115" s="317"/>
      <c r="AI115" s="317"/>
      <c r="AJ115" s="317"/>
      <c r="AK115" s="317"/>
      <c r="AL115" s="317"/>
    </row>
    <row r="116" spans="2:40" ht="11.4" x14ac:dyDescent="0.2">
      <c r="U116" s="317"/>
      <c r="V116" s="317"/>
      <c r="W116" s="317"/>
      <c r="X116" s="317"/>
      <c r="Y116" s="317"/>
      <c r="Z116" s="317"/>
      <c r="AA116" s="317"/>
      <c r="AB116" s="317"/>
      <c r="AC116" s="317"/>
      <c r="AD116" s="317"/>
      <c r="AE116" s="317"/>
      <c r="AF116" s="317"/>
      <c r="AG116" s="317"/>
      <c r="AH116" s="317"/>
      <c r="AI116" s="317"/>
      <c r="AJ116" s="317"/>
      <c r="AK116" s="317"/>
      <c r="AL116" s="317"/>
    </row>
    <row r="117" spans="2:40" ht="14.4" x14ac:dyDescent="0.3">
      <c r="B117" s="801" t="str">
        <f>+B5</f>
        <v>Central Goverment of Costa Rica</v>
      </c>
      <c r="C117" s="801"/>
      <c r="D117" s="801"/>
      <c r="E117" s="801"/>
      <c r="F117" s="801"/>
      <c r="G117" s="801"/>
      <c r="H117" s="801"/>
      <c r="I117" s="801"/>
      <c r="J117" s="801"/>
      <c r="K117" s="801"/>
      <c r="L117" s="801"/>
      <c r="M117" s="801"/>
      <c r="N117" s="801"/>
      <c r="O117" s="801"/>
      <c r="P117" s="801"/>
      <c r="Q117" s="801"/>
      <c r="R117" s="801"/>
      <c r="S117" s="801"/>
      <c r="T117" s="801"/>
      <c r="U117" s="801"/>
      <c r="V117" s="801"/>
      <c r="W117" s="801"/>
      <c r="X117" s="801"/>
      <c r="Y117" s="801"/>
      <c r="Z117" s="801"/>
      <c r="AA117" s="801"/>
      <c r="AB117" s="801"/>
      <c r="AC117" s="801"/>
      <c r="AD117" s="801"/>
      <c r="AE117" s="801"/>
      <c r="AF117" s="801"/>
      <c r="AG117" s="801"/>
      <c r="AH117" s="801"/>
      <c r="AI117" s="801"/>
      <c r="AJ117" s="801"/>
      <c r="AK117" s="317"/>
      <c r="AL117" s="317"/>
    </row>
    <row r="118" spans="2:40" ht="14.4" x14ac:dyDescent="0.3">
      <c r="B118" s="801" t="str">
        <f>+B6</f>
        <v>Maturity Profile Public Debt</v>
      </c>
      <c r="C118" s="801"/>
      <c r="D118" s="801"/>
      <c r="E118" s="801"/>
      <c r="F118" s="801"/>
      <c r="G118" s="801"/>
      <c r="H118" s="801"/>
      <c r="I118" s="801"/>
      <c r="J118" s="801"/>
      <c r="K118" s="801"/>
      <c r="L118" s="801"/>
      <c r="M118" s="801"/>
      <c r="N118" s="801"/>
      <c r="O118" s="801"/>
      <c r="P118" s="801"/>
      <c r="Q118" s="801"/>
      <c r="R118" s="801"/>
      <c r="S118" s="801"/>
      <c r="T118" s="801"/>
      <c r="U118" s="801"/>
      <c r="V118" s="801"/>
      <c r="W118" s="801"/>
      <c r="X118" s="801"/>
      <c r="Y118" s="801"/>
      <c r="Z118" s="801"/>
      <c r="AA118" s="801"/>
      <c r="AB118" s="801"/>
      <c r="AC118" s="801"/>
      <c r="AD118" s="801"/>
      <c r="AE118" s="801"/>
      <c r="AF118" s="801"/>
      <c r="AG118" s="801"/>
      <c r="AH118" s="801"/>
      <c r="AI118" s="801"/>
      <c r="AJ118" s="801"/>
      <c r="AK118" s="317"/>
      <c r="AL118" s="317"/>
    </row>
    <row r="119" spans="2:40" ht="14.4" x14ac:dyDescent="0.3">
      <c r="B119" s="801" t="str">
        <f>+B51</f>
        <v>December 31st  2020</v>
      </c>
      <c r="C119" s="801"/>
      <c r="D119" s="801"/>
      <c r="E119" s="801"/>
      <c r="F119" s="801"/>
      <c r="G119" s="801"/>
      <c r="H119" s="801"/>
      <c r="I119" s="801"/>
      <c r="J119" s="801"/>
      <c r="K119" s="801"/>
      <c r="L119" s="801"/>
      <c r="M119" s="801"/>
      <c r="N119" s="801"/>
      <c r="O119" s="801"/>
      <c r="P119" s="801"/>
      <c r="Q119" s="801"/>
      <c r="R119" s="801"/>
      <c r="S119" s="801"/>
      <c r="T119" s="801"/>
      <c r="U119" s="801"/>
      <c r="V119" s="801"/>
      <c r="W119" s="801"/>
      <c r="X119" s="801"/>
      <c r="Y119" s="801"/>
      <c r="Z119" s="801"/>
      <c r="AA119" s="801"/>
      <c r="AB119" s="801"/>
      <c r="AC119" s="801"/>
      <c r="AD119" s="801"/>
      <c r="AE119" s="801"/>
      <c r="AF119" s="801"/>
      <c r="AG119" s="801"/>
      <c r="AH119" s="801"/>
      <c r="AI119" s="801"/>
      <c r="AJ119" s="801"/>
      <c r="AK119" s="317"/>
      <c r="AL119" s="317"/>
    </row>
    <row r="120" spans="2:40" ht="14.4" x14ac:dyDescent="0.3">
      <c r="B120" s="801" t="str">
        <f>+B9</f>
        <v>(Millions of colones)</v>
      </c>
      <c r="C120" s="801"/>
      <c r="D120" s="801"/>
      <c r="E120" s="801"/>
      <c r="F120" s="801"/>
      <c r="G120" s="801"/>
      <c r="H120" s="801"/>
      <c r="I120" s="801"/>
      <c r="J120" s="801"/>
      <c r="K120" s="801"/>
      <c r="L120" s="801"/>
      <c r="M120" s="801"/>
      <c r="N120" s="801"/>
      <c r="O120" s="801"/>
      <c r="P120" s="801"/>
      <c r="Q120" s="801"/>
      <c r="R120" s="801"/>
      <c r="S120" s="801"/>
      <c r="T120" s="801"/>
      <c r="U120" s="801"/>
      <c r="V120" s="801"/>
      <c r="W120" s="801"/>
      <c r="X120" s="801"/>
      <c r="Y120" s="801"/>
      <c r="Z120" s="801"/>
      <c r="AA120" s="801"/>
      <c r="AB120" s="801"/>
      <c r="AC120" s="801"/>
      <c r="AD120" s="801"/>
      <c r="AE120" s="801"/>
      <c r="AF120" s="801"/>
      <c r="AG120" s="801"/>
      <c r="AH120" s="801"/>
      <c r="AI120" s="801"/>
      <c r="AJ120" s="801"/>
      <c r="AK120" s="317"/>
      <c r="AL120" s="317"/>
    </row>
    <row r="121" spans="2:40" ht="14.4" x14ac:dyDescent="0.3">
      <c r="B121" s="754"/>
      <c r="C121" s="754"/>
      <c r="D121" s="754"/>
      <c r="E121" s="754"/>
      <c r="F121" s="754"/>
      <c r="G121" s="754"/>
      <c r="H121" s="754"/>
      <c r="I121" s="754"/>
      <c r="J121" s="754"/>
      <c r="K121" s="754"/>
      <c r="L121" s="754"/>
      <c r="M121" s="754"/>
      <c r="N121" s="754"/>
      <c r="O121" s="754"/>
      <c r="P121" s="754"/>
      <c r="Q121" s="754"/>
      <c r="R121" s="754"/>
      <c r="S121" s="754"/>
      <c r="T121" s="754"/>
      <c r="U121" s="754"/>
      <c r="V121" s="754"/>
      <c r="W121" s="754"/>
      <c r="X121" s="754"/>
      <c r="Y121" s="754"/>
      <c r="Z121" s="754"/>
      <c r="AA121" s="754"/>
      <c r="AB121" s="754"/>
      <c r="AC121" s="754"/>
      <c r="AD121" s="754"/>
      <c r="AE121" s="754"/>
      <c r="AF121" s="754"/>
      <c r="AG121" s="754"/>
      <c r="AH121" s="754"/>
      <c r="AI121" s="754"/>
      <c r="AJ121" s="754"/>
      <c r="AK121" s="317"/>
      <c r="AL121" s="317"/>
    </row>
    <row r="122" spans="2:40" ht="13.2" x14ac:dyDescent="0.25">
      <c r="B122" s="325" t="s">
        <v>159</v>
      </c>
      <c r="C122" s="326">
        <v>2021</v>
      </c>
      <c r="D122" s="326">
        <f>+C122+1</f>
        <v>2022</v>
      </c>
      <c r="E122" s="326">
        <f t="shared" ref="E122:AH122" si="2">+D122+1</f>
        <v>2023</v>
      </c>
      <c r="F122" s="326">
        <f t="shared" si="2"/>
        <v>2024</v>
      </c>
      <c r="G122" s="326">
        <f t="shared" si="2"/>
        <v>2025</v>
      </c>
      <c r="H122" s="326">
        <f t="shared" si="2"/>
        <v>2026</v>
      </c>
      <c r="I122" s="326">
        <f t="shared" si="2"/>
        <v>2027</v>
      </c>
      <c r="J122" s="326">
        <f t="shared" si="2"/>
        <v>2028</v>
      </c>
      <c r="K122" s="326">
        <f t="shared" si="2"/>
        <v>2029</v>
      </c>
      <c r="L122" s="326">
        <f t="shared" si="2"/>
        <v>2030</v>
      </c>
      <c r="M122" s="326">
        <f t="shared" si="2"/>
        <v>2031</v>
      </c>
      <c r="N122" s="326">
        <f t="shared" si="2"/>
        <v>2032</v>
      </c>
      <c r="O122" s="326">
        <f t="shared" si="2"/>
        <v>2033</v>
      </c>
      <c r="P122" s="326">
        <f t="shared" si="2"/>
        <v>2034</v>
      </c>
      <c r="Q122" s="326">
        <f t="shared" si="2"/>
        <v>2035</v>
      </c>
      <c r="R122" s="326">
        <f t="shared" si="2"/>
        <v>2036</v>
      </c>
      <c r="S122" s="326">
        <f t="shared" si="2"/>
        <v>2037</v>
      </c>
      <c r="T122" s="326">
        <f t="shared" si="2"/>
        <v>2038</v>
      </c>
      <c r="U122" s="326">
        <f t="shared" si="2"/>
        <v>2039</v>
      </c>
      <c r="V122" s="326">
        <f t="shared" si="2"/>
        <v>2040</v>
      </c>
      <c r="W122" s="326">
        <f t="shared" si="2"/>
        <v>2041</v>
      </c>
      <c r="X122" s="326">
        <f t="shared" si="2"/>
        <v>2042</v>
      </c>
      <c r="Y122" s="326">
        <f t="shared" si="2"/>
        <v>2043</v>
      </c>
      <c r="Z122" s="326">
        <f t="shared" si="2"/>
        <v>2044</v>
      </c>
      <c r="AA122" s="326">
        <f t="shared" si="2"/>
        <v>2045</v>
      </c>
      <c r="AB122" s="326">
        <f t="shared" si="2"/>
        <v>2046</v>
      </c>
      <c r="AC122" s="326">
        <f t="shared" si="2"/>
        <v>2047</v>
      </c>
      <c r="AD122" s="326">
        <f t="shared" si="2"/>
        <v>2048</v>
      </c>
      <c r="AE122" s="326">
        <f t="shared" si="2"/>
        <v>2049</v>
      </c>
      <c r="AF122" s="326">
        <f t="shared" si="2"/>
        <v>2050</v>
      </c>
      <c r="AG122" s="326">
        <f t="shared" si="2"/>
        <v>2051</v>
      </c>
      <c r="AH122" s="326">
        <f t="shared" si="2"/>
        <v>2052</v>
      </c>
      <c r="AI122"/>
      <c r="AJ122" s="317"/>
      <c r="AK122" s="389"/>
      <c r="AL122" s="317"/>
    </row>
    <row r="123" spans="2:40" ht="13.2" x14ac:dyDescent="0.25">
      <c r="B123" s="327" t="s">
        <v>160</v>
      </c>
      <c r="C123" s="635">
        <f>+'Maturity Profile Domestic Debt'!C120+'Maturity Profile External Debt'!C108</f>
        <v>227883.59485265648</v>
      </c>
      <c r="D123" s="635">
        <f>+'Maturity Profile Domestic Debt'!D120+'Maturity Profile External Debt'!D108</f>
        <v>252891.06087085881</v>
      </c>
      <c r="E123" s="635">
        <f>+'Maturity Profile Domestic Debt'!E120+'Maturity Profile External Debt'!E108</f>
        <v>616890.5293767699</v>
      </c>
      <c r="F123" s="635">
        <f>+'Maturity Profile Domestic Debt'!F120+'Maturity Profile External Debt'!F108</f>
        <v>458665.63742345193</v>
      </c>
      <c r="G123" s="635">
        <f>+'Maturity Profile Domestic Debt'!G120+'Maturity Profile External Debt'!G108</f>
        <v>37529.637437645717</v>
      </c>
      <c r="H123" s="635">
        <f>+'Maturity Profile Domestic Debt'!H120+'Maturity Profile External Debt'!H108</f>
        <v>62165.038179413568</v>
      </c>
      <c r="I123" s="635">
        <f>+'Maturity Profile Domestic Debt'!I120+'Maturity Profile External Debt'!I108</f>
        <v>1169.2829008614001</v>
      </c>
      <c r="J123" s="635">
        <f>+'Maturity Profile Domestic Debt'!J120+'Maturity Profile External Debt'!J108</f>
        <v>470148.07884231169</v>
      </c>
      <c r="K123" s="635">
        <f>+'Maturity Profile Domestic Debt'!K120+'Maturity Profile External Debt'!K108</f>
        <v>173001.0604015284</v>
      </c>
      <c r="L123" s="635">
        <f>+'Maturity Profile Domestic Debt'!L120+'Maturity Profile External Debt'!L108</f>
        <v>802.0371491236001</v>
      </c>
      <c r="M123" s="635">
        <f>+'Maturity Profile Domestic Debt'!M120+'Maturity Profile External Debt'!M108</f>
        <v>812.34906389419996</v>
      </c>
      <c r="N123" s="635">
        <f>+'Maturity Profile Domestic Debt'!N120+'Maturity Profile External Debt'!N108</f>
        <v>829.19080900380004</v>
      </c>
      <c r="O123" s="635">
        <f>+'Maturity Profile Domestic Debt'!O120+'Maturity Profile External Debt'!O108</f>
        <v>853.81454715900009</v>
      </c>
      <c r="P123" s="635">
        <f>+'Maturity Profile Domestic Debt'!P120+'Maturity Profile External Debt'!P108</f>
        <v>371.85277530594999</v>
      </c>
      <c r="Q123" s="635">
        <f>+'Maturity Profile Domestic Debt'!Q120+'Maturity Profile External Debt'!Q108</f>
        <v>368.1783146491</v>
      </c>
      <c r="R123" s="635">
        <f>+'Maturity Profile Domestic Debt'!R120+'Maturity Profile External Debt'!R108</f>
        <v>307.87</v>
      </c>
      <c r="S123" s="635">
        <f>+'Maturity Profile Domestic Debt'!S120+'Maturity Profile External Debt'!S108</f>
        <v>307.87</v>
      </c>
      <c r="T123" s="635">
        <f>+'Maturity Profile Domestic Debt'!T120+'Maturity Profile External Debt'!T108</f>
        <v>307.87</v>
      </c>
      <c r="U123" s="635">
        <f>+'Maturity Profile Domestic Debt'!U120+'Maturity Profile External Debt'!U108</f>
        <v>307.87</v>
      </c>
      <c r="V123" s="635">
        <f>+'Maturity Profile Domestic Debt'!V120+'Maturity Profile External Debt'!V108</f>
        <v>156446.29449999999</v>
      </c>
      <c r="W123" s="635">
        <f>+'Maturity Profile Domestic Debt'!W120+'Maturity Profile External Debt'!W108</f>
        <v>307.87</v>
      </c>
      <c r="X123" s="635">
        <f>+'Maturity Profile Domestic Debt'!X120+'Maturity Profile External Debt'!X108</f>
        <v>307.87</v>
      </c>
      <c r="Y123" s="635">
        <f>+'Maturity Profile Domestic Debt'!Y120+'Maturity Profile External Debt'!Y108</f>
        <v>307.87</v>
      </c>
      <c r="Z123" s="635">
        <f>+'Maturity Profile Domestic Debt'!Z120+'Maturity Profile External Debt'!Z108</f>
        <v>0</v>
      </c>
      <c r="AA123" s="635">
        <f>+'Maturity Profile Domestic Debt'!AA120+'Maturity Profile External Debt'!AA108</f>
        <v>0</v>
      </c>
      <c r="AB123" s="635">
        <f>+'Maturity Profile Domestic Debt'!AB120+'Maturity Profile External Debt'!AB108</f>
        <v>0</v>
      </c>
      <c r="AC123" s="635">
        <f>+'Maturity Profile Domestic Debt'!AC120+'Maturity Profile External Debt'!AC108</f>
        <v>0</v>
      </c>
      <c r="AD123" s="635">
        <f>+'Maturity Profile Domestic Debt'!AD120+'Maturity Profile External Debt'!AD108</f>
        <v>0</v>
      </c>
      <c r="AE123" s="635">
        <f>+'Maturity Profile Domestic Debt'!AE120+'Maturity Profile External Debt'!AE108</f>
        <v>0</v>
      </c>
      <c r="AF123" s="635">
        <f>+'Maturity Profile Domestic Debt'!AF120+'Maturity Profile External Debt'!AF108</f>
        <v>0</v>
      </c>
      <c r="AG123" s="635">
        <f>+'Maturity Profile Domestic Debt'!AG120+'Maturity Profile External Debt'!AG108</f>
        <v>0</v>
      </c>
      <c r="AH123" s="635">
        <f>+'Maturity Profile Domestic Debt'!AH120+'Maturity Profile External Debt'!AH108</f>
        <v>0</v>
      </c>
      <c r="AI123"/>
      <c r="AJ123" s="317"/>
      <c r="AK123" s="389"/>
      <c r="AL123" s="317"/>
    </row>
    <row r="124" spans="2:40" ht="13.2" x14ac:dyDescent="0.25">
      <c r="B124" s="327" t="s">
        <v>161</v>
      </c>
      <c r="C124" s="635">
        <f>+'Maturity Profile Domestic Debt'!C121+'Maturity Profile External Debt'!C109</f>
        <v>147555.48683350495</v>
      </c>
      <c r="D124" s="635">
        <f>+'Maturity Profile Domestic Debt'!D121+'Maturity Profile External Debt'!D109</f>
        <v>220961.88492684718</v>
      </c>
      <c r="E124" s="635">
        <f>+'Maturity Profile Domestic Debt'!E121+'Maturity Profile External Debt'!E109</f>
        <v>433748.7691379413</v>
      </c>
      <c r="F124" s="635">
        <f>+'Maturity Profile Domestic Debt'!F121+'Maturity Profile External Debt'!F109</f>
        <v>287778.67194861255</v>
      </c>
      <c r="G124" s="635">
        <f>+'Maturity Profile Domestic Debt'!G121+'Maturity Profile External Debt'!G109</f>
        <v>502014.15086003474</v>
      </c>
      <c r="H124" s="635">
        <f>+'Maturity Profile Domestic Debt'!H121+'Maturity Profile External Debt'!H109</f>
        <v>5536.1722704543499</v>
      </c>
      <c r="I124" s="635">
        <f>+'Maturity Profile Domestic Debt'!I121+'Maturity Profile External Debt'!I109</f>
        <v>485800.51023982954</v>
      </c>
      <c r="J124" s="635">
        <f>+'Maturity Profile Domestic Debt'!J121+'Maturity Profile External Debt'!J109</f>
        <v>296470.93762564793</v>
      </c>
      <c r="K124" s="635">
        <f>+'Maturity Profile Domestic Debt'!K121+'Maturity Profile External Debt'!K109</f>
        <v>679428.1595916932</v>
      </c>
      <c r="L124" s="635">
        <f>+'Maturity Profile Domestic Debt'!L121+'Maturity Profile External Debt'!L109</f>
        <v>630416.63024380174</v>
      </c>
      <c r="M124" s="635">
        <f>+'Maturity Profile Domestic Debt'!M121+'Maturity Profile External Debt'!M109</f>
        <v>251904.4784709049</v>
      </c>
      <c r="N124" s="635">
        <f>+'Maturity Profile Domestic Debt'!N121+'Maturity Profile External Debt'!N109</f>
        <v>5605.6728908163004</v>
      </c>
      <c r="O124" s="635">
        <f>+'Maturity Profile Domestic Debt'!O121+'Maturity Profile External Debt'!O109</f>
        <v>5644.3408360476496</v>
      </c>
      <c r="P124" s="635">
        <f>+'Maturity Profile Domestic Debt'!P121+'Maturity Profile External Debt'!P109</f>
        <v>5147.4741396178497</v>
      </c>
      <c r="Q124" s="635">
        <f>+'Maturity Profile Domestic Debt'!Q121+'Maturity Profile External Debt'!Q109</f>
        <v>5099.4467239122005</v>
      </c>
      <c r="R124" s="635">
        <f>+'Maturity Profile Domestic Debt'!R121+'Maturity Profile External Debt'!R109</f>
        <v>280726.7605978722</v>
      </c>
      <c r="S124" s="635">
        <f>+'Maturity Profile Domestic Debt'!S121+'Maturity Profile External Debt'!S109</f>
        <v>5065.9604143542001</v>
      </c>
      <c r="T124" s="635">
        <f>+'Maturity Profile Domestic Debt'!T121+'Maturity Profile External Debt'!T109</f>
        <v>5065.9604143542001</v>
      </c>
      <c r="U124" s="635">
        <f>+'Maturity Profile Domestic Debt'!U121+'Maturity Profile External Debt'!U109</f>
        <v>5065.9604143542001</v>
      </c>
      <c r="V124" s="635">
        <f>+'Maturity Profile Domestic Debt'!V121+'Maturity Profile External Debt'!V109</f>
        <v>5065.9604143542001</v>
      </c>
      <c r="W124" s="635">
        <f>+'Maturity Profile Domestic Debt'!W121+'Maturity Profile External Debt'!W109</f>
        <v>5065.9604143542001</v>
      </c>
      <c r="X124" s="635">
        <f>+'Maturity Profile Domestic Debt'!X121+'Maturity Profile External Debt'!X109</f>
        <v>5065.9604143542001</v>
      </c>
      <c r="Y124" s="635">
        <f>+'Maturity Profile Domestic Debt'!Y121+'Maturity Profile External Debt'!Y109</f>
        <v>5373.8304143542</v>
      </c>
      <c r="Z124" s="635">
        <f>+'Maturity Profile Domestic Debt'!Z121+'Maturity Profile External Debt'!Z109</f>
        <v>4366.1563630766004</v>
      </c>
      <c r="AA124" s="635">
        <f>+'Maturity Profile Domestic Debt'!AA121+'Maturity Profile External Debt'!AA109</f>
        <v>4366.1563630766004</v>
      </c>
      <c r="AB124" s="635">
        <f>+'Maturity Profile Domestic Debt'!AB121+'Maturity Profile External Debt'!AB109</f>
        <v>4366.1563630766004</v>
      </c>
      <c r="AC124" s="635">
        <f>+'Maturity Profile Domestic Debt'!AC121+'Maturity Profile External Debt'!AC109</f>
        <v>4366.1563630766004</v>
      </c>
      <c r="AD124" s="635">
        <f>+'Maturity Profile Domestic Debt'!AD121+'Maturity Profile External Debt'!AD109</f>
        <v>4366.1563630766004</v>
      </c>
      <c r="AE124" s="635">
        <f>+'Maturity Profile Domestic Debt'!AE121+'Maturity Profile External Debt'!AE109</f>
        <v>4366.1563630766004</v>
      </c>
      <c r="AF124" s="635">
        <f>+'Maturity Profile Domestic Debt'!AF121+'Maturity Profile External Debt'!AF109</f>
        <v>0</v>
      </c>
      <c r="AG124" s="635">
        <f>+'Maturity Profile Domestic Debt'!AG121+'Maturity Profile External Debt'!AG109</f>
        <v>0</v>
      </c>
      <c r="AH124" s="635">
        <f>+'Maturity Profile Domestic Debt'!AH121+'Maturity Profile External Debt'!AH109</f>
        <v>0</v>
      </c>
      <c r="AI124"/>
      <c r="AJ124" s="317"/>
      <c r="AK124" s="389"/>
      <c r="AL124" s="317"/>
    </row>
    <row r="125" spans="2:40" ht="13.2" x14ac:dyDescent="0.25">
      <c r="B125" s="327" t="s">
        <v>162</v>
      </c>
      <c r="C125" s="635">
        <f>+'Maturity Profile Domestic Debt'!C122+'Maturity Profile External Debt'!C110</f>
        <v>245729.27110712891</v>
      </c>
      <c r="D125" s="635">
        <f>+'Maturity Profile Domestic Debt'!D122+'Maturity Profile External Debt'!D110</f>
        <v>15301.293090915406</v>
      </c>
      <c r="E125" s="635">
        <f>+'Maturity Profile Domestic Debt'!E122+'Maturity Profile External Debt'!E110</f>
        <v>208212.71687553785</v>
      </c>
      <c r="F125" s="635">
        <f>+'Maturity Profile Domestic Debt'!F122+'Maturity Profile External Debt'!F110</f>
        <v>315047.55267535866</v>
      </c>
      <c r="G125" s="635">
        <f>+'Maturity Profile Domestic Debt'!G122+'Maturity Profile External Debt'!G110</f>
        <v>41531.09093511325</v>
      </c>
      <c r="H125" s="635">
        <f>+'Maturity Profile Domestic Debt'!H122+'Maturity Profile External Debt'!H110</f>
        <v>471154.17106653587</v>
      </c>
      <c r="I125" s="635">
        <f>+'Maturity Profile Domestic Debt'!I122+'Maturity Profile External Debt'!I110</f>
        <v>476011.11087890097</v>
      </c>
      <c r="J125" s="635">
        <f>+'Maturity Profile Domestic Debt'!J122+'Maturity Profile External Debt'!J110</f>
        <v>40327.327657673799</v>
      </c>
      <c r="K125" s="635">
        <f>+'Maturity Profile Domestic Debt'!K122+'Maturity Profile External Debt'!K110</f>
        <v>31186.991538861661</v>
      </c>
      <c r="L125" s="635">
        <f>+'Maturity Profile Domestic Debt'!L122+'Maturity Profile External Debt'!L110</f>
        <v>31134.19470249091</v>
      </c>
      <c r="M125" s="635">
        <f>+'Maturity Profile Domestic Debt'!M122+'Maturity Profile External Debt'!M110</f>
        <v>31113.177314849097</v>
      </c>
      <c r="N125" s="635">
        <f>+'Maturity Profile Domestic Debt'!N122+'Maturity Profile External Debt'!N110</f>
        <v>28707.474380482898</v>
      </c>
      <c r="O125" s="635">
        <f>+'Maturity Profile Domestic Debt'!O122+'Maturity Profile External Debt'!O110</f>
        <v>28804.856177183497</v>
      </c>
      <c r="P125" s="635">
        <f>+'Maturity Profile Domestic Debt'!P122+'Maturity Profile External Debt'!P110</f>
        <v>28182.540087859197</v>
      </c>
      <c r="Q125" s="635">
        <f>+'Maturity Profile Domestic Debt'!Q122+'Maturity Profile External Debt'!Q110</f>
        <v>259200.75345355147</v>
      </c>
      <c r="R125" s="635">
        <f>+'Maturity Profile Domestic Debt'!R122+'Maturity Profile External Debt'!R110</f>
        <v>23307.404563157896</v>
      </c>
      <c r="S125" s="635">
        <f>+'Maturity Profile Domestic Debt'!S122+'Maturity Profile External Debt'!S110</f>
        <v>21153.264372894897</v>
      </c>
      <c r="T125" s="635">
        <f>+'Maturity Profile Domestic Debt'!T122+'Maturity Profile External Debt'!T110</f>
        <v>19244.5405815618</v>
      </c>
      <c r="U125" s="635">
        <f>+'Maturity Profile Domestic Debt'!U122+'Maturity Profile External Debt'!U110</f>
        <v>8948.5911117553987</v>
      </c>
      <c r="V125" s="635">
        <f>+'Maturity Profile Domestic Debt'!V122+'Maturity Profile External Debt'!V110</f>
        <v>0</v>
      </c>
      <c r="W125" s="635">
        <f>+'Maturity Profile Domestic Debt'!W122+'Maturity Profile External Debt'!W110</f>
        <v>0</v>
      </c>
      <c r="X125" s="635">
        <f>+'Maturity Profile Domestic Debt'!X122+'Maturity Profile External Debt'!X110</f>
        <v>0</v>
      </c>
      <c r="Y125" s="635">
        <f>+'Maturity Profile Domestic Debt'!Y122+'Maturity Profile External Debt'!Y110</f>
        <v>0</v>
      </c>
      <c r="Z125" s="635">
        <f>+'Maturity Profile Domestic Debt'!Z122+'Maturity Profile External Debt'!Z110</f>
        <v>0</v>
      </c>
      <c r="AA125" s="635">
        <f>+'Maturity Profile Domestic Debt'!AA122+'Maturity Profile External Debt'!AA110</f>
        <v>800462</v>
      </c>
      <c r="AB125" s="635">
        <f>+'Maturity Profile Domestic Debt'!AB122+'Maturity Profile External Debt'!AB110</f>
        <v>0</v>
      </c>
      <c r="AC125" s="635">
        <f>+'Maturity Profile Domestic Debt'!AC122+'Maturity Profile External Debt'!AC110</f>
        <v>0</v>
      </c>
      <c r="AD125" s="635">
        <f>+'Maturity Profile Domestic Debt'!AD122+'Maturity Profile External Debt'!AD110</f>
        <v>0</v>
      </c>
      <c r="AE125" s="635">
        <f>+'Maturity Profile Domestic Debt'!AE122+'Maturity Profile External Debt'!AE110</f>
        <v>0</v>
      </c>
      <c r="AF125" s="635">
        <f>+'Maturity Profile Domestic Debt'!AF122+'Maturity Profile External Debt'!AF110</f>
        <v>0</v>
      </c>
      <c r="AG125" s="635">
        <f>+'Maturity Profile Domestic Debt'!AG122+'Maturity Profile External Debt'!AG110</f>
        <v>0</v>
      </c>
      <c r="AH125" s="635">
        <f>+'Maturity Profile Domestic Debt'!AH122+'Maturity Profile External Debt'!AH110</f>
        <v>0</v>
      </c>
      <c r="AI125"/>
      <c r="AJ125" s="317"/>
      <c r="AK125" s="389"/>
      <c r="AL125" s="317"/>
    </row>
    <row r="126" spans="2:40" ht="13.2" x14ac:dyDescent="0.25">
      <c r="B126" s="327" t="s">
        <v>163</v>
      </c>
      <c r="C126" s="635">
        <f>+'Maturity Profile Domestic Debt'!C123+'Maturity Profile External Debt'!C111</f>
        <v>219821.95864372939</v>
      </c>
      <c r="D126" s="635">
        <f>+'Maturity Profile Domestic Debt'!D123+'Maturity Profile External Debt'!D111</f>
        <v>17559.469123948598</v>
      </c>
      <c r="E126" s="635">
        <f>+'Maturity Profile Domestic Debt'!E123+'Maturity Profile External Debt'!E111</f>
        <v>36164.563432335504</v>
      </c>
      <c r="F126" s="635">
        <f>+'Maturity Profile Domestic Debt'!F123+'Maturity Profile External Debt'!F111</f>
        <v>54672.724393724326</v>
      </c>
      <c r="G126" s="635">
        <f>+'Maturity Profile Domestic Debt'!G123+'Maturity Profile External Debt'!G111</f>
        <v>359141.59233110474</v>
      </c>
      <c r="H126" s="635">
        <f>+'Maturity Profile Domestic Debt'!H123+'Maturity Profile External Debt'!H111</f>
        <v>57546.328666070389</v>
      </c>
      <c r="I126" s="635">
        <f>+'Maturity Profile Domestic Debt'!I123+'Maturity Profile External Debt'!I111</f>
        <v>56220.186216897462</v>
      </c>
      <c r="J126" s="635">
        <f>+'Maturity Profile Domestic Debt'!J123+'Maturity Profile External Debt'!J111</f>
        <v>14117.443886889751</v>
      </c>
      <c r="K126" s="635">
        <f>+'Maturity Profile Domestic Debt'!K123+'Maturity Profile External Debt'!K111</f>
        <v>221653.31388745518</v>
      </c>
      <c r="L126" s="635">
        <f>+'Maturity Profile Domestic Debt'!L123+'Maturity Profile External Debt'!L111</f>
        <v>14162.0956261429</v>
      </c>
      <c r="M126" s="635">
        <f>+'Maturity Profile Domestic Debt'!M123+'Maturity Profile External Debt'!M111</f>
        <v>14217.6766331081</v>
      </c>
      <c r="N126" s="635">
        <f>+'Maturity Profile Domestic Debt'!N123+'Maturity Profile External Debt'!N111</f>
        <v>73481.161911399453</v>
      </c>
      <c r="O126" s="635">
        <f>+'Maturity Profile Domestic Debt'!O123+'Maturity Profile External Debt'!O111</f>
        <v>14218.817618821249</v>
      </c>
      <c r="P126" s="635">
        <f>+'Maturity Profile Domestic Debt'!P123+'Maturity Profile External Debt'!P111</f>
        <v>131886.57669949165</v>
      </c>
      <c r="Q126" s="635">
        <f>+'Maturity Profile Domestic Debt'!Q123+'Maturity Profile External Debt'!Q111</f>
        <v>41286.423962497196</v>
      </c>
      <c r="R126" s="635">
        <f>+'Maturity Profile Domestic Debt'!R123+'Maturity Profile External Debt'!R111</f>
        <v>13657.823097365403</v>
      </c>
      <c r="S126" s="635">
        <f>+'Maturity Profile Domestic Debt'!S123+'Maturity Profile External Debt'!S111</f>
        <v>12760.823097365403</v>
      </c>
      <c r="T126" s="635">
        <f>+'Maturity Profile Domestic Debt'!T123+'Maturity Profile External Debt'!T111</f>
        <v>9402.2412819824003</v>
      </c>
      <c r="U126" s="635">
        <f>+'Maturity Profile Domestic Debt'!U123+'Maturity Profile External Debt'!U111</f>
        <v>144858.69683398239</v>
      </c>
      <c r="V126" s="635">
        <f>+'Maturity Profile Domestic Debt'!V123+'Maturity Profile External Debt'!V111</f>
        <v>9084.2194534544014</v>
      </c>
      <c r="W126" s="635">
        <f>+'Maturity Profile Domestic Debt'!W123+'Maturity Profile External Debt'!W111</f>
        <v>2817.9775566143999</v>
      </c>
      <c r="X126" s="635">
        <f>+'Maturity Profile Domestic Debt'!X123+'Maturity Profile External Debt'!X111</f>
        <v>2817.9775566143999</v>
      </c>
      <c r="Y126" s="635">
        <f>+'Maturity Profile Domestic Debt'!Y123+'Maturity Profile External Debt'!Y111</f>
        <v>308259.60751463199</v>
      </c>
      <c r="Z126" s="635">
        <f>+'Maturity Profile Domestic Debt'!Z123+'Maturity Profile External Debt'!Z111</f>
        <v>992298.35751463193</v>
      </c>
      <c r="AA126" s="635">
        <f>+'Maturity Profile Domestic Debt'!AA123+'Maturity Profile External Debt'!AA111</f>
        <v>389.60751463200006</v>
      </c>
      <c r="AB126" s="635">
        <f>+'Maturity Profile Domestic Debt'!AB123+'Maturity Profile External Debt'!AB111</f>
        <v>389.60751463200006</v>
      </c>
      <c r="AC126" s="635">
        <f>+'Maturity Profile Domestic Debt'!AC123+'Maturity Profile External Debt'!AC111</f>
        <v>15997.146877663999</v>
      </c>
      <c r="AD126" s="635">
        <f>+'Maturity Profile Domestic Debt'!AD123+'Maturity Profile External Debt'!AD111</f>
        <v>0</v>
      </c>
      <c r="AE126" s="635">
        <f>+'Maturity Profile Domestic Debt'!AE123+'Maturity Profile External Debt'!AE111</f>
        <v>0</v>
      </c>
      <c r="AF126" s="635">
        <f>+'Maturity Profile Domestic Debt'!AF123+'Maturity Profile External Debt'!AF111</f>
        <v>98498.95</v>
      </c>
      <c r="AG126" s="635">
        <f>+'Maturity Profile Domestic Debt'!AG123+'Maturity Profile External Debt'!AG111</f>
        <v>21301.45</v>
      </c>
      <c r="AH126" s="635">
        <f>+'Maturity Profile Domestic Debt'!AH123+'Maturity Profile External Debt'!AH111</f>
        <v>0</v>
      </c>
      <c r="AI126"/>
      <c r="AJ126" s="317"/>
      <c r="AK126" s="317"/>
      <c r="AL126" s="317"/>
    </row>
    <row r="127" spans="2:40" ht="13.2" x14ac:dyDescent="0.25">
      <c r="B127" s="327" t="s">
        <v>164</v>
      </c>
      <c r="C127" s="635">
        <f>+'Maturity Profile Domestic Debt'!C124+'Maturity Profile External Debt'!C112</f>
        <v>214840.78371990222</v>
      </c>
      <c r="D127" s="635">
        <f>+'Maturity Profile Domestic Debt'!D124+'Maturity Profile External Debt'!D112</f>
        <v>259651.57568675492</v>
      </c>
      <c r="E127" s="635">
        <f>+'Maturity Profile Domestic Debt'!E124+'Maturity Profile External Debt'!E112</f>
        <v>46339.278969115257</v>
      </c>
      <c r="F127" s="635">
        <f>+'Maturity Profile Domestic Debt'!F124+'Maturity Profile External Debt'!F112</f>
        <v>164056.32641858322</v>
      </c>
      <c r="G127" s="635">
        <f>+'Maturity Profile Domestic Debt'!G124+'Maturity Profile External Debt'!G112</f>
        <v>4607.796846143011</v>
      </c>
      <c r="H127" s="635">
        <f>+'Maturity Profile Domestic Debt'!H124+'Maturity Profile External Debt'!H112</f>
        <v>9504.648918334211</v>
      </c>
      <c r="I127" s="635">
        <f>+'Maturity Profile Domestic Debt'!I124+'Maturity Profile External Debt'!I112</f>
        <v>255807.59852326082</v>
      </c>
      <c r="J127" s="635">
        <f>+'Maturity Profile Domestic Debt'!J124+'Maturity Profile External Debt'!J112</f>
        <v>81360.909294279249</v>
      </c>
      <c r="K127" s="635">
        <f>+'Maturity Profile Domestic Debt'!K124+'Maturity Profile External Debt'!K112</f>
        <v>8767.9513025510114</v>
      </c>
      <c r="L127" s="635">
        <f>+'Maturity Profile Domestic Debt'!L124+'Maturity Profile External Debt'!L112</f>
        <v>8688.1666258012101</v>
      </c>
      <c r="M127" s="635">
        <f>+'Maturity Profile Domestic Debt'!M124+'Maturity Profile External Debt'!M112</f>
        <v>8705.8705884339597</v>
      </c>
      <c r="N127" s="635">
        <f>+'Maturity Profile Domestic Debt'!N124+'Maturity Profile External Debt'!N112</f>
        <v>8715.5507571634098</v>
      </c>
      <c r="O127" s="635">
        <f>+'Maturity Profile Domestic Debt'!O124+'Maturity Profile External Debt'!O112</f>
        <v>103112.68362928258</v>
      </c>
      <c r="P127" s="635">
        <f>+'Maturity Profile Domestic Debt'!P124+'Maturity Profile External Debt'!P112</f>
        <v>8187.1944967622103</v>
      </c>
      <c r="Q127" s="635">
        <f>+'Maturity Profile Domestic Debt'!Q124+'Maturity Profile External Debt'!Q112</f>
        <v>8258.0318869164603</v>
      </c>
      <c r="R127" s="635">
        <f>+'Maturity Profile Domestic Debt'!R124+'Maturity Profile External Debt'!R112</f>
        <v>8187.1944967622103</v>
      </c>
      <c r="S127" s="635">
        <f>+'Maturity Profile Domestic Debt'!S124+'Maturity Profile External Debt'!S112</f>
        <v>10708.649796762211</v>
      </c>
      <c r="T127" s="635">
        <f>+'Maturity Profile Domestic Debt'!T124+'Maturity Profile External Debt'!T112</f>
        <v>8187.1944967622103</v>
      </c>
      <c r="U127" s="635">
        <f>+'Maturity Profile Domestic Debt'!U124+'Maturity Profile External Debt'!U112</f>
        <v>8187.1944967622103</v>
      </c>
      <c r="V127" s="635">
        <f>+'Maturity Profile Domestic Debt'!V124+'Maturity Profile External Debt'!V112</f>
        <v>85.634409943999998</v>
      </c>
      <c r="W127" s="635">
        <f>+'Maturity Profile Domestic Debt'!W124+'Maturity Profile External Debt'!W112</f>
        <v>0</v>
      </c>
      <c r="X127" s="635">
        <f>+'Maturity Profile Domestic Debt'!X124+'Maturity Profile External Debt'!X112</f>
        <v>0</v>
      </c>
      <c r="Y127" s="635">
        <f>+'Maturity Profile Domestic Debt'!Y124+'Maturity Profile External Debt'!Y112</f>
        <v>0</v>
      </c>
      <c r="Z127" s="635">
        <f>+'Maturity Profile Domestic Debt'!Z124+'Maturity Profile External Debt'!Z112</f>
        <v>0</v>
      </c>
      <c r="AA127" s="635">
        <f>+'Maturity Profile Domestic Debt'!AA124+'Maturity Profile External Debt'!AA112</f>
        <v>0</v>
      </c>
      <c r="AB127" s="635">
        <f>+'Maturity Profile Domestic Debt'!AB124+'Maturity Profile External Debt'!AB112</f>
        <v>0</v>
      </c>
      <c r="AC127" s="635">
        <f>+'Maturity Profile Domestic Debt'!AC124+'Maturity Profile External Debt'!AC112</f>
        <v>0</v>
      </c>
      <c r="AD127" s="635">
        <f>+'Maturity Profile Domestic Debt'!AD124+'Maturity Profile External Debt'!AD112</f>
        <v>0</v>
      </c>
      <c r="AE127" s="635">
        <f>+'Maturity Profile Domestic Debt'!AE124+'Maturity Profile External Debt'!AE112</f>
        <v>0</v>
      </c>
      <c r="AF127" s="635">
        <f>+'Maturity Profile Domestic Debt'!AF124+'Maturity Profile External Debt'!AF112</f>
        <v>0</v>
      </c>
      <c r="AG127" s="635">
        <f>+'Maturity Profile Domestic Debt'!AG124+'Maturity Profile External Debt'!AG112</f>
        <v>0</v>
      </c>
      <c r="AH127" s="635">
        <f>+'Maturity Profile Domestic Debt'!AH124+'Maturity Profile External Debt'!AH112</f>
        <v>0</v>
      </c>
      <c r="AI127"/>
      <c r="AJ127" s="317"/>
      <c r="AK127" s="317"/>
      <c r="AL127" s="317"/>
    </row>
    <row r="128" spans="2:40" ht="13.2" x14ac:dyDescent="0.25">
      <c r="B128" s="327" t="s">
        <v>165</v>
      </c>
      <c r="C128" s="635">
        <f>+'Maturity Profile Domestic Debt'!C125+'Maturity Profile External Debt'!C113</f>
        <v>121927.77699374128</v>
      </c>
      <c r="D128" s="635">
        <f>+'Maturity Profile Domestic Debt'!D125+'Maturity Profile External Debt'!D113</f>
        <v>241795.70902717768</v>
      </c>
      <c r="E128" s="635">
        <f>+'Maturity Profile Domestic Debt'!E125+'Maturity Profile External Debt'!E113</f>
        <v>295288.83468572702</v>
      </c>
      <c r="F128" s="635">
        <f>+'Maturity Profile Domestic Debt'!F125+'Maturity Profile External Debt'!F113</f>
        <v>109235.55863809811</v>
      </c>
      <c r="G128" s="635">
        <f>+'Maturity Profile Domestic Debt'!G125+'Maturity Profile External Debt'!G113</f>
        <v>152375.61134468816</v>
      </c>
      <c r="H128" s="635">
        <f>+'Maturity Profile Domestic Debt'!H125+'Maturity Profile External Debt'!H113</f>
        <v>233521.08660890558</v>
      </c>
      <c r="I128" s="635">
        <f>+'Maturity Profile Domestic Debt'!I125+'Maturity Profile External Debt'!I113</f>
        <v>43743.898459276003</v>
      </c>
      <c r="J128" s="635">
        <f>+'Maturity Profile Domestic Debt'!J125+'Maturity Profile External Debt'!J113</f>
        <v>270945.37565276382</v>
      </c>
      <c r="K128" s="635">
        <f>+'Maturity Profile Domestic Debt'!K125+'Maturity Profile External Debt'!K113</f>
        <v>8201.6785048349993</v>
      </c>
      <c r="L128" s="635">
        <f>+'Maturity Profile Domestic Debt'!L125+'Maturity Profile External Debt'!L113</f>
        <v>501528.28322493378</v>
      </c>
      <c r="M128" s="635">
        <f>+'Maturity Profile Domestic Debt'!M125+'Maturity Profile External Debt'!M113</f>
        <v>323302.91853462806</v>
      </c>
      <c r="N128" s="635">
        <f>+'Maturity Profile Domestic Debt'!N125+'Maturity Profile External Debt'!N113</f>
        <v>33297.962371433503</v>
      </c>
      <c r="O128" s="635">
        <f>+'Maturity Profile Domestic Debt'!O125+'Maturity Profile External Debt'!O113</f>
        <v>1366.1694082067499</v>
      </c>
      <c r="P128" s="635">
        <f>+'Maturity Profile Domestic Debt'!P125+'Maturity Profile External Debt'!P113</f>
        <v>67800.153575608201</v>
      </c>
      <c r="Q128" s="635">
        <f>+'Maturity Profile Domestic Debt'!Q125+'Maturity Profile External Debt'!Q113</f>
        <v>888.88879272249994</v>
      </c>
      <c r="R128" s="635">
        <f>+'Maturity Profile Domestic Debt'!R125+'Maturity Profile External Debt'!R113</f>
        <v>819.68384497779994</v>
      </c>
      <c r="S128" s="635">
        <f>+'Maturity Profile Domestic Debt'!S125+'Maturity Profile External Debt'!S113</f>
        <v>819.68390039439998</v>
      </c>
      <c r="T128" s="635">
        <f>+'Maturity Profile Domestic Debt'!T125+'Maturity Profile External Debt'!T113</f>
        <v>9.3292984064000013</v>
      </c>
      <c r="U128" s="635">
        <f>+'Maturity Profile Domestic Debt'!U125+'Maturity Profile External Debt'!U113</f>
        <v>0</v>
      </c>
      <c r="V128" s="635">
        <f>+'Maturity Profile Domestic Debt'!V125+'Maturity Profile External Debt'!V113</f>
        <v>0</v>
      </c>
      <c r="W128" s="635">
        <f>+'Maturity Profile Domestic Debt'!W125+'Maturity Profile External Debt'!W113</f>
        <v>0</v>
      </c>
      <c r="X128" s="635">
        <f>+'Maturity Profile Domestic Debt'!X125+'Maturity Profile External Debt'!X113</f>
        <v>0</v>
      </c>
      <c r="Y128" s="635">
        <f>+'Maturity Profile Domestic Debt'!Y125+'Maturity Profile External Debt'!Y113</f>
        <v>0</v>
      </c>
      <c r="Z128" s="635">
        <f>+'Maturity Profile Domestic Debt'!Z125+'Maturity Profile External Debt'!Z113</f>
        <v>0</v>
      </c>
      <c r="AA128" s="635">
        <f>+'Maturity Profile Domestic Debt'!AA125+'Maturity Profile External Debt'!AA113</f>
        <v>0</v>
      </c>
      <c r="AB128" s="635">
        <f>+'Maturity Profile Domestic Debt'!AB125+'Maturity Profile External Debt'!AB113</f>
        <v>0</v>
      </c>
      <c r="AC128" s="635">
        <f>+'Maturity Profile Domestic Debt'!AC125+'Maturity Profile External Debt'!AC113</f>
        <v>0</v>
      </c>
      <c r="AD128" s="635">
        <f>+'Maturity Profile Domestic Debt'!AD125+'Maturity Profile External Debt'!AD113</f>
        <v>0</v>
      </c>
      <c r="AE128" s="635">
        <f>+'Maturity Profile Domestic Debt'!AE125+'Maturity Profile External Debt'!AE113</f>
        <v>0</v>
      </c>
      <c r="AF128" s="635">
        <f>+'Maturity Profile Domestic Debt'!AF125+'Maturity Profile External Debt'!AF113</f>
        <v>0</v>
      </c>
      <c r="AG128" s="635">
        <f>+'Maturity Profile Domestic Debt'!AG125+'Maturity Profile External Debt'!AG113</f>
        <v>0</v>
      </c>
      <c r="AH128" s="635">
        <f>+'Maturity Profile Domestic Debt'!AH125+'Maturity Profile External Debt'!AH113</f>
        <v>0</v>
      </c>
      <c r="AI128"/>
      <c r="AJ128" s="317"/>
      <c r="AK128" s="317"/>
      <c r="AL128" s="317"/>
    </row>
    <row r="129" spans="2:38" ht="13.2" x14ac:dyDescent="0.25">
      <c r="B129" s="327" t="s">
        <v>166</v>
      </c>
      <c r="C129" s="635">
        <f>+'Maturity Profile Domestic Debt'!C126+'Maturity Profile External Debt'!C114</f>
        <v>185168.50908793011</v>
      </c>
      <c r="D129" s="635">
        <f>+'Maturity Profile Domestic Debt'!D126+'Maturity Profile External Debt'!D114</f>
        <v>367279.35670276795</v>
      </c>
      <c r="E129" s="635">
        <f>+'Maturity Profile Domestic Debt'!E126+'Maturity Profile External Debt'!E114</f>
        <v>255352.31254459938</v>
      </c>
      <c r="F129" s="635">
        <f>+'Maturity Profile Domestic Debt'!F126+'Maturity Profile External Debt'!F114</f>
        <v>313529.94414565375</v>
      </c>
      <c r="G129" s="635">
        <f>+'Maturity Profile Domestic Debt'!G126+'Maturity Profile External Debt'!G114</f>
        <v>124438.9625243153</v>
      </c>
      <c r="H129" s="635">
        <f>+'Maturity Profile Domestic Debt'!H126+'Maturity Profile External Debt'!H114</f>
        <v>223062.71382863939</v>
      </c>
      <c r="I129" s="635">
        <f>+'Maturity Profile Domestic Debt'!I126+'Maturity Profile External Debt'!I114</f>
        <v>73020.858693771326</v>
      </c>
      <c r="J129" s="635">
        <f>+'Maturity Profile Domestic Debt'!J126+'Maturity Profile External Debt'!J114</f>
        <v>781.63799079360001</v>
      </c>
      <c r="K129" s="635">
        <f>+'Maturity Profile Domestic Debt'!K126+'Maturity Profile External Debt'!K114</f>
        <v>794.40806894959996</v>
      </c>
      <c r="L129" s="635">
        <f>+'Maturity Profile Domestic Debt'!L126+'Maturity Profile External Debt'!L114</f>
        <v>32574.457328316803</v>
      </c>
      <c r="M129" s="635">
        <f>+'Maturity Profile Domestic Debt'!M126+'Maturity Profile External Debt'!M114</f>
        <v>201111.44661972157</v>
      </c>
      <c r="N129" s="635">
        <f>+'Maturity Profile Domestic Debt'!N126+'Maturity Profile External Debt'!N114</f>
        <v>893.67218552804991</v>
      </c>
      <c r="O129" s="635">
        <f>+'Maturity Profile Domestic Debt'!O126+'Maturity Profile External Debt'!O114</f>
        <v>6822.4481331667002</v>
      </c>
      <c r="P129" s="635">
        <f>+'Maturity Profile Domestic Debt'!P126+'Maturity Profile External Debt'!P114</f>
        <v>318.20344703245001</v>
      </c>
      <c r="Q129" s="635">
        <f>+'Maturity Profile Domestic Debt'!Q126+'Maturity Profile External Debt'!Q114</f>
        <v>307.87</v>
      </c>
      <c r="R129" s="635">
        <f>+'Maturity Profile Domestic Debt'!R126+'Maturity Profile External Debt'!R114</f>
        <v>6843.3343599999998</v>
      </c>
      <c r="S129" s="635">
        <f>+'Maturity Profile Domestic Debt'!S126+'Maturity Profile External Debt'!S114</f>
        <v>307.87</v>
      </c>
      <c r="T129" s="635">
        <f>+'Maturity Profile Domestic Debt'!T126+'Maturity Profile External Debt'!T114</f>
        <v>307.87</v>
      </c>
      <c r="U129" s="635">
        <f>+'Maturity Profile Domestic Debt'!U126+'Maturity Profile External Debt'!U114</f>
        <v>307.87</v>
      </c>
      <c r="V129" s="635">
        <f>+'Maturity Profile Domestic Debt'!V126+'Maturity Profile External Debt'!V114</f>
        <v>307.87</v>
      </c>
      <c r="W129" s="635">
        <f>+'Maturity Profile Domestic Debt'!W126+'Maturity Profile External Debt'!W114</f>
        <v>307.87</v>
      </c>
      <c r="X129" s="635">
        <f>+'Maturity Profile Domestic Debt'!X126+'Maturity Profile External Debt'!X114</f>
        <v>307.87</v>
      </c>
      <c r="Y129" s="635">
        <f>+'Maturity Profile Domestic Debt'!Y126+'Maturity Profile External Debt'!Y114</f>
        <v>37176.494467500001</v>
      </c>
      <c r="Z129" s="635">
        <f>+'Maturity Profile Domestic Debt'!Z126+'Maturity Profile External Debt'!Z114</f>
        <v>0</v>
      </c>
      <c r="AA129" s="635">
        <f>+'Maturity Profile Domestic Debt'!AA126+'Maturity Profile External Debt'!AA114</f>
        <v>0</v>
      </c>
      <c r="AB129" s="635">
        <f>+'Maturity Profile Domestic Debt'!AB126+'Maturity Profile External Debt'!AB114</f>
        <v>0</v>
      </c>
      <c r="AC129" s="635">
        <f>+'Maturity Profile Domestic Debt'!AC126+'Maturity Profile External Debt'!AC114</f>
        <v>0</v>
      </c>
      <c r="AD129" s="635">
        <f>+'Maturity Profile Domestic Debt'!AD126+'Maturity Profile External Debt'!AD114</f>
        <v>0</v>
      </c>
      <c r="AE129" s="635">
        <f>+'Maturity Profile Domestic Debt'!AE126+'Maturity Profile External Debt'!AE114</f>
        <v>0</v>
      </c>
      <c r="AF129" s="635">
        <f>+'Maturity Profile Domestic Debt'!AF126+'Maturity Profile External Debt'!AF114</f>
        <v>0</v>
      </c>
      <c r="AG129" s="635">
        <f>+'Maturity Profile Domestic Debt'!AG126+'Maturity Profile External Debt'!AG114</f>
        <v>0</v>
      </c>
      <c r="AH129" s="635">
        <f>+'Maturity Profile Domestic Debt'!AH126+'Maturity Profile External Debt'!AH114</f>
        <v>0</v>
      </c>
      <c r="AI129"/>
      <c r="AJ129" s="317"/>
      <c r="AK129" s="317"/>
      <c r="AL129" s="317"/>
    </row>
    <row r="130" spans="2:38" ht="13.2" x14ac:dyDescent="0.25">
      <c r="B130" s="327" t="s">
        <v>167</v>
      </c>
      <c r="C130" s="635">
        <f>+'Maturity Profile Domestic Debt'!C127+'Maturity Profile External Debt'!C115</f>
        <v>26175.316221529552</v>
      </c>
      <c r="D130" s="635">
        <f>+'Maturity Profile Domestic Debt'!D127+'Maturity Profile External Debt'!D115</f>
        <v>291947.384372517</v>
      </c>
      <c r="E130" s="635">
        <f>+'Maturity Profile Domestic Debt'!E127+'Maturity Profile External Debt'!E115</f>
        <v>225531.54966639398</v>
      </c>
      <c r="F130" s="635">
        <f>+'Maturity Profile Domestic Debt'!F127+'Maturity Profile External Debt'!F115</f>
        <v>5732.2315669443997</v>
      </c>
      <c r="G130" s="635">
        <f>+'Maturity Profile Domestic Debt'!G127+'Maturity Profile External Debt'!G115</f>
        <v>141607.69821649781</v>
      </c>
      <c r="H130" s="635">
        <f>+'Maturity Profile Domestic Debt'!H127+'Maturity Profile External Debt'!H115</f>
        <v>348171.94720593328</v>
      </c>
      <c r="I130" s="635">
        <f>+'Maturity Profile Domestic Debt'!I127+'Maturity Profile External Debt'!I115</f>
        <v>5524.9174136600004</v>
      </c>
      <c r="J130" s="635">
        <f>+'Maturity Profile Domestic Debt'!J127+'Maturity Profile External Debt'!J115</f>
        <v>5547.1620336123506</v>
      </c>
      <c r="K130" s="635">
        <f>+'Maturity Profile Domestic Debt'!K127+'Maturity Profile External Debt'!K115</f>
        <v>5590.0622021785503</v>
      </c>
      <c r="L130" s="635">
        <f>+'Maturity Profile Domestic Debt'!L127+'Maturity Profile External Debt'!L115</f>
        <v>5574.9050309977001</v>
      </c>
      <c r="M130" s="635">
        <f>+'Maturity Profile Domestic Debt'!M127+'Maturity Profile External Debt'!M115</f>
        <v>5626.9994878307498</v>
      </c>
      <c r="N130" s="635">
        <f>+'Maturity Profile Domestic Debt'!N127+'Maturity Profile External Debt'!N115</f>
        <v>5685.9285757009502</v>
      </c>
      <c r="O130" s="635">
        <f>+'Maturity Profile Domestic Debt'!O127+'Maturity Profile External Debt'!O115</f>
        <v>5106.0908509150504</v>
      </c>
      <c r="P130" s="635">
        <f>+'Maturity Profile Domestic Debt'!P127+'Maturity Profile External Debt'!P115</f>
        <v>5131.14235484235</v>
      </c>
      <c r="Q130" s="635">
        <f>+'Maturity Profile Domestic Debt'!Q127+'Maturity Profile External Debt'!Q115</f>
        <v>5074.6653109366498</v>
      </c>
      <c r="R130" s="635">
        <f>+'Maturity Profile Domestic Debt'!R127+'Maturity Profile External Debt'!R115</f>
        <v>5065.9604143542001</v>
      </c>
      <c r="S130" s="635">
        <f>+'Maturity Profile Domestic Debt'!S127+'Maturity Profile External Debt'!S115</f>
        <v>5065.9604143542001</v>
      </c>
      <c r="T130" s="635">
        <f>+'Maturity Profile Domestic Debt'!T127+'Maturity Profile External Debt'!T115</f>
        <v>5065.9604143542001</v>
      </c>
      <c r="U130" s="635">
        <f>+'Maturity Profile Domestic Debt'!U127+'Maturity Profile External Debt'!U115</f>
        <v>5065.9604143542001</v>
      </c>
      <c r="V130" s="635">
        <f>+'Maturity Profile Domestic Debt'!V127+'Maturity Profile External Debt'!V115</f>
        <v>5065.9604143542001</v>
      </c>
      <c r="W130" s="635">
        <f>+'Maturity Profile Domestic Debt'!W127+'Maturity Profile External Debt'!W115</f>
        <v>5065.9604143542001</v>
      </c>
      <c r="X130" s="635">
        <f>+'Maturity Profile Domestic Debt'!X127+'Maturity Profile External Debt'!X115</f>
        <v>5065.9604143542001</v>
      </c>
      <c r="Y130" s="635">
        <f>+'Maturity Profile Domestic Debt'!Y127+'Maturity Profile External Debt'!Y115</f>
        <v>5065.9603835671996</v>
      </c>
      <c r="Z130" s="635">
        <f>+'Maturity Profile Domestic Debt'!Z127+'Maturity Profile External Debt'!Z115</f>
        <v>4366.1563630766004</v>
      </c>
      <c r="AA130" s="635">
        <f>+'Maturity Profile Domestic Debt'!AA127+'Maturity Profile External Debt'!AA115</f>
        <v>4366.1563630766004</v>
      </c>
      <c r="AB130" s="635">
        <f>+'Maturity Profile Domestic Debt'!AB127+'Maturity Profile External Debt'!AB115</f>
        <v>4366.1563630766004</v>
      </c>
      <c r="AC130" s="635">
        <f>+'Maturity Profile Domestic Debt'!AC127+'Maturity Profile External Debt'!AC115</f>
        <v>4366.1563630766004</v>
      </c>
      <c r="AD130" s="635">
        <f>+'Maturity Profile Domestic Debt'!AD127+'Maturity Profile External Debt'!AD115</f>
        <v>4366.1563630766004</v>
      </c>
      <c r="AE130" s="635">
        <f>+'Maturity Profile Domestic Debt'!AE127+'Maturity Profile External Debt'!AE115</f>
        <v>4366.1563938636</v>
      </c>
      <c r="AF130" s="635">
        <f>+'Maturity Profile Domestic Debt'!AF127+'Maturity Profile External Debt'!AF115</f>
        <v>0</v>
      </c>
      <c r="AG130" s="635">
        <f>+'Maturity Profile Domestic Debt'!AG127+'Maturity Profile External Debt'!AG115</f>
        <v>0</v>
      </c>
      <c r="AH130" s="635">
        <f>+'Maturity Profile Domestic Debt'!AH127+'Maturity Profile External Debt'!AH115</f>
        <v>0</v>
      </c>
      <c r="AI130"/>
      <c r="AJ130" s="317"/>
      <c r="AK130" s="317"/>
      <c r="AL130" s="317"/>
    </row>
    <row r="131" spans="2:38" ht="13.2" x14ac:dyDescent="0.25">
      <c r="B131" s="327" t="s">
        <v>168</v>
      </c>
      <c r="C131" s="635">
        <f>+'Maturity Profile Domestic Debt'!C128+'Maturity Profile External Debt'!C116</f>
        <v>71085.511606476313</v>
      </c>
      <c r="D131" s="635">
        <f>+'Maturity Profile Domestic Debt'!D128+'Maturity Profile External Debt'!D116</f>
        <v>218254.830040289</v>
      </c>
      <c r="E131" s="635">
        <f>+'Maturity Profile Domestic Debt'!E128+'Maturity Profile External Debt'!E116</f>
        <v>250988.9519942652</v>
      </c>
      <c r="F131" s="635">
        <f>+'Maturity Profile Domestic Debt'!F128+'Maturity Profile External Debt'!F116</f>
        <v>257650.81682740379</v>
      </c>
      <c r="G131" s="635">
        <f>+'Maturity Profile Domestic Debt'!G128+'Maturity Profile External Debt'!G116</f>
        <v>341969.98081816698</v>
      </c>
      <c r="H131" s="635">
        <f>+'Maturity Profile Domestic Debt'!H128+'Maturity Profile External Debt'!H116</f>
        <v>393110.61853095796</v>
      </c>
      <c r="I131" s="635">
        <f>+'Maturity Profile Domestic Debt'!I128+'Maturity Profile External Debt'!I116</f>
        <v>32403.962689129352</v>
      </c>
      <c r="J131" s="635">
        <f>+'Maturity Profile Domestic Debt'!J128+'Maturity Profile External Debt'!J116</f>
        <v>31080.045160432011</v>
      </c>
      <c r="K131" s="635">
        <f>+'Maturity Profile Domestic Debt'!K128+'Maturity Profile External Debt'!K116</f>
        <v>488170.68508768076</v>
      </c>
      <c r="L131" s="635">
        <f>+'Maturity Profile Domestic Debt'!L128+'Maturity Profile External Debt'!L116</f>
        <v>47159.458221504465</v>
      </c>
      <c r="M131" s="635">
        <f>+'Maturity Profile Domestic Debt'!M128+'Maturity Profile External Debt'!M116</f>
        <v>177517.80600826759</v>
      </c>
      <c r="N131" s="635">
        <f>+'Maturity Profile Domestic Debt'!N128+'Maturity Profile External Debt'!N116</f>
        <v>28733.508476111499</v>
      </c>
      <c r="O131" s="635">
        <f>+'Maturity Profile Domestic Debt'!O128+'Maturity Profile External Debt'!O116</f>
        <v>128578.05348730068</v>
      </c>
      <c r="P131" s="635">
        <f>+'Maturity Profile Domestic Debt'!P128+'Maturity Profile External Debt'!P116</f>
        <v>28180.505099061298</v>
      </c>
      <c r="Q131" s="635">
        <f>+'Maturity Profile Domestic Debt'!Q128+'Maturity Profile External Debt'!Q116</f>
        <v>23307.404673991095</v>
      </c>
      <c r="R131" s="635">
        <f>+'Maturity Profile Domestic Debt'!R128+'Maturity Profile External Debt'!R116</f>
        <v>21153.264383991147</v>
      </c>
      <c r="S131" s="635">
        <f>+'Maturity Profile Domestic Debt'!S128+'Maturity Profile External Debt'!S116</f>
        <v>19244.540618506202</v>
      </c>
      <c r="T131" s="635">
        <f>+'Maturity Profile Domestic Debt'!T128+'Maturity Profile External Debt'!T116</f>
        <v>8948.5912472182008</v>
      </c>
      <c r="U131" s="635">
        <f>+'Maturity Profile Domestic Debt'!U128+'Maturity Profile External Debt'!U116</f>
        <v>0</v>
      </c>
      <c r="V131" s="635">
        <f>+'Maturity Profile Domestic Debt'!V128+'Maturity Profile External Debt'!V116</f>
        <v>0</v>
      </c>
      <c r="W131" s="635">
        <f>+'Maturity Profile Domestic Debt'!W128+'Maturity Profile External Debt'!W116</f>
        <v>0</v>
      </c>
      <c r="X131" s="635">
        <f>+'Maturity Profile Domestic Debt'!X128+'Maturity Profile External Debt'!X116</f>
        <v>0</v>
      </c>
      <c r="Y131" s="635">
        <f>+'Maturity Profile Domestic Debt'!Y128+'Maturity Profile External Debt'!Y116</f>
        <v>0</v>
      </c>
      <c r="Z131" s="635">
        <f>+'Maturity Profile Domestic Debt'!Z128+'Maturity Profile External Debt'!Z116</f>
        <v>0</v>
      </c>
      <c r="AA131" s="635">
        <f>+'Maturity Profile Domestic Debt'!AA128+'Maturity Profile External Debt'!AA116</f>
        <v>0</v>
      </c>
      <c r="AB131" s="635">
        <f>+'Maturity Profile Domestic Debt'!AB128+'Maturity Profile External Debt'!AB116</f>
        <v>0</v>
      </c>
      <c r="AC131" s="635">
        <f>+'Maturity Profile Domestic Debt'!AC128+'Maturity Profile External Debt'!AC116</f>
        <v>0</v>
      </c>
      <c r="AD131" s="635">
        <f>+'Maturity Profile Domestic Debt'!AD128+'Maturity Profile External Debt'!AD116</f>
        <v>0</v>
      </c>
      <c r="AE131" s="635">
        <f>+'Maturity Profile Domestic Debt'!AE128+'Maturity Profile External Debt'!AE116</f>
        <v>0</v>
      </c>
      <c r="AF131" s="635">
        <f>+'Maturity Profile Domestic Debt'!AF128+'Maturity Profile External Debt'!AF116</f>
        <v>0</v>
      </c>
      <c r="AG131" s="635">
        <f>+'Maturity Profile Domestic Debt'!AG128+'Maturity Profile External Debt'!AG116</f>
        <v>0</v>
      </c>
      <c r="AH131" s="635">
        <f>+'Maturity Profile Domestic Debt'!AH128+'Maturity Profile External Debt'!AH116</f>
        <v>0</v>
      </c>
      <c r="AI131"/>
      <c r="AJ131" s="317"/>
      <c r="AK131" s="317"/>
      <c r="AL131" s="317"/>
    </row>
    <row r="132" spans="2:38" ht="13.2" x14ac:dyDescent="0.25">
      <c r="B132" s="327" t="s">
        <v>169</v>
      </c>
      <c r="C132" s="635">
        <f>+'Maturity Profile Domestic Debt'!C129+'Maturity Profile External Debt'!C117</f>
        <v>175793.61362914791</v>
      </c>
      <c r="D132" s="635">
        <f>+'Maturity Profile Domestic Debt'!D129+'Maturity Profile External Debt'!D117</f>
        <v>16186.267756121199</v>
      </c>
      <c r="E132" s="635">
        <f>+'Maturity Profile Domestic Debt'!E129+'Maturity Profile External Debt'!E117</f>
        <v>51559.469111618528</v>
      </c>
      <c r="F132" s="635">
        <f>+'Maturity Profile Domestic Debt'!F129+'Maturity Profile External Debt'!F117</f>
        <v>51265.868233500121</v>
      </c>
      <c r="G132" s="635">
        <f>+'Maturity Profile Domestic Debt'!G129+'Maturity Profile External Debt'!G117</f>
        <v>51273.292252310792</v>
      </c>
      <c r="H132" s="635">
        <f>+'Maturity Profile Domestic Debt'!H129+'Maturity Profile External Debt'!H117</f>
        <v>14893.004490665398</v>
      </c>
      <c r="I132" s="635">
        <f>+'Maturity Profile Domestic Debt'!I129+'Maturity Profile External Debt'!I117</f>
        <v>14910.982128754198</v>
      </c>
      <c r="J132" s="635">
        <f>+'Maturity Profile Domestic Debt'!J129+'Maturity Profile External Debt'!J117</f>
        <v>14134.570405332301</v>
      </c>
      <c r="K132" s="635">
        <f>+'Maturity Profile Domestic Debt'!K129+'Maturity Profile External Debt'!K117</f>
        <v>14126.116256016599</v>
      </c>
      <c r="L132" s="635">
        <f>+'Maturity Profile Domestic Debt'!L129+'Maturity Profile External Debt'!L117</f>
        <v>14148.874289657</v>
      </c>
      <c r="M132" s="635">
        <f>+'Maturity Profile Domestic Debt'!M129+'Maturity Profile External Debt'!M117</f>
        <v>14154.52266711785</v>
      </c>
      <c r="N132" s="635">
        <f>+'Maturity Profile Domestic Debt'!N129+'Maturity Profile External Debt'!N117</f>
        <v>14177.031396385601</v>
      </c>
      <c r="O132" s="635">
        <f>+'Maturity Profile Domestic Debt'!O129+'Maturity Profile External Debt'!O117</f>
        <v>13680.7620401679</v>
      </c>
      <c r="P132" s="635">
        <f>+'Maturity Profile Domestic Debt'!P129+'Maturity Profile External Debt'!P117</f>
        <v>13674.386108741699</v>
      </c>
      <c r="Q132" s="635">
        <f>+'Maturity Profile Domestic Debt'!Q129+'Maturity Profile External Debt'!Q117</f>
        <v>13682.8989927855</v>
      </c>
      <c r="R132" s="635">
        <f>+'Maturity Profile Domestic Debt'!R129+'Maturity Profile External Debt'!R117</f>
        <v>12760.823097365403</v>
      </c>
      <c r="S132" s="635">
        <f>+'Maturity Profile Domestic Debt'!S129+'Maturity Profile External Debt'!S117</f>
        <v>12480.941281982399</v>
      </c>
      <c r="T132" s="635">
        <f>+'Maturity Profile Domestic Debt'!T129+'Maturity Profile External Debt'!T117</f>
        <v>9402.2412819824003</v>
      </c>
      <c r="U132" s="635">
        <f>+'Maturity Profile Domestic Debt'!U129+'Maturity Profile External Debt'!U117</f>
        <v>9286.4420773084003</v>
      </c>
      <c r="V132" s="635">
        <f>+'Maturity Profile Domestic Debt'!V129+'Maturity Profile External Debt'!V117</f>
        <v>9195.1956405972014</v>
      </c>
      <c r="W132" s="635">
        <f>+'Maturity Profile Domestic Debt'!W129+'Maturity Profile External Debt'!W117</f>
        <v>2817.9775566143999</v>
      </c>
      <c r="X132" s="635">
        <f>+'Maturity Profile Domestic Debt'!X129+'Maturity Profile External Debt'!X117</f>
        <v>389.60751463200006</v>
      </c>
      <c r="Y132" s="635">
        <f>+'Maturity Profile Domestic Debt'!Y129+'Maturity Profile External Debt'!Y117</f>
        <v>389.60751463200006</v>
      </c>
      <c r="Z132" s="635">
        <f>+'Maturity Profile Domestic Debt'!Z129+'Maturity Profile External Debt'!Z117</f>
        <v>389.60751463200006</v>
      </c>
      <c r="AA132" s="635">
        <f>+'Maturity Profile Domestic Debt'!AA129+'Maturity Profile External Debt'!AA117</f>
        <v>389.60751463200006</v>
      </c>
      <c r="AB132" s="635">
        <f>+'Maturity Profile Domestic Debt'!AB129+'Maturity Profile External Debt'!AB117</f>
        <v>389.60751463200006</v>
      </c>
      <c r="AC132" s="635">
        <f>+'Maturity Profile Domestic Debt'!AC129+'Maturity Profile External Debt'!AC117</f>
        <v>0</v>
      </c>
      <c r="AD132" s="635">
        <f>+'Maturity Profile Domestic Debt'!AD129+'Maturity Profile External Debt'!AD117</f>
        <v>0</v>
      </c>
      <c r="AE132" s="635">
        <f>+'Maturity Profile Domestic Debt'!AE129+'Maturity Profile External Debt'!AE117</f>
        <v>0</v>
      </c>
      <c r="AF132" s="635">
        <f>+'Maturity Profile Domestic Debt'!AF129+'Maturity Profile External Debt'!AF117</f>
        <v>0</v>
      </c>
      <c r="AG132" s="635">
        <f>+'Maturity Profile Domestic Debt'!AG129+'Maturity Profile External Debt'!AG117</f>
        <v>0</v>
      </c>
      <c r="AH132" s="635">
        <f>+'Maturity Profile Domestic Debt'!AH129+'Maturity Profile External Debt'!AH117</f>
        <v>0</v>
      </c>
      <c r="AI132"/>
      <c r="AJ132" s="317"/>
      <c r="AK132" s="317"/>
      <c r="AL132" s="317"/>
    </row>
    <row r="133" spans="2:38" ht="13.2" x14ac:dyDescent="0.25">
      <c r="B133" s="327" t="s">
        <v>170</v>
      </c>
      <c r="C133" s="635">
        <f>+'Maturity Profile Domestic Debt'!C130+'Maturity Profile External Debt'!C118</f>
        <v>456442.73645292321</v>
      </c>
      <c r="D133" s="635">
        <f>+'Maturity Profile Domestic Debt'!D130+'Maturity Profile External Debt'!D118</f>
        <v>3094.9812669747998</v>
      </c>
      <c r="E133" s="635">
        <f>+'Maturity Profile Domestic Debt'!E130+'Maturity Profile External Debt'!E118</f>
        <v>1678.6091856295998</v>
      </c>
      <c r="F133" s="635">
        <f>+'Maturity Profile Domestic Debt'!F130+'Maturity Profile External Debt'!F118</f>
        <v>96690.025276865985</v>
      </c>
      <c r="G133" s="635">
        <f>+'Maturity Profile Domestic Debt'!G130+'Maturity Profile External Debt'!G118</f>
        <v>253548.28978706285</v>
      </c>
      <c r="H133" s="635">
        <f>+'Maturity Profile Domestic Debt'!H130+'Maturity Profile External Debt'!H118</f>
        <v>9620.3489386385118</v>
      </c>
      <c r="I133" s="635">
        <f>+'Maturity Profile Domestic Debt'!I130+'Maturity Profile External Debt'!I118</f>
        <v>9515.8631077138107</v>
      </c>
      <c r="J133" s="635">
        <f>+'Maturity Profile Domestic Debt'!J130+'Maturity Profile External Debt'!J118</f>
        <v>9534.9480921618106</v>
      </c>
      <c r="K133" s="635">
        <f>+'Maturity Profile Domestic Debt'!K130+'Maturity Profile External Debt'!K118</f>
        <v>96014.526633166388</v>
      </c>
      <c r="L133" s="635">
        <f>+'Maturity Profile Domestic Debt'!L130+'Maturity Profile External Debt'!L118</f>
        <v>135488.4490877208</v>
      </c>
      <c r="M133" s="635">
        <f>+'Maturity Profile Domestic Debt'!M130+'Maturity Profile External Debt'!M118</f>
        <v>8743.0118259321098</v>
      </c>
      <c r="N133" s="635">
        <f>+'Maturity Profile Domestic Debt'!N130+'Maturity Profile External Debt'!N118</f>
        <v>8791.31154285296</v>
      </c>
      <c r="O133" s="635">
        <f>+'Maturity Profile Domestic Debt'!O130+'Maturity Profile External Debt'!O118</f>
        <v>8315.6139161037609</v>
      </c>
      <c r="P133" s="635">
        <f>+'Maturity Profile Domestic Debt'!P130+'Maturity Profile External Debt'!P118</f>
        <v>8198.7501295035599</v>
      </c>
      <c r="Q133" s="635">
        <f>+'Maturity Profile Domestic Debt'!Q130+'Maturity Profile External Debt'!Q118</f>
        <v>8187.1944967622103</v>
      </c>
      <c r="R133" s="635">
        <f>+'Maturity Profile Domestic Debt'!R130+'Maturity Profile External Debt'!R118</f>
        <v>8187.1944967622103</v>
      </c>
      <c r="S133" s="635">
        <f>+'Maturity Profile Domestic Debt'!S130+'Maturity Profile External Debt'!S118</f>
        <v>8187.1944967622103</v>
      </c>
      <c r="T133" s="635">
        <f>+'Maturity Profile Domestic Debt'!T130+'Maturity Profile External Debt'!T118</f>
        <v>8187.1944967622103</v>
      </c>
      <c r="U133" s="635">
        <f>+'Maturity Profile Domestic Debt'!U130+'Maturity Profile External Debt'!U118</f>
        <v>8187.1946518880513</v>
      </c>
      <c r="V133" s="635">
        <f>+'Maturity Profile Domestic Debt'!V130+'Maturity Profile External Debt'!V118</f>
        <v>85.634397629199981</v>
      </c>
      <c r="W133" s="635">
        <f>+'Maturity Profile Domestic Debt'!W130+'Maturity Profile External Debt'!W118</f>
        <v>0</v>
      </c>
      <c r="X133" s="635">
        <f>+'Maturity Profile Domestic Debt'!X130+'Maturity Profile External Debt'!X118</f>
        <v>0</v>
      </c>
      <c r="Y133" s="635">
        <f>+'Maturity Profile Domestic Debt'!Y130+'Maturity Profile External Debt'!Y118</f>
        <v>0</v>
      </c>
      <c r="Z133" s="635">
        <f>+'Maturity Profile Domestic Debt'!Z130+'Maturity Profile External Debt'!Z118</f>
        <v>0</v>
      </c>
      <c r="AA133" s="635">
        <f>+'Maturity Profile Domestic Debt'!AA130+'Maturity Profile External Debt'!AA118</f>
        <v>0</v>
      </c>
      <c r="AB133" s="635">
        <f>+'Maturity Profile Domestic Debt'!AB130+'Maturity Profile External Debt'!AB118</f>
        <v>0</v>
      </c>
      <c r="AC133" s="635">
        <f>+'Maturity Profile Domestic Debt'!AC130+'Maturity Profile External Debt'!AC118</f>
        <v>0</v>
      </c>
      <c r="AD133" s="635">
        <f>+'Maturity Profile Domestic Debt'!AD130+'Maturity Profile External Debt'!AD118</f>
        <v>0</v>
      </c>
      <c r="AE133" s="635">
        <f>+'Maturity Profile Domestic Debt'!AE130+'Maturity Profile External Debt'!AE118</f>
        <v>0</v>
      </c>
      <c r="AF133" s="635">
        <f>+'Maturity Profile Domestic Debt'!AF130+'Maturity Profile External Debt'!AF118</f>
        <v>0</v>
      </c>
      <c r="AG133" s="635">
        <f>+'Maturity Profile Domestic Debt'!AG130+'Maturity Profile External Debt'!AG118</f>
        <v>0</v>
      </c>
      <c r="AH133" s="635">
        <f>+'Maturity Profile Domestic Debt'!AH130+'Maturity Profile External Debt'!AH118</f>
        <v>0</v>
      </c>
      <c r="AI133"/>
      <c r="AJ133" s="317"/>
      <c r="AK133" s="317"/>
      <c r="AL133" s="317"/>
    </row>
    <row r="134" spans="2:38" ht="13.2" x14ac:dyDescent="0.25">
      <c r="B134" s="327" t="s">
        <v>171</v>
      </c>
      <c r="C134" s="635">
        <f>+'Maturity Profile Domestic Debt'!C131+'Maturity Profile External Debt'!C119</f>
        <v>319707.40398457082</v>
      </c>
      <c r="D134" s="635">
        <f>+'Maturity Profile Domestic Debt'!D131+'Maturity Profile External Debt'!D119</f>
        <v>205185.40822075182</v>
      </c>
      <c r="E134" s="635">
        <f>+'Maturity Profile Domestic Debt'!E131+'Maturity Profile External Debt'!E119</f>
        <v>2509.7429514649366</v>
      </c>
      <c r="F134" s="635">
        <f>+'Maturity Profile Domestic Debt'!F131+'Maturity Profile External Debt'!F119</f>
        <v>2249.5847503637997</v>
      </c>
      <c r="G134" s="635">
        <f>+'Maturity Profile Domestic Debt'!G131+'Maturity Profile External Debt'!G119</f>
        <v>5596.0155351516496</v>
      </c>
      <c r="H134" s="635">
        <f>+'Maturity Profile Domestic Debt'!H131+'Maturity Profile External Debt'!H119</f>
        <v>2243.5722909018996</v>
      </c>
      <c r="I134" s="635">
        <f>+'Maturity Profile Domestic Debt'!I131+'Maturity Profile External Debt'!I119</f>
        <v>2228.9109371349496</v>
      </c>
      <c r="J134" s="635">
        <f>+'Maturity Profile Domestic Debt'!J131+'Maturity Profile External Debt'!J119</f>
        <v>2253.2012246418999</v>
      </c>
      <c r="K134" s="635">
        <f>+'Maturity Profile Domestic Debt'!K131+'Maturity Profile External Debt'!K119</f>
        <v>1527.3470285221997</v>
      </c>
      <c r="L134" s="635">
        <f>+'Maturity Profile Domestic Debt'!L131+'Maturity Profile External Debt'!L119</f>
        <v>1653.1103303474997</v>
      </c>
      <c r="M134" s="635">
        <f>+'Maturity Profile Domestic Debt'!M131+'Maturity Profile External Debt'!M119</f>
        <v>1564.7861546261497</v>
      </c>
      <c r="N134" s="635">
        <f>+'Maturity Profile Domestic Debt'!N131+'Maturity Profile External Debt'!N119</f>
        <v>1568.1219917699154</v>
      </c>
      <c r="O134" s="635">
        <f>+'Maturity Profile Domestic Debt'!O131+'Maturity Profile External Debt'!O119</f>
        <v>823.51116855654993</v>
      </c>
      <c r="P134" s="635">
        <f>+'Maturity Profile Domestic Debt'!P131+'Maturity Profile External Debt'!P119</f>
        <v>855.23973852969993</v>
      </c>
      <c r="Q134" s="635">
        <f>+'Maturity Profile Domestic Debt'!Q131+'Maturity Profile External Debt'!Q119</f>
        <v>824.83179415959989</v>
      </c>
      <c r="R134" s="635">
        <f>+'Maturity Profile Domestic Debt'!R131+'Maturity Profile External Debt'!R119</f>
        <v>819.68384497779994</v>
      </c>
      <c r="S134" s="635">
        <f>+'Maturity Profile Domestic Debt'!S131+'Maturity Profile External Debt'!S119</f>
        <v>9.3293969247999993</v>
      </c>
      <c r="T134" s="635">
        <f>+'Maturity Profile Domestic Debt'!T131+'Maturity Profile External Debt'!T119</f>
        <v>0</v>
      </c>
      <c r="U134" s="635">
        <f>+'Maturity Profile Domestic Debt'!U131+'Maturity Profile External Debt'!U119</f>
        <v>0</v>
      </c>
      <c r="V134" s="635">
        <f>+'Maturity Profile Domestic Debt'!V131+'Maturity Profile External Debt'!V119</f>
        <v>0</v>
      </c>
      <c r="W134" s="635">
        <f>+'Maturity Profile Domestic Debt'!W131+'Maturity Profile External Debt'!W119</f>
        <v>0</v>
      </c>
      <c r="X134" s="635">
        <f>+'Maturity Profile Domestic Debt'!X131+'Maturity Profile External Debt'!X119</f>
        <v>0</v>
      </c>
      <c r="Y134" s="635">
        <f>+'Maturity Profile Domestic Debt'!Y131+'Maturity Profile External Debt'!Y119</f>
        <v>0</v>
      </c>
      <c r="Z134" s="635">
        <f>+'Maturity Profile Domestic Debt'!Z131+'Maturity Profile External Debt'!Z119</f>
        <v>0</v>
      </c>
      <c r="AA134" s="635">
        <f>+'Maturity Profile Domestic Debt'!AA131+'Maturity Profile External Debt'!AA119</f>
        <v>0</v>
      </c>
      <c r="AB134" s="635">
        <f>+'Maturity Profile Domestic Debt'!AB131+'Maturity Profile External Debt'!AB119</f>
        <v>0</v>
      </c>
      <c r="AC134" s="635">
        <f>+'Maturity Profile Domestic Debt'!AC131+'Maturity Profile External Debt'!AC119</f>
        <v>0</v>
      </c>
      <c r="AD134" s="635">
        <f>+'Maturity Profile Domestic Debt'!AD131+'Maturity Profile External Debt'!AD119</f>
        <v>0</v>
      </c>
      <c r="AE134" s="635">
        <f>+'Maturity Profile Domestic Debt'!AE131+'Maturity Profile External Debt'!AE119</f>
        <v>0</v>
      </c>
      <c r="AF134" s="635">
        <f>+'Maturity Profile Domestic Debt'!AF131+'Maturity Profile External Debt'!AF119</f>
        <v>0</v>
      </c>
      <c r="AG134" s="635">
        <f>+'Maturity Profile Domestic Debt'!AG131+'Maturity Profile External Debt'!AG119</f>
        <v>0</v>
      </c>
      <c r="AH134" s="635">
        <f>+'Maturity Profile Domestic Debt'!AH131+'Maturity Profile External Debt'!AH119</f>
        <v>0</v>
      </c>
      <c r="AI134"/>
      <c r="AJ134" s="317"/>
      <c r="AK134" s="317"/>
      <c r="AL134" s="317"/>
    </row>
    <row r="135" spans="2:38" ht="13.2" x14ac:dyDescent="0.25">
      <c r="B135" s="330" t="s">
        <v>172</v>
      </c>
      <c r="C135" s="331">
        <f>SUM(C123:C134)</f>
        <v>2412131.963133241</v>
      </c>
      <c r="D135" s="331">
        <f t="shared" ref="D135:AH135" si="3">SUM(D123:D134)</f>
        <v>2110109.2210859242</v>
      </c>
      <c r="E135" s="331">
        <f t="shared" si="3"/>
        <v>2424265.3279313985</v>
      </c>
      <c r="F135" s="331">
        <f t="shared" si="3"/>
        <v>2116574.9422985604</v>
      </c>
      <c r="G135" s="331">
        <f t="shared" si="3"/>
        <v>2015634.118888235</v>
      </c>
      <c r="H135" s="331">
        <f t="shared" si="3"/>
        <v>1830529.6509954503</v>
      </c>
      <c r="I135" s="331">
        <f t="shared" si="3"/>
        <v>1456358.08218919</v>
      </c>
      <c r="J135" s="331">
        <f t="shared" si="3"/>
        <v>1236701.6378665406</v>
      </c>
      <c r="K135" s="331">
        <f t="shared" si="3"/>
        <v>1728462.3005034388</v>
      </c>
      <c r="L135" s="331">
        <f t="shared" si="3"/>
        <v>1423330.6618608383</v>
      </c>
      <c r="M135" s="331">
        <f t="shared" si="3"/>
        <v>1038775.0433693144</v>
      </c>
      <c r="N135" s="331">
        <f t="shared" si="3"/>
        <v>210486.58728864836</v>
      </c>
      <c r="O135" s="331">
        <f t="shared" si="3"/>
        <v>317327.16181291139</v>
      </c>
      <c r="P135" s="331">
        <f t="shared" si="3"/>
        <v>297934.01865235611</v>
      </c>
      <c r="Q135" s="331">
        <f t="shared" si="3"/>
        <v>366486.58840288391</v>
      </c>
      <c r="R135" s="331">
        <f t="shared" si="3"/>
        <v>381836.99719758617</v>
      </c>
      <c r="S135" s="331">
        <f t="shared" si="3"/>
        <v>96112.087790300939</v>
      </c>
      <c r="T135" s="331">
        <f t="shared" si="3"/>
        <v>74128.993513384034</v>
      </c>
      <c r="U135" s="331">
        <f t="shared" si="3"/>
        <v>190215.78000040483</v>
      </c>
      <c r="V135" s="331">
        <f t="shared" si="3"/>
        <v>185336.76923033319</v>
      </c>
      <c r="W135" s="331">
        <f t="shared" si="3"/>
        <v>16383.6159419372</v>
      </c>
      <c r="X135" s="331">
        <f t="shared" si="3"/>
        <v>13955.2458999548</v>
      </c>
      <c r="Y135" s="331">
        <f t="shared" si="3"/>
        <v>356573.37029468542</v>
      </c>
      <c r="Z135" s="331">
        <f t="shared" si="3"/>
        <v>1001420.2777554173</v>
      </c>
      <c r="AA135" s="331">
        <f t="shared" si="3"/>
        <v>809973.5277554174</v>
      </c>
      <c r="AB135" s="331">
        <f t="shared" si="3"/>
        <v>9511.5277554172008</v>
      </c>
      <c r="AC135" s="331">
        <f t="shared" si="3"/>
        <v>24729.459603817199</v>
      </c>
      <c r="AD135" s="331">
        <f t="shared" si="3"/>
        <v>8732.3127261532009</v>
      </c>
      <c r="AE135" s="331">
        <f t="shared" si="3"/>
        <v>8732.3127569402004</v>
      </c>
      <c r="AF135" s="331">
        <f t="shared" si="3"/>
        <v>98498.95</v>
      </c>
      <c r="AG135" s="331">
        <f t="shared" si="3"/>
        <v>21301.45</v>
      </c>
      <c r="AH135" s="331">
        <f t="shared" si="3"/>
        <v>0</v>
      </c>
      <c r="AI135"/>
      <c r="AJ135" s="317"/>
      <c r="AK135" s="317"/>
      <c r="AL135" s="317"/>
    </row>
    <row r="136" spans="2:38" x14ac:dyDescent="0.25">
      <c r="B136" s="332" t="s">
        <v>142</v>
      </c>
      <c r="C136" s="379" t="s">
        <v>142</v>
      </c>
      <c r="D136" s="379"/>
      <c r="E136" s="333" t="s">
        <v>142</v>
      </c>
      <c r="F136" s="333" t="s">
        <v>142</v>
      </c>
      <c r="G136" s="333" t="s">
        <v>142</v>
      </c>
      <c r="H136" s="333" t="s">
        <v>142</v>
      </c>
      <c r="I136" s="333" t="s">
        <v>142</v>
      </c>
      <c r="J136" s="333" t="s">
        <v>142</v>
      </c>
      <c r="K136" s="333" t="s">
        <v>142</v>
      </c>
      <c r="L136" s="333" t="s">
        <v>142</v>
      </c>
      <c r="M136" s="333" t="s">
        <v>142</v>
      </c>
      <c r="N136" s="333" t="s">
        <v>142</v>
      </c>
      <c r="P136" s="390"/>
      <c r="Q136" s="387"/>
      <c r="U136" s="317"/>
      <c r="V136" s="317"/>
      <c r="W136" s="317"/>
      <c r="X136" s="317"/>
      <c r="Y136" s="317"/>
      <c r="Z136" s="317"/>
      <c r="AA136" s="317"/>
      <c r="AB136" s="317"/>
      <c r="AC136" s="317"/>
      <c r="AD136" s="317"/>
      <c r="AE136" s="317"/>
      <c r="AF136" s="317"/>
      <c r="AG136" s="317"/>
      <c r="AH136" s="333">
        <f>SUM(B135:AI135)</f>
        <v>24282549.984500676</v>
      </c>
      <c r="AI136" s="317"/>
      <c r="AL136" s="317"/>
    </row>
    <row r="137" spans="2:38" x14ac:dyDescent="0.25">
      <c r="B137" s="337"/>
      <c r="C137" s="337"/>
      <c r="D137" s="337"/>
      <c r="E137" s="337"/>
      <c r="F137" s="337"/>
      <c r="G137" s="337"/>
      <c r="H137" s="337"/>
      <c r="I137" s="337"/>
      <c r="J137" s="337"/>
      <c r="K137" s="337"/>
      <c r="L137" s="337"/>
      <c r="M137" s="337"/>
      <c r="N137" s="337"/>
      <c r="O137" s="337"/>
      <c r="P137" s="388"/>
      <c r="U137" s="317"/>
      <c r="V137" s="317"/>
      <c r="W137" s="317"/>
      <c r="X137" s="317"/>
      <c r="Y137" s="317"/>
      <c r="Z137" s="317"/>
      <c r="AA137" s="317"/>
      <c r="AB137" s="317"/>
      <c r="AC137" s="317"/>
      <c r="AD137" s="317"/>
      <c r="AE137" s="317"/>
      <c r="AF137" s="317"/>
      <c r="AG137" s="317"/>
      <c r="AH137" s="388">
        <f>+AH136-'PUBLIC DEBT COLONES'!AP7</f>
        <v>-3.1303614377975464E-5</v>
      </c>
      <c r="AI137" s="317"/>
      <c r="AJ137" s="317"/>
      <c r="AK137" s="388"/>
      <c r="AL137" s="317"/>
    </row>
    <row r="138" spans="2:38" x14ac:dyDescent="0.25">
      <c r="B138" s="337"/>
      <c r="C138" s="337"/>
      <c r="D138" s="337"/>
      <c r="E138" s="337"/>
      <c r="F138" s="337"/>
      <c r="G138" s="337"/>
      <c r="H138" s="337"/>
      <c r="I138" s="337"/>
      <c r="J138" s="337"/>
      <c r="K138" s="337"/>
      <c r="L138" s="337"/>
      <c r="M138" s="337"/>
      <c r="N138" s="337"/>
      <c r="O138" s="337"/>
      <c r="P138" s="388"/>
      <c r="U138" s="317"/>
      <c r="V138" s="317"/>
      <c r="W138" s="317"/>
      <c r="X138" s="317"/>
      <c r="Y138" s="317"/>
      <c r="Z138" s="317"/>
      <c r="AA138" s="317"/>
      <c r="AB138" s="317"/>
      <c r="AC138" s="317"/>
      <c r="AD138" s="317"/>
      <c r="AE138" s="317"/>
      <c r="AF138" s="317"/>
      <c r="AG138" s="317"/>
      <c r="AH138" s="317"/>
      <c r="AI138" s="317"/>
      <c r="AJ138" s="317"/>
      <c r="AK138" s="388"/>
      <c r="AL138" s="317"/>
    </row>
    <row r="139" spans="2:38" ht="30.75" customHeight="1" x14ac:dyDescent="0.25">
      <c r="B139" s="316" t="s">
        <v>43</v>
      </c>
      <c r="C139" s="337"/>
      <c r="D139" s="337"/>
      <c r="E139" s="337"/>
      <c r="F139" s="337"/>
      <c r="G139" s="337"/>
      <c r="H139" s="337"/>
      <c r="I139" s="337"/>
      <c r="J139" s="337"/>
      <c r="K139" s="337"/>
      <c r="L139" s="337"/>
      <c r="M139" s="337"/>
      <c r="N139" s="337"/>
      <c r="O139" s="337"/>
      <c r="P139" s="388"/>
      <c r="U139" s="317"/>
      <c r="V139" s="317"/>
      <c r="W139" s="317"/>
      <c r="X139" s="317"/>
      <c r="Y139" s="317"/>
      <c r="Z139" s="317"/>
      <c r="AA139" s="317"/>
      <c r="AB139" s="317"/>
      <c r="AC139" s="317"/>
      <c r="AD139" s="317"/>
      <c r="AE139" s="317"/>
      <c r="AF139" s="317"/>
      <c r="AG139" s="317"/>
      <c r="AH139" s="317"/>
      <c r="AI139" s="317"/>
      <c r="AJ139" s="317"/>
      <c r="AK139" s="388"/>
      <c r="AL139" s="317"/>
    </row>
    <row r="140" spans="2:38" ht="11.4" x14ac:dyDescent="0.2">
      <c r="P140" s="388"/>
      <c r="U140" s="317"/>
      <c r="V140" s="317"/>
      <c r="W140" s="317"/>
      <c r="X140" s="317"/>
      <c r="Y140" s="317"/>
      <c r="Z140" s="317"/>
      <c r="AA140" s="317"/>
      <c r="AB140" s="317"/>
      <c r="AC140" s="317"/>
      <c r="AD140" s="317"/>
      <c r="AE140" s="317"/>
      <c r="AF140" s="317"/>
      <c r="AG140" s="317"/>
      <c r="AH140" s="317"/>
      <c r="AI140" s="317"/>
      <c r="AJ140" s="317"/>
      <c r="AK140" s="317"/>
      <c r="AL140" s="317"/>
    </row>
    <row r="141" spans="2:38" ht="14.4" x14ac:dyDescent="0.3">
      <c r="B141" s="801" t="str">
        <f>+H5</f>
        <v>Central Goverment of Costa Rica</v>
      </c>
      <c r="C141" s="801"/>
      <c r="D141" s="801"/>
      <c r="E141" s="801"/>
      <c r="F141" s="801"/>
      <c r="G141" s="801"/>
      <c r="H141" s="801"/>
      <c r="I141" s="801"/>
      <c r="J141" s="801"/>
      <c r="K141" s="801"/>
      <c r="L141" s="801"/>
      <c r="M141" s="801"/>
      <c r="N141" s="801"/>
      <c r="O141" s="801"/>
      <c r="P141" s="801"/>
      <c r="Q141" s="801"/>
      <c r="R141" s="801"/>
      <c r="S141" s="801"/>
      <c r="T141" s="801"/>
      <c r="U141" s="801"/>
      <c r="V141" s="801"/>
      <c r="W141" s="801"/>
      <c r="X141" s="801"/>
      <c r="Y141" s="801"/>
      <c r="Z141" s="801"/>
      <c r="AA141" s="801"/>
      <c r="AB141" s="801"/>
      <c r="AC141" s="801"/>
      <c r="AD141" s="801"/>
      <c r="AE141" s="801"/>
      <c r="AF141" s="801"/>
      <c r="AG141" s="801"/>
      <c r="AH141" s="801"/>
      <c r="AI141" s="801"/>
      <c r="AJ141" s="801"/>
      <c r="AK141" s="317"/>
      <c r="AL141" s="317"/>
    </row>
    <row r="142" spans="2:38" ht="14.4" x14ac:dyDescent="0.3">
      <c r="B142" s="801" t="str">
        <f>+H6</f>
        <v>Maturity Profile Public Debt</v>
      </c>
      <c r="C142" s="801"/>
      <c r="D142" s="801"/>
      <c r="E142" s="801"/>
      <c r="F142" s="801"/>
      <c r="G142" s="801"/>
      <c r="H142" s="801"/>
      <c r="I142" s="801"/>
      <c r="J142" s="801"/>
      <c r="K142" s="801"/>
      <c r="L142" s="801"/>
      <c r="M142" s="801"/>
      <c r="N142" s="801"/>
      <c r="O142" s="801"/>
      <c r="P142" s="801"/>
      <c r="Q142" s="801"/>
      <c r="R142" s="801"/>
      <c r="S142" s="801"/>
      <c r="T142" s="801"/>
      <c r="U142" s="801"/>
      <c r="V142" s="801"/>
      <c r="W142" s="801"/>
      <c r="X142" s="801"/>
      <c r="Y142" s="801"/>
      <c r="Z142" s="801"/>
      <c r="AA142" s="801"/>
      <c r="AB142" s="801"/>
      <c r="AC142" s="801"/>
      <c r="AD142" s="801"/>
      <c r="AE142" s="801"/>
      <c r="AF142" s="801"/>
      <c r="AG142" s="801"/>
      <c r="AH142" s="801"/>
      <c r="AI142" s="801"/>
      <c r="AJ142" s="801"/>
      <c r="AK142" s="317"/>
      <c r="AL142" s="317"/>
    </row>
    <row r="143" spans="2:38" ht="14.4" x14ac:dyDescent="0.3">
      <c r="B143" s="801" t="str">
        <f>+B119</f>
        <v>December 31st  2020</v>
      </c>
      <c r="C143" s="801"/>
      <c r="D143" s="801"/>
      <c r="E143" s="801"/>
      <c r="F143" s="801"/>
      <c r="G143" s="801"/>
      <c r="H143" s="801"/>
      <c r="I143" s="801"/>
      <c r="J143" s="801"/>
      <c r="K143" s="801"/>
      <c r="L143" s="801"/>
      <c r="M143" s="801"/>
      <c r="N143" s="801"/>
      <c r="O143" s="801"/>
      <c r="P143" s="801"/>
      <c r="Q143" s="801"/>
      <c r="R143" s="801"/>
      <c r="S143" s="801"/>
      <c r="T143" s="801"/>
      <c r="U143" s="801"/>
      <c r="V143" s="801"/>
      <c r="W143" s="801"/>
      <c r="X143" s="801"/>
      <c r="Y143" s="801"/>
      <c r="Z143" s="801"/>
      <c r="AA143" s="801"/>
      <c r="AB143" s="801"/>
      <c r="AC143" s="801"/>
      <c r="AD143" s="801"/>
      <c r="AE143" s="801"/>
      <c r="AF143" s="801"/>
      <c r="AG143" s="801"/>
      <c r="AH143" s="801"/>
      <c r="AI143" s="801"/>
      <c r="AJ143" s="801"/>
      <c r="AK143" s="317"/>
      <c r="AL143" s="317"/>
    </row>
    <row r="144" spans="2:38" ht="14.4" x14ac:dyDescent="0.3">
      <c r="B144" s="801" t="str">
        <f>+H9</f>
        <v>(USD million)</v>
      </c>
      <c r="C144" s="801"/>
      <c r="D144" s="801"/>
      <c r="E144" s="801"/>
      <c r="F144" s="801"/>
      <c r="G144" s="801"/>
      <c r="H144" s="801"/>
      <c r="I144" s="801"/>
      <c r="J144" s="801"/>
      <c r="K144" s="801"/>
      <c r="L144" s="801"/>
      <c r="M144" s="801"/>
      <c r="N144" s="801"/>
      <c r="O144" s="801"/>
      <c r="P144" s="801"/>
      <c r="Q144" s="801"/>
      <c r="R144" s="801"/>
      <c r="S144" s="801"/>
      <c r="T144" s="801"/>
      <c r="U144" s="801"/>
      <c r="V144" s="801"/>
      <c r="W144" s="801"/>
      <c r="X144" s="801"/>
      <c r="Y144" s="801"/>
      <c r="Z144" s="801"/>
      <c r="AA144" s="801"/>
      <c r="AB144" s="801"/>
      <c r="AC144" s="801"/>
      <c r="AD144" s="801"/>
      <c r="AE144" s="801"/>
      <c r="AF144" s="801"/>
      <c r="AG144" s="801"/>
      <c r="AH144" s="801"/>
      <c r="AI144" s="801"/>
      <c r="AJ144" s="801"/>
      <c r="AK144" s="317"/>
      <c r="AL144" s="317"/>
    </row>
    <row r="145" spans="1:38" ht="14.4" x14ac:dyDescent="0.3">
      <c r="B145" s="754"/>
      <c r="C145" s="754"/>
      <c r="D145" s="754"/>
      <c r="E145" s="754"/>
      <c r="F145" s="754"/>
      <c r="G145" s="754"/>
      <c r="H145" s="754"/>
      <c r="I145" s="754"/>
      <c r="J145" s="754"/>
      <c r="K145" s="754"/>
      <c r="L145" s="754"/>
      <c r="M145" s="754"/>
      <c r="N145" s="754"/>
      <c r="O145" s="754"/>
      <c r="P145" s="754"/>
      <c r="Q145" s="754"/>
      <c r="R145" s="754"/>
      <c r="S145" s="754"/>
      <c r="T145" s="754"/>
      <c r="U145" s="754"/>
      <c r="V145" s="754"/>
      <c r="W145" s="754"/>
      <c r="X145" s="754"/>
      <c r="Y145" s="754"/>
      <c r="Z145" s="754"/>
      <c r="AA145" s="754"/>
      <c r="AB145" s="754"/>
      <c r="AC145" s="754"/>
      <c r="AD145" s="754"/>
      <c r="AE145" s="754"/>
      <c r="AF145" s="754"/>
      <c r="AG145" s="754"/>
      <c r="AH145" s="754"/>
      <c r="AI145" s="754"/>
      <c r="AJ145" s="754"/>
      <c r="AK145" s="317"/>
      <c r="AL145" s="317"/>
    </row>
    <row r="146" spans="1:38" ht="13.2" x14ac:dyDescent="0.25">
      <c r="B146" s="325" t="s">
        <v>159</v>
      </c>
      <c r="C146" s="326">
        <v>2021</v>
      </c>
      <c r="D146" s="326">
        <f>+C146+1</f>
        <v>2022</v>
      </c>
      <c r="E146" s="326">
        <f t="shared" ref="E146:AH146" si="4">+D146+1</f>
        <v>2023</v>
      </c>
      <c r="F146" s="326">
        <f t="shared" si="4"/>
        <v>2024</v>
      </c>
      <c r="G146" s="326">
        <f t="shared" si="4"/>
        <v>2025</v>
      </c>
      <c r="H146" s="326">
        <f t="shared" si="4"/>
        <v>2026</v>
      </c>
      <c r="I146" s="326">
        <f t="shared" si="4"/>
        <v>2027</v>
      </c>
      <c r="J146" s="326">
        <f t="shared" si="4"/>
        <v>2028</v>
      </c>
      <c r="K146" s="326">
        <f t="shared" si="4"/>
        <v>2029</v>
      </c>
      <c r="L146" s="326">
        <f t="shared" si="4"/>
        <v>2030</v>
      </c>
      <c r="M146" s="326">
        <f t="shared" si="4"/>
        <v>2031</v>
      </c>
      <c r="N146" s="326">
        <f t="shared" si="4"/>
        <v>2032</v>
      </c>
      <c r="O146" s="326">
        <f t="shared" si="4"/>
        <v>2033</v>
      </c>
      <c r="P146" s="326">
        <f t="shared" si="4"/>
        <v>2034</v>
      </c>
      <c r="Q146" s="326">
        <f t="shared" si="4"/>
        <v>2035</v>
      </c>
      <c r="R146" s="326">
        <f t="shared" si="4"/>
        <v>2036</v>
      </c>
      <c r="S146" s="326">
        <f t="shared" si="4"/>
        <v>2037</v>
      </c>
      <c r="T146" s="326">
        <f t="shared" si="4"/>
        <v>2038</v>
      </c>
      <c r="U146" s="326">
        <f t="shared" si="4"/>
        <v>2039</v>
      </c>
      <c r="V146" s="326">
        <f t="shared" si="4"/>
        <v>2040</v>
      </c>
      <c r="W146" s="326">
        <f t="shared" si="4"/>
        <v>2041</v>
      </c>
      <c r="X146" s="326">
        <f t="shared" si="4"/>
        <v>2042</v>
      </c>
      <c r="Y146" s="326">
        <f t="shared" si="4"/>
        <v>2043</v>
      </c>
      <c r="Z146" s="326">
        <f t="shared" si="4"/>
        <v>2044</v>
      </c>
      <c r="AA146" s="326">
        <f t="shared" si="4"/>
        <v>2045</v>
      </c>
      <c r="AB146" s="326">
        <f t="shared" si="4"/>
        <v>2046</v>
      </c>
      <c r="AC146" s="326">
        <f t="shared" si="4"/>
        <v>2047</v>
      </c>
      <c r="AD146" s="326">
        <f t="shared" si="4"/>
        <v>2048</v>
      </c>
      <c r="AE146" s="326">
        <f t="shared" si="4"/>
        <v>2049</v>
      </c>
      <c r="AF146" s="326">
        <f t="shared" si="4"/>
        <v>2050</v>
      </c>
      <c r="AG146" s="326">
        <f t="shared" si="4"/>
        <v>2051</v>
      </c>
      <c r="AH146" s="326">
        <f t="shared" si="4"/>
        <v>2052</v>
      </c>
      <c r="AI146"/>
      <c r="AJ146" s="186"/>
      <c r="AK146" s="582"/>
      <c r="AL146" s="317"/>
    </row>
    <row r="147" spans="1:38" ht="13.2" x14ac:dyDescent="0.25">
      <c r="B147" s="327" t="s">
        <v>160</v>
      </c>
      <c r="C147" s="328">
        <f>+'Maturity Profile Domestic Debt'!C142+'Maturity Profile External Debt'!C132</f>
        <v>370.09711055422156</v>
      </c>
      <c r="D147" s="328">
        <f>+'Maturity Profile Domestic Debt'!D142+'Maturity Profile External Debt'!D132</f>
        <v>410.71078843482456</v>
      </c>
      <c r="E147" s="328">
        <f>+'Maturity Profile Domestic Debt'!E142+'Maturity Profile External Debt'!E132</f>
        <v>1001.8685311605059</v>
      </c>
      <c r="F147" s="328">
        <f>+'Maturity Profile Domestic Debt'!F142+'Maturity Profile External Debt'!F132</f>
        <v>744.90148020828894</v>
      </c>
      <c r="G147" s="328">
        <f>+'Maturity Profile Domestic Debt'!G142+'Maturity Profile External Debt'!G132</f>
        <v>60.950461944401404</v>
      </c>
      <c r="H147" s="328">
        <f>+'Maturity Profile Domestic Debt'!H142+'Maturity Profile External Debt'!H132</f>
        <v>100.95988270928252</v>
      </c>
      <c r="I147" s="328">
        <f>+'Maturity Profile Domestic Debt'!I142+'Maturity Profile External Debt'!I132</f>
        <v>1.8989880483018808</v>
      </c>
      <c r="J147" s="328">
        <f>+'Maturity Profile Domestic Debt'!J142+'Maturity Profile External Debt'!J132</f>
        <v>763.54967817960789</v>
      </c>
      <c r="K147" s="328">
        <f>+'Maturity Profile Domestic Debt'!K142+'Maturity Profile External Debt'!K132</f>
        <v>280.96446617326848</v>
      </c>
      <c r="L147" s="328">
        <f>+'Maturity Profile Domestic Debt'!L142+'Maturity Profile External Debt'!L132</f>
        <v>1.3025581399999999</v>
      </c>
      <c r="M147" s="328">
        <f>+'Maturity Profile Domestic Debt'!M142+'Maturity Profile External Debt'!M132</f>
        <v>1.3193053300000002</v>
      </c>
      <c r="N147" s="328">
        <f>+'Maturity Profile Domestic Debt'!N142+'Maturity Profile External Debt'!N132</f>
        <v>1.34665737</v>
      </c>
      <c r="O147" s="328">
        <f>+'Maturity Profile Domestic Debt'!O142+'Maturity Profile External Debt'!O132</f>
        <v>1.3866478500000001</v>
      </c>
      <c r="P147" s="328">
        <f>+'Maturity Profile Domestic Debt'!P142+'Maturity Profile External Debt'!P132</f>
        <v>0.60391200069176931</v>
      </c>
      <c r="Q147" s="328">
        <f>+'Maturity Profile Domestic Debt'!Q142+'Maturity Profile External Debt'!Q132</f>
        <v>0.59794444838584471</v>
      </c>
      <c r="R147" s="328">
        <f>+'Maturity Profile Domestic Debt'!R142+'Maturity Profile External Debt'!R132</f>
        <v>0.5</v>
      </c>
      <c r="S147" s="328">
        <f>+'Maturity Profile Domestic Debt'!S142+'Maturity Profile External Debt'!S132</f>
        <v>0.5</v>
      </c>
      <c r="T147" s="328">
        <f>+'Maturity Profile Domestic Debt'!T142+'Maturity Profile External Debt'!T132</f>
        <v>0.5</v>
      </c>
      <c r="U147" s="328">
        <f>+'Maturity Profile Domestic Debt'!U142+'Maturity Profile External Debt'!U132</f>
        <v>0.5</v>
      </c>
      <c r="V147" s="328">
        <f>+'Maturity Profile Domestic Debt'!V142+'Maturity Profile External Debt'!V132</f>
        <v>254.07849822977232</v>
      </c>
      <c r="W147" s="328">
        <f>+'Maturity Profile Domestic Debt'!W142+'Maturity Profile External Debt'!W132</f>
        <v>0.5</v>
      </c>
      <c r="X147" s="328">
        <f>+'Maturity Profile Domestic Debt'!X142+'Maturity Profile External Debt'!X132</f>
        <v>0.5</v>
      </c>
      <c r="Y147" s="328">
        <f>+'Maturity Profile Domestic Debt'!Y142+'Maturity Profile External Debt'!Y132</f>
        <v>0.5</v>
      </c>
      <c r="Z147" s="328">
        <f>+'Maturity Profile Domestic Debt'!Z142+'Maturity Profile External Debt'!Z132</f>
        <v>0</v>
      </c>
      <c r="AA147" s="328">
        <f>+'Maturity Profile Domestic Debt'!AA142+'Maturity Profile External Debt'!AA132</f>
        <v>0</v>
      </c>
      <c r="AB147" s="328">
        <f>+'Maturity Profile Domestic Debt'!AB142+'Maturity Profile External Debt'!AB132</f>
        <v>0</v>
      </c>
      <c r="AC147" s="328">
        <f>+'Maturity Profile Domestic Debt'!AC142+'Maturity Profile External Debt'!AC132</f>
        <v>0</v>
      </c>
      <c r="AD147" s="328">
        <f>+'Maturity Profile Domestic Debt'!AD142+'Maturity Profile External Debt'!AD132</f>
        <v>0</v>
      </c>
      <c r="AE147" s="328">
        <f>+'Maturity Profile Domestic Debt'!AE142+'Maturity Profile External Debt'!AE132</f>
        <v>0</v>
      </c>
      <c r="AF147" s="328">
        <f>+'Maturity Profile Domestic Debt'!AF142+'Maturity Profile External Debt'!AF132</f>
        <v>0</v>
      </c>
      <c r="AG147" s="328">
        <f>+'Maturity Profile Domestic Debt'!AG142+'Maturity Profile External Debt'!AG132</f>
        <v>0</v>
      </c>
      <c r="AH147" s="328">
        <f>+'Maturity Profile Domestic Debt'!AH142+'Maturity Profile External Debt'!AH132</f>
        <v>0</v>
      </c>
      <c r="AI147"/>
      <c r="AJ147" s="186"/>
      <c r="AK147" s="582"/>
      <c r="AL147" s="317"/>
    </row>
    <row r="148" spans="1:38" ht="13.2" x14ac:dyDescent="0.25">
      <c r="B148" s="327" t="s">
        <v>161</v>
      </c>
      <c r="C148" s="328">
        <f>+'Maturity Profile Domestic Debt'!C143+'Maturity Profile External Debt'!C133</f>
        <v>239.63927442346596</v>
      </c>
      <c r="D148" s="328">
        <f>+'Maturity Profile Domestic Debt'!D143+'Maturity Profile External Debt'!D133</f>
        <v>358.85582376790069</v>
      </c>
      <c r="E148" s="328">
        <f>+'Maturity Profile Domestic Debt'!E143+'Maturity Profile External Debt'!E133</f>
        <v>704.43493867207144</v>
      </c>
      <c r="F148" s="328">
        <f>+'Maturity Profile Domestic Debt'!F143+'Maturity Profile External Debt'!F133</f>
        <v>467.37043548999992</v>
      </c>
      <c r="G148" s="328">
        <f>+'Maturity Profile Domestic Debt'!G143+'Maturity Profile External Debt'!G133</f>
        <v>815.30215815122415</v>
      </c>
      <c r="H148" s="328">
        <f>+'Maturity Profile Domestic Debt'!H143+'Maturity Profile External Debt'!H133</f>
        <v>8.9910875864071684</v>
      </c>
      <c r="I148" s="328">
        <f>+'Maturity Profile Domestic Debt'!I143+'Maturity Profile External Debt'!I133</f>
        <v>788.97019884988731</v>
      </c>
      <c r="J148" s="328">
        <f>+'Maturity Profile Domestic Debt'!J143+'Maturity Profile External Debt'!J133</f>
        <v>481.48721477514505</v>
      </c>
      <c r="K148" s="328">
        <f>+'Maturity Profile Domestic Debt'!K143+'Maturity Profile External Debt'!K133</f>
        <v>1103.433526474962</v>
      </c>
      <c r="L148" s="328">
        <f>+'Maturity Profile Domestic Debt'!L143+'Maturity Profile External Debt'!L133</f>
        <v>1023.8357589953582</v>
      </c>
      <c r="M148" s="328">
        <f>+'Maturity Profile Domestic Debt'!M143+'Maturity Profile External Debt'!M133</f>
        <v>409.10851734645286</v>
      </c>
      <c r="N148" s="328">
        <f>+'Maturity Profile Domestic Debt'!N143+'Maturity Profile External Debt'!N133</f>
        <v>9.1039609101508745</v>
      </c>
      <c r="O148" s="328">
        <f>+'Maturity Profile Domestic Debt'!O143+'Maturity Profile External Debt'!O133</f>
        <v>9.1667600546458718</v>
      </c>
      <c r="P148" s="328">
        <f>+'Maturity Profile Domestic Debt'!P143+'Maturity Profile External Debt'!P133</f>
        <v>8.3598176821675541</v>
      </c>
      <c r="Q148" s="328">
        <f>+'Maturity Profile Domestic Debt'!Q143+'Maturity Profile External Debt'!Q133</f>
        <v>8.2818181763604759</v>
      </c>
      <c r="R148" s="328">
        <f>+'Maturity Profile Domestic Debt'!R143+'Maturity Profile External Debt'!R133</f>
        <v>455.917693503544</v>
      </c>
      <c r="S148" s="328">
        <f>+'Maturity Profile Domestic Debt'!S143+'Maturity Profile External Debt'!S133</f>
        <v>8.2274343299999995</v>
      </c>
      <c r="T148" s="328">
        <f>+'Maturity Profile Domestic Debt'!T143+'Maturity Profile External Debt'!T133</f>
        <v>8.2274343299999995</v>
      </c>
      <c r="U148" s="328">
        <f>+'Maturity Profile Domestic Debt'!U143+'Maturity Profile External Debt'!U133</f>
        <v>8.2274343299999995</v>
      </c>
      <c r="V148" s="328">
        <f>+'Maturity Profile Domestic Debt'!V143+'Maturity Profile External Debt'!V133</f>
        <v>8.2274343299999995</v>
      </c>
      <c r="W148" s="328">
        <f>+'Maturity Profile Domestic Debt'!W143+'Maturity Profile External Debt'!W133</f>
        <v>8.2274343299999995</v>
      </c>
      <c r="X148" s="328">
        <f>+'Maturity Profile Domestic Debt'!X143+'Maturity Profile External Debt'!X133</f>
        <v>8.2274343299999995</v>
      </c>
      <c r="Y148" s="328">
        <f>+'Maturity Profile Domestic Debt'!Y143+'Maturity Profile External Debt'!Y133</f>
        <v>8.7274343299999995</v>
      </c>
      <c r="Z148" s="328">
        <f>+'Maturity Profile Domestic Debt'!Z143+'Maturity Profile External Debt'!Z133</f>
        <v>7.0909090900000002</v>
      </c>
      <c r="AA148" s="328">
        <f>+'Maturity Profile Domestic Debt'!AA143+'Maturity Profile External Debt'!AA133</f>
        <v>7.0909090900000002</v>
      </c>
      <c r="AB148" s="328">
        <f>+'Maturity Profile Domestic Debt'!AB143+'Maturity Profile External Debt'!AB133</f>
        <v>7.0909090900000002</v>
      </c>
      <c r="AC148" s="328">
        <f>+'Maturity Profile Domestic Debt'!AC143+'Maturity Profile External Debt'!AC133</f>
        <v>7.0909090900000002</v>
      </c>
      <c r="AD148" s="328">
        <f>+'Maturity Profile Domestic Debt'!AD143+'Maturity Profile External Debt'!AD133</f>
        <v>7.0909090900000002</v>
      </c>
      <c r="AE148" s="328">
        <f>+'Maturity Profile Domestic Debt'!AE143+'Maturity Profile External Debt'!AE133</f>
        <v>7.0909090900000002</v>
      </c>
      <c r="AF148" s="328">
        <f>+'Maturity Profile Domestic Debt'!AF143+'Maturity Profile External Debt'!AF133</f>
        <v>0</v>
      </c>
      <c r="AG148" s="328">
        <f>+'Maturity Profile Domestic Debt'!AG143+'Maturity Profile External Debt'!AG133</f>
        <v>0</v>
      </c>
      <c r="AH148" s="328">
        <f>+'Maturity Profile Domestic Debt'!AH143+'Maturity Profile External Debt'!AH133</f>
        <v>0</v>
      </c>
      <c r="AI148"/>
      <c r="AJ148" s="186"/>
      <c r="AK148" s="582"/>
      <c r="AL148" s="317"/>
    </row>
    <row r="149" spans="1:38" ht="13.2" x14ac:dyDescent="0.25">
      <c r="B149" s="327" t="s">
        <v>162</v>
      </c>
      <c r="C149" s="328">
        <f>+'Maturity Profile Domestic Debt'!C144+'Maturity Profile External Debt'!C134</f>
        <v>399.07959708176969</v>
      </c>
      <c r="D149" s="328">
        <f>+'Maturity Profile Domestic Debt'!D144+'Maturity Profile External Debt'!D134</f>
        <v>24.850250253216302</v>
      </c>
      <c r="E149" s="328">
        <f>+'Maturity Profile Domestic Debt'!E144+'Maturity Profile External Debt'!E134</f>
        <v>338.15038307652219</v>
      </c>
      <c r="F149" s="328">
        <f>+'Maturity Profile Domestic Debt'!F144+'Maturity Profile External Debt'!F134</f>
        <v>511.65679130048153</v>
      </c>
      <c r="G149" s="328">
        <f>+'Maturity Profile Domestic Debt'!G144+'Maturity Profile External Debt'!G134</f>
        <v>67.44907093109633</v>
      </c>
      <c r="H149" s="328">
        <f>+'Maturity Profile Domestic Debt'!H144+'Maturity Profile External Debt'!H134</f>
        <v>765.18363443423516</v>
      </c>
      <c r="I149" s="328">
        <f>+'Maturity Profile Domestic Debt'!I144+'Maturity Profile External Debt'!I134</f>
        <v>773.07160632556088</v>
      </c>
      <c r="J149" s="328">
        <f>+'Maturity Profile Domestic Debt'!J144+'Maturity Profile External Debt'!J134</f>
        <v>65.494084609857723</v>
      </c>
      <c r="K149" s="328">
        <f>+'Maturity Profile Domestic Debt'!K144+'Maturity Profile External Debt'!K134</f>
        <v>50.64961110023981</v>
      </c>
      <c r="L149" s="328">
        <f>+'Maturity Profile Domestic Debt'!L144+'Maturity Profile External Debt'!L134</f>
        <v>50.563865759071859</v>
      </c>
      <c r="M149" s="328">
        <f>+'Maturity Profile Domestic Debt'!M144+'Maturity Profile External Debt'!M134</f>
        <v>50.529732216274887</v>
      </c>
      <c r="N149" s="328">
        <f>+'Maturity Profile Domestic Debt'!N144+'Maturity Profile External Debt'!N134</f>
        <v>46.622721246764705</v>
      </c>
      <c r="O149" s="328">
        <f>+'Maturity Profile Domestic Debt'!O144+'Maturity Profile External Debt'!O134</f>
        <v>46.780875332418709</v>
      </c>
      <c r="P149" s="328">
        <f>+'Maturity Profile Domestic Debt'!P144+'Maturity Profile External Debt'!P134</f>
        <v>45.770195354953714</v>
      </c>
      <c r="Q149" s="328">
        <f>+'Maturity Profile Domestic Debt'!Q144+'Maturity Profile External Debt'!Q134</f>
        <v>420.95812104711649</v>
      </c>
      <c r="R149" s="328">
        <f>+'Maturity Profile Domestic Debt'!R144+'Maturity Profile External Debt'!R134</f>
        <v>37.852672496764697</v>
      </c>
      <c r="S149" s="328">
        <f>+'Maturity Profile Domestic Debt'!S144+'Maturity Profile External Debt'!S134</f>
        <v>34.354215046764701</v>
      </c>
      <c r="T149" s="328">
        <f>+'Maturity Profile Domestic Debt'!T144+'Maturity Profile External Debt'!T134</f>
        <v>31.254329070000001</v>
      </c>
      <c r="U149" s="328">
        <f>+'Maturity Profile Domestic Debt'!U144+'Maturity Profile External Debt'!U134</f>
        <v>14.533067709999999</v>
      </c>
      <c r="V149" s="328">
        <f>+'Maturity Profile Domestic Debt'!V144+'Maturity Profile External Debt'!V134</f>
        <v>0</v>
      </c>
      <c r="W149" s="328">
        <f>+'Maturity Profile Domestic Debt'!W144+'Maturity Profile External Debt'!W134</f>
        <v>0</v>
      </c>
      <c r="X149" s="328">
        <f>+'Maturity Profile Domestic Debt'!X144+'Maturity Profile External Debt'!X134</f>
        <v>0</v>
      </c>
      <c r="Y149" s="328">
        <f>+'Maturity Profile Domestic Debt'!Y144+'Maturity Profile External Debt'!Y134</f>
        <v>0</v>
      </c>
      <c r="Z149" s="328">
        <f>+'Maturity Profile Domestic Debt'!Z144+'Maturity Profile External Debt'!Z134</f>
        <v>0</v>
      </c>
      <c r="AA149" s="328">
        <f>+'Maturity Profile Domestic Debt'!AA144+'Maturity Profile External Debt'!AA134</f>
        <v>1300</v>
      </c>
      <c r="AB149" s="328">
        <f>+'Maturity Profile Domestic Debt'!AB144+'Maturity Profile External Debt'!AB134</f>
        <v>0</v>
      </c>
      <c r="AC149" s="328">
        <f>+'Maturity Profile Domestic Debt'!AC144+'Maturity Profile External Debt'!AC134</f>
        <v>0</v>
      </c>
      <c r="AD149" s="328">
        <f>+'Maturity Profile Domestic Debt'!AD144+'Maturity Profile External Debt'!AD134</f>
        <v>0</v>
      </c>
      <c r="AE149" s="328">
        <f>+'Maturity Profile Domestic Debt'!AE144+'Maturity Profile External Debt'!AE134</f>
        <v>0</v>
      </c>
      <c r="AF149" s="328">
        <f>+'Maturity Profile Domestic Debt'!AF144+'Maturity Profile External Debt'!AF134</f>
        <v>0</v>
      </c>
      <c r="AG149" s="328">
        <f>+'Maturity Profile Domestic Debt'!AG144+'Maturity Profile External Debt'!AG134</f>
        <v>0</v>
      </c>
      <c r="AH149" s="328">
        <f>+'Maturity Profile Domestic Debt'!AH144+'Maturity Profile External Debt'!AH134</f>
        <v>0</v>
      </c>
      <c r="AI149"/>
      <c r="AJ149" s="186"/>
      <c r="AK149" s="582"/>
      <c r="AL149" s="317"/>
    </row>
    <row r="150" spans="1:38" ht="13.2" x14ac:dyDescent="0.25">
      <c r="B150" s="327" t="s">
        <v>163</v>
      </c>
      <c r="C150" s="328">
        <f>+'Maturity Profile Domestic Debt'!C145+'Maturity Profile External Debt'!C135</f>
        <v>357.00451268998177</v>
      </c>
      <c r="D150" s="328">
        <f>+'Maturity Profile Domestic Debt'!D145+'Maturity Profile External Debt'!D135</f>
        <v>28.517668372931105</v>
      </c>
      <c r="E150" s="328">
        <f>+'Maturity Profile Domestic Debt'!E145+'Maturity Profile External Debt'!E135</f>
        <v>58.73349698303749</v>
      </c>
      <c r="F150" s="328">
        <f>+'Maturity Profile Domestic Debt'!F145+'Maturity Profile External Debt'!F135</f>
        <v>88.791899817657324</v>
      </c>
      <c r="G150" s="328">
        <f>+'Maturity Profile Domestic Debt'!G145+'Maturity Profile External Debt'!G135</f>
        <v>583.26825012359882</v>
      </c>
      <c r="H150" s="328">
        <f>+'Maturity Profile Domestic Debt'!H145+'Maturity Profile External Debt'!H135</f>
        <v>93.458811618654607</v>
      </c>
      <c r="I150" s="328">
        <f>+'Maturity Profile Domestic Debt'!I145+'Maturity Profile External Debt'!I135</f>
        <v>91.305073922268264</v>
      </c>
      <c r="J150" s="328">
        <f>+'Maturity Profile Domestic Debt'!J145+'Maturity Profile External Debt'!J135</f>
        <v>22.927605623948015</v>
      </c>
      <c r="K150" s="328">
        <f>+'Maturity Profile Domestic Debt'!K145+'Maturity Profile External Debt'!K135</f>
        <v>359.97874734052544</v>
      </c>
      <c r="L150" s="328">
        <f>+'Maturity Profile Domestic Debt'!L145+'Maturity Profile External Debt'!L135</f>
        <v>23.000122821552765</v>
      </c>
      <c r="M150" s="328">
        <f>+'Maturity Profile Domestic Debt'!M145+'Maturity Profile External Debt'!M135</f>
        <v>23.090389828674603</v>
      </c>
      <c r="N150" s="328">
        <f>+'Maturity Profile Domestic Debt'!N145+'Maturity Profile External Debt'!N135</f>
        <v>119.33797042810188</v>
      </c>
      <c r="O150" s="328">
        <f>+'Maturity Profile Domestic Debt'!O145+'Maturity Profile External Debt'!O135</f>
        <v>23.092242860332689</v>
      </c>
      <c r="P150" s="328">
        <f>+'Maturity Profile Domestic Debt'!P145+'Maturity Profile External Debt'!P135</f>
        <v>214.19199126172029</v>
      </c>
      <c r="Q150" s="328">
        <f>+'Maturity Profile Domestic Debt'!Q145+'Maturity Profile External Debt'!Q135</f>
        <v>67.051716572737192</v>
      </c>
      <c r="R150" s="328">
        <f>+'Maturity Profile Domestic Debt'!R145+'Maturity Profile External Debt'!R135</f>
        <v>22.181152917408973</v>
      </c>
      <c r="S150" s="328">
        <f>+'Maturity Profile Domestic Debt'!S145+'Maturity Profile External Debt'!S135</f>
        <v>20.724369210000003</v>
      </c>
      <c r="T150" s="328">
        <f>+'Maturity Profile Domestic Debt'!T145+'Maturity Profile External Debt'!T135</f>
        <v>15.26982376</v>
      </c>
      <c r="U150" s="328">
        <f>+'Maturity Profile Domestic Debt'!U145+'Maturity Profile External Debt'!U135</f>
        <v>235.25951998243153</v>
      </c>
      <c r="V150" s="328">
        <f>+'Maturity Profile Domestic Debt'!V145+'Maturity Profile External Debt'!V135</f>
        <v>14.753336560000001</v>
      </c>
      <c r="W150" s="328">
        <f>+'Maturity Profile Domestic Debt'!W145+'Maturity Profile External Debt'!W135</f>
        <v>4.5765705599999995</v>
      </c>
      <c r="X150" s="328">
        <f>+'Maturity Profile Domestic Debt'!X145+'Maturity Profile External Debt'!X135</f>
        <v>4.5765705599999995</v>
      </c>
      <c r="Y150" s="328">
        <f>+'Maturity Profile Domestic Debt'!Y145+'Maturity Profile External Debt'!Y135</f>
        <v>500.63274680000001</v>
      </c>
      <c r="Z150" s="328">
        <f>+'Maturity Profile Domestic Debt'!Z145+'Maturity Profile External Debt'!Z135</f>
        <v>1611.5541584347809</v>
      </c>
      <c r="AA150" s="328">
        <f>+'Maturity Profile Domestic Debt'!AA145+'Maturity Profile External Debt'!AA135</f>
        <v>0.63274680000000005</v>
      </c>
      <c r="AB150" s="328">
        <f>+'Maturity Profile Domestic Debt'!AB145+'Maturity Profile External Debt'!AB135</f>
        <v>0.63274680000000005</v>
      </c>
      <c r="AC150" s="328">
        <f>+'Maturity Profile Domestic Debt'!AC145+'Maturity Profile External Debt'!AC135</f>
        <v>25.980360018293435</v>
      </c>
      <c r="AD150" s="328">
        <f>+'Maturity Profile Domestic Debt'!AD145+'Maturity Profile External Debt'!AD135</f>
        <v>0</v>
      </c>
      <c r="AE150" s="328">
        <f>+'Maturity Profile Domestic Debt'!AE145+'Maturity Profile External Debt'!AE135</f>
        <v>0</v>
      </c>
      <c r="AF150" s="328">
        <f>+'Maturity Profile Domestic Debt'!AF145+'Maturity Profile External Debt'!AF135</f>
        <v>159.96841199207455</v>
      </c>
      <c r="AG150" s="328">
        <f>+'Maturity Profile Domestic Debt'!AG145+'Maturity Profile External Debt'!AG135</f>
        <v>34.594877708123555</v>
      </c>
      <c r="AH150" s="328">
        <f>+'Maturity Profile Domestic Debt'!AH145+'Maturity Profile External Debt'!AH135</f>
        <v>0</v>
      </c>
      <c r="AI150"/>
      <c r="AJ150" s="186"/>
      <c r="AK150" s="582"/>
      <c r="AL150" s="317"/>
    </row>
    <row r="151" spans="1:38" ht="13.2" x14ac:dyDescent="0.25">
      <c r="B151" s="327" t="s">
        <v>164</v>
      </c>
      <c r="C151" s="328">
        <f>+'Maturity Profile Domestic Debt'!C146+'Maturity Profile External Debt'!C136</f>
        <v>348.91477526212736</v>
      </c>
      <c r="D151" s="328">
        <f>+'Maturity Profile Domestic Debt'!D146+'Maturity Profile External Debt'!D136</f>
        <v>421.69028435176358</v>
      </c>
      <c r="E151" s="328">
        <f>+'Maturity Profile Domestic Debt'!E146+'Maturity Profile External Debt'!E136</f>
        <v>75.257866906673684</v>
      </c>
      <c r="F151" s="328">
        <f>+'Maturity Profile Domestic Debt'!F146+'Maturity Profile External Debt'!F136</f>
        <v>266.43766268000002</v>
      </c>
      <c r="G151" s="328">
        <f>+'Maturity Profile Domestic Debt'!G146+'Maturity Profile External Debt'!G136</f>
        <v>7.4833482413729984</v>
      </c>
      <c r="H151" s="328">
        <f>+'Maturity Profile Domestic Debt'!H146+'Maturity Profile External Debt'!H136</f>
        <v>15.436140121372999</v>
      </c>
      <c r="I151" s="328">
        <f>+'Maturity Profile Domestic Debt'!I146+'Maturity Profile External Debt'!I136</f>
        <v>415.447426711373</v>
      </c>
      <c r="J151" s="328">
        <f>+'Maturity Profile Domestic Debt'!J146+'Maturity Profile External Debt'!J136</f>
        <v>132.13516954279285</v>
      </c>
      <c r="K151" s="328">
        <f>+'Maturity Profile Domestic Debt'!K146+'Maturity Profile External Debt'!K136</f>
        <v>14.239697441373</v>
      </c>
      <c r="L151" s="328">
        <f>+'Maturity Profile Domestic Debt'!L146+'Maturity Profile External Debt'!L136</f>
        <v>14.110122171373</v>
      </c>
      <c r="M151" s="328">
        <f>+'Maturity Profile Domestic Debt'!M146+'Maturity Profile External Debt'!M136</f>
        <v>14.138874506177869</v>
      </c>
      <c r="N151" s="328">
        <f>+'Maturity Profile Domestic Debt'!N146+'Maturity Profile External Debt'!N136</f>
        <v>14.154595701372999</v>
      </c>
      <c r="O151" s="328">
        <f>+'Maturity Profile Domestic Debt'!O146+'Maturity Profile External Debt'!O136</f>
        <v>167.46140193796501</v>
      </c>
      <c r="P151" s="328">
        <f>+'Maturity Profile Domestic Debt'!P146+'Maturity Profile External Debt'!P136</f>
        <v>13.296512321372999</v>
      </c>
      <c r="Q151" s="328">
        <f>+'Maturity Profile Domestic Debt'!Q146+'Maturity Profile External Debt'!Q136</f>
        <v>13.411556642278333</v>
      </c>
      <c r="R151" s="328">
        <f>+'Maturity Profile Domestic Debt'!R146+'Maturity Profile External Debt'!R136</f>
        <v>13.296512321372999</v>
      </c>
      <c r="S151" s="328">
        <f>+'Maturity Profile Domestic Debt'!S146+'Maturity Profile External Debt'!S136</f>
        <v>17.391512321373</v>
      </c>
      <c r="T151" s="328">
        <f>+'Maturity Profile Domestic Debt'!T146+'Maturity Profile External Debt'!T136</f>
        <v>13.296512321372999</v>
      </c>
      <c r="U151" s="328">
        <f>+'Maturity Profile Domestic Debt'!U146+'Maturity Profile External Debt'!U136</f>
        <v>13.296512321372999</v>
      </c>
      <c r="V151" s="328">
        <f>+'Maturity Profile Domestic Debt'!V146+'Maturity Profile External Debt'!V136</f>
        <v>0.13907559999999999</v>
      </c>
      <c r="W151" s="328">
        <f>+'Maturity Profile Domestic Debt'!W146+'Maturity Profile External Debt'!W136</f>
        <v>0</v>
      </c>
      <c r="X151" s="328">
        <f>+'Maturity Profile Domestic Debt'!X146+'Maturity Profile External Debt'!X136</f>
        <v>0</v>
      </c>
      <c r="Y151" s="328">
        <f>+'Maturity Profile Domestic Debt'!Y146+'Maturity Profile External Debt'!Y136</f>
        <v>0</v>
      </c>
      <c r="Z151" s="328">
        <f>+'Maturity Profile Domestic Debt'!Z146+'Maturity Profile External Debt'!Z136</f>
        <v>0</v>
      </c>
      <c r="AA151" s="328">
        <f>+'Maturity Profile Domestic Debt'!AA146+'Maturity Profile External Debt'!AA136</f>
        <v>0</v>
      </c>
      <c r="AB151" s="328">
        <f>+'Maturity Profile Domestic Debt'!AB146+'Maturity Profile External Debt'!AB136</f>
        <v>0</v>
      </c>
      <c r="AC151" s="328">
        <f>+'Maturity Profile Domestic Debt'!AC146+'Maturity Profile External Debt'!AC136</f>
        <v>0</v>
      </c>
      <c r="AD151" s="328">
        <f>+'Maturity Profile Domestic Debt'!AD146+'Maturity Profile External Debt'!AD136</f>
        <v>0</v>
      </c>
      <c r="AE151" s="328">
        <f>+'Maturity Profile Domestic Debt'!AE146+'Maturity Profile External Debt'!AE136</f>
        <v>0</v>
      </c>
      <c r="AF151" s="328">
        <f>+'Maturity Profile Domestic Debt'!AF146+'Maturity Profile External Debt'!AF136</f>
        <v>0</v>
      </c>
      <c r="AG151" s="328">
        <f>+'Maturity Profile Domestic Debt'!AG146+'Maturity Profile External Debt'!AG136</f>
        <v>0</v>
      </c>
      <c r="AH151" s="328">
        <f>+'Maturity Profile Domestic Debt'!AH146+'Maturity Profile External Debt'!AH136</f>
        <v>0</v>
      </c>
      <c r="AI151"/>
      <c r="AJ151" s="186"/>
      <c r="AK151" s="582"/>
      <c r="AL151" s="317"/>
    </row>
    <row r="152" spans="1:38" ht="13.2" x14ac:dyDescent="0.25">
      <c r="B152" s="327" t="s">
        <v>165</v>
      </c>
      <c r="C152" s="328">
        <f>+'Maturity Profile Domestic Debt'!C147+'Maturity Profile External Debt'!C137</f>
        <v>198.01828205694176</v>
      </c>
      <c r="D152" s="328">
        <f>+'Maturity Profile Domestic Debt'!D147+'Maturity Profile External Debt'!D137</f>
        <v>392.69124797345904</v>
      </c>
      <c r="E152" s="328">
        <f>+'Maturity Profile Domestic Debt'!E147+'Maturity Profile External Debt'!E137</f>
        <v>479.56740618723359</v>
      </c>
      <c r="F152" s="328">
        <f>+'Maturity Profile Domestic Debt'!F147+'Maturity Profile External Debt'!F137</f>
        <v>177.40533120813669</v>
      </c>
      <c r="G152" s="328">
        <f>+'Maturity Profile Domestic Debt'!G147+'Maturity Profile External Debt'!G137</f>
        <v>247.46745597929018</v>
      </c>
      <c r="H152" s="328">
        <f>+'Maturity Profile Domestic Debt'!H147+'Maturity Profile External Debt'!H137</f>
        <v>379.25274727791844</v>
      </c>
      <c r="I152" s="328">
        <f>+'Maturity Profile Domestic Debt'!I147+'Maturity Profile External Debt'!I137</f>
        <v>71.042807774833562</v>
      </c>
      <c r="J152" s="328">
        <f>+'Maturity Profile Domestic Debt'!J147+'Maturity Profile External Debt'!J137</f>
        <v>440.03211688823825</v>
      </c>
      <c r="K152" s="328">
        <f>+'Maturity Profile Domestic Debt'!K147+'Maturity Profile External Debt'!K137</f>
        <v>13.32003525</v>
      </c>
      <c r="L152" s="328">
        <f>+'Maturity Profile Domestic Debt'!L147+'Maturity Profile External Debt'!L137</f>
        <v>814.51307893743092</v>
      </c>
      <c r="M152" s="328">
        <f>+'Maturity Profile Domestic Debt'!M147+'Maturity Profile External Debt'!M137</f>
        <v>525.06401814828996</v>
      </c>
      <c r="N152" s="328">
        <f>+'Maturity Profile Domestic Debt'!N147+'Maturity Profile External Debt'!N137</f>
        <v>54.077958832353758</v>
      </c>
      <c r="O152" s="328">
        <f>+'Maturity Profile Domestic Debt'!O147+'Maturity Profile External Debt'!O137</f>
        <v>2.2187439636969337</v>
      </c>
      <c r="P152" s="328">
        <f>+'Maturity Profile Domestic Debt'!P147+'Maturity Profile External Debt'!P137</f>
        <v>110.11166007666905</v>
      </c>
      <c r="Q152" s="328">
        <f>+'Maturity Profile Domestic Debt'!Q147+'Maturity Profile External Debt'!Q137</f>
        <v>1.4436106030508005</v>
      </c>
      <c r="R152" s="328">
        <f>+'Maturity Profile Domestic Debt'!R147+'Maturity Profile External Debt'!R137</f>
        <v>1.3312174699999999</v>
      </c>
      <c r="S152" s="328">
        <f>+'Maturity Profile Domestic Debt'!S147+'Maturity Profile External Debt'!S137</f>
        <v>1.33121756</v>
      </c>
      <c r="T152" s="328">
        <f>+'Maturity Profile Domestic Debt'!T147+'Maturity Profile External Debt'!T137</f>
        <v>1.5151360000000001E-2</v>
      </c>
      <c r="U152" s="328">
        <f>+'Maturity Profile Domestic Debt'!U147+'Maturity Profile External Debt'!U137</f>
        <v>0</v>
      </c>
      <c r="V152" s="328">
        <f>+'Maturity Profile Domestic Debt'!V147+'Maturity Profile External Debt'!V137</f>
        <v>0</v>
      </c>
      <c r="W152" s="328">
        <f>+'Maturity Profile Domestic Debt'!W147+'Maturity Profile External Debt'!W137</f>
        <v>0</v>
      </c>
      <c r="X152" s="328">
        <f>+'Maturity Profile Domestic Debt'!X147+'Maturity Profile External Debt'!X137</f>
        <v>0</v>
      </c>
      <c r="Y152" s="328">
        <f>+'Maturity Profile Domestic Debt'!Y147+'Maturity Profile External Debt'!Y137</f>
        <v>0</v>
      </c>
      <c r="Z152" s="328">
        <f>+'Maturity Profile Domestic Debt'!Z147+'Maturity Profile External Debt'!Z137</f>
        <v>0</v>
      </c>
      <c r="AA152" s="328">
        <f>+'Maturity Profile Domestic Debt'!AA147+'Maturity Profile External Debt'!AA137</f>
        <v>0</v>
      </c>
      <c r="AB152" s="328">
        <f>+'Maturity Profile Domestic Debt'!AB147+'Maturity Profile External Debt'!AB137</f>
        <v>0</v>
      </c>
      <c r="AC152" s="328">
        <f>+'Maturity Profile Domestic Debt'!AC147+'Maturity Profile External Debt'!AC137</f>
        <v>0</v>
      </c>
      <c r="AD152" s="328">
        <f>+'Maturity Profile Domestic Debt'!AD147+'Maturity Profile External Debt'!AD137</f>
        <v>0</v>
      </c>
      <c r="AE152" s="328">
        <f>+'Maturity Profile Domestic Debt'!AE147+'Maturity Profile External Debt'!AE137</f>
        <v>0</v>
      </c>
      <c r="AF152" s="328">
        <f>+'Maturity Profile Domestic Debt'!AF147+'Maturity Profile External Debt'!AF137</f>
        <v>0</v>
      </c>
      <c r="AG152" s="328">
        <f>+'Maturity Profile Domestic Debt'!AG147+'Maturity Profile External Debt'!AG137</f>
        <v>0</v>
      </c>
      <c r="AH152" s="328">
        <f>+'Maturity Profile Domestic Debt'!AH147+'Maturity Profile External Debt'!AH137</f>
        <v>0</v>
      </c>
      <c r="AI152"/>
      <c r="AJ152" s="186"/>
      <c r="AK152" s="582"/>
      <c r="AL152" s="317"/>
    </row>
    <row r="153" spans="1:38" ht="13.2" x14ac:dyDescent="0.25">
      <c r="B153" s="327" t="s">
        <v>166</v>
      </c>
      <c r="C153" s="328">
        <f>+'Maturity Profile Domestic Debt'!C148+'Maturity Profile External Debt'!C138</f>
        <v>300.72515848885922</v>
      </c>
      <c r="D153" s="328">
        <f>+'Maturity Profile Domestic Debt'!D148+'Maturity Profile External Debt'!D138</f>
        <v>596.48448485199594</v>
      </c>
      <c r="E153" s="328">
        <f>+'Maturity Profile Domestic Debt'!E148+'Maturity Profile External Debt'!E138</f>
        <v>414.70801400688498</v>
      </c>
      <c r="F153" s="328">
        <f>+'Maturity Profile Domestic Debt'!F148+'Maturity Profile External Debt'!F138</f>
        <v>509.1921007984763</v>
      </c>
      <c r="G153" s="328">
        <f>+'Maturity Profile Domestic Debt'!G148+'Maturity Profile External Debt'!G138</f>
        <v>202.09660331359876</v>
      </c>
      <c r="H153" s="328">
        <f>+'Maturity Profile Domestic Debt'!H148+'Maturity Profile External Debt'!H138</f>
        <v>362.26770037457271</v>
      </c>
      <c r="I153" s="328">
        <f>+'Maturity Profile Domestic Debt'!I148+'Maturity Profile External Debt'!I138</f>
        <v>118.59040941594074</v>
      </c>
      <c r="J153" s="328">
        <f>+'Maturity Profile Domestic Debt'!J148+'Maturity Profile External Debt'!J138</f>
        <v>1.2694286400000001</v>
      </c>
      <c r="K153" s="328">
        <f>+'Maturity Profile Domestic Debt'!K148+'Maturity Profile External Debt'!K138</f>
        <v>1.2901680400000002</v>
      </c>
      <c r="L153" s="328">
        <f>+'Maturity Profile Domestic Debt'!L148+'Maturity Profile External Debt'!L138</f>
        <v>52.902941709677464</v>
      </c>
      <c r="M153" s="328">
        <f>+'Maturity Profile Domestic Debt'!M148+'Maturity Profile External Debt'!M138</f>
        <v>326.61747916283093</v>
      </c>
      <c r="N153" s="328">
        <f>+'Maturity Profile Domestic Debt'!N148+'Maturity Profile External Debt'!N138</f>
        <v>1.4513791300354857</v>
      </c>
      <c r="O153" s="328">
        <f>+'Maturity Profile Domestic Debt'!O148+'Maturity Profile External Debt'!O138</f>
        <v>11.080079470501673</v>
      </c>
      <c r="P153" s="328">
        <f>+'Maturity Profile Domestic Debt'!P148+'Maturity Profile External Debt'!P138</f>
        <v>0.51678215973048691</v>
      </c>
      <c r="Q153" s="328">
        <f>+'Maturity Profile Domestic Debt'!Q148+'Maturity Profile External Debt'!Q138</f>
        <v>0.5</v>
      </c>
      <c r="R153" s="328">
        <f>+'Maturity Profile Domestic Debt'!R148+'Maturity Profile External Debt'!R138</f>
        <v>11.114000000000001</v>
      </c>
      <c r="S153" s="328">
        <f>+'Maturity Profile Domestic Debt'!S148+'Maturity Profile External Debt'!S138</f>
        <v>0.5</v>
      </c>
      <c r="T153" s="328">
        <f>+'Maturity Profile Domestic Debt'!T148+'Maturity Profile External Debt'!T138</f>
        <v>0.5</v>
      </c>
      <c r="U153" s="328">
        <f>+'Maturity Profile Domestic Debt'!U148+'Maturity Profile External Debt'!U138</f>
        <v>0.5</v>
      </c>
      <c r="V153" s="328">
        <f>+'Maturity Profile Domestic Debt'!V148+'Maturity Profile External Debt'!V138</f>
        <v>0.5</v>
      </c>
      <c r="W153" s="328">
        <f>+'Maturity Profile Domestic Debt'!W148+'Maturity Profile External Debt'!W138</f>
        <v>0.5</v>
      </c>
      <c r="X153" s="328">
        <f>+'Maturity Profile Domestic Debt'!X148+'Maturity Profile External Debt'!X138</f>
        <v>0.5</v>
      </c>
      <c r="Y153" s="328">
        <f>+'Maturity Profile Domestic Debt'!Y148+'Maturity Profile External Debt'!Y138</f>
        <v>60.376935829246108</v>
      </c>
      <c r="Z153" s="328">
        <f>+'Maturity Profile Domestic Debt'!Z148+'Maturity Profile External Debt'!Z138</f>
        <v>0</v>
      </c>
      <c r="AA153" s="328">
        <f>+'Maturity Profile Domestic Debt'!AA148+'Maturity Profile External Debt'!AA138</f>
        <v>0</v>
      </c>
      <c r="AB153" s="328">
        <f>+'Maturity Profile Domestic Debt'!AB148+'Maturity Profile External Debt'!AB138</f>
        <v>0</v>
      </c>
      <c r="AC153" s="328">
        <f>+'Maturity Profile Domestic Debt'!AC148+'Maturity Profile External Debt'!AC138</f>
        <v>0</v>
      </c>
      <c r="AD153" s="328">
        <f>+'Maturity Profile Domestic Debt'!AD148+'Maturity Profile External Debt'!AD138</f>
        <v>0</v>
      </c>
      <c r="AE153" s="328">
        <f>+'Maturity Profile Domestic Debt'!AE148+'Maturity Profile External Debt'!AE138</f>
        <v>0</v>
      </c>
      <c r="AF153" s="328">
        <f>+'Maturity Profile Domestic Debt'!AF148+'Maturity Profile External Debt'!AF138</f>
        <v>0</v>
      </c>
      <c r="AG153" s="328">
        <f>+'Maturity Profile Domestic Debt'!AG148+'Maturity Profile External Debt'!AG138</f>
        <v>0</v>
      </c>
      <c r="AH153" s="328">
        <f>+'Maturity Profile Domestic Debt'!AH148+'Maturity Profile External Debt'!AH138</f>
        <v>0</v>
      </c>
      <c r="AI153"/>
      <c r="AJ153" s="186"/>
      <c r="AK153" s="582"/>
      <c r="AL153" s="317"/>
    </row>
    <row r="154" spans="1:38" ht="13.2" x14ac:dyDescent="0.25">
      <c r="B154" s="327" t="s">
        <v>167</v>
      </c>
      <c r="C154" s="328">
        <f>+'Maturity Profile Domestic Debt'!C149+'Maturity Profile External Debt'!C139</f>
        <v>42.510339139132675</v>
      </c>
      <c r="D154" s="328">
        <f>+'Maturity Profile Domestic Debt'!D149+'Maturity Profile External Debt'!D139</f>
        <v>474.1406833606992</v>
      </c>
      <c r="E154" s="328">
        <f>+'Maturity Profile Domestic Debt'!E149+'Maturity Profile External Debt'!E139</f>
        <v>366.27724309999985</v>
      </c>
      <c r="F154" s="328">
        <f>+'Maturity Profile Domestic Debt'!F149+'Maturity Profile External Debt'!F139</f>
        <v>9.3095000599999977</v>
      </c>
      <c r="G154" s="328">
        <f>+'Maturity Profile Domestic Debt'!G149+'Maturity Profile External Debt'!G139</f>
        <v>229.97969632717999</v>
      </c>
      <c r="H154" s="328">
        <f>+'Maturity Profile Domestic Debt'!H149+'Maturity Profile External Debt'!H139</f>
        <v>565.45286518000012</v>
      </c>
      <c r="I154" s="328">
        <f>+'Maturity Profile Domestic Debt'!I149+'Maturity Profile External Debt'!I139</f>
        <v>8.9728089999999998</v>
      </c>
      <c r="J154" s="328">
        <f>+'Maturity Profile Domestic Debt'!J149+'Maturity Profile External Debt'!J139</f>
        <v>9.0089356442854935</v>
      </c>
      <c r="K154" s="328">
        <f>+'Maturity Profile Domestic Debt'!K149+'Maturity Profile External Debt'!K139</f>
        <v>9.0786081823148557</v>
      </c>
      <c r="L154" s="328">
        <f>+'Maturity Profile Domestic Debt'!L149+'Maturity Profile External Debt'!L139</f>
        <v>9.0539919949941527</v>
      </c>
      <c r="M154" s="328">
        <f>+'Maturity Profile Domestic Debt'!M149+'Maturity Profile External Debt'!M139</f>
        <v>9.1385966281721984</v>
      </c>
      <c r="N154" s="328">
        <f>+'Maturity Profile Domestic Debt'!N149+'Maturity Profile External Debt'!N139</f>
        <v>9.2343011266134241</v>
      </c>
      <c r="O154" s="328">
        <f>+'Maturity Profile Domestic Debt'!O149+'Maturity Profile External Debt'!O139</f>
        <v>8.2926086512408634</v>
      </c>
      <c r="P154" s="328">
        <f>+'Maturity Profile Domestic Debt'!P149+'Maturity Profile External Debt'!P139</f>
        <v>8.3332938494207784</v>
      </c>
      <c r="Q154" s="328">
        <f>+'Maturity Profile Domestic Debt'!Q149+'Maturity Profile External Debt'!Q139</f>
        <v>8.2415716226599702</v>
      </c>
      <c r="R154" s="328">
        <f>+'Maturity Profile Domestic Debt'!R149+'Maturity Profile External Debt'!R139</f>
        <v>8.2274343299999995</v>
      </c>
      <c r="S154" s="328">
        <f>+'Maturity Profile Domestic Debt'!S149+'Maturity Profile External Debt'!S139</f>
        <v>8.2274343299999995</v>
      </c>
      <c r="T154" s="328">
        <f>+'Maturity Profile Domestic Debt'!T149+'Maturity Profile External Debt'!T139</f>
        <v>8.2274343299999995</v>
      </c>
      <c r="U154" s="328">
        <f>+'Maturity Profile Domestic Debt'!U149+'Maturity Profile External Debt'!U139</f>
        <v>8.2274343299999995</v>
      </c>
      <c r="V154" s="328">
        <f>+'Maturity Profile Domestic Debt'!V149+'Maturity Profile External Debt'!V139</f>
        <v>8.2274343299999995</v>
      </c>
      <c r="W154" s="328">
        <f>+'Maturity Profile Domestic Debt'!W149+'Maturity Profile External Debt'!W139</f>
        <v>8.2274343299999995</v>
      </c>
      <c r="X154" s="328">
        <f>+'Maturity Profile Domestic Debt'!X149+'Maturity Profile External Debt'!X139</f>
        <v>8.2274343299999995</v>
      </c>
      <c r="Y154" s="328">
        <f>+'Maturity Profile Domestic Debt'!Y149+'Maturity Profile External Debt'!Y139</f>
        <v>8.2274342799999989</v>
      </c>
      <c r="Z154" s="328">
        <f>+'Maturity Profile Domestic Debt'!Z149+'Maturity Profile External Debt'!Z139</f>
        <v>7.0909090900000002</v>
      </c>
      <c r="AA154" s="328">
        <f>+'Maturity Profile Domestic Debt'!AA149+'Maturity Profile External Debt'!AA139</f>
        <v>7.0909090900000002</v>
      </c>
      <c r="AB154" s="328">
        <f>+'Maturity Profile Domestic Debt'!AB149+'Maturity Profile External Debt'!AB139</f>
        <v>7.0909090900000002</v>
      </c>
      <c r="AC154" s="328">
        <f>+'Maturity Profile Domestic Debt'!AC149+'Maturity Profile External Debt'!AC139</f>
        <v>7.0909090900000002</v>
      </c>
      <c r="AD154" s="328">
        <f>+'Maturity Profile Domestic Debt'!AD149+'Maturity Profile External Debt'!AD139</f>
        <v>7.0909090900000002</v>
      </c>
      <c r="AE154" s="328">
        <f>+'Maturity Profile Domestic Debt'!AE149+'Maturity Profile External Debt'!AE139</f>
        <v>7.0909091399999999</v>
      </c>
      <c r="AF154" s="328">
        <f>+'Maturity Profile Domestic Debt'!AF149+'Maturity Profile External Debt'!AF139</f>
        <v>0</v>
      </c>
      <c r="AG154" s="328">
        <f>+'Maturity Profile Domestic Debt'!AG149+'Maturity Profile External Debt'!AG139</f>
        <v>0</v>
      </c>
      <c r="AH154" s="328">
        <f>+'Maturity Profile Domestic Debt'!AH149+'Maturity Profile External Debt'!AH139</f>
        <v>0</v>
      </c>
      <c r="AI154"/>
      <c r="AJ154" s="186"/>
      <c r="AK154" s="582"/>
      <c r="AL154" s="317"/>
    </row>
    <row r="155" spans="1:38" ht="13.2" x14ac:dyDescent="0.25">
      <c r="B155" s="327" t="s">
        <v>168</v>
      </c>
      <c r="C155" s="328">
        <f>+'Maturity Profile Domestic Debt'!C150+'Maturity Profile External Debt'!C140</f>
        <v>115.44728555311707</v>
      </c>
      <c r="D155" s="328">
        <f>+'Maturity Profile Domestic Debt'!D150+'Maturity Profile External Debt'!D140</f>
        <v>354.4593985128285</v>
      </c>
      <c r="E155" s="328">
        <f>+'Maturity Profile Domestic Debt'!E150+'Maturity Profile External Debt'!E140</f>
        <v>407.62164549041017</v>
      </c>
      <c r="F155" s="328">
        <f>+'Maturity Profile Domestic Debt'!F150+'Maturity Profile External Debt'!F140</f>
        <v>418.44092770877933</v>
      </c>
      <c r="G155" s="328">
        <f>+'Maturity Profile Domestic Debt'!G150+'Maturity Profile External Debt'!G140</f>
        <v>555.38048659851074</v>
      </c>
      <c r="H155" s="328">
        <f>+'Maturity Profile Domestic Debt'!H150+'Maturity Profile External Debt'!H140</f>
        <v>638.43605828914463</v>
      </c>
      <c r="I155" s="328">
        <f>+'Maturity Profile Domestic Debt'!I150+'Maturity Profile External Debt'!I140</f>
        <v>52.626047827214975</v>
      </c>
      <c r="J155" s="328">
        <f>+'Maturity Profile Domestic Debt'!J150+'Maturity Profile External Debt'!J140</f>
        <v>50.475923539857746</v>
      </c>
      <c r="K155" s="328">
        <f>+'Maturity Profile Domestic Debt'!K150+'Maturity Profile External Debt'!K140</f>
        <v>792.81951000045626</v>
      </c>
      <c r="L155" s="328">
        <f>+'Maturity Profile Domestic Debt'!L150+'Maturity Profile External Debt'!L140</f>
        <v>76.589888949076652</v>
      </c>
      <c r="M155" s="328">
        <f>+'Maturity Profile Domestic Debt'!M150+'Maturity Profile External Debt'!M140</f>
        <v>288.29994154719134</v>
      </c>
      <c r="N155" s="328">
        <f>+'Maturity Profile Domestic Debt'!N150+'Maturity Profile External Debt'!N140</f>
        <v>46.665002234890537</v>
      </c>
      <c r="O155" s="328">
        <f>+'Maturity Profile Domestic Debt'!O150+'Maturity Profile External Debt'!O140</f>
        <v>208.81874409215041</v>
      </c>
      <c r="P155" s="328">
        <f>+'Maturity Profile Domestic Debt'!P150+'Maturity Profile External Debt'!P140</f>
        <v>45.766890406764702</v>
      </c>
      <c r="Q155" s="328">
        <f>+'Maturity Profile Domestic Debt'!Q150+'Maturity Profile External Debt'!Q140</f>
        <v>37.852672676764698</v>
      </c>
      <c r="R155" s="328">
        <f>+'Maturity Profile Domestic Debt'!R150+'Maturity Profile External Debt'!R140</f>
        <v>34.354215064785699</v>
      </c>
      <c r="S155" s="328">
        <f>+'Maturity Profile Domestic Debt'!S150+'Maturity Profile External Debt'!S140</f>
        <v>31.254329130000002</v>
      </c>
      <c r="T155" s="328">
        <f>+'Maturity Profile Domestic Debt'!T150+'Maturity Profile External Debt'!T140</f>
        <v>14.53306793</v>
      </c>
      <c r="U155" s="328">
        <f>+'Maturity Profile Domestic Debt'!U150+'Maturity Profile External Debt'!U140</f>
        <v>0</v>
      </c>
      <c r="V155" s="328">
        <f>+'Maturity Profile Domestic Debt'!V150+'Maturity Profile External Debt'!V140</f>
        <v>0</v>
      </c>
      <c r="W155" s="328">
        <f>+'Maturity Profile Domestic Debt'!W150+'Maturity Profile External Debt'!W140</f>
        <v>0</v>
      </c>
      <c r="X155" s="328">
        <f>+'Maturity Profile Domestic Debt'!X150+'Maturity Profile External Debt'!X140</f>
        <v>0</v>
      </c>
      <c r="Y155" s="328">
        <f>+'Maturity Profile Domestic Debt'!Y150+'Maturity Profile External Debt'!Y140</f>
        <v>0</v>
      </c>
      <c r="Z155" s="328">
        <f>+'Maturity Profile Domestic Debt'!Z150+'Maturity Profile External Debt'!Z140</f>
        <v>0</v>
      </c>
      <c r="AA155" s="328">
        <f>+'Maturity Profile Domestic Debt'!AA150+'Maturity Profile External Debt'!AA140</f>
        <v>0</v>
      </c>
      <c r="AB155" s="328">
        <f>+'Maturity Profile Domestic Debt'!AB150+'Maturity Profile External Debt'!AB140</f>
        <v>0</v>
      </c>
      <c r="AC155" s="328">
        <f>+'Maturity Profile Domestic Debt'!AC150+'Maturity Profile External Debt'!AC140</f>
        <v>0</v>
      </c>
      <c r="AD155" s="328">
        <f>+'Maturity Profile Domestic Debt'!AD150+'Maturity Profile External Debt'!AD140</f>
        <v>0</v>
      </c>
      <c r="AE155" s="328">
        <f>+'Maturity Profile Domestic Debt'!AE150+'Maturity Profile External Debt'!AE140</f>
        <v>0</v>
      </c>
      <c r="AF155" s="328">
        <f>+'Maturity Profile Domestic Debt'!AF150+'Maturity Profile External Debt'!AF140</f>
        <v>0</v>
      </c>
      <c r="AG155" s="328">
        <f>+'Maturity Profile Domestic Debt'!AG150+'Maturity Profile External Debt'!AG140</f>
        <v>0</v>
      </c>
      <c r="AH155" s="328">
        <f>+'Maturity Profile Domestic Debt'!AH150+'Maturity Profile External Debt'!AH140</f>
        <v>0</v>
      </c>
      <c r="AI155"/>
      <c r="AJ155" s="186"/>
      <c r="AK155" s="582"/>
      <c r="AL155" s="317"/>
    </row>
    <row r="156" spans="1:38" ht="13.2" x14ac:dyDescent="0.25">
      <c r="B156" s="327" t="s">
        <v>169</v>
      </c>
      <c r="C156" s="328">
        <f>+'Maturity Profile Domestic Debt'!C151+'Maturity Profile External Debt'!C141</f>
        <v>285.49974604402502</v>
      </c>
      <c r="D156" s="328">
        <f>+'Maturity Profile Domestic Debt'!D151+'Maturity Profile External Debt'!D141</f>
        <v>26.287504070096468</v>
      </c>
      <c r="E156" s="328">
        <f>+'Maturity Profile Domestic Debt'!E151+'Maturity Profile External Debt'!E141</f>
        <v>83.73577989349161</v>
      </c>
      <c r="F156" s="328">
        <f>+'Maturity Profile Domestic Debt'!F151+'Maturity Profile External Debt'!F141</f>
        <v>83.258953833598795</v>
      </c>
      <c r="G156" s="328">
        <f>+'Maturity Profile Domestic Debt'!G151+'Maturity Profile External Debt'!G141</f>
        <v>83.271010901209593</v>
      </c>
      <c r="H156" s="328">
        <f>+'Maturity Profile Domestic Debt'!H151+'Maturity Profile External Debt'!H141</f>
        <v>24.187164209999999</v>
      </c>
      <c r="I156" s="328">
        <f>+'Maturity Profile Domestic Debt'!I151+'Maturity Profile External Debt'!I141</f>
        <v>24.216361010741871</v>
      </c>
      <c r="J156" s="328">
        <f>+'Maturity Profile Domestic Debt'!J151+'Maturity Profile External Debt'!J141</f>
        <v>22.955420153526326</v>
      </c>
      <c r="K156" s="328">
        <f>+'Maturity Profile Domestic Debt'!K151+'Maturity Profile External Debt'!K141</f>
        <v>22.941690089999998</v>
      </c>
      <c r="L156" s="328">
        <f>+'Maturity Profile Domestic Debt'!L151+'Maturity Profile External Debt'!L141</f>
        <v>22.978650550000001</v>
      </c>
      <c r="M156" s="328">
        <f>+'Maturity Profile Domestic Debt'!M151+'Maturity Profile External Debt'!M141</f>
        <v>22.987823865784016</v>
      </c>
      <c r="N156" s="328">
        <f>+'Maturity Profile Domestic Debt'!N151+'Maturity Profile External Debt'!N141</f>
        <v>23.024379440000001</v>
      </c>
      <c r="O156" s="328">
        <f>+'Maturity Profile Domestic Debt'!O151+'Maturity Profile External Debt'!O141</f>
        <v>22.218407185123429</v>
      </c>
      <c r="P156" s="328">
        <f>+'Maturity Profile Domestic Debt'!P151+'Maturity Profile External Debt'!P141</f>
        <v>22.208052276515573</v>
      </c>
      <c r="Q156" s="328">
        <f>+'Maturity Profile Domestic Debt'!Q151+'Maturity Profile External Debt'!Q141</f>
        <v>22.221877728888003</v>
      </c>
      <c r="R156" s="328">
        <f>+'Maturity Profile Domestic Debt'!R151+'Maturity Profile External Debt'!R141</f>
        <v>20.724369210000003</v>
      </c>
      <c r="S156" s="328">
        <f>+'Maturity Profile Domestic Debt'!S151+'Maturity Profile External Debt'!S141</f>
        <v>20.269823759999998</v>
      </c>
      <c r="T156" s="328">
        <f>+'Maturity Profile Domestic Debt'!T151+'Maturity Profile External Debt'!T141</f>
        <v>15.26982376</v>
      </c>
      <c r="U156" s="328">
        <f>+'Maturity Profile Domestic Debt'!U151+'Maturity Profile External Debt'!U141</f>
        <v>15.08175866</v>
      </c>
      <c r="V156" s="328">
        <f>+'Maturity Profile Domestic Debt'!V151+'Maturity Profile External Debt'!V141</f>
        <v>14.933568780000002</v>
      </c>
      <c r="W156" s="328">
        <f>+'Maturity Profile Domestic Debt'!W151+'Maturity Profile External Debt'!W141</f>
        <v>4.5765705599999995</v>
      </c>
      <c r="X156" s="328">
        <f>+'Maturity Profile Domestic Debt'!X151+'Maturity Profile External Debt'!X141</f>
        <v>0.63274680000000005</v>
      </c>
      <c r="Y156" s="328">
        <f>+'Maturity Profile Domestic Debt'!Y151+'Maturity Profile External Debt'!Y141</f>
        <v>0.63274680000000005</v>
      </c>
      <c r="Z156" s="328">
        <f>+'Maturity Profile Domestic Debt'!Z151+'Maturity Profile External Debt'!Z141</f>
        <v>0.63274680000000005</v>
      </c>
      <c r="AA156" s="328">
        <f>+'Maturity Profile Domestic Debt'!AA151+'Maturity Profile External Debt'!AA141</f>
        <v>0.63274680000000005</v>
      </c>
      <c r="AB156" s="328">
        <f>+'Maturity Profile Domestic Debt'!AB151+'Maturity Profile External Debt'!AB141</f>
        <v>0.63274680000000005</v>
      </c>
      <c r="AC156" s="328">
        <f>+'Maturity Profile Domestic Debt'!AC151+'Maturity Profile External Debt'!AC141</f>
        <v>0</v>
      </c>
      <c r="AD156" s="328">
        <f>+'Maturity Profile Domestic Debt'!AD151+'Maturity Profile External Debt'!AD141</f>
        <v>0</v>
      </c>
      <c r="AE156" s="328">
        <f>+'Maturity Profile Domestic Debt'!AE151+'Maturity Profile External Debt'!AE141</f>
        <v>0</v>
      </c>
      <c r="AF156" s="328">
        <f>+'Maturity Profile Domestic Debt'!AF151+'Maturity Profile External Debt'!AF141</f>
        <v>0</v>
      </c>
      <c r="AG156" s="328">
        <f>+'Maturity Profile Domestic Debt'!AG151+'Maturity Profile External Debt'!AG141</f>
        <v>0</v>
      </c>
      <c r="AH156" s="328">
        <f>+'Maturity Profile Domestic Debt'!AH151+'Maturity Profile External Debt'!AH141</f>
        <v>0</v>
      </c>
      <c r="AI156"/>
      <c r="AJ156" s="186"/>
      <c r="AK156" s="582"/>
      <c r="AL156" s="317"/>
    </row>
    <row r="157" spans="1:38" ht="13.2" x14ac:dyDescent="0.25">
      <c r="A157" s="322"/>
      <c r="B157" s="327" t="s">
        <v>170</v>
      </c>
      <c r="C157" s="328">
        <f>+'Maturity Profile Domestic Debt'!C152+'Maturity Profile External Debt'!C142</f>
        <v>741.29135098080883</v>
      </c>
      <c r="D157" s="328">
        <f>+'Maturity Profile Domestic Debt'!D152+'Maturity Profile External Debt'!D142</f>
        <v>5.0264417887010735</v>
      </c>
      <c r="E157" s="328">
        <f>+'Maturity Profile Domestic Debt'!E152+'Maturity Profile External Debt'!E142</f>
        <v>2.7261655660337154</v>
      </c>
      <c r="F157" s="328">
        <f>+'Maturity Profile Domestic Debt'!F152+'Maturity Profile External Debt'!F142</f>
        <v>157.03060590000004</v>
      </c>
      <c r="G157" s="328">
        <f>+'Maturity Profile Domestic Debt'!G152+'Maturity Profile External Debt'!G142</f>
        <v>411.778169011373</v>
      </c>
      <c r="H157" s="328">
        <f>+'Maturity Profile Domestic Debt'!H152+'Maturity Profile External Debt'!H142</f>
        <v>15.624044139796847</v>
      </c>
      <c r="I157" s="328">
        <f>+'Maturity Profile Domestic Debt'!I152+'Maturity Profile External Debt'!I142</f>
        <v>15.454352661372999</v>
      </c>
      <c r="J157" s="328">
        <f>+'Maturity Profile Domestic Debt'!J152+'Maturity Profile External Debt'!J142</f>
        <v>15.485347861372999</v>
      </c>
      <c r="K157" s="328">
        <f>+'Maturity Profile Domestic Debt'!K152+'Maturity Profile External Debt'!K142</f>
        <v>155.93355415137302</v>
      </c>
      <c r="L157" s="328">
        <f>+'Maturity Profile Domestic Debt'!L152+'Maturity Profile External Debt'!L142</f>
        <v>220.04165571137298</v>
      </c>
      <c r="M157" s="328">
        <f>+'Maturity Profile Domestic Debt'!M152+'Maturity Profile External Debt'!M142</f>
        <v>14.199194182499287</v>
      </c>
      <c r="N157" s="328">
        <f>+'Maturity Profile Domestic Debt'!N152+'Maturity Profile External Debt'!N142</f>
        <v>14.27763592239088</v>
      </c>
      <c r="O157" s="328">
        <f>+'Maturity Profile Domestic Debt'!O152+'Maturity Profile External Debt'!O142</f>
        <v>13.505073433760614</v>
      </c>
      <c r="P157" s="328">
        <f>+'Maturity Profile Domestic Debt'!P152+'Maturity Profile External Debt'!P142</f>
        <v>13.315279386597526</v>
      </c>
      <c r="Q157" s="328">
        <f>+'Maturity Profile Domestic Debt'!Q152+'Maturity Profile External Debt'!Q142</f>
        <v>13.296512321372999</v>
      </c>
      <c r="R157" s="328">
        <f>+'Maturity Profile Domestic Debt'!R152+'Maturity Profile External Debt'!R142</f>
        <v>13.296512321372999</v>
      </c>
      <c r="S157" s="328">
        <f>+'Maturity Profile Domestic Debt'!S152+'Maturity Profile External Debt'!S142</f>
        <v>13.296512321372999</v>
      </c>
      <c r="T157" s="328">
        <f>+'Maturity Profile Domestic Debt'!T152+'Maturity Profile External Debt'!T142</f>
        <v>13.296512321372999</v>
      </c>
      <c r="U157" s="328">
        <f>+'Maturity Profile Domestic Debt'!U152+'Maturity Profile External Debt'!U142</f>
        <v>13.296512573306998</v>
      </c>
      <c r="V157" s="328">
        <f>+'Maturity Profile Domestic Debt'!V152+'Maturity Profile External Debt'!V142</f>
        <v>0.13907557999999998</v>
      </c>
      <c r="W157" s="328">
        <f>+'Maturity Profile Domestic Debt'!W152+'Maturity Profile External Debt'!W142</f>
        <v>0</v>
      </c>
      <c r="X157" s="328">
        <f>+'Maturity Profile Domestic Debt'!X152+'Maturity Profile External Debt'!X142</f>
        <v>0</v>
      </c>
      <c r="Y157" s="328">
        <f>+'Maturity Profile Domestic Debt'!Y152+'Maturity Profile External Debt'!Y142</f>
        <v>0</v>
      </c>
      <c r="Z157" s="328">
        <f>+'Maturity Profile Domestic Debt'!Z152+'Maturity Profile External Debt'!Z142</f>
        <v>0</v>
      </c>
      <c r="AA157" s="328">
        <f>+'Maturity Profile Domestic Debt'!AA152+'Maturity Profile External Debt'!AA142</f>
        <v>0</v>
      </c>
      <c r="AB157" s="328">
        <f>+'Maturity Profile Domestic Debt'!AB152+'Maturity Profile External Debt'!AB142</f>
        <v>0</v>
      </c>
      <c r="AC157" s="328">
        <f>+'Maturity Profile Domestic Debt'!AC152+'Maturity Profile External Debt'!AC142</f>
        <v>0</v>
      </c>
      <c r="AD157" s="328">
        <f>+'Maturity Profile Domestic Debt'!AD152+'Maturity Profile External Debt'!AD142</f>
        <v>0</v>
      </c>
      <c r="AE157" s="328">
        <f>+'Maturity Profile Domestic Debt'!AE152+'Maturity Profile External Debt'!AE142</f>
        <v>0</v>
      </c>
      <c r="AF157" s="328">
        <f>+'Maturity Profile Domestic Debt'!AF152+'Maturity Profile External Debt'!AF142</f>
        <v>0</v>
      </c>
      <c r="AG157" s="328">
        <f>+'Maturity Profile Domestic Debt'!AG152+'Maturity Profile External Debt'!AG142</f>
        <v>0</v>
      </c>
      <c r="AH157" s="328">
        <f>+'Maturity Profile Domestic Debt'!AH152+'Maturity Profile External Debt'!AH142</f>
        <v>0</v>
      </c>
      <c r="AI157"/>
      <c r="AJ157" s="186"/>
      <c r="AK157" s="582"/>
      <c r="AL157" s="317"/>
    </row>
    <row r="158" spans="1:38" ht="13.2" x14ac:dyDescent="0.25">
      <c r="B158" s="327" t="s">
        <v>171</v>
      </c>
      <c r="C158" s="328">
        <f>+'Maturity Profile Domestic Debt'!C153+'Maturity Profile External Debt'!C143</f>
        <v>519.22467922267663</v>
      </c>
      <c r="D158" s="328">
        <f>+'Maturity Profile Domestic Debt'!D153+'Maturity Profile External Debt'!D143</f>
        <v>333.23384581276486</v>
      </c>
      <c r="E158" s="328">
        <f>+'Maturity Profile Domestic Debt'!E153+'Maturity Profile External Debt'!E143</f>
        <v>4.0759784185937837</v>
      </c>
      <c r="F158" s="328">
        <f>+'Maturity Profile Domestic Debt'!F153+'Maturity Profile External Debt'!F143</f>
        <v>3.6534653431055313</v>
      </c>
      <c r="G158" s="328">
        <f>+'Maturity Profile Domestic Debt'!G153+'Maturity Profile External Debt'!G143</f>
        <v>9.0882767647897644</v>
      </c>
      <c r="H158" s="328">
        <f>+'Maturity Profile Domestic Debt'!H153+'Maturity Profile External Debt'!H143</f>
        <v>3.6437007355408122</v>
      </c>
      <c r="I158" s="328">
        <f>+'Maturity Profile Domestic Debt'!I153+'Maturity Profile External Debt'!I143</f>
        <v>3.6198897864925943</v>
      </c>
      <c r="J158" s="328">
        <f>+'Maturity Profile Domestic Debt'!J153+'Maturity Profile External Debt'!J143</f>
        <v>3.6593387219311717</v>
      </c>
      <c r="K158" s="328">
        <f>+'Maturity Profile Domestic Debt'!K153+'Maturity Profile External Debt'!K143</f>
        <v>2.4805064288858931</v>
      </c>
      <c r="L158" s="328">
        <f>+'Maturity Profile Domestic Debt'!L153+'Maturity Profile External Debt'!L143</f>
        <v>2.6847538414712377</v>
      </c>
      <c r="M158" s="328">
        <f>+'Maturity Profile Domestic Debt'!M153+'Maturity Profile External Debt'!M143</f>
        <v>2.5413098948032449</v>
      </c>
      <c r="N158" s="328">
        <f>+'Maturity Profile Domestic Debt'!N153+'Maturity Profile External Debt'!N143</f>
        <v>2.5467275014939998</v>
      </c>
      <c r="O158" s="328">
        <f>+'Maturity Profile Domestic Debt'!O153+'Maturity Profile External Debt'!O143</f>
        <v>1.3374332811845095</v>
      </c>
      <c r="P158" s="328">
        <f>+'Maturity Profile Domestic Debt'!P153+'Maturity Profile External Debt'!P143</f>
        <v>1.3889624492962938</v>
      </c>
      <c r="Q158" s="328">
        <f>+'Maturity Profile Domestic Debt'!Q153+'Maturity Profile External Debt'!Q143</f>
        <v>1.3395780591801734</v>
      </c>
      <c r="R158" s="328">
        <f>+'Maturity Profile Domestic Debt'!R153+'Maturity Profile External Debt'!R143</f>
        <v>1.3312174699999999</v>
      </c>
      <c r="S158" s="328">
        <f>+'Maturity Profile Domestic Debt'!S153+'Maturity Profile External Debt'!S143</f>
        <v>1.515152E-2</v>
      </c>
      <c r="T158" s="328">
        <f>+'Maturity Profile Domestic Debt'!T153+'Maturity Profile External Debt'!T143</f>
        <v>0</v>
      </c>
      <c r="U158" s="328">
        <f>+'Maturity Profile Domestic Debt'!U153+'Maturity Profile External Debt'!U143</f>
        <v>0</v>
      </c>
      <c r="V158" s="328">
        <f>+'Maturity Profile Domestic Debt'!V153+'Maturity Profile External Debt'!V143</f>
        <v>0</v>
      </c>
      <c r="W158" s="328">
        <f>+'Maturity Profile Domestic Debt'!W153+'Maturity Profile External Debt'!W143</f>
        <v>0</v>
      </c>
      <c r="X158" s="328">
        <f>+'Maturity Profile Domestic Debt'!X153+'Maturity Profile External Debt'!X143</f>
        <v>0</v>
      </c>
      <c r="Y158" s="328">
        <f>+'Maturity Profile Domestic Debt'!Y153+'Maturity Profile External Debt'!Y143</f>
        <v>0</v>
      </c>
      <c r="Z158" s="328">
        <f>+'Maturity Profile Domestic Debt'!Z153+'Maturity Profile External Debt'!Z143</f>
        <v>0</v>
      </c>
      <c r="AA158" s="328">
        <f>+'Maturity Profile Domestic Debt'!AA153+'Maturity Profile External Debt'!AA143</f>
        <v>0</v>
      </c>
      <c r="AB158" s="328">
        <f>+'Maturity Profile Domestic Debt'!AB153+'Maturity Profile External Debt'!AB143</f>
        <v>0</v>
      </c>
      <c r="AC158" s="328">
        <f>+'Maturity Profile Domestic Debt'!AC153+'Maturity Profile External Debt'!AC143</f>
        <v>0</v>
      </c>
      <c r="AD158" s="328">
        <f>+'Maturity Profile Domestic Debt'!AD153+'Maturity Profile External Debt'!AD143</f>
        <v>0</v>
      </c>
      <c r="AE158" s="328">
        <f>+'Maturity Profile Domestic Debt'!AE153+'Maturity Profile External Debt'!AE143</f>
        <v>0</v>
      </c>
      <c r="AF158" s="328">
        <f>+'Maturity Profile Domestic Debt'!AF153+'Maturity Profile External Debt'!AF143</f>
        <v>0</v>
      </c>
      <c r="AG158" s="328">
        <f>+'Maturity Profile Domestic Debt'!AG153+'Maturity Profile External Debt'!AG143</f>
        <v>0</v>
      </c>
      <c r="AH158" s="328">
        <f>+'Maturity Profile Domestic Debt'!AH153+'Maturity Profile External Debt'!AH143</f>
        <v>0</v>
      </c>
      <c r="AI158"/>
      <c r="AJ158" s="186"/>
      <c r="AK158" s="582"/>
      <c r="AL158" s="317"/>
    </row>
    <row r="159" spans="1:38" ht="13.2" x14ac:dyDescent="0.25">
      <c r="B159" s="330" t="s">
        <v>172</v>
      </c>
      <c r="C159" s="331">
        <f>SUM(C147:C158)</f>
        <v>3917.4521114971271</v>
      </c>
      <c r="D159" s="331">
        <f t="shared" ref="D159:AH159" si="5">SUM(D147:D158)</f>
        <v>3426.9484215511811</v>
      </c>
      <c r="E159" s="331">
        <f t="shared" si="5"/>
        <v>3937.1574494614592</v>
      </c>
      <c r="F159" s="331">
        <f t="shared" si="5"/>
        <v>3437.4491543485242</v>
      </c>
      <c r="G159" s="331">
        <f t="shared" si="5"/>
        <v>3273.5149882876458</v>
      </c>
      <c r="H159" s="331">
        <f t="shared" si="5"/>
        <v>2972.8938366769257</v>
      </c>
      <c r="I159" s="331">
        <f t="shared" si="5"/>
        <v>2365.2159713339879</v>
      </c>
      <c r="J159" s="331">
        <f t="shared" si="5"/>
        <v>2008.4802641805636</v>
      </c>
      <c r="K159" s="331">
        <f t="shared" si="5"/>
        <v>2807.1301206733983</v>
      </c>
      <c r="L159" s="331">
        <f t="shared" si="5"/>
        <v>2311.5773895813795</v>
      </c>
      <c r="M159" s="331">
        <f t="shared" si="5"/>
        <v>1687.0351826571512</v>
      </c>
      <c r="N159" s="331">
        <f t="shared" si="5"/>
        <v>341.84328984416851</v>
      </c>
      <c r="O159" s="331">
        <f t="shared" si="5"/>
        <v>515.35901811302074</v>
      </c>
      <c r="P159" s="331">
        <f t="shared" si="5"/>
        <v>483.86334922590078</v>
      </c>
      <c r="Q159" s="331">
        <f t="shared" si="5"/>
        <v>595.19697989879501</v>
      </c>
      <c r="R159" s="331">
        <f t="shared" si="5"/>
        <v>620.1269971052493</v>
      </c>
      <c r="S159" s="331">
        <f t="shared" si="5"/>
        <v>156.0919995295107</v>
      </c>
      <c r="T159" s="331">
        <f t="shared" si="5"/>
        <v>120.390089182746</v>
      </c>
      <c r="U159" s="331">
        <f t="shared" si="5"/>
        <v>308.92223990711148</v>
      </c>
      <c r="V159" s="331">
        <f t="shared" si="5"/>
        <v>300.99842340977233</v>
      </c>
      <c r="W159" s="331">
        <f t="shared" si="5"/>
        <v>26.608009779999996</v>
      </c>
      <c r="X159" s="331">
        <f t="shared" si="5"/>
        <v>22.664186019999995</v>
      </c>
      <c r="Y159" s="331">
        <f t="shared" si="5"/>
        <v>579.09729803924608</v>
      </c>
      <c r="Z159" s="331">
        <f t="shared" si="5"/>
        <v>1626.3687234147808</v>
      </c>
      <c r="AA159" s="331">
        <f t="shared" si="5"/>
        <v>1315.4473117799998</v>
      </c>
      <c r="AB159" s="331">
        <f t="shared" si="5"/>
        <v>15.44731178</v>
      </c>
      <c r="AC159" s="331">
        <f t="shared" si="5"/>
        <v>40.162178198293432</v>
      </c>
      <c r="AD159" s="331">
        <f t="shared" si="5"/>
        <v>14.18181818</v>
      </c>
      <c r="AE159" s="331">
        <f t="shared" si="5"/>
        <v>14.181818230000001</v>
      </c>
      <c r="AF159" s="331">
        <f t="shared" si="5"/>
        <v>159.96841199207455</v>
      </c>
      <c r="AG159" s="331">
        <f t="shared" si="5"/>
        <v>34.594877708123555</v>
      </c>
      <c r="AH159" s="331">
        <f t="shared" si="5"/>
        <v>0</v>
      </c>
      <c r="AI159"/>
      <c r="AJ159" s="186"/>
      <c r="AK159" s="582"/>
      <c r="AL159" s="317"/>
    </row>
    <row r="160" spans="1:38" x14ac:dyDescent="0.25">
      <c r="B160" s="340"/>
      <c r="C160" s="327"/>
      <c r="D160" s="327"/>
      <c r="E160" s="333" t="s">
        <v>142</v>
      </c>
      <c r="F160" s="333" t="s">
        <v>142</v>
      </c>
      <c r="G160" s="333" t="s">
        <v>142</v>
      </c>
      <c r="H160" s="333" t="s">
        <v>142</v>
      </c>
      <c r="I160" s="333" t="s">
        <v>142</v>
      </c>
      <c r="J160" s="333" t="s">
        <v>142</v>
      </c>
      <c r="K160" s="333" t="s">
        <v>142</v>
      </c>
      <c r="L160" s="333" t="s">
        <v>142</v>
      </c>
      <c r="M160" s="333" t="s">
        <v>142</v>
      </c>
      <c r="N160" s="333" t="s">
        <v>142</v>
      </c>
      <c r="Q160" s="388"/>
      <c r="T160" s="352"/>
      <c r="U160" s="347"/>
      <c r="V160" s="355"/>
      <c r="W160" s="356"/>
      <c r="Y160" s="354"/>
      <c r="Z160" s="186"/>
      <c r="AA160" s="186"/>
      <c r="AB160" s="186"/>
      <c r="AC160" s="186"/>
      <c r="AD160" s="186"/>
      <c r="AE160" s="186"/>
      <c r="AF160" s="186"/>
      <c r="AG160" s="186"/>
      <c r="AH160" s="333">
        <f>SUM(C159:AI159)</f>
        <v>39436.369221588131</v>
      </c>
      <c r="AI160" s="186"/>
    </row>
    <row r="161" spans="2:39" x14ac:dyDescent="0.25">
      <c r="B161" s="341"/>
      <c r="C161" s="341"/>
      <c r="D161" s="341"/>
      <c r="E161" s="341"/>
      <c r="F161" s="341"/>
      <c r="G161" s="341"/>
      <c r="H161" s="341"/>
      <c r="I161" s="341"/>
      <c r="J161" s="341"/>
      <c r="K161" s="341"/>
      <c r="L161" s="341"/>
      <c r="M161" s="341"/>
      <c r="N161" s="341"/>
      <c r="O161" s="341"/>
      <c r="P161" s="388"/>
      <c r="R161" s="185"/>
      <c r="S161" s="185"/>
      <c r="T161" s="352"/>
      <c r="U161" s="347"/>
      <c r="V161" s="355"/>
      <c r="W161" s="356"/>
      <c r="Y161" s="354"/>
      <c r="Z161" s="186"/>
      <c r="AA161" s="186"/>
      <c r="AB161" s="186"/>
      <c r="AC161" s="186"/>
      <c r="AD161" s="186"/>
      <c r="AE161" s="186"/>
      <c r="AF161" s="186"/>
      <c r="AG161" s="186"/>
      <c r="AH161" s="390">
        <f>+AH160-'PUBLIC DEBT USD'!AP7</f>
        <v>-5.0837115850299597E-8</v>
      </c>
      <c r="AI161" s="186"/>
      <c r="AJ161" s="186"/>
      <c r="AK161" s="338"/>
      <c r="AL161" s="582"/>
    </row>
    <row r="162" spans="2:39" x14ac:dyDescent="0.25">
      <c r="B162" s="327"/>
      <c r="C162" s="327"/>
      <c r="D162" s="327"/>
      <c r="E162" s="327"/>
      <c r="F162" s="327"/>
      <c r="G162" s="327"/>
      <c r="H162" s="327"/>
      <c r="I162" s="327"/>
      <c r="J162" s="327"/>
      <c r="K162" s="327"/>
      <c r="L162" s="327"/>
      <c r="M162" s="327"/>
      <c r="N162" s="327"/>
      <c r="O162" s="327"/>
      <c r="P162" s="379"/>
      <c r="S162" s="185"/>
      <c r="T162" s="185"/>
      <c r="U162" s="352"/>
      <c r="V162" s="347"/>
      <c r="W162" s="355"/>
      <c r="X162" s="356"/>
      <c r="Z162" s="354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  <c r="AM162" s="582"/>
    </row>
    <row r="163" spans="2:39" ht="26.25" customHeight="1" x14ac:dyDescent="0.25">
      <c r="B163" s="316" t="s">
        <v>43</v>
      </c>
      <c r="C163" s="327"/>
      <c r="D163" s="327"/>
      <c r="E163" s="327"/>
      <c r="F163" s="327"/>
      <c r="G163" s="327"/>
      <c r="H163" s="327"/>
      <c r="I163" s="327"/>
      <c r="J163" s="327"/>
      <c r="K163" s="327"/>
      <c r="L163" s="327"/>
      <c r="M163" s="327"/>
      <c r="N163" s="327"/>
      <c r="O163" s="327"/>
      <c r="P163" s="379"/>
      <c r="T163" s="185"/>
      <c r="U163" s="352"/>
      <c r="V163" s="347"/>
      <c r="W163" s="355"/>
      <c r="X163" s="356"/>
      <c r="Z163" s="354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  <c r="AM163" s="582"/>
    </row>
    <row r="164" spans="2:39" x14ac:dyDescent="0.25">
      <c r="B164" s="327"/>
      <c r="C164" s="327"/>
      <c r="D164" s="327"/>
      <c r="E164" s="327"/>
      <c r="F164" s="327"/>
      <c r="G164" s="327"/>
      <c r="H164" s="327"/>
      <c r="I164" s="327"/>
      <c r="J164" s="327"/>
      <c r="K164" s="327"/>
      <c r="L164" s="327"/>
      <c r="M164" s="327"/>
      <c r="N164" s="327"/>
      <c r="O164" s="327"/>
      <c r="P164" s="327"/>
      <c r="S164" s="185"/>
      <c r="T164" s="185"/>
      <c r="U164" s="352"/>
      <c r="V164" s="347"/>
      <c r="W164" s="355"/>
      <c r="X164" s="356"/>
      <c r="Z164" s="354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  <c r="AM164" s="582"/>
    </row>
    <row r="165" spans="2:39" ht="14.4" x14ac:dyDescent="0.3">
      <c r="B165" s="801" t="str">
        <f>+N5</f>
        <v>Central Goverment of Costa Rica</v>
      </c>
      <c r="C165" s="801"/>
      <c r="D165" s="801"/>
      <c r="E165" s="801"/>
      <c r="F165" s="801"/>
      <c r="G165" s="801"/>
      <c r="H165" s="801"/>
      <c r="I165" s="801"/>
      <c r="J165" s="801"/>
      <c r="K165" s="801"/>
      <c r="L165" s="801"/>
      <c r="M165" s="801"/>
      <c r="N165" s="801"/>
      <c r="O165" s="801"/>
      <c r="P165" s="801"/>
      <c r="Q165" s="801"/>
      <c r="R165" s="801"/>
      <c r="S165" s="801"/>
      <c r="T165" s="801"/>
      <c r="U165" s="801"/>
      <c r="V165" s="801"/>
      <c r="W165" s="801"/>
      <c r="X165" s="801"/>
      <c r="Y165" s="801"/>
      <c r="Z165" s="801"/>
      <c r="AA165" s="801"/>
      <c r="AB165" s="801"/>
      <c r="AC165" s="801"/>
      <c r="AD165" s="801"/>
      <c r="AE165" s="801"/>
      <c r="AF165" s="801"/>
      <c r="AG165" s="801"/>
      <c r="AH165" s="801"/>
      <c r="AI165" s="801"/>
      <c r="AJ165" s="801"/>
      <c r="AL165" s="317"/>
    </row>
    <row r="166" spans="2:39" ht="14.4" x14ac:dyDescent="0.3">
      <c r="B166" s="801" t="str">
        <f>+N49</f>
        <v>Maturity Profile Public Debt as a percentage of Total Debt</v>
      </c>
      <c r="C166" s="801"/>
      <c r="D166" s="801"/>
      <c r="E166" s="801"/>
      <c r="F166" s="801"/>
      <c r="G166" s="801"/>
      <c r="H166" s="801"/>
      <c r="I166" s="801"/>
      <c r="J166" s="801"/>
      <c r="K166" s="801"/>
      <c r="L166" s="801"/>
      <c r="M166" s="801"/>
      <c r="N166" s="801"/>
      <c r="O166" s="801"/>
      <c r="P166" s="801"/>
      <c r="Q166" s="801"/>
      <c r="R166" s="801"/>
      <c r="S166" s="801"/>
      <c r="T166" s="801"/>
      <c r="U166" s="801"/>
      <c r="V166" s="801"/>
      <c r="W166" s="801"/>
      <c r="X166" s="801"/>
      <c r="Y166" s="801"/>
      <c r="Z166" s="801"/>
      <c r="AA166" s="801"/>
      <c r="AB166" s="801"/>
      <c r="AC166" s="801"/>
      <c r="AD166" s="801"/>
      <c r="AE166" s="801"/>
      <c r="AF166" s="801"/>
      <c r="AG166" s="801"/>
      <c r="AH166" s="801"/>
      <c r="AI166" s="801"/>
      <c r="AJ166" s="801"/>
      <c r="AL166" s="317"/>
    </row>
    <row r="167" spans="2:39" ht="14.4" x14ac:dyDescent="0.3">
      <c r="B167" s="801" t="str">
        <f>+B143</f>
        <v>December 31st  2020</v>
      </c>
      <c r="C167" s="801"/>
      <c r="D167" s="801"/>
      <c r="E167" s="801"/>
      <c r="F167" s="801"/>
      <c r="G167" s="801"/>
      <c r="H167" s="801"/>
      <c r="I167" s="801"/>
      <c r="J167" s="801"/>
      <c r="K167" s="801"/>
      <c r="L167" s="801"/>
      <c r="M167" s="801"/>
      <c r="N167" s="801"/>
      <c r="O167" s="801"/>
      <c r="P167" s="801"/>
      <c r="Q167" s="801"/>
      <c r="R167" s="801"/>
      <c r="S167" s="801"/>
      <c r="T167" s="801"/>
      <c r="U167" s="801"/>
      <c r="V167" s="801"/>
      <c r="W167" s="801"/>
      <c r="X167" s="801"/>
      <c r="Y167" s="801"/>
      <c r="Z167" s="801"/>
      <c r="AA167" s="801"/>
      <c r="AB167" s="801"/>
      <c r="AC167" s="801"/>
      <c r="AD167" s="801"/>
      <c r="AE167" s="801"/>
      <c r="AF167" s="801"/>
      <c r="AG167" s="801"/>
      <c r="AH167" s="801"/>
      <c r="AI167" s="801"/>
      <c r="AJ167" s="801"/>
      <c r="AL167" s="317"/>
    </row>
    <row r="168" spans="2:39" x14ac:dyDescent="0.25">
      <c r="AL168" s="317"/>
    </row>
    <row r="169" spans="2:39" ht="14.4" x14ac:dyDescent="0.3">
      <c r="B169" s="801"/>
      <c r="C169" s="801"/>
      <c r="D169" s="801"/>
      <c r="E169" s="801"/>
      <c r="F169" s="801"/>
      <c r="G169" s="801"/>
      <c r="H169" s="801"/>
      <c r="I169" s="801"/>
      <c r="J169" s="801"/>
      <c r="K169" s="801"/>
      <c r="L169" s="801"/>
      <c r="M169" s="801"/>
      <c r="N169" s="801"/>
      <c r="O169" s="801"/>
      <c r="P169" s="801"/>
      <c r="Q169" s="801"/>
      <c r="R169" s="801"/>
      <c r="S169" s="801"/>
      <c r="T169" s="801"/>
      <c r="U169" s="801"/>
      <c r="V169" s="801"/>
      <c r="W169" s="801"/>
      <c r="X169" s="801"/>
      <c r="Y169" s="801"/>
      <c r="Z169" s="801"/>
      <c r="AA169" s="801"/>
      <c r="AB169" s="801"/>
      <c r="AC169" s="801"/>
      <c r="AD169" s="801"/>
      <c r="AE169" s="801"/>
      <c r="AF169" s="801"/>
      <c r="AG169" s="801"/>
      <c r="AH169" s="801"/>
      <c r="AI169" s="801"/>
      <c r="AJ169" s="801"/>
      <c r="AL169" s="317"/>
    </row>
    <row r="170" spans="2:39" ht="13.2" x14ac:dyDescent="0.25">
      <c r="B170" s="325" t="s">
        <v>159</v>
      </c>
      <c r="C170" s="326">
        <v>2020</v>
      </c>
      <c r="D170" s="326">
        <v>2021</v>
      </c>
      <c r="E170" s="326">
        <v>2022</v>
      </c>
      <c r="F170" s="326">
        <v>2023</v>
      </c>
      <c r="G170" s="326">
        <v>2024</v>
      </c>
      <c r="H170" s="326">
        <v>2025</v>
      </c>
      <c r="I170" s="326">
        <v>2026</v>
      </c>
      <c r="J170" s="326">
        <v>2027</v>
      </c>
      <c r="K170" s="326">
        <v>2028</v>
      </c>
      <c r="L170" s="326">
        <v>2029</v>
      </c>
      <c r="M170" s="326">
        <v>2030</v>
      </c>
      <c r="N170" s="326">
        <v>2031</v>
      </c>
      <c r="O170" s="326">
        <v>2032</v>
      </c>
      <c r="P170" s="326">
        <v>2033</v>
      </c>
      <c r="Q170" s="326">
        <v>2034</v>
      </c>
      <c r="R170" s="326">
        <v>2035</v>
      </c>
      <c r="S170" s="326">
        <v>2036</v>
      </c>
      <c r="T170" s="326">
        <v>2037</v>
      </c>
      <c r="U170" s="326">
        <v>2038</v>
      </c>
      <c r="V170" s="326">
        <v>2039</v>
      </c>
      <c r="W170" s="326">
        <v>2040</v>
      </c>
      <c r="X170" s="326">
        <v>2041</v>
      </c>
      <c r="Y170" s="326">
        <v>2042</v>
      </c>
      <c r="Z170" s="326">
        <v>2043</v>
      </c>
      <c r="AA170" s="326">
        <v>2044</v>
      </c>
      <c r="AB170" s="326">
        <v>2045</v>
      </c>
      <c r="AC170" s="326">
        <v>2046</v>
      </c>
      <c r="AD170" s="326">
        <v>2047</v>
      </c>
      <c r="AE170" s="326">
        <v>2048</v>
      </c>
      <c r="AF170" s="326">
        <v>2049</v>
      </c>
      <c r="AG170" s="326">
        <v>2050</v>
      </c>
      <c r="AH170" s="326">
        <v>2051</v>
      </c>
      <c r="AI170"/>
      <c r="AK170" s="317"/>
      <c r="AL170" s="317"/>
    </row>
    <row r="171" spans="2:39" ht="13.2" x14ac:dyDescent="0.25">
      <c r="B171" s="327" t="s">
        <v>160</v>
      </c>
      <c r="C171" s="342">
        <f t="shared" ref="C171:AH171" si="6">+C123/$AH$136</f>
        <v>9.3846649136154325E-3</v>
      </c>
      <c r="D171" s="342">
        <f t="shared" si="6"/>
        <v>1.0414518287094098E-2</v>
      </c>
      <c r="E171" s="342">
        <f t="shared" si="6"/>
        <v>2.5404684836251766E-2</v>
      </c>
      <c r="F171" s="342">
        <f t="shared" si="6"/>
        <v>1.8888693226873369E-2</v>
      </c>
      <c r="G171" s="342">
        <f t="shared" si="6"/>
        <v>1.5455393878155521E-3</v>
      </c>
      <c r="H171" s="342">
        <f t="shared" si="6"/>
        <v>2.5600704299627891E-3</v>
      </c>
      <c r="I171" s="342">
        <f t="shared" si="6"/>
        <v>4.8153217088310013E-5</v>
      </c>
      <c r="J171" s="342">
        <f t="shared" si="6"/>
        <v>1.9361561250461866E-2</v>
      </c>
      <c r="K171" s="342">
        <f t="shared" si="6"/>
        <v>7.1245013605224063E-3</v>
      </c>
      <c r="L171" s="342">
        <f t="shared" si="6"/>
        <v>3.3029362634300469E-5</v>
      </c>
      <c r="M171" s="342">
        <f t="shared" si="6"/>
        <v>3.345402622099881E-5</v>
      </c>
      <c r="N171" s="342">
        <f t="shared" si="6"/>
        <v>3.4147600212212671E-5</v>
      </c>
      <c r="O171" s="342">
        <f t="shared" si="6"/>
        <v>3.5161650967628269E-5</v>
      </c>
      <c r="P171" s="342">
        <f t="shared" si="6"/>
        <v>1.5313580144725334E-5</v>
      </c>
      <c r="Q171" s="342">
        <f t="shared" si="6"/>
        <v>1.5162259107223285E-5</v>
      </c>
      <c r="R171" s="342">
        <f t="shared" si="6"/>
        <v>1.2678651961861935E-5</v>
      </c>
      <c r="S171" s="342">
        <f t="shared" si="6"/>
        <v>1.2678651961861935E-5</v>
      </c>
      <c r="T171" s="342">
        <f t="shared" si="6"/>
        <v>1.2678651961861935E-5</v>
      </c>
      <c r="U171" s="342">
        <f t="shared" si="6"/>
        <v>1.2678651961861935E-5</v>
      </c>
      <c r="V171" s="342">
        <f t="shared" si="6"/>
        <v>6.442745700095673E-3</v>
      </c>
      <c r="W171" s="342">
        <f t="shared" si="6"/>
        <v>1.2678651961861935E-5</v>
      </c>
      <c r="X171" s="342">
        <f t="shared" si="6"/>
        <v>1.2678651961861935E-5</v>
      </c>
      <c r="Y171" s="342">
        <f t="shared" si="6"/>
        <v>1.2678651961861935E-5</v>
      </c>
      <c r="Z171" s="342">
        <f t="shared" si="6"/>
        <v>0</v>
      </c>
      <c r="AA171" s="342">
        <f t="shared" si="6"/>
        <v>0</v>
      </c>
      <c r="AB171" s="342">
        <f t="shared" si="6"/>
        <v>0</v>
      </c>
      <c r="AC171" s="342">
        <f t="shared" si="6"/>
        <v>0</v>
      </c>
      <c r="AD171" s="342">
        <f t="shared" si="6"/>
        <v>0</v>
      </c>
      <c r="AE171" s="342">
        <f t="shared" si="6"/>
        <v>0</v>
      </c>
      <c r="AF171" s="342">
        <f t="shared" si="6"/>
        <v>0</v>
      </c>
      <c r="AG171" s="342">
        <f t="shared" si="6"/>
        <v>0</v>
      </c>
      <c r="AH171" s="342">
        <f t="shared" si="6"/>
        <v>0</v>
      </c>
      <c r="AI171"/>
      <c r="AK171" s="317"/>
      <c r="AL171" s="317"/>
    </row>
    <row r="172" spans="2:39" ht="13.2" x14ac:dyDescent="0.25">
      <c r="B172" s="327" t="s">
        <v>161</v>
      </c>
      <c r="C172" s="342">
        <f t="shared" ref="C172:AH172" si="7">+C124/$AH$136</f>
        <v>6.0766059136164955E-3</v>
      </c>
      <c r="D172" s="342">
        <f t="shared" si="7"/>
        <v>9.0996161880809497E-3</v>
      </c>
      <c r="E172" s="342">
        <f t="shared" si="7"/>
        <v>1.7862570834397504E-2</v>
      </c>
      <c r="F172" s="342">
        <f t="shared" si="7"/>
        <v>1.1851254177683108E-2</v>
      </c>
      <c r="G172" s="342">
        <f t="shared" si="7"/>
        <v>2.0673864613908573E-2</v>
      </c>
      <c r="H172" s="342">
        <f t="shared" si="7"/>
        <v>2.2798974053334748E-4</v>
      </c>
      <c r="I172" s="342">
        <f t="shared" si="7"/>
        <v>2.0006157118997447E-2</v>
      </c>
      <c r="J172" s="342">
        <f t="shared" si="7"/>
        <v>1.2209217640440669E-2</v>
      </c>
      <c r="K172" s="342">
        <f t="shared" si="7"/>
        <v>2.7980099290452025E-2</v>
      </c>
      <c r="L172" s="342">
        <f t="shared" si="7"/>
        <v>2.5961714508821798E-2</v>
      </c>
      <c r="M172" s="342">
        <f t="shared" si="7"/>
        <v>1.0373889012138064E-2</v>
      </c>
      <c r="N172" s="342">
        <f t="shared" si="7"/>
        <v>2.3085190370839755E-4</v>
      </c>
      <c r="O172" s="342">
        <f t="shared" si="7"/>
        <v>2.3244432070150702E-4</v>
      </c>
      <c r="P172" s="342">
        <f t="shared" si="7"/>
        <v>2.1198243771364351E-4</v>
      </c>
      <c r="Q172" s="342">
        <f t="shared" si="7"/>
        <v>2.100045805389932E-4</v>
      </c>
      <c r="R172" s="342">
        <f t="shared" si="7"/>
        <v>1.1560843518372554E-2</v>
      </c>
      <c r="S172" s="342">
        <f t="shared" si="7"/>
        <v>2.0862555281828948E-4</v>
      </c>
      <c r="T172" s="342">
        <f t="shared" si="7"/>
        <v>2.0862555281828948E-4</v>
      </c>
      <c r="U172" s="342">
        <f t="shared" si="7"/>
        <v>2.0862555281828948E-4</v>
      </c>
      <c r="V172" s="342">
        <f t="shared" si="7"/>
        <v>2.0862555281828948E-4</v>
      </c>
      <c r="W172" s="342">
        <f t="shared" si="7"/>
        <v>2.0862555281828948E-4</v>
      </c>
      <c r="X172" s="342">
        <f t="shared" si="7"/>
        <v>2.0862555281828948E-4</v>
      </c>
      <c r="Y172" s="342">
        <f t="shared" si="7"/>
        <v>2.2130420478015141E-4</v>
      </c>
      <c r="Z172" s="342">
        <f t="shared" si="7"/>
        <v>1.7980633689062628E-4</v>
      </c>
      <c r="AA172" s="342">
        <f t="shared" si="7"/>
        <v>1.7980633689062628E-4</v>
      </c>
      <c r="AB172" s="342">
        <f t="shared" si="7"/>
        <v>1.7980633689062628E-4</v>
      </c>
      <c r="AC172" s="342">
        <f t="shared" si="7"/>
        <v>1.7980633689062628E-4</v>
      </c>
      <c r="AD172" s="342">
        <f t="shared" si="7"/>
        <v>1.7980633689062628E-4</v>
      </c>
      <c r="AE172" s="342">
        <f t="shared" si="7"/>
        <v>1.7980633689062628E-4</v>
      </c>
      <c r="AF172" s="342">
        <f t="shared" si="7"/>
        <v>0</v>
      </c>
      <c r="AG172" s="342">
        <f t="shared" si="7"/>
        <v>0</v>
      </c>
      <c r="AH172" s="342">
        <f t="shared" si="7"/>
        <v>0</v>
      </c>
      <c r="AI172"/>
      <c r="AK172" s="317"/>
      <c r="AL172" s="317"/>
    </row>
    <row r="173" spans="2:39" ht="13.2" x14ac:dyDescent="0.25">
      <c r="B173" s="327" t="s">
        <v>162</v>
      </c>
      <c r="C173" s="342">
        <f t="shared" ref="C173:AH173" si="8">+C125/$AH$136</f>
        <v>1.0119582632959701E-2</v>
      </c>
      <c r="D173" s="342">
        <f t="shared" si="8"/>
        <v>6.3013534825140187E-4</v>
      </c>
      <c r="E173" s="342">
        <f t="shared" si="8"/>
        <v>8.5745820355950294E-3</v>
      </c>
      <c r="F173" s="342">
        <f t="shared" si="8"/>
        <v>1.2974236761643672E-2</v>
      </c>
      <c r="G173" s="342">
        <f t="shared" si="8"/>
        <v>1.7103265909726184E-3</v>
      </c>
      <c r="H173" s="342">
        <f t="shared" si="8"/>
        <v>1.9402993975808518E-2</v>
      </c>
      <c r="I173" s="342">
        <f t="shared" si="8"/>
        <v>1.9603011676398666E-2</v>
      </c>
      <c r="J173" s="342">
        <f t="shared" si="8"/>
        <v>1.6607534086582486E-3</v>
      </c>
      <c r="K173" s="342">
        <f t="shared" si="8"/>
        <v>1.2843375822871991E-3</v>
      </c>
      <c r="L173" s="342">
        <f t="shared" si="8"/>
        <v>1.2821633116111601E-3</v>
      </c>
      <c r="M173" s="342">
        <f t="shared" si="8"/>
        <v>1.2812977769924637E-3</v>
      </c>
      <c r="N173" s="342">
        <f t="shared" si="8"/>
        <v>1.1822265124052708E-3</v>
      </c>
      <c r="O173" s="342">
        <f t="shared" si="8"/>
        <v>1.1862368736219782E-3</v>
      </c>
      <c r="P173" s="342">
        <f t="shared" si="8"/>
        <v>1.1606087542637758E-3</v>
      </c>
      <c r="Q173" s="342">
        <f t="shared" si="8"/>
        <v>1.0674363014551474E-2</v>
      </c>
      <c r="R173" s="342">
        <f t="shared" si="8"/>
        <v>9.5984172082564615E-4</v>
      </c>
      <c r="S173" s="342">
        <f t="shared" si="8"/>
        <v>8.7113027200178017E-4</v>
      </c>
      <c r="T173" s="342">
        <f t="shared" si="8"/>
        <v>7.9252552116006799E-4</v>
      </c>
      <c r="U173" s="342">
        <f t="shared" si="8"/>
        <v>3.6851941486652762E-4</v>
      </c>
      <c r="V173" s="342">
        <f t="shared" si="8"/>
        <v>0</v>
      </c>
      <c r="W173" s="342">
        <f t="shared" si="8"/>
        <v>0</v>
      </c>
      <c r="X173" s="342">
        <f t="shared" si="8"/>
        <v>0</v>
      </c>
      <c r="Y173" s="342">
        <f t="shared" si="8"/>
        <v>0</v>
      </c>
      <c r="Z173" s="342">
        <f t="shared" si="8"/>
        <v>0</v>
      </c>
      <c r="AA173" s="342">
        <f t="shared" si="8"/>
        <v>3.2964495100841033E-2</v>
      </c>
      <c r="AB173" s="342">
        <f t="shared" si="8"/>
        <v>0</v>
      </c>
      <c r="AC173" s="342">
        <f t="shared" si="8"/>
        <v>0</v>
      </c>
      <c r="AD173" s="342">
        <f t="shared" si="8"/>
        <v>0</v>
      </c>
      <c r="AE173" s="342">
        <f t="shared" si="8"/>
        <v>0</v>
      </c>
      <c r="AF173" s="342">
        <f t="shared" si="8"/>
        <v>0</v>
      </c>
      <c r="AG173" s="342">
        <f t="shared" si="8"/>
        <v>0</v>
      </c>
      <c r="AH173" s="342">
        <f t="shared" si="8"/>
        <v>0</v>
      </c>
      <c r="AI173"/>
      <c r="AK173" s="317"/>
      <c r="AL173" s="317"/>
    </row>
    <row r="174" spans="2:39" ht="13.2" x14ac:dyDescent="0.25">
      <c r="B174" s="327" t="s">
        <v>163</v>
      </c>
      <c r="C174" s="342">
        <f t="shared" ref="C174:AH174" si="9">+C126/$AH$136</f>
        <v>9.0526719304208029E-3</v>
      </c>
      <c r="D174" s="342">
        <f t="shared" si="9"/>
        <v>7.2313118412838204E-4</v>
      </c>
      <c r="E174" s="342">
        <f t="shared" si="9"/>
        <v>1.4893231335020005E-3</v>
      </c>
      <c r="F174" s="342">
        <f t="shared" si="9"/>
        <v>2.2515231896411791E-3</v>
      </c>
      <c r="G174" s="342">
        <f t="shared" si="9"/>
        <v>1.4790110287442688E-2</v>
      </c>
      <c r="H174" s="342">
        <f t="shared" si="9"/>
        <v>2.3698634905642804E-3</v>
      </c>
      <c r="I174" s="342">
        <f t="shared" si="9"/>
        <v>2.3152505092250311E-3</v>
      </c>
      <c r="J174" s="342">
        <f t="shared" si="9"/>
        <v>5.8138226404973051E-4</v>
      </c>
      <c r="K174" s="342">
        <f t="shared" si="9"/>
        <v>9.1280905023951118E-3</v>
      </c>
      <c r="L174" s="342">
        <f t="shared" si="9"/>
        <v>5.8322110466909086E-4</v>
      </c>
      <c r="M174" s="342">
        <f t="shared" si="9"/>
        <v>5.8551003260296419E-4</v>
      </c>
      <c r="N174" s="342">
        <f t="shared" si="9"/>
        <v>3.026089185785751E-3</v>
      </c>
      <c r="O174" s="342">
        <f t="shared" si="9"/>
        <v>5.8555702048989863E-4</v>
      </c>
      <c r="P174" s="342">
        <f t="shared" si="9"/>
        <v>5.4313314204510483E-3</v>
      </c>
      <c r="Q174" s="342">
        <f t="shared" si="9"/>
        <v>1.7002507557422894E-3</v>
      </c>
      <c r="R174" s="342">
        <f t="shared" si="9"/>
        <v>5.6245423590533378E-4</v>
      </c>
      <c r="S174" s="342">
        <f t="shared" si="9"/>
        <v>5.2551412868543528E-4</v>
      </c>
      <c r="T174" s="342">
        <f t="shared" si="9"/>
        <v>3.8720156194402001E-4</v>
      </c>
      <c r="U174" s="342">
        <f t="shared" si="9"/>
        <v>5.9655471491439054E-3</v>
      </c>
      <c r="V174" s="342">
        <f t="shared" si="9"/>
        <v>3.741048390409069E-4</v>
      </c>
      <c r="W174" s="342">
        <f t="shared" si="9"/>
        <v>1.1604949061828714E-4</v>
      </c>
      <c r="X174" s="342">
        <f t="shared" si="9"/>
        <v>1.1604949061828714E-4</v>
      </c>
      <c r="Y174" s="342">
        <f t="shared" si="9"/>
        <v>1.2694696714776299E-2</v>
      </c>
      <c r="Z174" s="342">
        <f t="shared" si="9"/>
        <v>4.0864668584971786E-2</v>
      </c>
      <c r="AA174" s="342">
        <f t="shared" si="9"/>
        <v>1.6044752914363726E-5</v>
      </c>
      <c r="AB174" s="342">
        <f t="shared" si="9"/>
        <v>1.6044752914363726E-5</v>
      </c>
      <c r="AC174" s="342">
        <f t="shared" si="9"/>
        <v>6.5879188503163081E-4</v>
      </c>
      <c r="AD174" s="342">
        <f t="shared" si="9"/>
        <v>0</v>
      </c>
      <c r="AE174" s="342">
        <f t="shared" si="9"/>
        <v>0</v>
      </c>
      <c r="AF174" s="342">
        <f t="shared" si="9"/>
        <v>4.0563676410785088E-3</v>
      </c>
      <c r="AG174" s="342">
        <f t="shared" si="9"/>
        <v>8.7723282824894895E-4</v>
      </c>
      <c r="AH174" s="342">
        <f t="shared" si="9"/>
        <v>0</v>
      </c>
      <c r="AI174"/>
      <c r="AK174" s="317"/>
      <c r="AL174" s="317"/>
    </row>
    <row r="175" spans="2:39" ht="13.2" x14ac:dyDescent="0.25">
      <c r="B175" s="327" t="s">
        <v>164</v>
      </c>
      <c r="C175" s="342">
        <f t="shared" ref="C175:AH175" si="10">+C127/$AH$136</f>
        <v>8.8475379997995703E-3</v>
      </c>
      <c r="D175" s="342">
        <f t="shared" si="10"/>
        <v>1.0692928701989209E-2</v>
      </c>
      <c r="E175" s="342">
        <f t="shared" si="10"/>
        <v>1.9083366038036855E-3</v>
      </c>
      <c r="F175" s="342">
        <f t="shared" si="10"/>
        <v>6.7561407893033821E-3</v>
      </c>
      <c r="G175" s="342">
        <f t="shared" si="10"/>
        <v>1.897575357235597E-4</v>
      </c>
      <c r="H175" s="342">
        <f t="shared" si="10"/>
        <v>3.9141889646684302E-4</v>
      </c>
      <c r="I175" s="342">
        <f t="shared" si="10"/>
        <v>1.0534626663449283E-2</v>
      </c>
      <c r="J175" s="342">
        <f t="shared" si="10"/>
        <v>3.3505916531093791E-3</v>
      </c>
      <c r="K175" s="342">
        <f t="shared" si="10"/>
        <v>3.6108033580276836E-4</v>
      </c>
      <c r="L175" s="342">
        <f t="shared" si="10"/>
        <v>3.5779465630037969E-4</v>
      </c>
      <c r="M175" s="342">
        <f t="shared" si="10"/>
        <v>3.585237379925434E-4</v>
      </c>
      <c r="N175" s="342">
        <f t="shared" si="10"/>
        <v>3.5892238511715053E-4</v>
      </c>
      <c r="O175" s="342">
        <f t="shared" si="10"/>
        <v>4.2463696644338602E-3</v>
      </c>
      <c r="P175" s="342">
        <f t="shared" si="10"/>
        <v>3.3716370405859433E-4</v>
      </c>
      <c r="Q175" s="342">
        <f t="shared" si="10"/>
        <v>3.4008091786848926E-4</v>
      </c>
      <c r="R175" s="342">
        <f t="shared" si="10"/>
        <v>3.3716370405859433E-4</v>
      </c>
      <c r="S175" s="342">
        <f t="shared" si="10"/>
        <v>4.410018636262436E-4</v>
      </c>
      <c r="T175" s="342">
        <f t="shared" si="10"/>
        <v>3.3716370405859433E-4</v>
      </c>
      <c r="U175" s="342">
        <f t="shared" si="10"/>
        <v>3.3716370405859433E-4</v>
      </c>
      <c r="V175" s="342">
        <f t="shared" si="10"/>
        <v>3.5265822575742512E-6</v>
      </c>
      <c r="W175" s="342">
        <f t="shared" si="10"/>
        <v>0</v>
      </c>
      <c r="X175" s="342">
        <f t="shared" si="10"/>
        <v>0</v>
      </c>
      <c r="Y175" s="342">
        <f t="shared" si="10"/>
        <v>0</v>
      </c>
      <c r="Z175" s="342">
        <f t="shared" si="10"/>
        <v>0</v>
      </c>
      <c r="AA175" s="342">
        <f t="shared" si="10"/>
        <v>0</v>
      </c>
      <c r="AB175" s="342">
        <f t="shared" si="10"/>
        <v>0</v>
      </c>
      <c r="AC175" s="342">
        <f t="shared" si="10"/>
        <v>0</v>
      </c>
      <c r="AD175" s="342">
        <f t="shared" si="10"/>
        <v>0</v>
      </c>
      <c r="AE175" s="342">
        <f t="shared" si="10"/>
        <v>0</v>
      </c>
      <c r="AF175" s="342">
        <f t="shared" si="10"/>
        <v>0</v>
      </c>
      <c r="AG175" s="342">
        <f t="shared" si="10"/>
        <v>0</v>
      </c>
      <c r="AH175" s="342">
        <f t="shared" si="10"/>
        <v>0</v>
      </c>
      <c r="AI175"/>
      <c r="AK175" s="317"/>
      <c r="AL175" s="317"/>
    </row>
    <row r="176" spans="2:39" ht="13.2" x14ac:dyDescent="0.25">
      <c r="B176" s="327" t="s">
        <v>165</v>
      </c>
      <c r="C176" s="342">
        <f t="shared" ref="C176:AH176" si="11">+C128/$AH$136</f>
        <v>5.021209760571548E-3</v>
      </c>
      <c r="D176" s="342">
        <f t="shared" si="11"/>
        <v>9.9575913230494171E-3</v>
      </c>
      <c r="E176" s="342">
        <f t="shared" si="11"/>
        <v>1.2160536470601609E-2</v>
      </c>
      <c r="F176" s="342">
        <f t="shared" si="11"/>
        <v>4.498520901133618E-3</v>
      </c>
      <c r="G176" s="342">
        <f t="shared" si="11"/>
        <v>6.2751074924976202E-3</v>
      </c>
      <c r="H176" s="342">
        <f t="shared" si="11"/>
        <v>9.6168271766334211E-3</v>
      </c>
      <c r="I176" s="342">
        <f t="shared" si="11"/>
        <v>1.8014540683411471E-3</v>
      </c>
      <c r="J176" s="342">
        <f t="shared" si="11"/>
        <v>1.1158028124134644E-2</v>
      </c>
      <c r="K176" s="342">
        <f t="shared" si="11"/>
        <v>3.3776018210896521E-4</v>
      </c>
      <c r="L176" s="342">
        <f t="shared" si="11"/>
        <v>2.0653855692464529E-2</v>
      </c>
      <c r="M176" s="342">
        <f t="shared" si="11"/>
        <v>1.3314207887597854E-2</v>
      </c>
      <c r="N176" s="342">
        <f t="shared" si="11"/>
        <v>1.3712712376866218E-3</v>
      </c>
      <c r="O176" s="342">
        <f t="shared" si="11"/>
        <v>5.6261365016390908E-5</v>
      </c>
      <c r="P176" s="342">
        <f t="shared" si="11"/>
        <v>2.7921348301098692E-3</v>
      </c>
      <c r="Q176" s="342">
        <f t="shared" si="11"/>
        <v>3.6606072809069451E-5</v>
      </c>
      <c r="R176" s="342">
        <f t="shared" si="11"/>
        <v>3.3756085975360762E-5</v>
      </c>
      <c r="S176" s="342">
        <f t="shared" si="11"/>
        <v>3.3756088257518115E-5</v>
      </c>
      <c r="T176" s="342">
        <f t="shared" si="11"/>
        <v>3.8419764037775295E-7</v>
      </c>
      <c r="U176" s="342">
        <f t="shared" si="11"/>
        <v>0</v>
      </c>
      <c r="V176" s="342">
        <f t="shared" si="11"/>
        <v>0</v>
      </c>
      <c r="W176" s="342">
        <f t="shared" si="11"/>
        <v>0</v>
      </c>
      <c r="X176" s="342">
        <f t="shared" si="11"/>
        <v>0</v>
      </c>
      <c r="Y176" s="342">
        <f t="shared" si="11"/>
        <v>0</v>
      </c>
      <c r="Z176" s="342">
        <f t="shared" si="11"/>
        <v>0</v>
      </c>
      <c r="AA176" s="342">
        <f t="shared" si="11"/>
        <v>0</v>
      </c>
      <c r="AB176" s="342">
        <f t="shared" si="11"/>
        <v>0</v>
      </c>
      <c r="AC176" s="342">
        <f t="shared" si="11"/>
        <v>0</v>
      </c>
      <c r="AD176" s="342">
        <f t="shared" si="11"/>
        <v>0</v>
      </c>
      <c r="AE176" s="342">
        <f t="shared" si="11"/>
        <v>0</v>
      </c>
      <c r="AF176" s="342">
        <f t="shared" si="11"/>
        <v>0</v>
      </c>
      <c r="AG176" s="342">
        <f t="shared" si="11"/>
        <v>0</v>
      </c>
      <c r="AH176" s="342">
        <f t="shared" si="11"/>
        <v>0</v>
      </c>
      <c r="AI176"/>
      <c r="AK176" s="317"/>
      <c r="AL176" s="317"/>
    </row>
    <row r="177" spans="2:38" ht="13.2" x14ac:dyDescent="0.25">
      <c r="B177" s="327" t="s">
        <v>166</v>
      </c>
      <c r="C177" s="342">
        <f t="shared" ref="C177:AH177" si="12">+C129/$AH$136</f>
        <v>7.6255792413120298E-3</v>
      </c>
      <c r="D177" s="342">
        <f t="shared" si="12"/>
        <v>1.5125238368177927E-2</v>
      </c>
      <c r="E177" s="342">
        <f t="shared" si="12"/>
        <v>1.051587715077652E-2</v>
      </c>
      <c r="F177" s="342">
        <f t="shared" si="12"/>
        <v>1.2911738855506401E-2</v>
      </c>
      <c r="G177" s="342">
        <f t="shared" si="12"/>
        <v>5.1246249921751844E-3</v>
      </c>
      <c r="H177" s="342">
        <f t="shared" si="12"/>
        <v>9.1861321801465761E-3</v>
      </c>
      <c r="I177" s="342">
        <f t="shared" si="12"/>
        <v>3.0071330539988531E-3</v>
      </c>
      <c r="J177" s="342">
        <f t="shared" si="12"/>
        <v>3.2189287833959459E-5</v>
      </c>
      <c r="K177" s="342">
        <f t="shared" si="12"/>
        <v>3.2715183102955135E-5</v>
      </c>
      <c r="L177" s="342">
        <f t="shared" si="12"/>
        <v>1.3414759713913395E-3</v>
      </c>
      <c r="M177" s="342">
        <f t="shared" si="12"/>
        <v>8.2821386859324546E-3</v>
      </c>
      <c r="N177" s="342">
        <f t="shared" si="12"/>
        <v>3.6803061708859756E-5</v>
      </c>
      <c r="O177" s="342">
        <f t="shared" si="12"/>
        <v>2.8096094263252436E-4</v>
      </c>
      <c r="P177" s="342">
        <f t="shared" si="12"/>
        <v>1.3104202286644372E-5</v>
      </c>
      <c r="Q177" s="342">
        <f t="shared" si="12"/>
        <v>1.2678651961861935E-5</v>
      </c>
      <c r="R177" s="342">
        <f t="shared" si="12"/>
        <v>2.8182107580826708E-4</v>
      </c>
      <c r="S177" s="342">
        <f t="shared" si="12"/>
        <v>1.2678651961861935E-5</v>
      </c>
      <c r="T177" s="342">
        <f t="shared" si="12"/>
        <v>1.2678651961861935E-5</v>
      </c>
      <c r="U177" s="342">
        <f t="shared" si="12"/>
        <v>1.2678651961861935E-5</v>
      </c>
      <c r="V177" s="342">
        <f t="shared" si="12"/>
        <v>1.2678651961861935E-5</v>
      </c>
      <c r="W177" s="342">
        <f t="shared" si="12"/>
        <v>1.2678651961861935E-5</v>
      </c>
      <c r="X177" s="342">
        <f t="shared" si="12"/>
        <v>1.2678651961861935E-5</v>
      </c>
      <c r="Y177" s="342">
        <f t="shared" si="12"/>
        <v>1.5309963118053666E-3</v>
      </c>
      <c r="Z177" s="342">
        <f t="shared" si="12"/>
        <v>0</v>
      </c>
      <c r="AA177" s="342">
        <f t="shared" si="12"/>
        <v>0</v>
      </c>
      <c r="AB177" s="342">
        <f t="shared" si="12"/>
        <v>0</v>
      </c>
      <c r="AC177" s="342">
        <f t="shared" si="12"/>
        <v>0</v>
      </c>
      <c r="AD177" s="342">
        <f t="shared" si="12"/>
        <v>0</v>
      </c>
      <c r="AE177" s="342">
        <f t="shared" si="12"/>
        <v>0</v>
      </c>
      <c r="AF177" s="342">
        <f t="shared" si="12"/>
        <v>0</v>
      </c>
      <c r="AG177" s="342">
        <f t="shared" si="12"/>
        <v>0</v>
      </c>
      <c r="AH177" s="342">
        <f t="shared" si="12"/>
        <v>0</v>
      </c>
      <c r="AI177"/>
      <c r="AK177" s="317"/>
      <c r="AL177" s="317"/>
    </row>
    <row r="178" spans="2:38" ht="13.2" x14ac:dyDescent="0.25">
      <c r="B178" s="327" t="s">
        <v>167</v>
      </c>
      <c r="C178" s="342">
        <f t="shared" ref="C178:AH178" si="13">+C130/$AH$136</f>
        <v>1.0779475894515615E-3</v>
      </c>
      <c r="D178" s="342">
        <f t="shared" si="13"/>
        <v>1.2022929410579378E-2</v>
      </c>
      <c r="E178" s="342">
        <f t="shared" si="13"/>
        <v>9.2878033736303912E-3</v>
      </c>
      <c r="F178" s="342">
        <f t="shared" si="13"/>
        <v>2.360638223993456E-4</v>
      </c>
      <c r="G178" s="342">
        <f t="shared" si="13"/>
        <v>5.8316650560540258E-3</v>
      </c>
      <c r="H178" s="342">
        <f t="shared" si="13"/>
        <v>1.4338360156909721E-2</v>
      </c>
      <c r="I178" s="342">
        <f t="shared" si="13"/>
        <v>2.2752624486252487E-4</v>
      </c>
      <c r="J178" s="342">
        <f t="shared" si="13"/>
        <v>2.284423191614164E-4</v>
      </c>
      <c r="K178" s="342">
        <f t="shared" si="13"/>
        <v>2.3020902688336415E-4</v>
      </c>
      <c r="L178" s="342">
        <f t="shared" si="13"/>
        <v>2.2958482674002975E-4</v>
      </c>
      <c r="M178" s="342">
        <f t="shared" si="13"/>
        <v>2.3173017213688063E-4</v>
      </c>
      <c r="N178" s="342">
        <f t="shared" si="13"/>
        <v>2.3415698019072236E-4</v>
      </c>
      <c r="O178" s="342">
        <f t="shared" si="13"/>
        <v>2.1027819789001652E-4</v>
      </c>
      <c r="P178" s="342">
        <f t="shared" si="13"/>
        <v>2.1130986482546148E-4</v>
      </c>
      <c r="Q178" s="342">
        <f t="shared" si="13"/>
        <v>2.0898403644492694E-4</v>
      </c>
      <c r="R178" s="342">
        <f t="shared" si="13"/>
        <v>2.0862555281828948E-4</v>
      </c>
      <c r="S178" s="342">
        <f t="shared" si="13"/>
        <v>2.0862555281828948E-4</v>
      </c>
      <c r="T178" s="342">
        <f t="shared" si="13"/>
        <v>2.0862555281828948E-4</v>
      </c>
      <c r="U178" s="342">
        <f t="shared" si="13"/>
        <v>2.0862555281828948E-4</v>
      </c>
      <c r="V178" s="342">
        <f t="shared" si="13"/>
        <v>2.0862555281828948E-4</v>
      </c>
      <c r="W178" s="342">
        <f t="shared" si="13"/>
        <v>2.0862555281828948E-4</v>
      </c>
      <c r="X178" s="342">
        <f t="shared" si="13"/>
        <v>2.0862555281828948E-4</v>
      </c>
      <c r="Y178" s="342">
        <f t="shared" si="13"/>
        <v>2.0862555155042425E-4</v>
      </c>
      <c r="Z178" s="342">
        <f t="shared" si="13"/>
        <v>1.7980633689062628E-4</v>
      </c>
      <c r="AA178" s="342">
        <f t="shared" si="13"/>
        <v>1.7980633689062628E-4</v>
      </c>
      <c r="AB178" s="342">
        <f t="shared" si="13"/>
        <v>1.7980633689062628E-4</v>
      </c>
      <c r="AC178" s="342">
        <f t="shared" si="13"/>
        <v>1.7980633689062628E-4</v>
      </c>
      <c r="AD178" s="342">
        <f t="shared" si="13"/>
        <v>1.7980633689062628E-4</v>
      </c>
      <c r="AE178" s="342">
        <f t="shared" si="13"/>
        <v>1.7980633815849146E-4</v>
      </c>
      <c r="AF178" s="342">
        <f t="shared" si="13"/>
        <v>0</v>
      </c>
      <c r="AG178" s="342">
        <f t="shared" si="13"/>
        <v>0</v>
      </c>
      <c r="AH178" s="342">
        <f t="shared" si="13"/>
        <v>0</v>
      </c>
      <c r="AI178"/>
      <c r="AK178" s="317"/>
      <c r="AL178" s="317"/>
    </row>
    <row r="179" spans="2:38" ht="13.2" x14ac:dyDescent="0.25">
      <c r="B179" s="327" t="s">
        <v>168</v>
      </c>
      <c r="C179" s="342">
        <f t="shared" ref="C179:AH179" si="14">+C131/$AH$136</f>
        <v>2.927431906939326E-3</v>
      </c>
      <c r="D179" s="342">
        <f t="shared" si="14"/>
        <v>8.988134696710148E-3</v>
      </c>
      <c r="E179" s="342">
        <f t="shared" si="14"/>
        <v>1.033618595058876E-2</v>
      </c>
      <c r="F179" s="342">
        <f t="shared" si="14"/>
        <v>1.0610533778036486E-2</v>
      </c>
      <c r="G179" s="342">
        <f t="shared" si="14"/>
        <v>1.4082951791984087E-2</v>
      </c>
      <c r="H179" s="342">
        <f t="shared" si="14"/>
        <v>1.6189017165902129E-2</v>
      </c>
      <c r="I179" s="342">
        <f t="shared" si="14"/>
        <v>1.3344546890591185E-3</v>
      </c>
      <c r="J179" s="342">
        <f t="shared" si="14"/>
        <v>1.279933334030821E-3</v>
      </c>
      <c r="K179" s="342">
        <f t="shared" si="14"/>
        <v>2.0103765271739397E-2</v>
      </c>
      <c r="L179" s="342">
        <f t="shared" si="14"/>
        <v>1.9421130915659971E-3</v>
      </c>
      <c r="M179" s="342">
        <f t="shared" si="14"/>
        <v>7.310509239003957E-3</v>
      </c>
      <c r="N179" s="342">
        <f t="shared" si="14"/>
        <v>1.183298644271373E-3</v>
      </c>
      <c r="O179" s="342">
        <f t="shared" si="14"/>
        <v>5.2950803589149756E-3</v>
      </c>
      <c r="P179" s="342">
        <f t="shared" si="14"/>
        <v>1.1605249496880949E-3</v>
      </c>
      <c r="Q179" s="342">
        <f t="shared" si="14"/>
        <v>9.5984172538996079E-4</v>
      </c>
      <c r="R179" s="342">
        <f t="shared" si="14"/>
        <v>8.7113027245874417E-4</v>
      </c>
      <c r="S179" s="342">
        <f t="shared" si="14"/>
        <v>7.9252552268150634E-4</v>
      </c>
      <c r="T179" s="342">
        <f t="shared" si="14"/>
        <v>3.6851942044513459E-4</v>
      </c>
      <c r="U179" s="342">
        <f t="shared" si="14"/>
        <v>0</v>
      </c>
      <c r="V179" s="342">
        <f t="shared" si="14"/>
        <v>0</v>
      </c>
      <c r="W179" s="342">
        <f t="shared" si="14"/>
        <v>0</v>
      </c>
      <c r="X179" s="342">
        <f t="shared" si="14"/>
        <v>0</v>
      </c>
      <c r="Y179" s="342">
        <f t="shared" si="14"/>
        <v>0</v>
      </c>
      <c r="Z179" s="342">
        <f t="shared" si="14"/>
        <v>0</v>
      </c>
      <c r="AA179" s="342">
        <f t="shared" si="14"/>
        <v>0</v>
      </c>
      <c r="AB179" s="342">
        <f t="shared" si="14"/>
        <v>0</v>
      </c>
      <c r="AC179" s="342">
        <f t="shared" si="14"/>
        <v>0</v>
      </c>
      <c r="AD179" s="342">
        <f t="shared" si="14"/>
        <v>0</v>
      </c>
      <c r="AE179" s="342">
        <f t="shared" si="14"/>
        <v>0</v>
      </c>
      <c r="AF179" s="342">
        <f t="shared" si="14"/>
        <v>0</v>
      </c>
      <c r="AG179" s="342">
        <f t="shared" si="14"/>
        <v>0</v>
      </c>
      <c r="AH179" s="342">
        <f t="shared" si="14"/>
        <v>0</v>
      </c>
      <c r="AI179"/>
      <c r="AK179" s="317"/>
      <c r="AL179" s="317"/>
    </row>
    <row r="180" spans="2:38" ht="13.2" x14ac:dyDescent="0.25">
      <c r="B180" s="327" t="s">
        <v>169</v>
      </c>
      <c r="C180" s="342">
        <f t="shared" ref="C180:AH180" si="15">+C132/$AH$136</f>
        <v>7.2395038305843214E-3</v>
      </c>
      <c r="D180" s="342">
        <f t="shared" si="15"/>
        <v>6.6658023010156438E-4</v>
      </c>
      <c r="E180" s="342">
        <f t="shared" si="15"/>
        <v>2.1233136200493135E-3</v>
      </c>
      <c r="F180" s="342">
        <f t="shared" si="15"/>
        <v>2.1112225967298594E-3</v>
      </c>
      <c r="G180" s="342">
        <f t="shared" si="15"/>
        <v>2.1115283314576952E-3</v>
      </c>
      <c r="H180" s="342">
        <f t="shared" si="15"/>
        <v>6.133212739259865E-4</v>
      </c>
      <c r="I180" s="342">
        <f t="shared" si="15"/>
        <v>6.140616260759985E-4</v>
      </c>
      <c r="J180" s="342">
        <f t="shared" si="15"/>
        <v>5.8208756552974316E-4</v>
      </c>
      <c r="K180" s="342">
        <f t="shared" si="15"/>
        <v>5.8173940813601398E-4</v>
      </c>
      <c r="L180" s="342">
        <f t="shared" si="15"/>
        <v>5.826766257533947E-4</v>
      </c>
      <c r="M180" s="342">
        <f t="shared" si="15"/>
        <v>5.8290923630971827E-4</v>
      </c>
      <c r="N180" s="342">
        <f t="shared" si="15"/>
        <v>5.8383618711521927E-4</v>
      </c>
      <c r="O180" s="342">
        <f t="shared" si="15"/>
        <v>5.6339890369422492E-4</v>
      </c>
      <c r="P180" s="342">
        <f t="shared" si="15"/>
        <v>5.6313633112955314E-4</v>
      </c>
      <c r="Q180" s="342">
        <f t="shared" si="15"/>
        <v>5.6348690732724391E-4</v>
      </c>
      <c r="R180" s="342">
        <f t="shared" si="15"/>
        <v>5.2551412868543528E-4</v>
      </c>
      <c r="S180" s="342">
        <f t="shared" si="15"/>
        <v>5.1398808156263929E-4</v>
      </c>
      <c r="T180" s="342">
        <f t="shared" si="15"/>
        <v>3.8720156194402001E-4</v>
      </c>
      <c r="U180" s="342">
        <f t="shared" si="15"/>
        <v>3.8243273804587446E-4</v>
      </c>
      <c r="V180" s="342">
        <f t="shared" si="15"/>
        <v>3.7867504222029435E-4</v>
      </c>
      <c r="W180" s="342">
        <f t="shared" si="15"/>
        <v>1.1604949061828714E-4</v>
      </c>
      <c r="X180" s="342">
        <f t="shared" si="15"/>
        <v>1.6044752914363726E-5</v>
      </c>
      <c r="Y180" s="342">
        <f t="shared" si="15"/>
        <v>1.6044752914363726E-5</v>
      </c>
      <c r="Z180" s="342">
        <f t="shared" si="15"/>
        <v>1.6044752914363726E-5</v>
      </c>
      <c r="AA180" s="342">
        <f t="shared" si="15"/>
        <v>1.6044752914363726E-5</v>
      </c>
      <c r="AB180" s="342">
        <f t="shared" si="15"/>
        <v>1.6044752914363726E-5</v>
      </c>
      <c r="AC180" s="342">
        <f t="shared" si="15"/>
        <v>0</v>
      </c>
      <c r="AD180" s="342">
        <f t="shared" si="15"/>
        <v>0</v>
      </c>
      <c r="AE180" s="342">
        <f t="shared" si="15"/>
        <v>0</v>
      </c>
      <c r="AF180" s="342">
        <f t="shared" si="15"/>
        <v>0</v>
      </c>
      <c r="AG180" s="342">
        <f t="shared" si="15"/>
        <v>0</v>
      </c>
      <c r="AH180" s="342">
        <f t="shared" si="15"/>
        <v>0</v>
      </c>
      <c r="AI180"/>
      <c r="AK180" s="317"/>
      <c r="AL180" s="317"/>
    </row>
    <row r="181" spans="2:38" ht="13.2" x14ac:dyDescent="0.25">
      <c r="B181" s="327" t="s">
        <v>170</v>
      </c>
      <c r="C181" s="342">
        <f t="shared" ref="C181:AH181" si="16">+C133/$AH$136</f>
        <v>1.879715008284823E-2</v>
      </c>
      <c r="D181" s="342">
        <f t="shared" si="16"/>
        <v>1.2745701209099938E-4</v>
      </c>
      <c r="E181" s="342">
        <f t="shared" si="16"/>
        <v>6.9128208804307631E-5</v>
      </c>
      <c r="F181" s="342">
        <f t="shared" si="16"/>
        <v>3.981872799132806E-3</v>
      </c>
      <c r="G181" s="342">
        <f t="shared" si="16"/>
        <v>1.0441584180775921E-2</v>
      </c>
      <c r="H181" s="342">
        <f t="shared" si="16"/>
        <v>3.9618363577050556E-4</v>
      </c>
      <c r="I181" s="342">
        <f t="shared" si="16"/>
        <v>3.9188071737884599E-4</v>
      </c>
      <c r="J181" s="342">
        <f t="shared" si="16"/>
        <v>3.9266667208542259E-4</v>
      </c>
      <c r="K181" s="342">
        <f t="shared" si="16"/>
        <v>3.9540545245228178E-3</v>
      </c>
      <c r="L181" s="342">
        <f t="shared" si="16"/>
        <v>5.579663139752695E-3</v>
      </c>
      <c r="M181" s="342">
        <f t="shared" si="16"/>
        <v>3.6005328235760625E-4</v>
      </c>
      <c r="N181" s="342">
        <f t="shared" si="16"/>
        <v>3.6204235339634314E-4</v>
      </c>
      <c r="O181" s="342">
        <f t="shared" si="16"/>
        <v>3.4245225157207701E-4</v>
      </c>
      <c r="P181" s="342">
        <f t="shared" si="16"/>
        <v>3.3763958623524897E-4</v>
      </c>
      <c r="Q181" s="342">
        <f t="shared" si="16"/>
        <v>3.3716370405859433E-4</v>
      </c>
      <c r="R181" s="342">
        <f t="shared" si="16"/>
        <v>3.3716370405859433E-4</v>
      </c>
      <c r="S181" s="342">
        <f t="shared" si="16"/>
        <v>3.3716370405859433E-4</v>
      </c>
      <c r="T181" s="342">
        <f t="shared" si="16"/>
        <v>3.3716370405859433E-4</v>
      </c>
      <c r="U181" s="342">
        <f t="shared" si="16"/>
        <v>3.3716371044696132E-4</v>
      </c>
      <c r="V181" s="342">
        <f t="shared" si="16"/>
        <v>3.5265817504281721E-6</v>
      </c>
      <c r="W181" s="342">
        <f t="shared" si="16"/>
        <v>0</v>
      </c>
      <c r="X181" s="342">
        <f t="shared" si="16"/>
        <v>0</v>
      </c>
      <c r="Y181" s="342">
        <f t="shared" si="16"/>
        <v>0</v>
      </c>
      <c r="Z181" s="342">
        <f t="shared" si="16"/>
        <v>0</v>
      </c>
      <c r="AA181" s="342">
        <f t="shared" si="16"/>
        <v>0</v>
      </c>
      <c r="AB181" s="342">
        <f t="shared" si="16"/>
        <v>0</v>
      </c>
      <c r="AC181" s="342">
        <f t="shared" si="16"/>
        <v>0</v>
      </c>
      <c r="AD181" s="342">
        <f t="shared" si="16"/>
        <v>0</v>
      </c>
      <c r="AE181" s="342">
        <f t="shared" si="16"/>
        <v>0</v>
      </c>
      <c r="AF181" s="342">
        <f t="shared" si="16"/>
        <v>0</v>
      </c>
      <c r="AG181" s="342">
        <f t="shared" si="16"/>
        <v>0</v>
      </c>
      <c r="AH181" s="342">
        <f t="shared" si="16"/>
        <v>0</v>
      </c>
      <c r="AI181"/>
      <c r="AK181" s="317"/>
      <c r="AL181" s="317"/>
    </row>
    <row r="182" spans="2:38" ht="13.2" x14ac:dyDescent="0.25">
      <c r="B182" s="327" t="s">
        <v>171</v>
      </c>
      <c r="C182" s="342">
        <f t="shared" ref="C182:AH182" si="17">+C134/$AH$136</f>
        <v>1.3166137995747442E-2</v>
      </c>
      <c r="D182" s="342">
        <f t="shared" si="17"/>
        <v>8.4499119059456163E-3</v>
      </c>
      <c r="E182" s="342">
        <f t="shared" si="17"/>
        <v>1.0335582354682198E-4</v>
      </c>
      <c r="F182" s="342">
        <f t="shared" si="17"/>
        <v>9.2642031079919059E-5</v>
      </c>
      <c r="G182" s="342">
        <f t="shared" si="17"/>
        <v>2.3045419606769198E-4</v>
      </c>
      <c r="H182" s="342">
        <f t="shared" si="17"/>
        <v>9.2394426958204587E-5</v>
      </c>
      <c r="I182" s="342">
        <f t="shared" si="17"/>
        <v>9.1790645486476607E-5</v>
      </c>
      <c r="J182" s="342">
        <f t="shared" si="17"/>
        <v>9.2790964131859999E-5</v>
      </c>
      <c r="K182" s="342">
        <f t="shared" si="17"/>
        <v>6.2898955402010536E-5</v>
      </c>
      <c r="L182" s="342">
        <f t="shared" si="17"/>
        <v>6.8078119118571338E-5</v>
      </c>
      <c r="M182" s="342">
        <f t="shared" si="17"/>
        <v>6.4440767366892603E-5</v>
      </c>
      <c r="N182" s="342">
        <f t="shared" si="17"/>
        <v>6.4578143266289285E-5</v>
      </c>
      <c r="O182" s="342">
        <f t="shared" si="17"/>
        <v>3.3913702188698855E-5</v>
      </c>
      <c r="P182" s="342">
        <f t="shared" si="17"/>
        <v>3.5220342965446026E-5</v>
      </c>
      <c r="Q182" s="342">
        <f t="shared" si="17"/>
        <v>3.3968087976183817E-5</v>
      </c>
      <c r="R182" s="342">
        <f t="shared" si="17"/>
        <v>3.3756085975360762E-5</v>
      </c>
      <c r="S182" s="342">
        <f t="shared" si="17"/>
        <v>3.8420169754638064E-7</v>
      </c>
      <c r="T182" s="342">
        <f t="shared" si="17"/>
        <v>0</v>
      </c>
      <c r="U182" s="342">
        <f t="shared" si="17"/>
        <v>0</v>
      </c>
      <c r="V182" s="342">
        <f t="shared" si="17"/>
        <v>0</v>
      </c>
      <c r="W182" s="342">
        <f t="shared" si="17"/>
        <v>0</v>
      </c>
      <c r="X182" s="342">
        <f t="shared" si="17"/>
        <v>0</v>
      </c>
      <c r="Y182" s="342">
        <f t="shared" si="17"/>
        <v>0</v>
      </c>
      <c r="Z182" s="342">
        <f t="shared" si="17"/>
        <v>0</v>
      </c>
      <c r="AA182" s="342">
        <f t="shared" si="17"/>
        <v>0</v>
      </c>
      <c r="AB182" s="342">
        <f t="shared" si="17"/>
        <v>0</v>
      </c>
      <c r="AC182" s="342">
        <f t="shared" si="17"/>
        <v>0</v>
      </c>
      <c r="AD182" s="342">
        <f t="shared" si="17"/>
        <v>0</v>
      </c>
      <c r="AE182" s="342">
        <f t="shared" si="17"/>
        <v>0</v>
      </c>
      <c r="AF182" s="342">
        <f t="shared" si="17"/>
        <v>0</v>
      </c>
      <c r="AG182" s="342">
        <f t="shared" si="17"/>
        <v>0</v>
      </c>
      <c r="AH182" s="342">
        <f t="shared" si="17"/>
        <v>0</v>
      </c>
      <c r="AI182"/>
      <c r="AK182" s="317"/>
      <c r="AL182" s="317"/>
    </row>
    <row r="183" spans="2:38" ht="13.2" x14ac:dyDescent="0.25">
      <c r="B183" s="330" t="s">
        <v>172</v>
      </c>
      <c r="C183" s="343">
        <f>SUM(C171:C182)</f>
        <v>9.9336023797866449E-2</v>
      </c>
      <c r="D183" s="343">
        <f t="shared" ref="D183:AH183" si="18">SUM(D171:D182)</f>
        <v>8.6898172656199077E-2</v>
      </c>
      <c r="E183" s="343">
        <f t="shared" si="18"/>
        <v>9.9835698041547724E-2</v>
      </c>
      <c r="F183" s="343">
        <f t="shared" si="18"/>
        <v>8.7164442929163144E-2</v>
      </c>
      <c r="G183" s="343">
        <f t="shared" si="18"/>
        <v>8.3007514456875223E-2</v>
      </c>
      <c r="H183" s="343">
        <f t="shared" si="18"/>
        <v>7.5384572549582321E-2</v>
      </c>
      <c r="I183" s="343">
        <f t="shared" si="18"/>
        <v>5.997550023036171E-2</v>
      </c>
      <c r="J183" s="343">
        <f t="shared" si="18"/>
        <v>5.0929644483627759E-2</v>
      </c>
      <c r="K183" s="343">
        <f t="shared" si="18"/>
        <v>7.1181251623355035E-2</v>
      </c>
      <c r="L183" s="343">
        <f t="shared" si="18"/>
        <v>5.8615370410823285E-2</v>
      </c>
      <c r="M183" s="343">
        <f t="shared" si="18"/>
        <v>4.2778663856652403E-2</v>
      </c>
      <c r="N183" s="343">
        <f t="shared" si="18"/>
        <v>8.6682241948642103E-3</v>
      </c>
      <c r="O183" s="343">
        <f t="shared" si="18"/>
        <v>1.3068115252123782E-2</v>
      </c>
      <c r="P183" s="343">
        <f t="shared" si="18"/>
        <v>1.2269470003872105E-2</v>
      </c>
      <c r="Q183" s="343">
        <f t="shared" si="18"/>
        <v>1.5092590713776308E-2</v>
      </c>
      <c r="R183" s="343">
        <f t="shared" si="18"/>
        <v>1.5724748736904045E-2</v>
      </c>
      <c r="S183" s="343">
        <f t="shared" si="18"/>
        <v>3.9580722721315673E-3</v>
      </c>
      <c r="T183" s="343">
        <f t="shared" si="18"/>
        <v>3.0527680808111121E-3</v>
      </c>
      <c r="U183" s="343">
        <f t="shared" si="18"/>
        <v>7.8334351261221662E-3</v>
      </c>
      <c r="V183" s="343">
        <f t="shared" si="18"/>
        <v>7.6325085029633182E-3</v>
      </c>
      <c r="W183" s="343">
        <f t="shared" si="18"/>
        <v>6.7470739079687715E-4</v>
      </c>
      <c r="X183" s="343">
        <f t="shared" si="18"/>
        <v>5.7470265309295381E-4</v>
      </c>
      <c r="Y183" s="343">
        <f t="shared" si="18"/>
        <v>1.4684346187788466E-2</v>
      </c>
      <c r="Z183" s="343">
        <f t="shared" si="18"/>
        <v>4.1240326011667397E-2</v>
      </c>
      <c r="AA183" s="343">
        <f t="shared" si="18"/>
        <v>3.3356197280451007E-2</v>
      </c>
      <c r="AB183" s="343">
        <f t="shared" si="18"/>
        <v>3.9170217960998E-4</v>
      </c>
      <c r="AC183" s="343">
        <f t="shared" si="18"/>
        <v>1.0184045588128834E-3</v>
      </c>
      <c r="AD183" s="343">
        <f t="shared" si="18"/>
        <v>3.5961267378125256E-4</v>
      </c>
      <c r="AE183" s="343">
        <f t="shared" si="18"/>
        <v>3.5961267504911777E-4</v>
      </c>
      <c r="AF183" s="343">
        <f t="shared" si="18"/>
        <v>4.0563676410785088E-3</v>
      </c>
      <c r="AG183" s="343">
        <f t="shared" si="18"/>
        <v>8.7723282824894895E-4</v>
      </c>
      <c r="AH183" s="343">
        <f t="shared" si="18"/>
        <v>0</v>
      </c>
      <c r="AI183"/>
      <c r="AK183" s="317"/>
      <c r="AL183" s="317"/>
    </row>
    <row r="184" spans="2:38" x14ac:dyDescent="0.25">
      <c r="B184" s="583"/>
      <c r="C184" s="186"/>
      <c r="D184" s="186"/>
      <c r="E184" s="186"/>
      <c r="F184" s="186"/>
      <c r="G184" s="186"/>
      <c r="H184" s="186"/>
      <c r="I184" s="186"/>
      <c r="J184" s="186"/>
      <c r="K184" s="186"/>
      <c r="L184" s="186"/>
      <c r="M184" s="186"/>
      <c r="N184" s="186"/>
      <c r="T184" s="349"/>
      <c r="U184" s="327"/>
      <c r="Y184" s="347"/>
      <c r="AH184" s="663">
        <f>SUM(C183:AH183)</f>
        <v>1.0000000000000002</v>
      </c>
      <c r="AJ184" s="345">
        <f>SUM(C183:AI183)</f>
        <v>1.0000000000000002</v>
      </c>
      <c r="AL184" s="317"/>
    </row>
    <row r="185" spans="2:38" x14ac:dyDescent="0.25">
      <c r="B185" s="346"/>
      <c r="C185" s="346"/>
      <c r="D185" s="346"/>
      <c r="E185" s="346"/>
      <c r="F185" s="346"/>
      <c r="G185" s="346"/>
      <c r="H185" s="346"/>
      <c r="I185" s="346"/>
      <c r="J185" s="346"/>
      <c r="K185" s="346"/>
      <c r="L185" s="346"/>
      <c r="M185" s="346"/>
      <c r="N185" s="346"/>
      <c r="O185" s="346"/>
      <c r="T185" s="352"/>
      <c r="U185" s="327"/>
      <c r="Y185" s="347"/>
      <c r="AL185" s="317"/>
    </row>
    <row r="186" spans="2:38" x14ac:dyDescent="0.25">
      <c r="B186" s="752"/>
      <c r="C186" s="752"/>
      <c r="D186" s="752"/>
      <c r="E186" s="186"/>
      <c r="F186" s="186"/>
      <c r="G186" s="186"/>
      <c r="H186" s="186"/>
      <c r="I186" s="186"/>
      <c r="J186" s="186"/>
      <c r="K186" s="186"/>
      <c r="L186" s="186"/>
      <c r="M186" s="186"/>
      <c r="N186" s="186"/>
      <c r="O186" s="186"/>
      <c r="P186" s="186"/>
      <c r="X186" s="352"/>
      <c r="Z186" s="347"/>
    </row>
    <row r="187" spans="2:38" x14ac:dyDescent="0.25">
      <c r="U187" s="352"/>
      <c r="V187" s="358"/>
      <c r="W187" s="359"/>
      <c r="X187" s="356"/>
      <c r="Z187" s="347"/>
    </row>
    <row r="188" spans="2:38" x14ac:dyDescent="0.25">
      <c r="U188" s="352"/>
      <c r="V188" s="358"/>
      <c r="W188" s="359"/>
      <c r="X188" s="356"/>
      <c r="Z188" s="347"/>
    </row>
    <row r="189" spans="2:38" x14ac:dyDescent="0.25">
      <c r="U189" s="352"/>
      <c r="V189" s="358"/>
      <c r="W189" s="359"/>
      <c r="X189" s="356"/>
      <c r="Z189" s="347"/>
    </row>
    <row r="190" spans="2:38" x14ac:dyDescent="0.25">
      <c r="U190" s="352"/>
      <c r="V190" s="358"/>
      <c r="W190" s="359"/>
      <c r="X190" s="356"/>
      <c r="Z190" s="347"/>
    </row>
    <row r="191" spans="2:38" x14ac:dyDescent="0.25">
      <c r="U191" s="352"/>
      <c r="V191" s="358"/>
      <c r="W191" s="359"/>
      <c r="X191" s="356"/>
      <c r="Z191" s="347"/>
    </row>
    <row r="192" spans="2:38" x14ac:dyDescent="0.25">
      <c r="U192" s="352"/>
      <c r="V192" s="358"/>
      <c r="W192" s="359"/>
      <c r="X192" s="356"/>
      <c r="Z192" s="347"/>
    </row>
    <row r="193" spans="1:42" x14ac:dyDescent="0.25">
      <c r="A193" s="322"/>
      <c r="U193" s="352"/>
      <c r="V193" s="358"/>
      <c r="W193" s="359"/>
      <c r="X193" s="356"/>
      <c r="Z193" s="347"/>
    </row>
    <row r="194" spans="1:42" s="327" customFormat="1" x14ac:dyDescent="0.25">
      <c r="A194" s="317"/>
      <c r="B194" s="317"/>
      <c r="C194" s="317"/>
      <c r="D194" s="317"/>
      <c r="E194" s="317"/>
      <c r="F194" s="317"/>
      <c r="G194" s="317"/>
      <c r="H194" s="317"/>
      <c r="I194" s="317"/>
      <c r="J194" s="317"/>
      <c r="K194" s="317"/>
      <c r="L194" s="317"/>
      <c r="M194" s="317"/>
      <c r="N194" s="317"/>
      <c r="O194" s="317"/>
      <c r="P194" s="317"/>
      <c r="Q194" s="317"/>
      <c r="R194" s="317"/>
      <c r="S194" s="317"/>
      <c r="T194" s="317"/>
      <c r="U194" s="352"/>
      <c r="V194" s="358"/>
      <c r="W194" s="359"/>
      <c r="X194" s="356"/>
      <c r="Z194" s="360"/>
      <c r="AM194" s="317"/>
      <c r="AN194" s="317"/>
      <c r="AO194" s="317"/>
      <c r="AP194" s="317"/>
    </row>
    <row r="195" spans="1:42" s="327" customFormat="1" x14ac:dyDescent="0.25">
      <c r="A195" s="317"/>
      <c r="B195" s="317"/>
      <c r="C195" s="317"/>
      <c r="D195" s="317"/>
      <c r="E195" s="317"/>
      <c r="F195" s="317"/>
      <c r="G195" s="391"/>
      <c r="H195" s="317"/>
      <c r="I195" s="317"/>
      <c r="J195" s="317"/>
      <c r="K195" s="317"/>
      <c r="L195" s="317"/>
      <c r="M195" s="317"/>
      <c r="N195" s="317"/>
      <c r="O195" s="317"/>
      <c r="P195" s="317"/>
      <c r="Q195" s="317"/>
      <c r="R195" s="317"/>
      <c r="S195" s="317"/>
      <c r="T195" s="317"/>
      <c r="U195" s="352"/>
      <c r="V195" s="358"/>
      <c r="W195" s="359"/>
      <c r="X195" s="356"/>
      <c r="Z195" s="360"/>
      <c r="AM195" s="317"/>
      <c r="AN195" s="317"/>
      <c r="AO195" s="317"/>
      <c r="AP195" s="317"/>
    </row>
    <row r="196" spans="1:42" s="327" customFormat="1" x14ac:dyDescent="0.25">
      <c r="A196" s="317"/>
      <c r="B196" s="317"/>
      <c r="C196" s="317"/>
      <c r="D196" s="317"/>
      <c r="E196" s="317"/>
      <c r="F196" s="317"/>
      <c r="G196" s="317"/>
      <c r="H196" s="317"/>
      <c r="I196" s="317"/>
      <c r="J196" s="317"/>
      <c r="K196" s="317"/>
      <c r="L196" s="317"/>
      <c r="M196" s="317"/>
      <c r="N196" s="317"/>
      <c r="O196" s="317"/>
      <c r="P196" s="317"/>
      <c r="Q196" s="317"/>
      <c r="R196" s="317"/>
      <c r="S196" s="317"/>
      <c r="T196" s="317"/>
      <c r="U196" s="352"/>
      <c r="V196" s="358"/>
      <c r="W196" s="359"/>
      <c r="X196" s="356"/>
      <c r="Z196" s="360"/>
      <c r="AM196" s="317"/>
      <c r="AN196" s="317"/>
      <c r="AO196" s="317"/>
      <c r="AP196" s="317"/>
    </row>
    <row r="197" spans="1:42" s="327" customFormat="1" x14ac:dyDescent="0.25">
      <c r="A197" s="317"/>
      <c r="B197" s="317"/>
      <c r="C197" s="317"/>
      <c r="D197" s="317"/>
      <c r="E197" s="317"/>
      <c r="F197" s="317"/>
      <c r="G197" s="317"/>
      <c r="H197" s="317"/>
      <c r="I197" s="317"/>
      <c r="J197" s="317"/>
      <c r="K197" s="317"/>
      <c r="L197" s="317"/>
      <c r="M197" s="317"/>
      <c r="N197" s="317"/>
      <c r="O197" s="317"/>
      <c r="P197" s="317"/>
      <c r="Q197" s="317"/>
      <c r="R197" s="317"/>
      <c r="S197" s="317"/>
      <c r="T197" s="317"/>
      <c r="U197" s="352"/>
      <c r="V197" s="358"/>
      <c r="W197" s="359"/>
      <c r="X197" s="356"/>
      <c r="AM197" s="317"/>
      <c r="AN197" s="317"/>
      <c r="AO197" s="317"/>
      <c r="AP197" s="317"/>
    </row>
    <row r="198" spans="1:42" s="327" customFormat="1" x14ac:dyDescent="0.25">
      <c r="A198" s="317"/>
      <c r="B198" s="317"/>
      <c r="C198" s="317"/>
      <c r="D198" s="317"/>
      <c r="E198" s="317"/>
      <c r="F198" s="317"/>
      <c r="G198" s="317"/>
      <c r="H198" s="317"/>
      <c r="I198" s="317"/>
      <c r="J198" s="317"/>
      <c r="K198" s="317"/>
      <c r="L198" s="317"/>
      <c r="M198" s="317"/>
      <c r="N198" s="317"/>
      <c r="O198" s="317"/>
      <c r="P198" s="317"/>
      <c r="Q198" s="317"/>
      <c r="R198" s="317"/>
      <c r="S198" s="317"/>
      <c r="T198" s="317"/>
      <c r="U198" s="352"/>
      <c r="V198" s="358"/>
      <c r="W198" s="359"/>
      <c r="X198" s="356"/>
      <c r="AM198" s="317"/>
      <c r="AN198" s="317"/>
      <c r="AO198" s="317"/>
      <c r="AP198" s="317"/>
    </row>
    <row r="199" spans="1:42" s="327" customFormat="1" x14ac:dyDescent="0.25">
      <c r="A199" s="317"/>
      <c r="B199" s="317"/>
      <c r="C199" s="317"/>
      <c r="D199" s="317"/>
      <c r="E199" s="317"/>
      <c r="F199" s="317"/>
      <c r="G199" s="317"/>
      <c r="H199" s="317"/>
      <c r="I199" s="317"/>
      <c r="J199" s="317"/>
      <c r="K199" s="317"/>
      <c r="L199" s="317"/>
      <c r="M199" s="317"/>
      <c r="N199" s="317"/>
      <c r="O199" s="317"/>
      <c r="P199" s="317"/>
      <c r="Q199" s="317"/>
      <c r="R199" s="317"/>
      <c r="S199" s="317"/>
      <c r="T199" s="317"/>
      <c r="U199" s="352"/>
      <c r="V199" s="358"/>
      <c r="W199" s="359"/>
      <c r="X199" s="356"/>
      <c r="AM199" s="317"/>
      <c r="AN199" s="317"/>
      <c r="AO199" s="317"/>
      <c r="AP199" s="317"/>
    </row>
    <row r="200" spans="1:42" s="327" customFormat="1" x14ac:dyDescent="0.25">
      <c r="A200" s="317"/>
      <c r="B200" s="317"/>
      <c r="C200" s="317"/>
      <c r="D200" s="317"/>
      <c r="E200" s="317"/>
      <c r="F200" s="317"/>
      <c r="G200" s="317"/>
      <c r="H200" s="317"/>
      <c r="I200" s="317"/>
      <c r="J200" s="317" t="s">
        <v>142</v>
      </c>
      <c r="K200" s="317"/>
      <c r="L200" s="317"/>
      <c r="M200" s="317"/>
      <c r="N200" s="317"/>
      <c r="O200" s="317"/>
      <c r="P200" s="317"/>
      <c r="Q200" s="317"/>
      <c r="R200" s="317"/>
      <c r="S200" s="317"/>
      <c r="T200" s="317"/>
      <c r="U200" s="352"/>
      <c r="V200" s="358"/>
      <c r="W200" s="359"/>
      <c r="X200" s="356"/>
      <c r="AM200" s="317"/>
      <c r="AN200" s="317"/>
      <c r="AO200" s="317"/>
      <c r="AP200" s="317"/>
    </row>
    <row r="201" spans="1:42" s="327" customFormat="1" x14ac:dyDescent="0.25">
      <c r="A201" s="317"/>
      <c r="B201" s="317"/>
      <c r="C201" s="317"/>
      <c r="D201" s="317"/>
      <c r="E201" s="317"/>
      <c r="F201" s="317"/>
      <c r="G201" s="317"/>
      <c r="H201" s="317"/>
      <c r="I201" s="317"/>
      <c r="J201" s="317"/>
      <c r="K201" s="317"/>
      <c r="L201" s="317"/>
      <c r="M201" s="317"/>
      <c r="N201" s="317"/>
      <c r="O201" s="317"/>
      <c r="P201" s="317"/>
      <c r="Q201" s="317"/>
      <c r="R201" s="317"/>
      <c r="S201" s="317"/>
      <c r="T201" s="317"/>
      <c r="U201" s="352"/>
      <c r="V201" s="358"/>
      <c r="W201" s="359"/>
      <c r="X201" s="356"/>
      <c r="AM201" s="317"/>
      <c r="AN201" s="317"/>
      <c r="AO201" s="317"/>
      <c r="AP201" s="317"/>
    </row>
    <row r="202" spans="1:42" s="327" customFormat="1" x14ac:dyDescent="0.25">
      <c r="A202" s="317"/>
      <c r="B202" s="317"/>
      <c r="C202" s="317"/>
      <c r="D202" s="317"/>
      <c r="E202" s="317"/>
      <c r="F202" s="317"/>
      <c r="G202" s="317"/>
      <c r="H202" s="317"/>
      <c r="I202" s="317"/>
      <c r="J202" s="317"/>
      <c r="K202" s="317"/>
      <c r="L202" s="317"/>
      <c r="M202" s="317"/>
      <c r="N202" s="317"/>
      <c r="O202" s="317"/>
      <c r="P202" s="317"/>
      <c r="Q202" s="317"/>
      <c r="R202" s="317"/>
      <c r="S202" s="317"/>
      <c r="T202" s="317"/>
      <c r="U202" s="352"/>
      <c r="V202" s="358"/>
      <c r="W202" s="359"/>
      <c r="X202" s="356"/>
      <c r="AM202" s="317"/>
      <c r="AN202" s="317"/>
      <c r="AO202" s="317"/>
      <c r="AP202" s="317"/>
    </row>
    <row r="203" spans="1:42" s="327" customFormat="1" x14ac:dyDescent="0.25">
      <c r="A203" s="317"/>
      <c r="B203" s="317"/>
      <c r="C203" s="317"/>
      <c r="D203" s="317"/>
      <c r="E203" s="317"/>
      <c r="F203" s="317"/>
      <c r="G203" s="317"/>
      <c r="H203" s="317"/>
      <c r="I203" s="317"/>
      <c r="J203" s="317"/>
      <c r="K203" s="317"/>
      <c r="L203" s="317"/>
      <c r="M203" s="317"/>
      <c r="N203" s="317"/>
      <c r="O203" s="317"/>
      <c r="P203" s="317"/>
      <c r="Q203" s="317"/>
      <c r="R203" s="317"/>
      <c r="S203" s="317"/>
      <c r="T203" s="317"/>
      <c r="U203" s="352"/>
      <c r="V203" s="358"/>
      <c r="X203" s="356"/>
      <c r="AM203" s="317"/>
      <c r="AN203" s="317"/>
      <c r="AO203" s="317"/>
      <c r="AP203" s="317"/>
    </row>
    <row r="204" spans="1:42" s="327" customFormat="1" x14ac:dyDescent="0.25">
      <c r="A204" s="317"/>
      <c r="B204" s="317"/>
      <c r="C204" s="317"/>
      <c r="D204" s="317"/>
      <c r="E204" s="317"/>
      <c r="F204" s="317"/>
      <c r="G204" s="317"/>
      <c r="H204" s="317"/>
      <c r="I204" s="317"/>
      <c r="J204" s="317"/>
      <c r="K204" s="317"/>
      <c r="L204" s="317"/>
      <c r="M204" s="317"/>
      <c r="N204" s="317"/>
      <c r="O204" s="317"/>
      <c r="P204" s="317"/>
      <c r="Q204" s="317"/>
      <c r="R204" s="317"/>
      <c r="S204" s="317"/>
      <c r="T204" s="317"/>
      <c r="U204" s="352"/>
      <c r="V204" s="359"/>
      <c r="X204" s="356"/>
      <c r="AM204" s="317"/>
      <c r="AN204" s="317"/>
      <c r="AO204" s="317"/>
      <c r="AP204" s="317"/>
    </row>
    <row r="205" spans="1:42" s="327" customFormat="1" x14ac:dyDescent="0.25">
      <c r="A205" s="317"/>
      <c r="B205" s="317"/>
      <c r="C205" s="317"/>
      <c r="D205" s="317"/>
      <c r="E205" s="317"/>
      <c r="F205" s="317"/>
      <c r="G205" s="317"/>
      <c r="H205" s="317"/>
      <c r="I205" s="317"/>
      <c r="J205" s="317"/>
      <c r="K205" s="317"/>
      <c r="L205" s="317"/>
      <c r="M205" s="317"/>
      <c r="N205" s="317"/>
      <c r="O205" s="317"/>
      <c r="P205" s="317"/>
      <c r="Q205" s="317"/>
      <c r="R205" s="317"/>
      <c r="S205" s="317"/>
      <c r="T205" s="317"/>
      <c r="U205" s="352"/>
      <c r="X205" s="356"/>
      <c r="AM205" s="317"/>
      <c r="AN205" s="317"/>
      <c r="AO205" s="317"/>
      <c r="AP205" s="317"/>
    </row>
    <row r="206" spans="1:42" s="327" customFormat="1" x14ac:dyDescent="0.25">
      <c r="A206" s="317"/>
      <c r="B206" s="317"/>
      <c r="C206" s="317"/>
      <c r="D206" s="317"/>
      <c r="E206" s="317"/>
      <c r="F206" s="317"/>
      <c r="G206" s="317"/>
      <c r="H206" s="317"/>
      <c r="I206" s="317"/>
      <c r="J206" s="317"/>
      <c r="K206" s="317"/>
      <c r="L206" s="317"/>
      <c r="M206" s="317"/>
      <c r="N206" s="317"/>
      <c r="O206" s="317"/>
      <c r="P206" s="317"/>
      <c r="Q206" s="317"/>
      <c r="R206" s="317"/>
      <c r="S206" s="317"/>
      <c r="T206" s="317"/>
      <c r="U206" s="352"/>
      <c r="X206" s="356"/>
      <c r="AM206" s="317"/>
      <c r="AN206" s="317"/>
      <c r="AO206" s="317"/>
      <c r="AP206" s="317"/>
    </row>
    <row r="207" spans="1:42" s="327" customFormat="1" x14ac:dyDescent="0.25">
      <c r="A207" s="317"/>
      <c r="B207" s="317"/>
      <c r="C207" s="317"/>
      <c r="D207" s="317"/>
      <c r="E207" s="317"/>
      <c r="F207" s="317"/>
      <c r="G207" s="317"/>
      <c r="H207" s="317"/>
      <c r="I207" s="317"/>
      <c r="J207" s="317"/>
      <c r="K207" s="317"/>
      <c r="L207" s="317"/>
      <c r="M207" s="317"/>
      <c r="N207" s="317"/>
      <c r="O207" s="317"/>
      <c r="P207" s="317"/>
      <c r="Q207" s="317"/>
      <c r="R207" s="317"/>
      <c r="S207" s="317"/>
      <c r="T207" s="317"/>
      <c r="U207" s="352"/>
      <c r="V207" s="361"/>
      <c r="W207" s="356"/>
      <c r="X207" s="356"/>
      <c r="AM207" s="317"/>
      <c r="AN207" s="317"/>
      <c r="AO207" s="317"/>
      <c r="AP207" s="317"/>
    </row>
    <row r="208" spans="1:42" s="327" customFormat="1" x14ac:dyDescent="0.25">
      <c r="A208" s="317"/>
      <c r="B208" s="317"/>
      <c r="C208" s="317"/>
      <c r="D208" s="317"/>
      <c r="E208" s="317"/>
      <c r="F208" s="317"/>
      <c r="G208" s="317"/>
      <c r="H208" s="317"/>
      <c r="I208" s="317"/>
      <c r="J208" s="317"/>
      <c r="K208" s="317"/>
      <c r="L208" s="317"/>
      <c r="M208" s="317"/>
      <c r="N208" s="317"/>
      <c r="O208" s="317"/>
      <c r="P208" s="317"/>
      <c r="Q208" s="317"/>
      <c r="R208" s="317"/>
      <c r="S208" s="317"/>
      <c r="T208" s="317"/>
      <c r="U208" s="352"/>
      <c r="V208" s="361"/>
      <c r="W208" s="356"/>
      <c r="X208" s="356"/>
      <c r="AM208" s="317"/>
      <c r="AN208" s="317"/>
      <c r="AO208" s="317"/>
      <c r="AP208" s="317"/>
    </row>
    <row r="209" spans="1:42" s="327" customFormat="1" x14ac:dyDescent="0.25">
      <c r="A209" s="317"/>
      <c r="B209" s="317"/>
      <c r="C209" s="317"/>
      <c r="D209" s="317"/>
      <c r="E209" s="317"/>
      <c r="F209" s="317"/>
      <c r="G209" s="317"/>
      <c r="H209" s="317"/>
      <c r="I209" s="317"/>
      <c r="J209" s="391"/>
      <c r="K209" s="391"/>
      <c r="L209" s="391"/>
      <c r="M209" s="391"/>
      <c r="N209" s="391"/>
      <c r="O209" s="391"/>
      <c r="P209" s="391"/>
      <c r="Q209" s="391"/>
      <c r="R209" s="391"/>
      <c r="S209" s="391"/>
      <c r="T209" s="391"/>
      <c r="U209" s="352"/>
      <c r="V209" s="361"/>
      <c r="W209" s="356"/>
      <c r="X209" s="356"/>
      <c r="AM209" s="317"/>
      <c r="AN209" s="317"/>
      <c r="AO209" s="317"/>
      <c r="AP209" s="317"/>
    </row>
    <row r="210" spans="1:42" s="327" customFormat="1" x14ac:dyDescent="0.25">
      <c r="A210" s="317"/>
      <c r="B210" s="317"/>
      <c r="C210" s="317"/>
      <c r="D210" s="317"/>
      <c r="E210" s="317"/>
      <c r="F210" s="317"/>
      <c r="G210" s="317"/>
      <c r="H210" s="317"/>
      <c r="I210" s="317"/>
      <c r="J210" s="391"/>
      <c r="K210" s="391"/>
      <c r="L210" s="391"/>
      <c r="M210" s="391"/>
      <c r="N210" s="391"/>
      <c r="O210" s="391"/>
      <c r="P210" s="391"/>
      <c r="Q210" s="391"/>
      <c r="R210" s="391"/>
      <c r="S210" s="391"/>
      <c r="T210" s="391"/>
      <c r="U210" s="352"/>
      <c r="V210" s="361"/>
      <c r="W210" s="356"/>
      <c r="X210" s="356"/>
      <c r="AM210" s="317"/>
      <c r="AN210" s="317"/>
      <c r="AO210" s="317"/>
      <c r="AP210" s="317"/>
    </row>
    <row r="211" spans="1:42" s="327" customFormat="1" x14ac:dyDescent="0.25">
      <c r="A211" s="317"/>
      <c r="B211" s="317"/>
      <c r="C211" s="317"/>
      <c r="D211" s="317"/>
      <c r="E211" s="317"/>
      <c r="F211" s="317"/>
      <c r="G211" s="317"/>
      <c r="H211" s="317"/>
      <c r="I211" s="317"/>
      <c r="J211" s="317"/>
      <c r="K211" s="388"/>
      <c r="L211" s="388"/>
      <c r="M211" s="388"/>
      <c r="N211" s="388"/>
      <c r="O211" s="388"/>
      <c r="P211" s="388"/>
      <c r="Q211" s="388"/>
      <c r="R211" s="388"/>
      <c r="S211" s="388"/>
      <c r="T211" s="388"/>
      <c r="U211" s="352"/>
      <c r="V211" s="361"/>
      <c r="W211" s="356"/>
      <c r="X211" s="356"/>
      <c r="AM211" s="317"/>
      <c r="AN211" s="317"/>
      <c r="AO211" s="317"/>
      <c r="AP211" s="317"/>
    </row>
    <row r="212" spans="1:42" s="327" customFormat="1" x14ac:dyDescent="0.25">
      <c r="A212" s="317"/>
      <c r="B212" s="317"/>
      <c r="C212" s="317"/>
      <c r="D212" s="317"/>
      <c r="E212" s="317"/>
      <c r="F212" s="317"/>
      <c r="G212" s="317"/>
      <c r="H212" s="317"/>
      <c r="I212" s="317"/>
      <c r="J212" s="317"/>
      <c r="K212" s="317"/>
      <c r="L212" s="317"/>
      <c r="M212" s="317"/>
      <c r="N212" s="317"/>
      <c r="O212" s="317"/>
      <c r="P212" s="317"/>
      <c r="Q212" s="317"/>
      <c r="R212" s="317"/>
      <c r="S212" s="317"/>
      <c r="T212" s="317"/>
      <c r="U212" s="352"/>
      <c r="V212" s="361"/>
      <c r="W212" s="356"/>
      <c r="X212" s="356"/>
      <c r="AM212" s="317"/>
      <c r="AN212" s="317"/>
      <c r="AO212" s="317"/>
      <c r="AP212" s="317"/>
    </row>
    <row r="213" spans="1:42" s="327" customFormat="1" x14ac:dyDescent="0.25">
      <c r="A213" s="317"/>
      <c r="B213" s="317"/>
      <c r="C213" s="317"/>
      <c r="D213" s="317"/>
      <c r="E213" s="317"/>
      <c r="F213" s="317"/>
      <c r="G213" s="317"/>
      <c r="H213" s="317"/>
      <c r="I213" s="317"/>
      <c r="J213" s="317"/>
      <c r="K213" s="317"/>
      <c r="L213" s="317"/>
      <c r="M213" s="317"/>
      <c r="N213" s="317"/>
      <c r="O213" s="317"/>
      <c r="P213" s="317"/>
      <c r="Q213" s="317"/>
      <c r="R213" s="317"/>
      <c r="S213" s="317"/>
      <c r="T213" s="317"/>
      <c r="U213" s="340"/>
      <c r="V213" s="361"/>
      <c r="W213" s="356"/>
      <c r="X213" s="356"/>
      <c r="AM213" s="317"/>
      <c r="AN213" s="317"/>
      <c r="AO213" s="317"/>
      <c r="AP213" s="317"/>
    </row>
    <row r="214" spans="1:42" s="327" customFormat="1" x14ac:dyDescent="0.25">
      <c r="A214" s="317"/>
      <c r="B214" s="317"/>
      <c r="C214" s="317"/>
      <c r="D214" s="317"/>
      <c r="E214" s="317"/>
      <c r="F214" s="317"/>
      <c r="G214" s="317"/>
      <c r="H214" s="317"/>
      <c r="I214" s="317"/>
      <c r="J214" s="317"/>
      <c r="K214" s="317"/>
      <c r="L214" s="317"/>
      <c r="M214" s="317"/>
      <c r="N214" s="317"/>
      <c r="O214" s="317"/>
      <c r="P214" s="317"/>
      <c r="Q214" s="317"/>
      <c r="R214" s="317"/>
      <c r="S214" s="317"/>
      <c r="T214" s="317"/>
      <c r="U214" s="340"/>
      <c r="V214" s="361"/>
      <c r="W214" s="356"/>
      <c r="AM214" s="317"/>
      <c r="AN214" s="317"/>
      <c r="AO214" s="317"/>
      <c r="AP214" s="317"/>
    </row>
    <row r="215" spans="1:42" s="327" customFormat="1" x14ac:dyDescent="0.25">
      <c r="A215" s="317"/>
      <c r="B215" s="317"/>
      <c r="C215" s="317"/>
      <c r="D215" s="317"/>
      <c r="E215" s="317"/>
      <c r="F215" s="317"/>
      <c r="G215" s="317"/>
      <c r="H215" s="317"/>
      <c r="I215" s="317"/>
      <c r="J215" s="317"/>
      <c r="K215" s="317"/>
      <c r="L215" s="317"/>
      <c r="M215" s="317"/>
      <c r="N215" s="317"/>
      <c r="O215" s="317"/>
      <c r="P215" s="317"/>
      <c r="Q215" s="317"/>
      <c r="R215" s="317"/>
      <c r="S215" s="317"/>
      <c r="T215" s="317"/>
      <c r="U215" s="340"/>
      <c r="V215" s="361"/>
      <c r="W215" s="356"/>
      <c r="AM215" s="317"/>
      <c r="AN215" s="317"/>
      <c r="AO215" s="317"/>
      <c r="AP215" s="317"/>
    </row>
    <row r="216" spans="1:42" s="327" customFormat="1" x14ac:dyDescent="0.25">
      <c r="A216" s="317"/>
      <c r="B216" s="317"/>
      <c r="C216" s="317"/>
      <c r="D216" s="317"/>
      <c r="E216" s="317"/>
      <c r="F216" s="317"/>
      <c r="G216" s="317"/>
      <c r="H216" s="317"/>
      <c r="I216" s="317"/>
      <c r="J216" s="317"/>
      <c r="K216" s="317"/>
      <c r="L216" s="317"/>
      <c r="M216" s="317"/>
      <c r="N216" s="317"/>
      <c r="O216" s="317"/>
      <c r="P216" s="317"/>
      <c r="Q216" s="317"/>
      <c r="R216" s="317"/>
      <c r="S216" s="317"/>
      <c r="T216" s="317"/>
      <c r="U216" s="340"/>
      <c r="V216" s="359"/>
      <c r="W216" s="362"/>
      <c r="AM216" s="317"/>
      <c r="AN216" s="317"/>
      <c r="AO216" s="317"/>
      <c r="AP216" s="317"/>
    </row>
    <row r="217" spans="1:42" s="327" customFormat="1" x14ac:dyDescent="0.25">
      <c r="A217" s="317"/>
      <c r="B217" s="317"/>
      <c r="C217" s="317"/>
      <c r="D217" s="317"/>
      <c r="E217" s="317"/>
      <c r="F217" s="317"/>
      <c r="G217" s="317"/>
      <c r="H217" s="317"/>
      <c r="I217" s="317"/>
      <c r="J217" s="317"/>
      <c r="K217" s="317"/>
      <c r="L217" s="317"/>
      <c r="M217" s="317"/>
      <c r="N217" s="317"/>
      <c r="O217" s="317"/>
      <c r="P217" s="317"/>
      <c r="Q217" s="317"/>
      <c r="R217" s="317"/>
      <c r="S217" s="317"/>
      <c r="T217" s="317"/>
      <c r="U217" s="340"/>
      <c r="V217" s="359"/>
      <c r="W217" s="362"/>
      <c r="AM217" s="317"/>
      <c r="AN217" s="317"/>
      <c r="AO217" s="317"/>
      <c r="AP217" s="317"/>
    </row>
    <row r="218" spans="1:42" s="327" customFormat="1" x14ac:dyDescent="0.25">
      <c r="A218" s="317"/>
      <c r="B218" s="317"/>
      <c r="C218" s="317"/>
      <c r="D218" s="317"/>
      <c r="E218" s="317"/>
      <c r="F218" s="317"/>
      <c r="G218" s="317"/>
      <c r="H218" s="317"/>
      <c r="I218" s="317"/>
      <c r="J218" s="317"/>
      <c r="K218" s="317"/>
      <c r="L218" s="317"/>
      <c r="M218" s="317"/>
      <c r="N218" s="317"/>
      <c r="O218" s="317"/>
      <c r="P218" s="317"/>
      <c r="Q218" s="317"/>
      <c r="R218" s="317"/>
      <c r="S218" s="317"/>
      <c r="T218" s="317"/>
      <c r="U218" s="340"/>
      <c r="V218" s="359"/>
      <c r="W218" s="362"/>
      <c r="AM218" s="317"/>
      <c r="AN218" s="317"/>
      <c r="AO218" s="317"/>
      <c r="AP218" s="317"/>
    </row>
    <row r="219" spans="1:42" s="327" customFormat="1" x14ac:dyDescent="0.25">
      <c r="A219" s="317"/>
      <c r="B219" s="317"/>
      <c r="C219" s="317"/>
      <c r="D219" s="317"/>
      <c r="E219" s="317"/>
      <c r="F219" s="317"/>
      <c r="G219" s="317"/>
      <c r="H219" s="317"/>
      <c r="I219" s="317"/>
      <c r="J219" s="317"/>
      <c r="K219" s="317"/>
      <c r="L219" s="317"/>
      <c r="M219" s="317"/>
      <c r="N219" s="317"/>
      <c r="O219" s="317"/>
      <c r="P219" s="317"/>
      <c r="Q219" s="317"/>
      <c r="R219" s="317"/>
      <c r="S219" s="317"/>
      <c r="T219" s="317"/>
      <c r="U219" s="340"/>
      <c r="V219" s="359"/>
      <c r="W219" s="362"/>
      <c r="AM219" s="317"/>
      <c r="AN219" s="317"/>
      <c r="AO219" s="317"/>
      <c r="AP219" s="317"/>
    </row>
    <row r="220" spans="1:42" s="327" customFormat="1" x14ac:dyDescent="0.25">
      <c r="A220" s="317"/>
      <c r="B220" s="317"/>
      <c r="C220" s="317"/>
      <c r="D220" s="317"/>
      <c r="E220" s="317"/>
      <c r="F220" s="317"/>
      <c r="G220" s="317"/>
      <c r="H220" s="317"/>
      <c r="I220" s="317"/>
      <c r="J220" s="317"/>
      <c r="K220" s="317"/>
      <c r="L220" s="317"/>
      <c r="M220" s="317"/>
      <c r="N220" s="317"/>
      <c r="O220" s="317"/>
      <c r="P220" s="317"/>
      <c r="Q220" s="317"/>
      <c r="R220" s="317"/>
      <c r="S220" s="317"/>
      <c r="T220" s="317"/>
      <c r="U220" s="340"/>
      <c r="V220" s="359"/>
      <c r="W220" s="362"/>
      <c r="AM220" s="317"/>
      <c r="AN220" s="317"/>
      <c r="AO220" s="317"/>
      <c r="AP220" s="317"/>
    </row>
    <row r="221" spans="1:42" s="327" customFormat="1" x14ac:dyDescent="0.25">
      <c r="A221" s="317"/>
      <c r="B221" s="317"/>
      <c r="C221" s="317"/>
      <c r="D221" s="317"/>
      <c r="E221" s="317"/>
      <c r="F221" s="317"/>
      <c r="G221" s="317"/>
      <c r="H221" s="317"/>
      <c r="I221" s="317"/>
      <c r="J221" s="317"/>
      <c r="K221" s="317"/>
      <c r="L221" s="317"/>
      <c r="M221" s="317"/>
      <c r="N221" s="317"/>
      <c r="O221" s="317"/>
      <c r="P221" s="317"/>
      <c r="Q221" s="317"/>
      <c r="R221" s="317"/>
      <c r="S221" s="317"/>
      <c r="T221" s="317"/>
      <c r="U221" s="340"/>
      <c r="V221" s="362"/>
      <c r="W221" s="362"/>
      <c r="AM221" s="317"/>
      <c r="AN221" s="317"/>
      <c r="AO221" s="317"/>
      <c r="AP221" s="317"/>
    </row>
    <row r="222" spans="1:42" s="327" customFormat="1" x14ac:dyDescent="0.25">
      <c r="A222" s="317"/>
      <c r="B222" s="317"/>
      <c r="C222" s="317"/>
      <c r="D222" s="317"/>
      <c r="E222" s="317"/>
      <c r="F222" s="317"/>
      <c r="G222" s="317"/>
      <c r="H222" s="317"/>
      <c r="I222" s="317"/>
      <c r="J222" s="317"/>
      <c r="K222" s="317"/>
      <c r="L222" s="317"/>
      <c r="M222" s="317"/>
      <c r="N222" s="317"/>
      <c r="O222" s="317"/>
      <c r="P222" s="317"/>
      <c r="Q222" s="317"/>
      <c r="R222" s="317"/>
      <c r="S222" s="317"/>
      <c r="T222" s="317"/>
      <c r="U222" s="340"/>
      <c r="V222" s="392"/>
      <c r="W222" s="392"/>
      <c r="AM222" s="317"/>
      <c r="AN222" s="317"/>
      <c r="AO222" s="317"/>
      <c r="AP222" s="317"/>
    </row>
    <row r="225" spans="1:42" s="327" customFormat="1" x14ac:dyDescent="0.25">
      <c r="A225" s="317"/>
      <c r="B225" s="317"/>
      <c r="C225" s="317"/>
      <c r="D225" s="317"/>
      <c r="E225" s="317"/>
      <c r="F225" s="317"/>
      <c r="G225" s="317"/>
      <c r="H225" s="317"/>
      <c r="I225" s="317"/>
      <c r="J225" s="317"/>
      <c r="K225" s="317"/>
      <c r="L225" s="317"/>
      <c r="M225" s="317"/>
      <c r="N225" s="317"/>
      <c r="O225" s="317"/>
      <c r="P225" s="317"/>
      <c r="Q225" s="317"/>
      <c r="R225" s="317"/>
      <c r="S225" s="317"/>
      <c r="T225" s="317"/>
      <c r="U225" s="340"/>
      <c r="V225" s="344"/>
      <c r="W225" s="344"/>
      <c r="AM225" s="317"/>
      <c r="AN225" s="317"/>
      <c r="AO225" s="317"/>
      <c r="AP225" s="317"/>
    </row>
    <row r="227" spans="1:42" s="327" customFormat="1" x14ac:dyDescent="0.25">
      <c r="A227" s="317"/>
      <c r="B227" s="317"/>
      <c r="C227" s="317"/>
      <c r="D227" s="317"/>
      <c r="E227" s="317"/>
      <c r="F227" s="317"/>
      <c r="G227" s="317"/>
      <c r="H227" s="317"/>
      <c r="I227" s="317"/>
      <c r="J227" s="317"/>
      <c r="K227" s="317"/>
      <c r="L227" s="317"/>
      <c r="M227" s="317"/>
      <c r="N227" s="317"/>
      <c r="O227" s="317"/>
      <c r="P227" s="317"/>
      <c r="Q227" s="317"/>
      <c r="R227" s="317"/>
      <c r="S227" s="317"/>
      <c r="T227" s="317"/>
      <c r="U227" s="340"/>
      <c r="V227" s="347"/>
      <c r="W227" s="347"/>
      <c r="AM227" s="317"/>
      <c r="AN227" s="317"/>
      <c r="AO227" s="317"/>
      <c r="AP227" s="317"/>
    </row>
    <row r="228" spans="1:42" s="327" customFormat="1" x14ac:dyDescent="0.25">
      <c r="A228" s="317"/>
      <c r="B228" s="317"/>
      <c r="C228" s="317"/>
      <c r="D228" s="317"/>
      <c r="E228" s="317"/>
      <c r="F228" s="317"/>
      <c r="G228" s="317"/>
      <c r="H228" s="317"/>
      <c r="I228" s="317"/>
      <c r="J228" s="317"/>
      <c r="K228" s="317"/>
      <c r="L228" s="317"/>
      <c r="M228" s="317"/>
      <c r="N228" s="317"/>
      <c r="O228" s="317"/>
      <c r="P228" s="317"/>
      <c r="Q228" s="317"/>
      <c r="R228" s="317"/>
      <c r="S228" s="317"/>
      <c r="T228" s="317"/>
      <c r="U228" s="340"/>
      <c r="V228" s="347"/>
      <c r="W228" s="347"/>
      <c r="AM228" s="317"/>
      <c r="AN228" s="317"/>
      <c r="AO228" s="317"/>
      <c r="AP228" s="317"/>
    </row>
    <row r="229" spans="1:42" s="327" customFormat="1" x14ac:dyDescent="0.25">
      <c r="A229" s="317"/>
      <c r="B229" s="317"/>
      <c r="C229" s="317"/>
      <c r="D229" s="317"/>
      <c r="E229" s="317"/>
      <c r="F229" s="317"/>
      <c r="G229" s="317"/>
      <c r="H229" s="317"/>
      <c r="I229" s="317"/>
      <c r="J229" s="317"/>
      <c r="K229" s="317"/>
      <c r="L229" s="317"/>
      <c r="M229" s="317"/>
      <c r="N229" s="317"/>
      <c r="O229" s="317"/>
      <c r="P229" s="317"/>
      <c r="Q229" s="317"/>
      <c r="R229" s="317"/>
      <c r="S229" s="317"/>
      <c r="T229" s="317"/>
      <c r="U229" s="340"/>
      <c r="V229" s="347"/>
      <c r="W229" s="347"/>
      <c r="AM229" s="317"/>
      <c r="AN229" s="317"/>
      <c r="AO229" s="317"/>
      <c r="AP229" s="317"/>
    </row>
    <row r="230" spans="1:42" s="327" customFormat="1" x14ac:dyDescent="0.25">
      <c r="A230" s="317"/>
      <c r="B230" s="317"/>
      <c r="C230" s="317"/>
      <c r="D230" s="317"/>
      <c r="E230" s="317"/>
      <c r="F230" s="317"/>
      <c r="G230" s="317"/>
      <c r="H230" s="317"/>
      <c r="I230" s="317"/>
      <c r="J230" s="317"/>
      <c r="K230" s="317"/>
      <c r="L230" s="317"/>
      <c r="M230" s="317"/>
      <c r="N230" s="317"/>
      <c r="O230" s="317"/>
      <c r="P230" s="317"/>
      <c r="Q230" s="317"/>
      <c r="R230" s="317"/>
      <c r="S230" s="317"/>
      <c r="T230" s="317"/>
      <c r="U230" s="340"/>
      <c r="V230" s="347"/>
      <c r="W230" s="347"/>
      <c r="AM230" s="317"/>
      <c r="AN230" s="317"/>
      <c r="AO230" s="317"/>
      <c r="AP230" s="317"/>
    </row>
    <row r="231" spans="1:42" s="327" customFormat="1" x14ac:dyDescent="0.25">
      <c r="A231" s="322"/>
      <c r="B231" s="317"/>
      <c r="C231" s="317"/>
      <c r="D231" s="317"/>
      <c r="E231" s="317"/>
      <c r="F231" s="317"/>
      <c r="G231" s="317"/>
      <c r="H231" s="317"/>
      <c r="I231" s="317"/>
      <c r="J231" s="317"/>
      <c r="K231" s="317"/>
      <c r="L231" s="317"/>
      <c r="M231" s="317"/>
      <c r="N231" s="317"/>
      <c r="O231" s="317"/>
      <c r="P231" s="317"/>
      <c r="Q231" s="317"/>
      <c r="R231" s="317"/>
      <c r="S231" s="317"/>
      <c r="T231" s="317"/>
      <c r="U231" s="340"/>
      <c r="V231" s="347"/>
      <c r="W231" s="347"/>
      <c r="AM231" s="317"/>
      <c r="AN231" s="317"/>
      <c r="AO231" s="317"/>
      <c r="AP231" s="317"/>
    </row>
    <row r="232" spans="1:42" s="327" customFormat="1" x14ac:dyDescent="0.25">
      <c r="A232" s="317"/>
      <c r="B232" s="317"/>
      <c r="C232" s="317"/>
      <c r="D232" s="317"/>
      <c r="E232" s="317"/>
      <c r="F232" s="317"/>
      <c r="G232" s="317"/>
      <c r="H232" s="317"/>
      <c r="I232" s="317"/>
      <c r="J232" s="317"/>
      <c r="K232" s="317"/>
      <c r="L232" s="317"/>
      <c r="M232" s="317"/>
      <c r="N232" s="317"/>
      <c r="O232" s="317"/>
      <c r="P232" s="317"/>
      <c r="Q232" s="317"/>
      <c r="R232" s="317"/>
      <c r="S232" s="317"/>
      <c r="T232" s="317"/>
      <c r="U232" s="340"/>
      <c r="V232" s="347"/>
      <c r="W232" s="347"/>
      <c r="AM232" s="317"/>
      <c r="AN232" s="317"/>
      <c r="AO232" s="317"/>
      <c r="AP232" s="317"/>
    </row>
    <row r="233" spans="1:42" s="327" customFormat="1" x14ac:dyDescent="0.25">
      <c r="A233" s="317"/>
      <c r="B233" s="317"/>
      <c r="C233" s="317"/>
      <c r="D233" s="317"/>
      <c r="E233" s="317"/>
      <c r="F233" s="317"/>
      <c r="G233" s="317"/>
      <c r="H233" s="317"/>
      <c r="I233" s="317"/>
      <c r="J233" s="317"/>
      <c r="K233" s="317"/>
      <c r="L233" s="317"/>
      <c r="M233" s="317"/>
      <c r="N233" s="317"/>
      <c r="O233" s="317"/>
      <c r="P233" s="317"/>
      <c r="Q233" s="317"/>
      <c r="R233" s="317"/>
      <c r="S233" s="317"/>
      <c r="T233" s="317"/>
      <c r="U233" s="340"/>
      <c r="V233" s="347"/>
      <c r="W233" s="347"/>
      <c r="AM233" s="317"/>
      <c r="AN233" s="317"/>
      <c r="AO233" s="317"/>
      <c r="AP233" s="317"/>
    </row>
    <row r="234" spans="1:42" s="327" customFormat="1" x14ac:dyDescent="0.25">
      <c r="A234" s="317"/>
      <c r="B234" s="317"/>
      <c r="C234" s="317"/>
      <c r="D234" s="317"/>
      <c r="E234" s="317"/>
      <c r="F234" s="317"/>
      <c r="G234" s="317"/>
      <c r="H234" s="317"/>
      <c r="I234" s="317"/>
      <c r="J234" s="317"/>
      <c r="K234" s="317"/>
      <c r="L234" s="317"/>
      <c r="M234" s="317"/>
      <c r="N234" s="317"/>
      <c r="O234" s="317"/>
      <c r="P234" s="317"/>
      <c r="Q234" s="317"/>
      <c r="R234" s="317"/>
      <c r="S234" s="317"/>
      <c r="T234" s="317"/>
      <c r="U234" s="340"/>
      <c r="V234" s="347"/>
      <c r="W234" s="347"/>
      <c r="AM234" s="317"/>
      <c r="AN234" s="317"/>
      <c r="AO234" s="317"/>
      <c r="AP234" s="317"/>
    </row>
    <row r="235" spans="1:42" s="327" customFormat="1" x14ac:dyDescent="0.25">
      <c r="A235" s="317"/>
      <c r="B235" s="317"/>
      <c r="C235" s="317"/>
      <c r="D235" s="317"/>
      <c r="E235" s="317"/>
      <c r="F235" s="317"/>
      <c r="G235" s="317"/>
      <c r="H235" s="317"/>
      <c r="I235" s="317"/>
      <c r="J235" s="317"/>
      <c r="K235" s="317"/>
      <c r="L235" s="317"/>
      <c r="M235" s="317"/>
      <c r="N235" s="317"/>
      <c r="O235" s="317"/>
      <c r="P235" s="317"/>
      <c r="Q235" s="317"/>
      <c r="R235" s="317"/>
      <c r="S235" s="317"/>
      <c r="T235" s="317"/>
      <c r="U235" s="340"/>
      <c r="V235" s="347"/>
      <c r="W235" s="347"/>
      <c r="AM235" s="317"/>
      <c r="AN235" s="317"/>
      <c r="AO235" s="317"/>
      <c r="AP235" s="317"/>
    </row>
    <row r="236" spans="1:42" s="327" customFormat="1" x14ac:dyDescent="0.25">
      <c r="A236" s="317"/>
      <c r="B236" s="317"/>
      <c r="C236" s="317"/>
      <c r="D236" s="317"/>
      <c r="E236" s="317"/>
      <c r="F236" s="317"/>
      <c r="G236" s="317"/>
      <c r="H236" s="317"/>
      <c r="I236" s="317"/>
      <c r="J236" s="317"/>
      <c r="K236" s="317"/>
      <c r="L236" s="317"/>
      <c r="M236" s="317"/>
      <c r="N236" s="317"/>
      <c r="O236" s="317"/>
      <c r="P236" s="317"/>
      <c r="Q236" s="317"/>
      <c r="R236" s="317"/>
      <c r="S236" s="317"/>
      <c r="T236" s="317"/>
      <c r="U236" s="340"/>
      <c r="V236" s="347"/>
      <c r="W236" s="347"/>
      <c r="AM236" s="317"/>
      <c r="AN236" s="317"/>
      <c r="AO236" s="317"/>
      <c r="AP236" s="317"/>
    </row>
    <row r="237" spans="1:42" s="327" customFormat="1" x14ac:dyDescent="0.25">
      <c r="A237" s="317"/>
      <c r="B237" s="317"/>
      <c r="C237" s="317"/>
      <c r="D237" s="317"/>
      <c r="E237" s="317"/>
      <c r="F237" s="317"/>
      <c r="G237" s="317"/>
      <c r="H237" s="317"/>
      <c r="I237" s="317"/>
      <c r="J237" s="317"/>
      <c r="K237" s="317"/>
      <c r="L237" s="317"/>
      <c r="M237" s="317"/>
      <c r="N237" s="317"/>
      <c r="O237" s="317"/>
      <c r="P237" s="317"/>
      <c r="Q237" s="317"/>
      <c r="R237" s="317"/>
      <c r="S237" s="317"/>
      <c r="T237" s="317"/>
      <c r="U237" s="340"/>
      <c r="V237" s="347"/>
      <c r="W237" s="347"/>
      <c r="AM237" s="317"/>
      <c r="AN237" s="317"/>
      <c r="AO237" s="317"/>
      <c r="AP237" s="317"/>
    </row>
    <row r="238" spans="1:42" s="327" customFormat="1" x14ac:dyDescent="0.25">
      <c r="A238" s="317"/>
      <c r="B238" s="317"/>
      <c r="C238" s="317"/>
      <c r="D238" s="317"/>
      <c r="E238" s="317"/>
      <c r="F238" s="317"/>
      <c r="G238" s="317"/>
      <c r="H238" s="317"/>
      <c r="I238" s="317"/>
      <c r="J238" s="317"/>
      <c r="K238" s="317"/>
      <c r="L238" s="317"/>
      <c r="M238" s="317"/>
      <c r="N238" s="317"/>
      <c r="O238" s="317"/>
      <c r="P238" s="317"/>
      <c r="Q238" s="317"/>
      <c r="R238" s="317"/>
      <c r="S238" s="317"/>
      <c r="T238" s="317"/>
      <c r="U238" s="340"/>
      <c r="V238" s="347"/>
      <c r="W238" s="347"/>
      <c r="AM238" s="317"/>
      <c r="AN238" s="317"/>
      <c r="AO238" s="317"/>
      <c r="AP238" s="317"/>
    </row>
    <row r="239" spans="1:42" s="327" customFormat="1" x14ac:dyDescent="0.25">
      <c r="A239" s="317"/>
      <c r="B239" s="317"/>
      <c r="C239" s="317"/>
      <c r="D239" s="317"/>
      <c r="E239" s="317"/>
      <c r="F239" s="317"/>
      <c r="G239" s="317"/>
      <c r="H239" s="317"/>
      <c r="I239" s="317"/>
      <c r="J239" s="317"/>
      <c r="K239" s="317"/>
      <c r="L239" s="317"/>
      <c r="M239" s="317"/>
      <c r="N239" s="317"/>
      <c r="O239" s="317"/>
      <c r="P239" s="317"/>
      <c r="Q239" s="317"/>
      <c r="R239" s="317"/>
      <c r="S239" s="317"/>
      <c r="T239" s="317"/>
      <c r="U239" s="340"/>
      <c r="V239" s="347"/>
      <c r="W239" s="347"/>
      <c r="AM239" s="317"/>
      <c r="AN239" s="317"/>
      <c r="AO239" s="317"/>
      <c r="AP239" s="317"/>
    </row>
    <row r="240" spans="1:42" s="327" customFormat="1" x14ac:dyDescent="0.25">
      <c r="A240" s="317"/>
      <c r="B240" s="317"/>
      <c r="C240" s="317"/>
      <c r="D240" s="317"/>
      <c r="E240" s="317"/>
      <c r="F240" s="317"/>
      <c r="G240" s="317"/>
      <c r="H240" s="317"/>
      <c r="I240" s="317"/>
      <c r="J240" s="317"/>
      <c r="K240" s="317"/>
      <c r="L240" s="317"/>
      <c r="M240" s="317"/>
      <c r="N240" s="317"/>
      <c r="O240" s="317"/>
      <c r="P240" s="317"/>
      <c r="Q240" s="317"/>
      <c r="R240" s="317"/>
      <c r="S240" s="317"/>
      <c r="T240" s="317"/>
      <c r="U240" s="340"/>
      <c r="V240" s="347"/>
      <c r="W240" s="347"/>
      <c r="AM240" s="317"/>
      <c r="AN240" s="317"/>
      <c r="AO240" s="317"/>
      <c r="AP240" s="317"/>
    </row>
    <row r="241" spans="1:42" s="327" customFormat="1" x14ac:dyDescent="0.25">
      <c r="A241" s="317"/>
      <c r="B241" s="317"/>
      <c r="C241" s="317"/>
      <c r="D241" s="317"/>
      <c r="E241" s="317"/>
      <c r="F241" s="317"/>
      <c r="G241" s="317"/>
      <c r="H241" s="317"/>
      <c r="I241" s="317"/>
      <c r="J241" s="317"/>
      <c r="K241" s="317"/>
      <c r="L241" s="317"/>
      <c r="M241" s="317"/>
      <c r="N241" s="317"/>
      <c r="O241" s="317"/>
      <c r="P241" s="317"/>
      <c r="Q241" s="317"/>
      <c r="R241" s="317"/>
      <c r="S241" s="317"/>
      <c r="T241" s="317"/>
      <c r="U241" s="340"/>
      <c r="V241" s="347"/>
      <c r="W241" s="347"/>
      <c r="AM241" s="317"/>
      <c r="AN241" s="317"/>
      <c r="AO241" s="317"/>
      <c r="AP241" s="317"/>
    </row>
    <row r="242" spans="1:42" s="327" customFormat="1" x14ac:dyDescent="0.25">
      <c r="A242" s="317"/>
      <c r="B242" s="317"/>
      <c r="C242" s="317"/>
      <c r="D242" s="317"/>
      <c r="E242" s="317"/>
      <c r="F242" s="317"/>
      <c r="G242" s="317"/>
      <c r="H242" s="317"/>
      <c r="I242" s="317"/>
      <c r="J242" s="317"/>
      <c r="K242" s="317"/>
      <c r="L242" s="317"/>
      <c r="M242" s="317"/>
      <c r="N242" s="317"/>
      <c r="O242" s="317"/>
      <c r="P242" s="317"/>
      <c r="Q242" s="317"/>
      <c r="R242" s="317"/>
      <c r="S242" s="317"/>
      <c r="T242" s="317"/>
      <c r="U242" s="340"/>
      <c r="V242" s="347"/>
      <c r="W242" s="347"/>
      <c r="AM242" s="317"/>
      <c r="AN242" s="317"/>
      <c r="AO242" s="317"/>
      <c r="AP242" s="317"/>
    </row>
    <row r="243" spans="1:42" s="327" customFormat="1" x14ac:dyDescent="0.25">
      <c r="A243" s="317"/>
      <c r="B243" s="317"/>
      <c r="C243" s="317"/>
      <c r="D243" s="317"/>
      <c r="E243" s="317"/>
      <c r="F243" s="317"/>
      <c r="G243" s="317"/>
      <c r="H243" s="317"/>
      <c r="I243" s="317"/>
      <c r="J243" s="317"/>
      <c r="K243" s="317"/>
      <c r="L243" s="317"/>
      <c r="M243" s="317"/>
      <c r="N243" s="317"/>
      <c r="O243" s="317"/>
      <c r="P243" s="317"/>
      <c r="Q243" s="317"/>
      <c r="R243" s="317"/>
      <c r="S243" s="317"/>
      <c r="T243" s="317"/>
      <c r="U243" s="340"/>
      <c r="V243" s="347"/>
      <c r="W243" s="347"/>
      <c r="X243" s="333"/>
      <c r="AM243" s="317"/>
      <c r="AN243" s="317"/>
      <c r="AO243" s="317"/>
      <c r="AP243" s="317"/>
    </row>
    <row r="245" spans="1:42" s="327" customFormat="1" x14ac:dyDescent="0.25">
      <c r="A245" s="317"/>
      <c r="B245" s="317"/>
      <c r="C245" s="317"/>
      <c r="D245" s="317"/>
      <c r="E245" s="317"/>
      <c r="F245" s="317"/>
      <c r="G245" s="317"/>
      <c r="H245" s="317"/>
      <c r="I245" s="317"/>
      <c r="J245" s="317"/>
      <c r="K245" s="317"/>
      <c r="L245" s="317"/>
      <c r="M245" s="317"/>
      <c r="N245" s="317"/>
      <c r="O245" s="317"/>
      <c r="P245" s="317"/>
      <c r="Q245" s="317"/>
      <c r="R245" s="317"/>
      <c r="S245" s="317"/>
      <c r="T245" s="317"/>
      <c r="U245" s="340"/>
      <c r="V245" s="333"/>
      <c r="W245" s="333"/>
      <c r="AM245" s="317"/>
      <c r="AN245" s="317"/>
      <c r="AO245" s="317"/>
      <c r="AP245" s="317"/>
    </row>
    <row r="259" spans="5:5" x14ac:dyDescent="0.25">
      <c r="E259" s="391"/>
    </row>
    <row r="260" spans="5:5" x14ac:dyDescent="0.25">
      <c r="E260" s="391"/>
    </row>
    <row r="261" spans="5:5" x14ac:dyDescent="0.25">
      <c r="E261" s="388"/>
    </row>
  </sheetData>
  <mergeCells count="89">
    <mergeCell ref="B166:AJ166"/>
    <mergeCell ref="B167:AJ167"/>
    <mergeCell ref="B169:AJ169"/>
    <mergeCell ref="B120:AJ120"/>
    <mergeCell ref="B141:AJ141"/>
    <mergeCell ref="B142:AJ142"/>
    <mergeCell ref="B143:AJ143"/>
    <mergeCell ref="B144:AJ144"/>
    <mergeCell ref="B165:AJ165"/>
    <mergeCell ref="B119:AJ119"/>
    <mergeCell ref="B95:F95"/>
    <mergeCell ref="H95:L95"/>
    <mergeCell ref="N95:R95"/>
    <mergeCell ref="B96:F96"/>
    <mergeCell ref="H96:L96"/>
    <mergeCell ref="N96:R96"/>
    <mergeCell ref="B97:F97"/>
    <mergeCell ref="H97:L97"/>
    <mergeCell ref="N97:R97"/>
    <mergeCell ref="B117:AJ117"/>
    <mergeCell ref="B118:AJ118"/>
    <mergeCell ref="B93:F93"/>
    <mergeCell ref="H93:L93"/>
    <mergeCell ref="N93:R93"/>
    <mergeCell ref="B94:F94"/>
    <mergeCell ref="H94:L94"/>
    <mergeCell ref="N94:R94"/>
    <mergeCell ref="B75:F75"/>
    <mergeCell ref="H75:L75"/>
    <mergeCell ref="N75:R75"/>
    <mergeCell ref="B76:F76"/>
    <mergeCell ref="H76:L76"/>
    <mergeCell ref="N76:R76"/>
    <mergeCell ref="B73:F73"/>
    <mergeCell ref="H73:L73"/>
    <mergeCell ref="N73:R73"/>
    <mergeCell ref="B74:F74"/>
    <mergeCell ref="H74:L74"/>
    <mergeCell ref="N74:R74"/>
    <mergeCell ref="B52:F52"/>
    <mergeCell ref="H52:L52"/>
    <mergeCell ref="N52:R52"/>
    <mergeCell ref="A69:Q69"/>
    <mergeCell ref="B72:F72"/>
    <mergeCell ref="H72:L72"/>
    <mergeCell ref="N72:R72"/>
    <mergeCell ref="B50:F50"/>
    <mergeCell ref="H50:L50"/>
    <mergeCell ref="N50:R50"/>
    <mergeCell ref="B51:F51"/>
    <mergeCell ref="H51:L51"/>
    <mergeCell ref="N51:R51"/>
    <mergeCell ref="B48:F48"/>
    <mergeCell ref="H48:L48"/>
    <mergeCell ref="N48:R48"/>
    <mergeCell ref="B49:F49"/>
    <mergeCell ref="H49:L49"/>
    <mergeCell ref="N49:R49"/>
    <mergeCell ref="B29:F29"/>
    <mergeCell ref="H29:L29"/>
    <mergeCell ref="N29:R29"/>
    <mergeCell ref="B30:F30"/>
    <mergeCell ref="H30:L30"/>
    <mergeCell ref="N30:R30"/>
    <mergeCell ref="B27:F27"/>
    <mergeCell ref="H27:L27"/>
    <mergeCell ref="N27:R27"/>
    <mergeCell ref="B28:F28"/>
    <mergeCell ref="H28:L28"/>
    <mergeCell ref="N28:R28"/>
    <mergeCell ref="B9:F9"/>
    <mergeCell ref="H9:L9"/>
    <mergeCell ref="N9:R9"/>
    <mergeCell ref="B26:F26"/>
    <mergeCell ref="H26:L26"/>
    <mergeCell ref="N26:R26"/>
    <mergeCell ref="B7:F7"/>
    <mergeCell ref="H7:L7"/>
    <mergeCell ref="N7:R7"/>
    <mergeCell ref="B8:F8"/>
    <mergeCell ref="H8:L8"/>
    <mergeCell ref="N8:R8"/>
    <mergeCell ref="A2:R2"/>
    <mergeCell ref="B5:F5"/>
    <mergeCell ref="H5:L5"/>
    <mergeCell ref="N5:R5"/>
    <mergeCell ref="B6:F6"/>
    <mergeCell ref="H6:L6"/>
    <mergeCell ref="N6:R6"/>
  </mergeCells>
  <hyperlinks>
    <hyperlink ref="S2" location="CONTENTS!B36" display="Å CONTENTS" xr:uid="{00000000-0004-0000-0C00-000000000000}"/>
    <hyperlink ref="S69" location="CONTENTS!B36" display="Å CONTENTS" xr:uid="{00000000-0004-0000-0C00-000001000000}"/>
    <hyperlink ref="B115" location="CONTENTS!B36" display="Å CONTENTS" xr:uid="{00000000-0004-0000-0C00-000002000000}"/>
    <hyperlink ref="B139" location="CONTENTS!B36" display="Å CONTENTS" xr:uid="{00000000-0004-0000-0C00-000003000000}"/>
    <hyperlink ref="B163" location="CONTENTS!B36" display="Å CONTENTS" xr:uid="{00000000-0004-0000-0C00-000004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58" orientation="landscape" r:id="rId1"/>
  <rowBreaks count="3" manualBreakCount="3">
    <brk id="67" max="18" man="1"/>
    <brk id="116" max="18" man="1"/>
    <brk id="190" max="16383" man="1"/>
  </rowBreaks>
  <colBreaks count="1" manualBreakCount="1">
    <brk id="19" max="128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a0b8503-558e-4550-823a-26f008707f9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EEA6307D80F14BAB3957142425D0C0" ma:contentTypeVersion="15" ma:contentTypeDescription="Crear nuevo documento." ma:contentTypeScope="" ma:versionID="45942c1e66256e4527dda20b8f307ba4">
  <xsd:schema xmlns:xsd="http://www.w3.org/2001/XMLSchema" xmlns:xs="http://www.w3.org/2001/XMLSchema" xmlns:p="http://schemas.microsoft.com/office/2006/metadata/properties" xmlns:ns3="ca0b8503-558e-4550-823a-26f008707f9a" xmlns:ns4="9f1d2543-a317-404b-b796-299c7d331056" targetNamespace="http://schemas.microsoft.com/office/2006/metadata/properties" ma:root="true" ma:fieldsID="4270b2620a22906422ff65fe4fd8260c" ns3:_="" ns4:_="">
    <xsd:import namespace="ca0b8503-558e-4550-823a-26f008707f9a"/>
    <xsd:import namespace="9f1d2543-a317-404b-b796-299c7d33105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0b8503-558e-4550-823a-26f008707f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1d2543-a317-404b-b796-299c7d331056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CF6BDE2-B112-48FC-BBFC-C55C88DF6608}">
  <ds:schemaRefs>
    <ds:schemaRef ds:uri="http://purl.org/dc/terms/"/>
    <ds:schemaRef ds:uri="http://purl.org/dc/elements/1.1/"/>
    <ds:schemaRef ds:uri="http://www.w3.org/XML/1998/namespace"/>
    <ds:schemaRef ds:uri="9f1d2543-a317-404b-b796-299c7d331056"/>
    <ds:schemaRef ds:uri="http://schemas.microsoft.com/office/2006/metadata/properties"/>
    <ds:schemaRef ds:uri="http://schemas.microsoft.com/office/2006/documentManagement/types"/>
    <ds:schemaRef ds:uri="http://purl.org/dc/dcmitype/"/>
    <ds:schemaRef ds:uri="ca0b8503-558e-4550-823a-26f008707f9a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002E7C5A-1EDC-40E8-8911-755F6CEA40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C316AE-7C48-4D7C-8C70-2CFFA1B8F1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0b8503-558e-4550-823a-26f008707f9a"/>
    <ds:schemaRef ds:uri="9f1d2543-a317-404b-b796-299c7d3310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CONTENTS</vt:lpstr>
      <vt:lpstr>Domestic Debt Colones</vt:lpstr>
      <vt:lpstr>Domestic Debt USD</vt:lpstr>
      <vt:lpstr>GRAPHICS DOMESTIC DEBT</vt:lpstr>
      <vt:lpstr>Maturity Profile Domestic Debt</vt:lpstr>
      <vt:lpstr>EXTERNAL DEBT USD</vt:lpstr>
      <vt:lpstr>EXTERNAL DEBT COLONES</vt:lpstr>
      <vt:lpstr>GRAPHICS EXTERNAL DEBT</vt:lpstr>
      <vt:lpstr>Maturity Profile External Debt</vt:lpstr>
      <vt:lpstr>PUBLIC DEBT COLONES</vt:lpstr>
      <vt:lpstr>PUBLIC DEBT USD</vt:lpstr>
      <vt:lpstr>GRAPHICS PUBLIC DEBT</vt:lpstr>
      <vt:lpstr>Maturity Profile Public Debt</vt:lpstr>
      <vt:lpstr>CONTENTS!Área_de_impresión</vt:lpstr>
      <vt:lpstr>'Domestic Debt Colones'!Área_de_impresión</vt:lpstr>
      <vt:lpstr>'Domestic Debt USD'!Área_de_impresión</vt:lpstr>
      <vt:lpstr>'EXTERNAL DEBT COLONES'!Área_de_impresión</vt:lpstr>
      <vt:lpstr>'EXTERNAL DEBT USD'!Área_de_impresión</vt:lpstr>
      <vt:lpstr>'GRAPHICS DOMESTIC DEBT'!Área_de_impresión</vt:lpstr>
      <vt:lpstr>'GRAPHICS EXTERNAL DEBT'!Área_de_impresión</vt:lpstr>
      <vt:lpstr>'GRAPHICS PUBLIC DEBT'!Área_de_impresión</vt:lpstr>
      <vt:lpstr>'Maturity Profile Domestic Debt'!Área_de_impresión</vt:lpstr>
      <vt:lpstr>'Maturity Profile External Debt'!Área_de_impresión</vt:lpstr>
      <vt:lpstr>'Maturity Profile Public Debt'!Área_de_impresión</vt:lpstr>
      <vt:lpstr>'PUBLIC DEBT COLONES'!Área_de_impresión</vt:lpstr>
      <vt:lpstr>'PUBLIC DEBT USD'!Área_de_impresión</vt:lpstr>
    </vt:vector>
  </TitlesOfParts>
  <Manager/>
  <Company>Tesorería Nacional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eddyvelas</dc:creator>
  <cp:keywords/>
  <dc:description/>
  <cp:lastModifiedBy>Ana Beatriz Hernandez Hernandez</cp:lastModifiedBy>
  <cp:revision/>
  <dcterms:created xsi:type="dcterms:W3CDTF">2001-05-11T18:03:00Z</dcterms:created>
  <dcterms:modified xsi:type="dcterms:W3CDTF">2023-03-27T14:22:12Z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0x01010072EEA6307D80F14BAB3957142425D0C0</vt:lpwstr>
  </property>
</Properties>
</file>