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hidePivotFieldList="1"/>
  <mc:AlternateContent xmlns:mc="http://schemas.openxmlformats.org/markup-compatibility/2006">
    <mc:Choice Requires="x15">
      <x15ac:absPath xmlns:x15ac="http://schemas.microsoft.com/office/spreadsheetml/2010/11/ac" url="https://mhaciendacr-my.sharepoint.com/personal/gamboanf_hacienda_go_cr/Documents/Escritorio/"/>
    </mc:Choice>
  </mc:AlternateContent>
  <xr:revisionPtr revIDLastSave="109" documentId="8_{82E7DD32-0303-4EC2-AF9F-0EC2B9280816}" xr6:coauthVersionLast="47" xr6:coauthVersionMax="47" xr10:uidLastSave="{D73D4DF8-5A9D-4B90-AD33-79C2973A6622}"/>
  <workbookProtection workbookAlgorithmName="SHA-512" workbookHashValue="OEiujdcUboLYm0iHX+sOPZPDWiKCqwiLH86l9byK4qkI510juW9nGtSX4xK0hKera0H3YAXjpjOc0ZF6orfjow==" workbookSaltValue="408C6reXlpmFMyLxNs/YsQ==" workbookSpinCount="100000" lockStructure="1"/>
  <bookViews>
    <workbookView xWindow="-108" yWindow="-108" windowWidth="23256" windowHeight="12576" tabRatio="652" activeTab="8" xr2:uid="{00000000-000D-0000-FFFF-FFFF00000000}"/>
  </bookViews>
  <sheets>
    <sheet name="Índice" sheetId="51" r:id="rId1"/>
    <sheet name="Anexo 1" sheetId="46" r:id="rId2"/>
    <sheet name="Anexo 2" sheetId="14" r:id="rId3"/>
    <sheet name="Anexo 3" sheetId="42" r:id="rId4"/>
    <sheet name="Anexo 4" sheetId="16" r:id="rId5"/>
    <sheet name="Anexo 5" sheetId="17" r:id="rId6"/>
    <sheet name="Anexo 5.1" sheetId="47" r:id="rId7"/>
    <sheet name="Anexo 6" sheetId="48" r:id="rId8"/>
    <sheet name="Anexo 7" sheetId="50" r:id="rId9"/>
  </sheets>
  <definedNames>
    <definedName name="_xlnm._FilterDatabase" localSheetId="1" hidden="1">'Anexo 1'!$A$6:$M$52</definedName>
    <definedName name="_xlnm._FilterDatabase" localSheetId="6" hidden="1">'Anexo 5.1'!$A$6:$AR$7</definedName>
    <definedName name="_xlnm.Print_Area" localSheetId="1">'Anexo 1'!$A$2:$M$64</definedName>
    <definedName name="_xlnm.Print_Area" localSheetId="2">'Anexo 2'!$A$2:$O$69</definedName>
    <definedName name="_xlnm.Print_Area" localSheetId="3">'Anexo 3'!$A$2:$Q$66</definedName>
    <definedName name="_xlnm.Print_Area" localSheetId="4">'Anexo 4'!$A$2:$M$61</definedName>
    <definedName name="_xlnm.Print_Area" localSheetId="5">'Anexo 5'!$A$2:$AW$69</definedName>
    <definedName name="_xlnm.Print_Area" localSheetId="6">'Anexo 5.1'!$A$1:$AW$38</definedName>
    <definedName name="_xlnm.Print_Area" localSheetId="7">'Anexo 6'!$A$1:$Q$61</definedName>
    <definedName name="_xlnm.Print_Area" localSheetId="8">'Anexo 7'!$A$1:$Q$33</definedName>
    <definedName name="_xlnm.Print_Area" localSheetId="0">Índice!$A$1:$N$28</definedName>
    <definedName name="_xlnm.Print_Titles" localSheetId="1">'Anexo 1'!$2:$6</definedName>
    <definedName name="_xlnm.Print_Titles" localSheetId="2">'Anexo 2'!$1:$7</definedName>
    <definedName name="_xlnm.Print_Titles" localSheetId="3">'Anexo 3'!$2:$7</definedName>
    <definedName name="_xlnm.Print_Titles" localSheetId="4">'Anexo 4'!$2:$7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48" l="1"/>
  <c r="D13" i="48"/>
  <c r="D14" i="48"/>
  <c r="Q39" i="48" l="1"/>
  <c r="N39" i="48"/>
  <c r="M39" i="48"/>
  <c r="L39" i="48"/>
  <c r="P50" i="42"/>
  <c r="L26" i="14"/>
  <c r="F48" i="14"/>
  <c r="F44" i="14"/>
  <c r="L14" i="16" l="1"/>
  <c r="I15" i="48" l="1"/>
  <c r="G49" i="16"/>
  <c r="F49" i="16"/>
  <c r="O50" i="42"/>
  <c r="N50" i="42"/>
  <c r="M50" i="42"/>
  <c r="L50" i="42"/>
  <c r="K50" i="42"/>
  <c r="A5" i="14"/>
  <c r="P46" i="42"/>
  <c r="O46" i="42"/>
  <c r="N46" i="42"/>
  <c r="M46" i="42"/>
  <c r="L46" i="42"/>
  <c r="K46" i="42"/>
  <c r="F43" i="42"/>
  <c r="F46" i="42"/>
  <c r="F50" i="42"/>
  <c r="L9" i="14"/>
  <c r="G41" i="14"/>
  <c r="E44" i="14"/>
  <c r="E44" i="46"/>
  <c r="E48" i="14"/>
  <c r="Z50" i="17" l="1"/>
  <c r="Z46" i="17"/>
  <c r="Z42" i="17"/>
  <c r="Z37" i="17"/>
  <c r="Z31" i="17"/>
  <c r="Z20" i="17"/>
  <c r="O50" i="17"/>
  <c r="O46" i="17"/>
  <c r="O42" i="17"/>
  <c r="O37" i="17"/>
  <c r="O31" i="17"/>
  <c r="O20" i="17"/>
  <c r="O53" i="17" s="1"/>
  <c r="Z53" i="17" l="1"/>
  <c r="N45" i="17"/>
  <c r="I18" i="48" l="1"/>
  <c r="N35" i="14" l="1"/>
  <c r="N33" i="14"/>
  <c r="N25" i="14"/>
  <c r="N23" i="14"/>
  <c r="R50" i="17" l="1"/>
  <c r="S50" i="17"/>
  <c r="T50" i="17"/>
  <c r="U50" i="17"/>
  <c r="V50" i="17"/>
  <c r="W50" i="17"/>
  <c r="X50" i="17"/>
  <c r="Y50" i="17"/>
  <c r="AA50" i="17"/>
  <c r="R46" i="17"/>
  <c r="S46" i="17"/>
  <c r="T46" i="17"/>
  <c r="U46" i="17"/>
  <c r="V46" i="17"/>
  <c r="W46" i="17"/>
  <c r="X46" i="17"/>
  <c r="Y46" i="17"/>
  <c r="AA46" i="17"/>
  <c r="R42" i="17"/>
  <c r="S42" i="17"/>
  <c r="T42" i="17"/>
  <c r="U42" i="17"/>
  <c r="V42" i="17"/>
  <c r="W42" i="17"/>
  <c r="X42" i="17"/>
  <c r="Y42" i="17"/>
  <c r="AA42" i="17"/>
  <c r="Q37" i="17"/>
  <c r="R37" i="17"/>
  <c r="S37" i="17"/>
  <c r="T37" i="17"/>
  <c r="U37" i="17"/>
  <c r="V37" i="17"/>
  <c r="W37" i="17"/>
  <c r="X37" i="17"/>
  <c r="S31" i="17"/>
  <c r="T31" i="17"/>
  <c r="U31" i="17"/>
  <c r="V31" i="17"/>
  <c r="W31" i="17"/>
  <c r="X31" i="17"/>
  <c r="Y31" i="17"/>
  <c r="AA31" i="17"/>
  <c r="R20" i="17"/>
  <c r="S20" i="17"/>
  <c r="S53" i="17" s="1"/>
  <c r="T20" i="17"/>
  <c r="T53" i="17" s="1"/>
  <c r="U20" i="17"/>
  <c r="U53" i="17" s="1"/>
  <c r="V20" i="17"/>
  <c r="V53" i="17" s="1"/>
  <c r="W20" i="17"/>
  <c r="W53" i="17" s="1"/>
  <c r="X20" i="17"/>
  <c r="X53" i="17" s="1"/>
  <c r="Y20" i="17"/>
  <c r="AA20" i="17"/>
  <c r="E48" i="46" l="1"/>
  <c r="AW34" i="17" l="1"/>
  <c r="H15" i="16"/>
  <c r="H23" i="16"/>
  <c r="H27" i="16"/>
  <c r="M18" i="48"/>
  <c r="M29" i="48"/>
  <c r="J27" i="48"/>
  <c r="H28" i="16"/>
  <c r="G42" i="42"/>
  <c r="P41" i="17" s="1"/>
  <c r="P40" i="17"/>
  <c r="G36" i="42"/>
  <c r="G35" i="42"/>
  <c r="G34" i="42"/>
  <c r="P10" i="17"/>
  <c r="G30" i="42"/>
  <c r="G29" i="42"/>
  <c r="G28" i="42"/>
  <c r="G27" i="42"/>
  <c r="P27" i="17" s="1"/>
  <c r="G26" i="42"/>
  <c r="P26" i="17" s="1"/>
  <c r="G25" i="42"/>
  <c r="G24" i="42"/>
  <c r="P24" i="17" s="1"/>
  <c r="G23" i="42"/>
  <c r="P23" i="17" s="1"/>
  <c r="G19" i="42"/>
  <c r="P19" i="17" s="1"/>
  <c r="G18" i="42"/>
  <c r="G17" i="42"/>
  <c r="G15" i="42"/>
  <c r="P15" i="17" s="1"/>
  <c r="G14" i="42"/>
  <c r="P14" i="17" s="1"/>
  <c r="G13" i="42"/>
  <c r="P13" i="17" s="1"/>
  <c r="G12" i="42"/>
  <c r="P12" i="17" s="1"/>
  <c r="G11" i="42"/>
  <c r="P11" i="17" s="1"/>
  <c r="P28" i="17" l="1"/>
  <c r="H28" i="42"/>
  <c r="P35" i="17"/>
  <c r="H35" i="42"/>
  <c r="P17" i="17"/>
  <c r="H17" i="42"/>
  <c r="P36" i="17"/>
  <c r="P29" i="17"/>
  <c r="H29" i="42"/>
  <c r="P30" i="17"/>
  <c r="H30" i="42"/>
  <c r="P25" i="17"/>
  <c r="P18" i="17"/>
  <c r="P34" i="17"/>
  <c r="G37" i="42"/>
  <c r="F31" i="42"/>
  <c r="D9" i="48" l="1"/>
  <c r="D10" i="48"/>
  <c r="D11" i="48"/>
  <c r="D15" i="48"/>
  <c r="D16" i="48"/>
  <c r="D17" i="48"/>
  <c r="D18" i="48"/>
  <c r="L18" i="48" l="1"/>
  <c r="M14" i="16" l="1"/>
  <c r="J14" i="16"/>
  <c r="G16" i="42" l="1"/>
  <c r="P16" i="17" s="1"/>
  <c r="N11" i="14" l="1"/>
  <c r="L33" i="14"/>
  <c r="L25" i="14"/>
  <c r="L12" i="14"/>
  <c r="N20" i="17" l="1"/>
  <c r="H20" i="17"/>
  <c r="I20" i="17"/>
  <c r="J20" i="17"/>
  <c r="K20" i="17"/>
  <c r="L20" i="17"/>
  <c r="M20" i="17"/>
  <c r="G20" i="17"/>
  <c r="H46" i="17"/>
  <c r="I46" i="17"/>
  <c r="J46" i="17"/>
  <c r="N46" i="17"/>
  <c r="H42" i="17"/>
  <c r="I42" i="17"/>
  <c r="J42" i="17"/>
  <c r="K42" i="17"/>
  <c r="L42" i="17"/>
  <c r="M42" i="17"/>
  <c r="N42" i="17"/>
  <c r="Y37" i="17"/>
  <c r="Y53" i="17" s="1"/>
  <c r="G37" i="17"/>
  <c r="H37" i="17"/>
  <c r="I37" i="17"/>
  <c r="J37" i="17"/>
  <c r="K37" i="17"/>
  <c r="L37" i="17"/>
  <c r="M37" i="17"/>
  <c r="N37" i="17"/>
  <c r="H31" i="17"/>
  <c r="I31" i="17"/>
  <c r="J31" i="17"/>
  <c r="K31" i="17"/>
  <c r="L31" i="17"/>
  <c r="M31" i="17"/>
  <c r="N31" i="17"/>
  <c r="Q31" i="17"/>
  <c r="R31" i="17"/>
  <c r="R53" i="17" s="1"/>
  <c r="F20" i="17"/>
  <c r="J50" i="16"/>
  <c r="K50" i="16"/>
  <c r="L50" i="16"/>
  <c r="E46" i="16"/>
  <c r="F46" i="16"/>
  <c r="G46" i="16"/>
  <c r="I46" i="16"/>
  <c r="J46" i="16"/>
  <c r="K46" i="16"/>
  <c r="L46" i="16"/>
  <c r="F42" i="16"/>
  <c r="G42" i="16"/>
  <c r="I42" i="16"/>
  <c r="J42" i="16"/>
  <c r="K42" i="16"/>
  <c r="L42" i="16"/>
  <c r="E37" i="16"/>
  <c r="F37" i="16"/>
  <c r="G37" i="16"/>
  <c r="I37" i="16"/>
  <c r="J37" i="16"/>
  <c r="K37" i="16"/>
  <c r="L37" i="16"/>
  <c r="E31" i="16"/>
  <c r="F31" i="16"/>
  <c r="G31" i="16"/>
  <c r="I31" i="16"/>
  <c r="J31" i="16"/>
  <c r="K31" i="16"/>
  <c r="E20" i="16"/>
  <c r="F20" i="16"/>
  <c r="G20" i="16"/>
  <c r="I20" i="16"/>
  <c r="L43" i="42"/>
  <c r="M43" i="42"/>
  <c r="N43" i="42"/>
  <c r="O43" i="42"/>
  <c r="P43" i="42"/>
  <c r="Q43" i="42"/>
  <c r="L37" i="42"/>
  <c r="M37" i="42"/>
  <c r="N37" i="42"/>
  <c r="O37" i="42"/>
  <c r="P37" i="42"/>
  <c r="Q37" i="42"/>
  <c r="L31" i="42"/>
  <c r="M31" i="42"/>
  <c r="N31" i="42"/>
  <c r="O31" i="42"/>
  <c r="P31" i="42"/>
  <c r="Q31" i="42"/>
  <c r="L20" i="42"/>
  <c r="M20" i="42"/>
  <c r="N20" i="42"/>
  <c r="O20" i="42"/>
  <c r="P20" i="42"/>
  <c r="Q20" i="42"/>
  <c r="K20" i="42"/>
  <c r="F37" i="42"/>
  <c r="F20" i="42"/>
  <c r="F49" i="14"/>
  <c r="G49" i="14"/>
  <c r="G45" i="14"/>
  <c r="E41" i="14"/>
  <c r="F41" i="14"/>
  <c r="E36" i="14"/>
  <c r="F36" i="14"/>
  <c r="E30" i="14"/>
  <c r="F30" i="14"/>
  <c r="E19" i="14"/>
  <c r="F19" i="14"/>
  <c r="G50" i="42" l="1"/>
  <c r="P49" i="17" s="1"/>
  <c r="E19" i="46"/>
  <c r="K20" i="16" l="1"/>
  <c r="K53" i="16" s="1"/>
  <c r="Q47" i="42"/>
  <c r="P47" i="42"/>
  <c r="O47" i="42"/>
  <c r="N47" i="42"/>
  <c r="M47" i="42"/>
  <c r="L47" i="42"/>
  <c r="AW49" i="17" l="1"/>
  <c r="AW45" i="17"/>
  <c r="AW40" i="17"/>
  <c r="AW36" i="17"/>
  <c r="AW35" i="17"/>
  <c r="AW30" i="17"/>
  <c r="AW29" i="17"/>
  <c r="AW28" i="17"/>
  <c r="AW27" i="17"/>
  <c r="AW26" i="17"/>
  <c r="AW24" i="17"/>
  <c r="AW23" i="17"/>
  <c r="AW19" i="17"/>
  <c r="AW18" i="17"/>
  <c r="AW17" i="17"/>
  <c r="AW16" i="17"/>
  <c r="AW15" i="17"/>
  <c r="AW14" i="17"/>
  <c r="AW13" i="17"/>
  <c r="AW12" i="17"/>
  <c r="AW11" i="17"/>
  <c r="AW10" i="17"/>
  <c r="F51" i="42" l="1"/>
  <c r="L51" i="42"/>
  <c r="L55" i="42" s="1"/>
  <c r="F47" i="42"/>
  <c r="P20" i="17" l="1"/>
  <c r="F55" i="42"/>
  <c r="P37" i="17"/>
  <c r="P31" i="17"/>
  <c r="Q51" i="42"/>
  <c r="P51" i="42"/>
  <c r="P55" i="42" s="1"/>
  <c r="O51" i="42"/>
  <c r="O55" i="42" s="1"/>
  <c r="N51" i="42"/>
  <c r="N55" i="42" s="1"/>
  <c r="M51" i="42"/>
  <c r="M55" i="42" s="1"/>
  <c r="I49" i="16"/>
  <c r="I50" i="16" s="1"/>
  <c r="I53" i="16" s="1"/>
  <c r="G50" i="16"/>
  <c r="G53" i="16" s="1"/>
  <c r="F50" i="16"/>
  <c r="F53" i="16" s="1"/>
  <c r="E49" i="16"/>
  <c r="E50" i="16" s="1"/>
  <c r="Q55" i="42" l="1"/>
  <c r="Q18" i="48"/>
  <c r="N18" i="48"/>
  <c r="K18" i="48" s="1"/>
  <c r="J18" i="48"/>
  <c r="C18" i="48"/>
  <c r="E19" i="17"/>
  <c r="D19" i="17"/>
  <c r="C19" i="17"/>
  <c r="B19" i="17"/>
  <c r="H19" i="16"/>
  <c r="D19" i="16"/>
  <c r="C19" i="16"/>
  <c r="B19" i="16"/>
  <c r="D19" i="42"/>
  <c r="C19" i="42"/>
  <c r="B19" i="42"/>
  <c r="D18" i="14"/>
  <c r="H18" i="14" s="1"/>
  <c r="E19" i="42" s="1"/>
  <c r="B18" i="14"/>
  <c r="I18" i="14" l="1"/>
  <c r="AL19" i="17" s="1"/>
  <c r="O18" i="48"/>
  <c r="E45" i="14" l="1"/>
  <c r="F45" i="14" l="1"/>
  <c r="AA37" i="17"/>
  <c r="AA53" i="17" s="1"/>
  <c r="F51" i="14" l="1"/>
  <c r="G46" i="42"/>
  <c r="P45" i="17" l="1"/>
  <c r="P46" i="17" s="1"/>
  <c r="H46" i="42"/>
  <c r="P42" i="17"/>
  <c r="P50" i="17"/>
  <c r="N9" i="14"/>
  <c r="G36" i="14"/>
  <c r="O18" i="14" l="1"/>
  <c r="O35" i="14"/>
  <c r="O11" i="14"/>
  <c r="M18" i="14"/>
  <c r="P18" i="48" s="1"/>
  <c r="G30" i="14"/>
  <c r="G19" i="14"/>
  <c r="M9" i="14"/>
  <c r="P53" i="17"/>
  <c r="G51" i="14" l="1"/>
  <c r="M20" i="16"/>
  <c r="J20" i="16"/>
  <c r="J53" i="16" s="1"/>
  <c r="I33" i="48" l="1"/>
  <c r="H36" i="16" l="1"/>
  <c r="H37" i="16" s="1"/>
  <c r="M37" i="16"/>
  <c r="J20" i="42"/>
  <c r="I20" i="42"/>
  <c r="I31" i="42"/>
  <c r="I47" i="42"/>
  <c r="I43" i="42"/>
  <c r="I51" i="42"/>
  <c r="G51" i="42"/>
  <c r="H24" i="42"/>
  <c r="H26" i="42"/>
  <c r="H27" i="42"/>
  <c r="H12" i="42"/>
  <c r="H13" i="42"/>
  <c r="H14" i="42"/>
  <c r="H15" i="42"/>
  <c r="H16" i="42"/>
  <c r="N29" i="14"/>
  <c r="G20" i="42" l="1"/>
  <c r="H23" i="42"/>
  <c r="G31" i="42"/>
  <c r="H42" i="42"/>
  <c r="G43" i="42"/>
  <c r="H50" i="42"/>
  <c r="E45" i="17"/>
  <c r="I35" i="48" l="1"/>
  <c r="J35" i="48"/>
  <c r="N35" i="48"/>
  <c r="O35" i="48" s="1"/>
  <c r="Q35" i="48"/>
  <c r="F37" i="17"/>
  <c r="E36" i="17"/>
  <c r="D36" i="16"/>
  <c r="I37" i="42"/>
  <c r="I55" i="42" s="1"/>
  <c r="J37" i="42"/>
  <c r="K37" i="42"/>
  <c r="D36" i="42"/>
  <c r="D35" i="14"/>
  <c r="E36" i="46"/>
  <c r="K35" i="48" l="1"/>
  <c r="H35" i="14"/>
  <c r="E36" i="42" s="1"/>
  <c r="I35" i="14"/>
  <c r="AL36" i="17" l="1"/>
  <c r="C17" i="48"/>
  <c r="B18" i="17"/>
  <c r="C18" i="17"/>
  <c r="D18" i="17"/>
  <c r="E18" i="17"/>
  <c r="B18" i="16"/>
  <c r="C18" i="16"/>
  <c r="D18" i="16"/>
  <c r="N17" i="14"/>
  <c r="B18" i="42"/>
  <c r="C18" i="42"/>
  <c r="D18" i="42"/>
  <c r="E49" i="14"/>
  <c r="E51" i="14" s="1"/>
  <c r="C17" i="14" l="1"/>
  <c r="D17" i="14"/>
  <c r="H17" i="14" l="1"/>
  <c r="E18" i="42" s="1"/>
  <c r="I17" i="14"/>
  <c r="AL18" i="17" l="1"/>
  <c r="K43" i="42"/>
  <c r="K31" i="42"/>
  <c r="E30" i="46"/>
  <c r="E51" i="46" s="1"/>
  <c r="A5" i="47" l="1"/>
  <c r="O29" i="14" l="1"/>
  <c r="M35" i="14"/>
  <c r="O17" i="14"/>
  <c r="M17" i="14"/>
  <c r="J31" i="42"/>
  <c r="Q10" i="48" l="1"/>
  <c r="Q11" i="48"/>
  <c r="Q12" i="48"/>
  <c r="Q13" i="48"/>
  <c r="Q14" i="48"/>
  <c r="Q15" i="48"/>
  <c r="Q34" i="48"/>
  <c r="N34" i="48"/>
  <c r="K34" i="48" s="1"/>
  <c r="J34" i="48"/>
  <c r="I34" i="48"/>
  <c r="O34" i="48" l="1"/>
  <c r="I29" i="48"/>
  <c r="J29" i="48"/>
  <c r="N29" i="48"/>
  <c r="K29" i="48" s="1"/>
  <c r="Q29" i="48"/>
  <c r="M46" i="16"/>
  <c r="M42" i="16"/>
  <c r="E42" i="16"/>
  <c r="E53" i="16" s="1"/>
  <c r="M50" i="16"/>
  <c r="M31" i="16"/>
  <c r="M53" i="16" l="1"/>
  <c r="M48" i="48"/>
  <c r="O29" i="48"/>
  <c r="N34" i="14" l="1"/>
  <c r="O34" i="14"/>
  <c r="N28" i="14"/>
  <c r="O28" i="14"/>
  <c r="M29" i="14"/>
  <c r="P29" i="48" s="1"/>
  <c r="C29" i="48" l="1"/>
  <c r="D29" i="48"/>
  <c r="A29" i="48"/>
  <c r="G31" i="17"/>
  <c r="F31" i="17"/>
  <c r="A30" i="17"/>
  <c r="C30" i="17"/>
  <c r="D30" i="17"/>
  <c r="E30" i="17"/>
  <c r="A30" i="16"/>
  <c r="C30" i="16"/>
  <c r="D30" i="16"/>
  <c r="A30" i="42"/>
  <c r="C30" i="42"/>
  <c r="D30" i="42"/>
  <c r="D29" i="14"/>
  <c r="A29" i="14"/>
  <c r="B29" i="14"/>
  <c r="C29" i="14"/>
  <c r="H29" i="14" l="1"/>
  <c r="E30" i="42" s="1"/>
  <c r="I29" i="14"/>
  <c r="M45" i="17"/>
  <c r="M46" i="17" s="1"/>
  <c r="M50" i="17"/>
  <c r="AL30" i="17" l="1"/>
  <c r="M53" i="17"/>
  <c r="G47" i="42" l="1"/>
  <c r="G55" i="42" s="1"/>
  <c r="O15" i="14"/>
  <c r="N15" i="14"/>
  <c r="M39" i="14" l="1"/>
  <c r="L23" i="14"/>
  <c r="M40" i="14"/>
  <c r="M25" i="14"/>
  <c r="M28" i="14" l="1"/>
  <c r="H12" i="16" l="1"/>
  <c r="E12" i="17" l="1"/>
  <c r="I28" i="48"/>
  <c r="J28" i="48"/>
  <c r="M28" i="48"/>
  <c r="P28" i="48" s="1"/>
  <c r="N28" i="48"/>
  <c r="O28" i="48" s="1"/>
  <c r="Q28" i="48"/>
  <c r="K28" i="48" l="1"/>
  <c r="C28" i="48" l="1"/>
  <c r="D28" i="48"/>
  <c r="A28" i="48"/>
  <c r="D29" i="17"/>
  <c r="E29" i="17"/>
  <c r="C29" i="17"/>
  <c r="A29" i="17"/>
  <c r="C29" i="16"/>
  <c r="D29" i="16"/>
  <c r="H29" i="16"/>
  <c r="A29" i="16"/>
  <c r="C29" i="42"/>
  <c r="D29" i="42"/>
  <c r="A29" i="42"/>
  <c r="B28" i="14" l="1"/>
  <c r="C28" i="14"/>
  <c r="D28" i="14"/>
  <c r="I28" i="14" s="1"/>
  <c r="A28" i="14"/>
  <c r="AL29" i="17" l="1"/>
  <c r="H28" i="14"/>
  <c r="E29" i="42" l="1"/>
  <c r="D34" i="48" l="1"/>
  <c r="I11" i="48"/>
  <c r="J11" i="48"/>
  <c r="M11" i="48"/>
  <c r="N11" i="48"/>
  <c r="K11" i="48" s="1"/>
  <c r="E35" i="17"/>
  <c r="D12" i="17"/>
  <c r="H13" i="16"/>
  <c r="O11" i="48" l="1"/>
  <c r="D12" i="16"/>
  <c r="D12" i="42"/>
  <c r="M11" i="14"/>
  <c r="D11" i="14"/>
  <c r="I11" i="14" s="1"/>
  <c r="AL12" i="17" l="1"/>
  <c r="H11" i="14"/>
  <c r="D35" i="16"/>
  <c r="E12" i="42" l="1"/>
  <c r="D35" i="42"/>
  <c r="A35" i="42"/>
  <c r="M34" i="14"/>
  <c r="D34" i="14"/>
  <c r="I34" i="14" s="1"/>
  <c r="A34" i="14"/>
  <c r="AL35" i="17" l="1"/>
  <c r="H34" i="14"/>
  <c r="E35" i="42" l="1"/>
  <c r="J15" i="48" l="1"/>
  <c r="L15" i="48"/>
  <c r="M15" i="48"/>
  <c r="N15" i="48"/>
  <c r="K15" i="48" s="1"/>
  <c r="I16" i="48"/>
  <c r="J16" i="48"/>
  <c r="N16" i="48"/>
  <c r="K16" i="48" s="1"/>
  <c r="I9" i="48"/>
  <c r="J9" i="48"/>
  <c r="L9" i="48"/>
  <c r="M9" i="48"/>
  <c r="N9" i="48"/>
  <c r="O9" i="48" s="1"/>
  <c r="Q9" i="48"/>
  <c r="O16" i="48" l="1"/>
  <c r="O15" i="48"/>
  <c r="K9" i="48"/>
  <c r="Q50" i="17"/>
  <c r="Q46" i="17"/>
  <c r="Q42" i="17"/>
  <c r="G50" i="17"/>
  <c r="H50" i="17"/>
  <c r="H53" i="17" s="1"/>
  <c r="I50" i="17"/>
  <c r="I53" i="17" s="1"/>
  <c r="J50" i="17"/>
  <c r="J53" i="17" s="1"/>
  <c r="K50" i="17"/>
  <c r="L50" i="17"/>
  <c r="G42" i="17"/>
  <c r="K51" i="42"/>
  <c r="K47" i="42" l="1"/>
  <c r="J43" i="42"/>
  <c r="D9" i="14"/>
  <c r="I9" i="14" s="1"/>
  <c r="D10" i="14"/>
  <c r="I10" i="14" s="1"/>
  <c r="D12" i="14"/>
  <c r="D13" i="14"/>
  <c r="D14" i="14"/>
  <c r="H14" i="14" s="1"/>
  <c r="E15" i="42" s="1"/>
  <c r="D15" i="14"/>
  <c r="D16" i="14"/>
  <c r="D22" i="14"/>
  <c r="H22" i="14" s="1"/>
  <c r="D23" i="14"/>
  <c r="D24" i="14"/>
  <c r="D25" i="14"/>
  <c r="D26" i="14"/>
  <c r="D27" i="14"/>
  <c r="D33" i="14"/>
  <c r="D36" i="14" s="1"/>
  <c r="E41" i="46"/>
  <c r="D40" i="14"/>
  <c r="I40" i="14" s="1"/>
  <c r="AL41" i="17" s="1"/>
  <c r="E49" i="46"/>
  <c r="N50" i="17"/>
  <c r="N53" i="17" s="1"/>
  <c r="N16" i="14"/>
  <c r="O16" i="14"/>
  <c r="D22" i="48"/>
  <c r="D23" i="48"/>
  <c r="D24" i="48"/>
  <c r="D25" i="48"/>
  <c r="D26" i="48"/>
  <c r="D27" i="48"/>
  <c r="D33" i="48"/>
  <c r="D36" i="48" s="1"/>
  <c r="D40" i="48"/>
  <c r="Q11" i="17"/>
  <c r="Q20" i="17" s="1"/>
  <c r="L45" i="17"/>
  <c r="L46" i="17" s="1"/>
  <c r="L53" i="17" s="1"/>
  <c r="K45" i="17"/>
  <c r="K46" i="17" s="1"/>
  <c r="K53" i="17" s="1"/>
  <c r="G46" i="17"/>
  <c r="G53" i="17" s="1"/>
  <c r="F42" i="17"/>
  <c r="F46" i="17"/>
  <c r="F50" i="17"/>
  <c r="E10" i="17"/>
  <c r="E11" i="17"/>
  <c r="E13" i="17"/>
  <c r="E14" i="17"/>
  <c r="E15" i="17"/>
  <c r="E16" i="17"/>
  <c r="E17" i="17"/>
  <c r="E23" i="17"/>
  <c r="E24" i="17"/>
  <c r="E25" i="17"/>
  <c r="E26" i="17"/>
  <c r="E27" i="17"/>
  <c r="E28" i="17"/>
  <c r="E34" i="17"/>
  <c r="E37" i="17" s="1"/>
  <c r="E41" i="17"/>
  <c r="E49" i="17"/>
  <c r="E50" i="17" s="1"/>
  <c r="D10" i="17"/>
  <c r="D11" i="17"/>
  <c r="D13" i="17"/>
  <c r="D14" i="17"/>
  <c r="D15" i="17"/>
  <c r="D16" i="17"/>
  <c r="D17" i="17"/>
  <c r="D23" i="17"/>
  <c r="D24" i="17"/>
  <c r="D25" i="17"/>
  <c r="D26" i="17"/>
  <c r="D27" i="17"/>
  <c r="D28" i="17"/>
  <c r="D34" i="17"/>
  <c r="D37" i="17" s="1"/>
  <c r="D41" i="17"/>
  <c r="J51" i="42"/>
  <c r="Q26" i="48"/>
  <c r="Q27" i="48"/>
  <c r="Q22" i="48"/>
  <c r="N26" i="48"/>
  <c r="O26" i="48" s="1"/>
  <c r="N27" i="48"/>
  <c r="K27" i="48" s="1"/>
  <c r="L25" i="48"/>
  <c r="I22" i="48"/>
  <c r="J26" i="48"/>
  <c r="J22" i="48"/>
  <c r="L27" i="48"/>
  <c r="L26" i="48"/>
  <c r="M27" i="48"/>
  <c r="M26" i="48"/>
  <c r="M25" i="48"/>
  <c r="P25" i="48" s="1"/>
  <c r="M23" i="48"/>
  <c r="N14" i="48"/>
  <c r="O14" i="48" s="1"/>
  <c r="M14" i="48"/>
  <c r="N13" i="48"/>
  <c r="O13" i="48" s="1"/>
  <c r="M13" i="48"/>
  <c r="N12" i="48"/>
  <c r="O12" i="48" s="1"/>
  <c r="M12" i="48"/>
  <c r="N10" i="48"/>
  <c r="O10" i="48" s="1"/>
  <c r="L14" i="48"/>
  <c r="J14" i="48"/>
  <c r="I14" i="48"/>
  <c r="D16" i="16"/>
  <c r="N22" i="14"/>
  <c r="N10" i="14"/>
  <c r="O22" i="14"/>
  <c r="O9" i="14"/>
  <c r="O10" i="14"/>
  <c r="O12" i="14"/>
  <c r="O13" i="14"/>
  <c r="O14" i="14"/>
  <c r="N26" i="14"/>
  <c r="N27" i="14"/>
  <c r="N14" i="14"/>
  <c r="N13" i="14"/>
  <c r="N12" i="14"/>
  <c r="L22" i="14"/>
  <c r="M48" i="14"/>
  <c r="P48" i="48" s="1"/>
  <c r="O48" i="14"/>
  <c r="N48" i="14"/>
  <c r="O27" i="14"/>
  <c r="N48" i="48"/>
  <c r="O48" i="48" s="1"/>
  <c r="AS25" i="17"/>
  <c r="I48" i="48"/>
  <c r="C48" i="48"/>
  <c r="A48" i="48"/>
  <c r="C48" i="14"/>
  <c r="C50" i="42" s="1"/>
  <c r="C49" i="16" s="1"/>
  <c r="C49" i="17" s="1"/>
  <c r="A48" i="14"/>
  <c r="A50" i="42" s="1"/>
  <c r="A49" i="16" s="1"/>
  <c r="A49" i="17" s="1"/>
  <c r="L23" i="16"/>
  <c r="L31" i="16" s="1"/>
  <c r="D23" i="16"/>
  <c r="D24" i="16"/>
  <c r="D25" i="16"/>
  <c r="D26" i="16"/>
  <c r="D27" i="16"/>
  <c r="D28" i="16"/>
  <c r="M27" i="14"/>
  <c r="O40" i="14"/>
  <c r="N40" i="14"/>
  <c r="H45" i="16"/>
  <c r="H46" i="16" s="1"/>
  <c r="Q33" i="48"/>
  <c r="N33" i="48"/>
  <c r="K33" i="48" s="1"/>
  <c r="N22" i="48"/>
  <c r="K22" i="48" s="1"/>
  <c r="M22" i="48"/>
  <c r="M22" i="14"/>
  <c r="L22" i="48"/>
  <c r="L10" i="48"/>
  <c r="L12" i="48"/>
  <c r="L13" i="48"/>
  <c r="J10" i="48"/>
  <c r="J12" i="48"/>
  <c r="J13" i="48"/>
  <c r="I27" i="48"/>
  <c r="M16" i="14"/>
  <c r="M15" i="14"/>
  <c r="P15" i="48" s="1"/>
  <c r="C27" i="48"/>
  <c r="A27" i="48"/>
  <c r="C28" i="17"/>
  <c r="A28" i="17"/>
  <c r="C28" i="16"/>
  <c r="A28" i="16"/>
  <c r="D28" i="42"/>
  <c r="C28" i="42"/>
  <c r="A28" i="42"/>
  <c r="C27" i="14"/>
  <c r="A27" i="14"/>
  <c r="C16" i="48"/>
  <c r="C15" i="48"/>
  <c r="C17" i="17"/>
  <c r="C16" i="17"/>
  <c r="B17" i="17"/>
  <c r="H16" i="16"/>
  <c r="H17" i="16"/>
  <c r="D17" i="16"/>
  <c r="B17" i="16"/>
  <c r="C17" i="16"/>
  <c r="C16" i="16"/>
  <c r="D16" i="42"/>
  <c r="D17" i="42"/>
  <c r="C17" i="42"/>
  <c r="C16" i="42"/>
  <c r="C16" i="14"/>
  <c r="C15" i="14"/>
  <c r="B16" i="14"/>
  <c r="A5" i="48"/>
  <c r="A5" i="17"/>
  <c r="A5" i="16"/>
  <c r="A5" i="42"/>
  <c r="O26" i="14"/>
  <c r="M26" i="14"/>
  <c r="I26" i="48"/>
  <c r="D27" i="42"/>
  <c r="N44" i="48"/>
  <c r="O44" i="48" s="1"/>
  <c r="M44" i="48"/>
  <c r="I10" i="48"/>
  <c r="I12" i="48"/>
  <c r="I13" i="48"/>
  <c r="N25" i="48"/>
  <c r="K25" i="48" s="1"/>
  <c r="Q25" i="48"/>
  <c r="J25" i="48"/>
  <c r="I25" i="48"/>
  <c r="H10" i="16"/>
  <c r="H11" i="16"/>
  <c r="H14" i="16"/>
  <c r="M33" i="14"/>
  <c r="M23" i="14"/>
  <c r="M14" i="14"/>
  <c r="I23" i="48"/>
  <c r="O44" i="14"/>
  <c r="N44" i="14"/>
  <c r="O25" i="14"/>
  <c r="I44" i="48"/>
  <c r="J44" i="48"/>
  <c r="L44" i="48"/>
  <c r="Q44" i="48"/>
  <c r="D41" i="16"/>
  <c r="D34" i="16"/>
  <c r="D37" i="16" s="1"/>
  <c r="D15" i="16"/>
  <c r="D14" i="16"/>
  <c r="D13" i="16"/>
  <c r="D11" i="16"/>
  <c r="D10" i="16"/>
  <c r="D42" i="42"/>
  <c r="D34" i="42"/>
  <c r="D37" i="42" s="1"/>
  <c r="D26" i="42"/>
  <c r="D25" i="42"/>
  <c r="D24" i="42"/>
  <c r="D23" i="42"/>
  <c r="D15" i="42"/>
  <c r="D14" i="42"/>
  <c r="D13" i="42"/>
  <c r="D11" i="42"/>
  <c r="D10" i="42"/>
  <c r="L10" i="14"/>
  <c r="M10" i="14"/>
  <c r="H40" i="16"/>
  <c r="H42" i="16" s="1"/>
  <c r="Q23" i="48"/>
  <c r="K39" i="48"/>
  <c r="J39" i="48"/>
  <c r="I39" i="48"/>
  <c r="M33" i="48"/>
  <c r="L33" i="48"/>
  <c r="J33" i="48"/>
  <c r="N23" i="48"/>
  <c r="K23" i="48" s="1"/>
  <c r="L23" i="48"/>
  <c r="J23" i="48"/>
  <c r="O39" i="14"/>
  <c r="O33" i="14"/>
  <c r="O23" i="14"/>
  <c r="N39" i="14"/>
  <c r="M44" i="14"/>
  <c r="P9" i="48"/>
  <c r="M12" i="14"/>
  <c r="M13" i="14"/>
  <c r="L48" i="48"/>
  <c r="J48" i="48"/>
  <c r="Q48" i="48"/>
  <c r="H20" i="16" l="1"/>
  <c r="H31" i="16"/>
  <c r="D20" i="16"/>
  <c r="AL11" i="17"/>
  <c r="H9" i="14"/>
  <c r="D19" i="14"/>
  <c r="D19" i="48"/>
  <c r="F53" i="17"/>
  <c r="D20" i="17"/>
  <c r="E20" i="17"/>
  <c r="K55" i="42"/>
  <c r="D20" i="42"/>
  <c r="Q53" i="17"/>
  <c r="D31" i="17"/>
  <c r="E31" i="17"/>
  <c r="D30" i="14"/>
  <c r="O25" i="48"/>
  <c r="D31" i="42"/>
  <c r="D31" i="16"/>
  <c r="D30" i="48"/>
  <c r="H27" i="14"/>
  <c r="E28" i="42" s="1"/>
  <c r="I27" i="14"/>
  <c r="H16" i="14"/>
  <c r="E17" i="42" s="1"/>
  <c r="I16" i="14"/>
  <c r="H26" i="14"/>
  <c r="E27" i="42" s="1"/>
  <c r="I26" i="14"/>
  <c r="H15" i="14"/>
  <c r="E16" i="42" s="1"/>
  <c r="I15" i="14"/>
  <c r="H25" i="14"/>
  <c r="E26" i="42" s="1"/>
  <c r="I25" i="14"/>
  <c r="I14" i="14"/>
  <c r="H24" i="14"/>
  <c r="E25" i="42" s="1"/>
  <c r="I24" i="14"/>
  <c r="H13" i="14"/>
  <c r="E14" i="42" s="1"/>
  <c r="I13" i="14"/>
  <c r="H23" i="14"/>
  <c r="E24" i="42" s="1"/>
  <c r="I23" i="14"/>
  <c r="H12" i="14"/>
  <c r="E13" i="42" s="1"/>
  <c r="I12" i="14"/>
  <c r="H40" i="14"/>
  <c r="E42" i="42" s="1"/>
  <c r="I22" i="14"/>
  <c r="E45" i="46"/>
  <c r="D39" i="14"/>
  <c r="D48" i="14"/>
  <c r="D49" i="14" s="1"/>
  <c r="D44" i="14"/>
  <c r="I44" i="14" s="1"/>
  <c r="O33" i="48"/>
  <c r="K48" i="48"/>
  <c r="P23" i="48"/>
  <c r="O27" i="48"/>
  <c r="K13" i="48"/>
  <c r="K10" i="48"/>
  <c r="K14" i="48"/>
  <c r="O23" i="48"/>
  <c r="D50" i="42"/>
  <c r="D49" i="16" s="1"/>
  <c r="L20" i="16"/>
  <c r="L53" i="16" s="1"/>
  <c r="P39" i="48"/>
  <c r="D45" i="16"/>
  <c r="H49" i="16"/>
  <c r="H50" i="16" s="1"/>
  <c r="J47" i="42"/>
  <c r="J55" i="42" s="1"/>
  <c r="E46" i="17"/>
  <c r="E40" i="17"/>
  <c r="E42" i="17" s="1"/>
  <c r="P44" i="48"/>
  <c r="K44" i="48"/>
  <c r="O39" i="48"/>
  <c r="P33" i="48"/>
  <c r="P26" i="48"/>
  <c r="P27" i="48"/>
  <c r="K12" i="48"/>
  <c r="P13" i="48"/>
  <c r="D45" i="17"/>
  <c r="H10" i="14"/>
  <c r="E11" i="42" s="1"/>
  <c r="I33" i="14"/>
  <c r="D40" i="17"/>
  <c r="D42" i="17" s="1"/>
  <c r="D44" i="48"/>
  <c r="D46" i="42"/>
  <c r="D39" i="48"/>
  <c r="D41" i="42"/>
  <c r="D43" i="42" s="1"/>
  <c r="D40" i="16"/>
  <c r="D42" i="16" s="1"/>
  <c r="P22" i="48"/>
  <c r="P14" i="48"/>
  <c r="D48" i="48"/>
  <c r="D49" i="48" s="1"/>
  <c r="P12" i="48"/>
  <c r="H33" i="14"/>
  <c r="H36" i="14" s="1"/>
  <c r="K26" i="48"/>
  <c r="O22" i="48"/>
  <c r="H53" i="16" l="1"/>
  <c r="D41" i="14"/>
  <c r="I39" i="14"/>
  <c r="H30" i="14"/>
  <c r="E20" i="42"/>
  <c r="AL23" i="17"/>
  <c r="AL24" i="17"/>
  <c r="AL26" i="17"/>
  <c r="AL28" i="17"/>
  <c r="AL14" i="17"/>
  <c r="AL16" i="17"/>
  <c r="AL10" i="17"/>
  <c r="AL27" i="17"/>
  <c r="AL34" i="17"/>
  <c r="H19" i="14"/>
  <c r="AL13" i="17"/>
  <c r="AL15" i="17"/>
  <c r="AL17" i="17"/>
  <c r="AL25" i="17"/>
  <c r="E53" i="17"/>
  <c r="D41" i="48"/>
  <c r="H44" i="14"/>
  <c r="H45" i="14" s="1"/>
  <c r="D50" i="16"/>
  <c r="E23" i="42"/>
  <c r="H48" i="14"/>
  <c r="H49" i="14" s="1"/>
  <c r="I48" i="14"/>
  <c r="D46" i="16"/>
  <c r="D45" i="14"/>
  <c r="H39" i="14"/>
  <c r="H41" i="14" s="1"/>
  <c r="D51" i="42"/>
  <c r="D49" i="17"/>
  <c r="D50" i="17" s="1"/>
  <c r="E34" i="42"/>
  <c r="D45" i="48"/>
  <c r="D47" i="42"/>
  <c r="D46" i="17"/>
  <c r="D51" i="14" l="1"/>
  <c r="E37" i="42"/>
  <c r="E31" i="42"/>
  <c r="AL40" i="17"/>
  <c r="D52" i="48"/>
  <c r="AL45" i="17"/>
  <c r="H51" i="14"/>
  <c r="AL49" i="17"/>
  <c r="D53" i="16"/>
  <c r="D55" i="42"/>
  <c r="E46" i="42"/>
  <c r="E50" i="42"/>
  <c r="E41" i="42"/>
  <c r="D53" i="17"/>
  <c r="E47" i="42" l="1"/>
  <c r="E43" i="42"/>
  <c r="E51" i="42"/>
  <c r="E55" i="42" l="1"/>
  <c r="E58" i="42" s="1"/>
</calcChain>
</file>

<file path=xl/sharedStrings.xml><?xml version="1.0" encoding="utf-8"?>
<sst xmlns="http://schemas.openxmlformats.org/spreadsheetml/2006/main" count="1978" uniqueCount="330">
  <si>
    <t>Anexos al Informe de Seguimiento de los Créditos Externos en Periodo de Ejecución 
del Gobierno Central y Resto del Sector Público
I Semestre 2023</t>
  </si>
  <si>
    <t>Anexo 1</t>
  </si>
  <si>
    <t>FECHAS IMPORTANTES ASOCIADAS A LOS CONTRATOS DE PRÉSTAMO DE INVERSIÓN EN EJECUCIÓN</t>
  </si>
  <si>
    <t>Anexo 2</t>
  </si>
  <si>
    <t>ESTADO FINANCIERO, FÍSICO Y DE PLAZOS ASOCIADOS A LOS CRÉDITOS DE INVERSIÓN EN EJECUCIÓN</t>
  </si>
  <si>
    <t>Anexo 3</t>
  </si>
  <si>
    <t>PROGRAMACIÓN DE DESEMBOLSOS DE LOS CRÉDITOS EXTERNOS DE INVERSIÓN EN EJECUCIÓN</t>
  </si>
  <si>
    <t>Anexo 4</t>
  </si>
  <si>
    <t>ESTADO FINANCIERO DE LA CONTRAPARTIDA NACIONAL/INSTITUCIONAL Y DONACIÓN ASOCIADOS A LOS CRÉDITOS DE INVERSIÓN EN EJECUCIÓN</t>
  </si>
  <si>
    <t>Anexo 5</t>
  </si>
  <si>
    <t>DESEMBOLSOS, AVANCE FINANCIERO Y AVANCE FISICO 2013 AL I SEMESTRE 2023 DE LOS CRÉDITOS DE INVERSIÓN EN EJECUCIÓN</t>
  </si>
  <si>
    <t>Anexo 5.1</t>
  </si>
  <si>
    <t>CUADRO COMPARATIVO 2013 AL I SEMESTRE 2023</t>
  </si>
  <si>
    <t>Anexo 6</t>
  </si>
  <si>
    <t>GESTIÓN DEL VALOR PLANIFICADO DE LOS CRÉDITOS DE INVERSIÓN EN EJECUCIÓN</t>
  </si>
  <si>
    <t>Anexo 7</t>
  </si>
  <si>
    <t>AJUSTES EN EL MONTO TOTAL DEL PLAN DE INVERSIÓN DE LOS PROGRAMAS/PROYECTOS EN EJECUCIÓN</t>
  </si>
  <si>
    <t>ANEXO N° 1:</t>
  </si>
  <si>
    <t>(cifras expresadas en valores absolutos en US$)</t>
  </si>
  <si>
    <t>Referencia del Acreedor</t>
  </si>
  <si>
    <t>Nombre del Programa / Proyecto</t>
  </si>
  <si>
    <t xml:space="preserve">Unidad Ejecutora </t>
  </si>
  <si>
    <t xml:space="preserve">Deudor / Garante </t>
  </si>
  <si>
    <t xml:space="preserve">Monto del préstamo (en US$) </t>
  </si>
  <si>
    <t>Fecha suscripción del Contrato</t>
  </si>
  <si>
    <t>Fecha de aprobación de Ley</t>
  </si>
  <si>
    <t>Número de Ley</t>
  </si>
  <si>
    <t>Fecha incorporación de recursos al Presupuesto Nacional y/o Institucional</t>
  </si>
  <si>
    <t>Fecha de vencimiento del período de desembolso original</t>
  </si>
  <si>
    <t>Fecha de vencimiento del período de desembolso con prórrogas</t>
  </si>
  <si>
    <t>Cantidad de prórrogas otorgadas al período de desembolso</t>
  </si>
  <si>
    <t>Fecha de vencimiento del período de vigencia del crédito</t>
  </si>
  <si>
    <t>BCIE</t>
  </si>
  <si>
    <r>
      <t xml:space="preserve">Programa Abastecimiento del Área Metropolitana de San José, Acueductos Urbanos y Alcantarillado Sanitario de Puerto Viejo de Limón </t>
    </r>
    <r>
      <rPr>
        <b/>
        <vertAlign val="superscript"/>
        <sz val="10"/>
        <color theme="1"/>
        <rFont val="Arial Narrow"/>
        <family val="2"/>
      </rPr>
      <t>1/</t>
    </r>
  </si>
  <si>
    <t>AyA</t>
  </si>
  <si>
    <t>AYA</t>
  </si>
  <si>
    <t>N/A</t>
  </si>
  <si>
    <r>
      <t xml:space="preserve">Programa Obras Estratégicas de Infraestructura Vial </t>
    </r>
    <r>
      <rPr>
        <vertAlign val="superscript"/>
        <sz val="10"/>
        <color theme="1"/>
        <rFont val="Arial Narrow"/>
        <family val="2"/>
      </rPr>
      <t>2/</t>
    </r>
  </si>
  <si>
    <t>CONAVI</t>
  </si>
  <si>
    <t>AM 2080</t>
  </si>
  <si>
    <t>Ampliación Programa de Obras Estratégicas de Infraestructura Vial</t>
  </si>
  <si>
    <t xml:space="preserve">CONAVI </t>
  </si>
  <si>
    <t xml:space="preserve">Programa de Renovación de la Infraestructura y Equipamiento Hospitalario </t>
  </si>
  <si>
    <t>CCSS</t>
  </si>
  <si>
    <t>Proyecto de Reducción de Agua No Contabilizada y Optimización de la Eficiencia Energética en el GAM</t>
  </si>
  <si>
    <t>Programa de Abastecimiento del Área Metropolitana de San José, Acueductos Urbanos II y Alcantarillado Sanitario de Juanito Mora de Puntarenas</t>
  </si>
  <si>
    <t>2188-A</t>
  </si>
  <si>
    <t>Programa de Acueductos y Alcantarillados en Ciudades Costeras y construcción del Laboratorio Nacional de Aguas (PAACC)</t>
  </si>
  <si>
    <t xml:space="preserve">AYA </t>
  </si>
  <si>
    <t>Programa de Alcantarillado y Control de Inundaciones para Limón</t>
  </si>
  <si>
    <t>AyA/SENARA</t>
  </si>
  <si>
    <t>GOBNO</t>
  </si>
  <si>
    <t>Adquisición y Aplicación de Vacunas COVID-19</t>
  </si>
  <si>
    <t>CNE</t>
  </si>
  <si>
    <t>Proyecto de Abastecimiento de Agua para la Cuenca Media del río Tempisque y Comunidades Costeras (PAACUME)</t>
  </si>
  <si>
    <t xml:space="preserve">SENARA </t>
  </si>
  <si>
    <t>60 meses a partir del primer desembolso</t>
  </si>
  <si>
    <t xml:space="preserve">20 años a partir del primer desembolso </t>
  </si>
  <si>
    <t>BID</t>
  </si>
  <si>
    <t>2493/OC-CR</t>
  </si>
  <si>
    <r>
      <t>Programa de Agua Potable y Saneamiento</t>
    </r>
    <r>
      <rPr>
        <vertAlign val="superscript"/>
        <sz val="10"/>
        <color theme="1"/>
        <rFont val="Arial Narrow"/>
        <family val="2"/>
      </rPr>
      <t xml:space="preserve"> </t>
    </r>
  </si>
  <si>
    <t>AYA / GOBNO</t>
  </si>
  <si>
    <t>3071/OC-CR</t>
  </si>
  <si>
    <t>Programa de Infraestructura de Transporte</t>
  </si>
  <si>
    <t>MOPT</t>
  </si>
  <si>
    <t xml:space="preserve">3072/CH-CR </t>
  </si>
  <si>
    <t>3488/OC-CR</t>
  </si>
  <si>
    <t>Programa de Integración Fronteriza de Costa Rica</t>
  </si>
  <si>
    <t xml:space="preserve">COMEX </t>
  </si>
  <si>
    <t>4507/OC-CR</t>
  </si>
  <si>
    <t>Programa Red Vial Cantonal II</t>
  </si>
  <si>
    <t>3589/OC-CR</t>
  </si>
  <si>
    <t xml:space="preserve">Primer Programa de Energía Renovable, Transmisión y Distribución de Electricidad </t>
  </si>
  <si>
    <t>ICE</t>
  </si>
  <si>
    <t>ICE / GOBNO</t>
  </si>
  <si>
    <t>4864/OC-CR</t>
  </si>
  <si>
    <t xml:space="preserve">Programa de Infraestructura Vial y Promoción de Asociaciones Público-Privadas </t>
  </si>
  <si>
    <t>4871/OC-CR</t>
  </si>
  <si>
    <t>Programa de Seguridad Ciudadana y Prevención de Violencia</t>
  </si>
  <si>
    <t>MJP</t>
  </si>
  <si>
    <t>BIRF</t>
  </si>
  <si>
    <t>8593-CR</t>
  </si>
  <si>
    <t>Programa por Resultados para el Fortalecimiento del Seguro Universal de Salud en Costa Rica</t>
  </si>
  <si>
    <t>9075-CR</t>
  </si>
  <si>
    <t>Proyecto Hacienda Digital para el Bicentenario</t>
  </si>
  <si>
    <t>MH</t>
  </si>
  <si>
    <t>9922</t>
  </si>
  <si>
    <t>9050-CR</t>
  </si>
  <si>
    <t>Programa de Desarrollo Sostenible de la Pesca y Acuicultura en Costa Rica</t>
  </si>
  <si>
    <t>INCOPESCA</t>
  </si>
  <si>
    <t>EXIMBANK</t>
  </si>
  <si>
    <t xml:space="preserve">1420203052013111013
</t>
  </si>
  <si>
    <r>
      <t>Rehabilitación y Ampliación de la Ruta Nacional No. 32</t>
    </r>
    <r>
      <rPr>
        <b/>
        <sz val="10"/>
        <color theme="1"/>
        <rFont val="Arial Narrow"/>
        <family val="2"/>
      </rPr>
      <t xml:space="preserve"> </t>
    </r>
    <r>
      <rPr>
        <b/>
        <vertAlign val="superscript"/>
        <sz val="10"/>
        <color theme="1"/>
        <rFont val="Arial Narrow"/>
        <family val="2"/>
      </rPr>
      <t>3/  4/</t>
    </r>
  </si>
  <si>
    <t>1420202052013211015</t>
  </si>
  <si>
    <r>
      <t xml:space="preserve">Rehabilitación y Ampliación de la Ruta Nacional No. 32 </t>
    </r>
    <r>
      <rPr>
        <b/>
        <vertAlign val="superscript"/>
        <sz val="10"/>
        <color theme="1"/>
        <rFont val="Arial Narrow"/>
        <family val="2"/>
      </rPr>
      <t>3/</t>
    </r>
  </si>
  <si>
    <t>JICA</t>
  </si>
  <si>
    <t>CR-P5-2</t>
  </si>
  <si>
    <r>
      <t xml:space="preserve">Proyecto Geotérmico Borinquen I </t>
    </r>
    <r>
      <rPr>
        <b/>
        <vertAlign val="superscript"/>
        <sz val="10"/>
        <color theme="1"/>
        <rFont val="Arial Narrow"/>
        <family val="2"/>
      </rPr>
      <t>5/</t>
    </r>
  </si>
  <si>
    <t>KFW</t>
  </si>
  <si>
    <r>
      <t xml:space="preserve">Programa de Saneamiento en Zonas Prioritarias </t>
    </r>
    <r>
      <rPr>
        <b/>
        <vertAlign val="superscript"/>
        <sz val="10"/>
        <color theme="1"/>
        <rFont val="Arial Narrow"/>
        <family val="2"/>
      </rPr>
      <t>5/</t>
    </r>
  </si>
  <si>
    <t>G. TOTAL en US$</t>
  </si>
  <si>
    <t>FUENTE: BASE DE DATOS SIGADE v. 6.1 / INFORMES DE SEGUIMIENTO SEMESTRAL DE LAS UNIDADES EJECUTORAS (UE)</t>
  </si>
  <si>
    <r>
      <t>NOTAS:</t>
    </r>
    <r>
      <rPr>
        <b/>
        <sz val="10"/>
        <color theme="1"/>
        <rFont val="Arial Narrow"/>
        <family val="2"/>
      </rPr>
      <t xml:space="preserve"> </t>
    </r>
  </si>
  <si>
    <r>
      <t>N/A=</t>
    </r>
    <r>
      <rPr>
        <sz val="10"/>
        <color theme="1"/>
        <rFont val="Arial Narrow"/>
        <family val="2"/>
      </rPr>
      <t xml:space="preserve"> No aplica.</t>
    </r>
  </si>
  <si>
    <r>
      <rPr>
        <b/>
        <sz val="10"/>
        <color theme="1"/>
        <rFont val="Arial Narrow"/>
        <family val="2"/>
      </rPr>
      <t>1/</t>
    </r>
    <r>
      <rPr>
        <sz val="10"/>
        <color theme="1"/>
        <rFont val="Arial Narrow"/>
        <family val="2"/>
      </rPr>
      <t xml:space="preserve"> El Programa BCIE 1725 concluyó con el plazo de desembolsos establecido por el Acreedor. Los recursos no se desembolsaron al 100%, por lo tanto los recursos restantes fueron rescindidos por el BCIE.</t>
    </r>
  </si>
  <si>
    <r>
      <rPr>
        <b/>
        <sz val="10"/>
        <color theme="1"/>
        <rFont val="Arial Narrow"/>
        <family val="2"/>
      </rPr>
      <t>2/</t>
    </r>
    <r>
      <rPr>
        <sz val="10"/>
        <color theme="1"/>
        <rFont val="Arial Narrow"/>
        <family val="2"/>
      </rPr>
      <t xml:space="preserve"> El Programa alcanza el 100% del monto del crédito desembolsado en Mayo 2021, sin embargo, continúa ejecutando las obras pendientes, como lo es el Corredor de Circunvalación Norte. </t>
    </r>
  </si>
  <si>
    <r>
      <t xml:space="preserve">3/ </t>
    </r>
    <r>
      <rPr>
        <sz val="10"/>
        <color theme="1"/>
        <rFont val="Arial Narrow"/>
        <family val="2"/>
      </rPr>
      <t>La fecha de pago de conformidad con los plazos establecidos en el contrato de préstamo es el 07/12/2036, las cláusulas establecen que los pagos deben realizarse el 21 de marzo y 21 de setiembre, por lo cual la última amortización se realizaría el 21 de setiembre de 2036.</t>
    </r>
  </si>
  <si>
    <r>
      <rPr>
        <b/>
        <sz val="10"/>
        <color theme="1"/>
        <rFont val="Arial Narrow"/>
        <family val="2"/>
      </rPr>
      <t>4/</t>
    </r>
    <r>
      <rPr>
        <sz val="10"/>
        <color theme="1"/>
        <rFont val="Arial Narrow"/>
        <family val="2"/>
      </rPr>
      <t xml:space="preserve"> 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t>
    </r>
  </si>
  <si>
    <r>
      <rPr>
        <b/>
        <sz val="10"/>
        <color rgb="FF000000"/>
        <rFont val="Arial Narrow"/>
      </rPr>
      <t>5/</t>
    </r>
    <r>
      <rPr>
        <sz val="10"/>
        <color rgb="FF000000"/>
        <rFont val="Arial Narrow"/>
      </rPr>
      <t xml:space="preserve"> Para dolarizar los montos de los préstamos cuya moneda contractual no fue pactada en dólares, se utilizó como referencia el valor del tipo de cambio al 30 de junio de 2023 de dicha moneda con respecto al dólar.</t>
    </r>
  </si>
  <si>
    <t>ANEXO N° 2:</t>
  </si>
  <si>
    <t>Monto del préstamo 
(en US$)</t>
  </si>
  <si>
    <t>Monto desembolsado acumulado a Junio 2023 de la fuente externa</t>
  </si>
  <si>
    <t xml:space="preserve">Monto desembolsado solo en el I Sem. 2023 de la fuente externa </t>
  </si>
  <si>
    <t xml:space="preserve">Monto desembolsado solo en el II Sem. 2023 de la fuente externa </t>
  </si>
  <si>
    <t>Monto pendiente por desembolsar a junio 2023</t>
  </si>
  <si>
    <t>% de Avance al 30/06/2023</t>
  </si>
  <si>
    <t>Años de Ejecución</t>
  </si>
  <si>
    <t>Años de Ejecución (Presupuestario)</t>
  </si>
  <si>
    <r>
      <t>Financiero</t>
    </r>
    <r>
      <rPr>
        <b/>
        <vertAlign val="superscript"/>
        <sz val="10"/>
        <color theme="1"/>
        <rFont val="Arial Narrow"/>
        <family val="2"/>
      </rPr>
      <t xml:space="preserve"> 7/</t>
    </r>
  </si>
  <si>
    <r>
      <t xml:space="preserve">Físico según información de UE </t>
    </r>
    <r>
      <rPr>
        <b/>
        <vertAlign val="superscript"/>
        <sz val="10"/>
        <rFont val="Arial Narrow"/>
        <family val="2"/>
      </rPr>
      <t>7/</t>
    </r>
  </si>
  <si>
    <t xml:space="preserve">Periodo estipulado en Contrato </t>
  </si>
  <si>
    <t>Periodo estipulado con Prórrogas</t>
  </si>
  <si>
    <t>Periodo de ejecución real al 30-06-2023</t>
  </si>
  <si>
    <t>Periodo de desembolsos estipulado en el Contrato desde la incorporación presupuestaria (en años)</t>
  </si>
  <si>
    <t>Periodo de ejecución real desde la fecha en que se aprobó el presupuesto</t>
  </si>
  <si>
    <r>
      <t xml:space="preserve">Programa Abastecimiento del Área Metropolitana de San José, Acueductos Urbanos y Alcantarillado Sanitario de Puerto Viejo de Limón </t>
    </r>
    <r>
      <rPr>
        <vertAlign val="superscript"/>
        <sz val="10"/>
        <color theme="1"/>
        <rFont val="Arial Narrow"/>
        <family val="2"/>
      </rPr>
      <t>1/</t>
    </r>
  </si>
  <si>
    <r>
      <t xml:space="preserve">Programa Obras Estratégicas de Infraestructura Vial </t>
    </r>
    <r>
      <rPr>
        <vertAlign val="superscript"/>
        <sz val="10"/>
        <color theme="1"/>
        <rFont val="Arial Narrow"/>
        <family val="2"/>
      </rPr>
      <t>1/</t>
    </r>
  </si>
  <si>
    <r>
      <t xml:space="preserve">Ampliación Programa de Obras Estratégicas de Infraestructura Vial </t>
    </r>
    <r>
      <rPr>
        <vertAlign val="superscript"/>
        <sz val="10"/>
        <color theme="1"/>
        <rFont val="Arial Narrow"/>
        <family val="2"/>
      </rPr>
      <t>1/</t>
    </r>
  </si>
  <si>
    <r>
      <t xml:space="preserve">Programa de Renovación de la Infraestructura y Equipamiento Hospitalario </t>
    </r>
    <r>
      <rPr>
        <vertAlign val="superscript"/>
        <sz val="10"/>
        <color theme="1"/>
        <rFont val="Arial Narrow"/>
        <family val="2"/>
      </rPr>
      <t>1/</t>
    </r>
  </si>
  <si>
    <r>
      <t xml:space="preserve">Proyecto de Reducción de Agua No Contabilizada y Optimización de la Eficiencia Energética en el GAM </t>
    </r>
    <r>
      <rPr>
        <vertAlign val="superscript"/>
        <sz val="10"/>
        <color theme="1"/>
        <rFont val="Arial Narrow"/>
        <family val="2"/>
      </rPr>
      <t>1/</t>
    </r>
  </si>
  <si>
    <r>
      <t xml:space="preserve">Programa de Abastecimiento del Área Metropolitana de San José, Acueductos Urbanos II y Alcantarillado Sanitario de Juanito Mora de Puntarenas </t>
    </r>
    <r>
      <rPr>
        <vertAlign val="superscript"/>
        <sz val="10"/>
        <color theme="1"/>
        <rFont val="Arial Narrow"/>
        <family val="2"/>
      </rPr>
      <t>1/</t>
    </r>
  </si>
  <si>
    <r>
      <t xml:space="preserve">Programa de Agua Potable y Saneamiento de Zonas Costeras, Gestión de la Calidad y Eficiencia del Servicio </t>
    </r>
    <r>
      <rPr>
        <vertAlign val="superscript"/>
        <sz val="10"/>
        <color rgb="FF000000"/>
        <rFont val="Arial Narrow"/>
        <family val="2"/>
      </rPr>
      <t>1/ 2/</t>
    </r>
  </si>
  <si>
    <r>
      <t>Adquisición y Aplicación de Vacunas COVID-19</t>
    </r>
    <r>
      <rPr>
        <vertAlign val="superscript"/>
        <sz val="10"/>
        <color theme="1"/>
        <rFont val="Arial Narrow"/>
        <family val="2"/>
      </rPr>
      <t xml:space="preserve"> 3/</t>
    </r>
  </si>
  <si>
    <t>N/D</t>
  </si>
  <si>
    <t xml:space="preserve">Programa de Agua Potable y Saneamiento </t>
  </si>
  <si>
    <r>
      <t xml:space="preserve">Programa Red Vial Cantonal II </t>
    </r>
    <r>
      <rPr>
        <vertAlign val="superscript"/>
        <sz val="10"/>
        <color theme="1"/>
        <rFont val="Arial Narrow"/>
        <family val="2"/>
      </rPr>
      <t>1/</t>
    </r>
  </si>
  <si>
    <r>
      <t>Programa por Resultados para el Fortalecimiento del Seguro Universal de Salud en Costa Rica 4</t>
    </r>
    <r>
      <rPr>
        <vertAlign val="superscript"/>
        <sz val="10"/>
        <color theme="1"/>
        <rFont val="Arial Narrow"/>
        <family val="2"/>
      </rPr>
      <t>/</t>
    </r>
  </si>
  <si>
    <r>
      <t xml:space="preserve">Rehabilitación y Ampliación de la Ruta Nacional No. 32 </t>
    </r>
    <r>
      <rPr>
        <vertAlign val="superscript"/>
        <sz val="10"/>
        <color theme="1"/>
        <rFont val="Arial Narrow"/>
        <family val="2"/>
      </rPr>
      <t>5/</t>
    </r>
  </si>
  <si>
    <t>Rehabilitación y Ampliación de la Ruta Nacional No. 32</t>
  </si>
  <si>
    <r>
      <t xml:space="preserve">Proyecto Geotérmico Borinquen I </t>
    </r>
    <r>
      <rPr>
        <vertAlign val="superscript"/>
        <sz val="10"/>
        <color theme="1"/>
        <rFont val="Arial Narrow"/>
        <family val="2"/>
      </rPr>
      <t>1/ 6/</t>
    </r>
  </si>
  <si>
    <r>
      <t xml:space="preserve">Programa de Saneamiento en Zonas Prioritarias </t>
    </r>
    <r>
      <rPr>
        <b/>
        <vertAlign val="superscript"/>
        <sz val="10"/>
        <color theme="1"/>
        <rFont val="Arial Narrow"/>
        <family val="2"/>
      </rPr>
      <t>6/</t>
    </r>
  </si>
  <si>
    <r>
      <rPr>
        <b/>
        <sz val="10"/>
        <color theme="1"/>
        <rFont val="Arial Narrow"/>
        <family val="2"/>
      </rPr>
      <t>N/A</t>
    </r>
    <r>
      <rPr>
        <sz val="10"/>
        <color theme="1"/>
        <rFont val="Arial Narrow"/>
        <family val="2"/>
      </rPr>
      <t>= No aplica</t>
    </r>
  </si>
  <si>
    <r>
      <rPr>
        <b/>
        <sz val="10"/>
        <color theme="1"/>
        <rFont val="Arial Narrow"/>
        <family val="2"/>
      </rPr>
      <t>N/D</t>
    </r>
    <r>
      <rPr>
        <sz val="10"/>
        <color theme="1"/>
        <rFont val="Arial Narrow"/>
        <family val="2"/>
      </rPr>
      <t>= No disponible</t>
    </r>
  </si>
  <si>
    <r>
      <t xml:space="preserve">
1/ </t>
    </r>
    <r>
      <rPr>
        <sz val="10"/>
        <color theme="1"/>
        <rFont val="Arial Narrow"/>
        <family val="2"/>
      </rPr>
      <t xml:space="preserve">Para determinar los años de ejecución (tanto para el período estipulado en el Contrato como para el período de ejecución real) se utilizó la fecha de suscripción del Contrato de Préstamo dado que éstos no requirieron de aprobación legislativa.
</t>
    </r>
  </si>
  <si>
    <r>
      <rPr>
        <b/>
        <sz val="10"/>
        <color rgb="FF000000"/>
        <rFont val="Arial Narrow"/>
        <family val="2"/>
      </rPr>
      <t>2/</t>
    </r>
    <r>
      <rPr>
        <sz val="10"/>
        <color rgb="FF000000"/>
        <rFont val="Arial Narrow"/>
        <family val="2"/>
      </rPr>
      <t xml:space="preserve"> El préstamo esta dividivo en dos tractos, uno en dólares y el otro en euros, a la fecha se han desembolsado un primer tracto por 1 millon de dólares y el otro por un 1 millon en euros (marzo 2022); no obstante, para este ultimo monto se ajusta a valor presente el tipo de cambio EUR/USD, lo cual, cada registro suministrado por el AyA puede variar segun el TC (1,106)</t>
    </r>
  </si>
  <si>
    <r>
      <t>3/</t>
    </r>
    <r>
      <rPr>
        <sz val="10"/>
        <color theme="1"/>
        <rFont val="Arial Narrow"/>
        <family val="2"/>
      </rPr>
      <t xml:space="preserve"> Los desembolsos del crédito corresponden a reembolsos de los gastos efectuados por el Prestatario con recursos propios para financiar el Plan de Vacunación contra el COVID 19, por lo que no aplica la medición de un avance físico del Proyecto.</t>
    </r>
  </si>
  <si>
    <r>
      <rPr>
        <b/>
        <sz val="10"/>
        <color theme="1"/>
        <rFont val="Arial Narrow"/>
        <family val="2"/>
      </rPr>
      <t>4/</t>
    </r>
    <r>
      <rPr>
        <sz val="10"/>
        <color theme="1"/>
        <rFont val="Arial Narrow"/>
        <family val="2"/>
      </rPr>
      <t xml:space="preserve"> El avance físico corresponde a avance global de los indicadores del Programa, calculado por la CCSS. </t>
    </r>
  </si>
  <si>
    <r>
      <rPr>
        <b/>
        <sz val="10"/>
        <color theme="1"/>
        <rFont val="Arial Narrow"/>
        <family val="2"/>
      </rPr>
      <t>5/</t>
    </r>
    <r>
      <rPr>
        <sz val="10"/>
        <color theme="1"/>
        <rFont val="Arial Narrow"/>
        <family val="2"/>
      </rPr>
      <t xml:space="preserve"> El Crédito Concesional que financia el Proyecto Ruta 32, se desembolsó en su totalidad (avance financiero: 100%) el 15 de mayo 2019. El monto del préstamo en dólares responde al monto desembolsado (utilizando las referencias cambiarias del acreedor), y pagado a la empresa contratista a cargo del Proyecto. Para efectos de calcular el periodo de ejecución real de dicho crédito, se utiliza la fecha de entrada en vigencia (efectividad dada por el Acreedor) y la fecha del último desembolso realizado por el Acreedor. </t>
    </r>
  </si>
  <si>
    <r>
      <rPr>
        <b/>
        <sz val="10"/>
        <color rgb="FF000000"/>
        <rFont val="Arial Narrow"/>
      </rPr>
      <t>6/</t>
    </r>
    <r>
      <rPr>
        <sz val="10"/>
        <color rgb="FF000000"/>
        <rFont val="Arial Narrow"/>
      </rPr>
      <t xml:space="preserve"> Para dolarizar los montos de los préstamos cuya moneda contractual no fue pactada en dólares, se utilizó como referencia el valor del tipo de cambio al 30 de junio de 2023 de dicha moneda con respecto al dólar.</t>
    </r>
  </si>
  <si>
    <r>
      <rPr>
        <b/>
        <sz val="10"/>
        <color theme="1"/>
        <rFont val="Arial Narrow"/>
        <family val="2"/>
      </rPr>
      <t>7/</t>
    </r>
    <r>
      <rPr>
        <sz val="10"/>
        <color theme="1"/>
        <rFont val="Arial Narrow"/>
        <family val="2"/>
      </rPr>
      <t xml:space="preserve"> Los valores corresponden al avance físico y financiero acumulado desde que inició el Programa/Proyecto hasta el 30 de junio de 2023.</t>
    </r>
  </si>
  <si>
    <t>Ojo, este no encuentro dónde está, pero no es el tipo de cambio establecido por Fabio, hay que modificarlo.</t>
  </si>
  <si>
    <t>ANEXO N° 3:</t>
  </si>
  <si>
    <t>Unidad Ejecutora</t>
  </si>
  <si>
    <t xml:space="preserve">Monto del préstamo (en US$)  </t>
  </si>
  <si>
    <t>I Semestre 2023</t>
  </si>
  <si>
    <t>Monto programado por desembolsar</t>
  </si>
  <si>
    <t xml:space="preserve">Monto real desembolsado </t>
  </si>
  <si>
    <t>% Realizado sobre lo Programado</t>
  </si>
  <si>
    <t>I Trimestre 2023</t>
  </si>
  <si>
    <t>II Trimestre 2023</t>
  </si>
  <si>
    <t>III Trimestre 2023</t>
  </si>
  <si>
    <t>IV Trimestre 2023</t>
  </si>
  <si>
    <t>Programa Obras Estratégicas de Infraestructura Vial</t>
  </si>
  <si>
    <t>Programa de Renovación de la Infraestructura y Equipamiento Hospitalario</t>
  </si>
  <si>
    <r>
      <t>Proyecto de Reducción de Agua No Contabilizada y Optimización de la Eficiencia Energética en el GAM</t>
    </r>
    <r>
      <rPr>
        <b/>
        <vertAlign val="superscript"/>
        <sz val="10"/>
        <color theme="1"/>
        <rFont val="Arial Narrow"/>
        <family val="2"/>
      </rPr>
      <t xml:space="preserve"> </t>
    </r>
  </si>
  <si>
    <t xml:space="preserve">Programa de Abastecimiento del Área Metropolitana de San José, Acueductos Urbanos II y Alcantarillado Sanitario de Juanito Mora de Puntarenas </t>
  </si>
  <si>
    <r>
      <t xml:space="preserve">Programa de Agua Potable y Saneamiento de Zonas Costeras, Gestión de la Calidad y Eficiencia del Servicio </t>
    </r>
    <r>
      <rPr>
        <b/>
        <vertAlign val="superscript"/>
        <sz val="11"/>
        <color rgb="FF000000"/>
        <rFont val="Arial Narrow"/>
        <family val="2"/>
      </rPr>
      <t>2/</t>
    </r>
  </si>
  <si>
    <t xml:space="preserve">Programa de Alcantarillado y Control de Inundaciones para Limón </t>
  </si>
  <si>
    <r>
      <rPr>
        <sz val="10"/>
        <color rgb="FF000000"/>
        <rFont val="Arial Narrow"/>
        <family val="2"/>
      </rPr>
      <t xml:space="preserve">Rehabilitación y Ampliación de la Ruta Nacional No. 32 </t>
    </r>
    <r>
      <rPr>
        <vertAlign val="superscript"/>
        <sz val="10"/>
        <color rgb="FF000000"/>
        <rFont val="Arial Narrow"/>
        <family val="2"/>
      </rPr>
      <t>3/</t>
    </r>
  </si>
  <si>
    <t>NA</t>
  </si>
  <si>
    <t xml:space="preserve">Rehabilitación y Ampliación de la Ruta Nacional No. 32 </t>
  </si>
  <si>
    <r>
      <t xml:space="preserve">Proyecto Geotérmico Borinquen I </t>
    </r>
    <r>
      <rPr>
        <vertAlign val="superscript"/>
        <sz val="10"/>
        <color theme="1"/>
        <rFont val="Arial Narrow"/>
        <family val="2"/>
      </rPr>
      <t>4/ 5/</t>
    </r>
  </si>
  <si>
    <r>
      <t xml:space="preserve">Programa de Saneamiento en Zonas Prioritarias </t>
    </r>
    <r>
      <rPr>
        <vertAlign val="superscript"/>
        <sz val="10"/>
        <color theme="1"/>
        <rFont val="Arial Narrow"/>
        <family val="2"/>
      </rPr>
      <t>4/</t>
    </r>
  </si>
  <si>
    <t>FUENTE: BASE DE DATOS SIGADE v. 6.1 / INFORMES DE SEGUIMIENTO DE LAS UNIDADES EJECUTORAS (UE)</t>
  </si>
  <si>
    <r>
      <t>N/A=</t>
    </r>
    <r>
      <rPr>
        <sz val="10"/>
        <color theme="1"/>
        <rFont val="Arial Narrow"/>
        <family val="2"/>
      </rPr>
      <t xml:space="preserve"> No aplica</t>
    </r>
  </si>
  <si>
    <r>
      <rPr>
        <b/>
        <sz val="10"/>
        <color theme="1"/>
        <rFont val="Arial Narrow"/>
        <family val="2"/>
      </rPr>
      <t>1/</t>
    </r>
    <r>
      <rPr>
        <sz val="10"/>
        <color theme="1"/>
        <rFont val="Arial Narrow"/>
        <family val="2"/>
      </rPr>
      <t xml:space="preserve"> El Programa no desembolsó US$4.051.243 por lo que el Banco procedió a desobligar dicho monto del Contrato de Préstamo.</t>
    </r>
  </si>
  <si>
    <r>
      <rPr>
        <b/>
        <sz val="10"/>
        <color rgb="FF000000"/>
        <rFont val="Arial Narrow"/>
        <family val="2"/>
      </rPr>
      <t>2/</t>
    </r>
    <r>
      <rPr>
        <sz val="10"/>
        <color rgb="FF000000"/>
        <rFont val="Arial Narrow"/>
        <family val="2"/>
      </rPr>
      <t xml:space="preserve"> El préstamo esta dividivo en dos tractos, uno en dólares y el otro en euros, a la fecha se han desembolsado un primer tracto por 1 millon de dólares y el otro por un 1 millon en euros (marzo 2022); no obstante, para este último monto se ajusta a valor presente el tipo de cambio EUR/USD; lo cual; cada registro suministrado por el AyA puede variar segun el TC (1,0921).</t>
    </r>
  </si>
  <si>
    <r>
      <rPr>
        <b/>
        <sz val="10"/>
        <color theme="1"/>
        <rFont val="Arial Narrow"/>
        <family val="2"/>
      </rPr>
      <t xml:space="preserve">3/ </t>
    </r>
    <r>
      <rPr>
        <sz val="10"/>
        <color theme="1"/>
        <rFont val="Arial Narrow"/>
        <family val="2"/>
      </rPr>
      <t xml:space="preserve">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 </t>
    </r>
  </si>
  <si>
    <r>
      <rPr>
        <b/>
        <sz val="10"/>
        <color rgb="FF000000"/>
        <rFont val="Arial Narrow"/>
      </rPr>
      <t>4/</t>
    </r>
    <r>
      <rPr>
        <sz val="10"/>
        <color rgb="FF000000"/>
        <rFont val="Arial Narrow"/>
      </rPr>
      <t xml:space="preserve"> Para dolarizar los montos de los préstamos cuya moneda contractual no fue pactada en dólares, se utilizó como referencia el valor del tipo de cambio al 30 de junio de 2023 de dicha moneda con respecto al dólar.</t>
    </r>
  </si>
  <si>
    <r>
      <rPr>
        <b/>
        <sz val="10"/>
        <color theme="1"/>
        <rFont val="Arial Narrow"/>
        <family val="2"/>
      </rPr>
      <t>5/</t>
    </r>
    <r>
      <rPr>
        <sz val="10"/>
        <color theme="1"/>
        <rFont val="Arial Narrow"/>
        <family val="2"/>
      </rPr>
      <t xml:space="preserve"> El ICE realizó un ajuste a lo interno del Proyecto, por lo tanto están realizando programaciones hasta el año 2027 (no obstante es una proyección pues no se ha formalizado ninguna extensión del plazo).</t>
    </r>
  </si>
  <si>
    <t>ANEXO N° 4:</t>
  </si>
  <si>
    <t xml:space="preserve">Monto del préstamo 
(en US$)  </t>
  </si>
  <si>
    <t>Contrapartida Nacional</t>
  </si>
  <si>
    <t>Donación</t>
  </si>
  <si>
    <t>Monto Original 
(en US$)</t>
  </si>
  <si>
    <t>Monto Vigente 
(en US$)</t>
  </si>
  <si>
    <t>Monto ejecutado a junio 2023</t>
  </si>
  <si>
    <t xml:space="preserve">Monto pendiente por ejecutar </t>
  </si>
  <si>
    <t>Programado a Ejecutarse en el 2023</t>
  </si>
  <si>
    <t>Monto de donación</t>
  </si>
  <si>
    <t>Monto desembolsado a junio 2023</t>
  </si>
  <si>
    <t xml:space="preserve">Monto pendiente por desembolsar </t>
  </si>
  <si>
    <t>Programa Abastecimiento del Área Metropolitana de San José, Acueductos Urbanos y Alcantarillado Sanitario de Puerto Viejo de Limón</t>
  </si>
  <si>
    <t>Programa de Agua Potable y Saneamiento de Zonas Costeras, Gestión de la Calidad y Eficiencia del Servicio</t>
  </si>
  <si>
    <t>3072/CH-CR</t>
  </si>
  <si>
    <r>
      <t xml:space="preserve">Rehabilitación y Ampliación de la Ruta Nacional No. 32 </t>
    </r>
    <r>
      <rPr>
        <vertAlign val="superscript"/>
        <sz val="10"/>
        <color theme="1"/>
        <rFont val="Arial Narrow"/>
        <family val="2"/>
      </rPr>
      <t>1/</t>
    </r>
  </si>
  <si>
    <r>
      <t xml:space="preserve">Proyecto Geotérmico Borinquen I </t>
    </r>
    <r>
      <rPr>
        <vertAlign val="superscript"/>
        <sz val="10"/>
        <color theme="1"/>
        <rFont val="Arial Narrow"/>
        <family val="2"/>
      </rPr>
      <t>2/</t>
    </r>
  </si>
  <si>
    <r>
      <t xml:space="preserve">Programa de Saneamiento en Zonas Prioritarias </t>
    </r>
    <r>
      <rPr>
        <vertAlign val="superscript"/>
        <sz val="11"/>
        <color theme="1"/>
        <rFont val="Arial Narrow"/>
        <family val="2"/>
      </rPr>
      <t>2/</t>
    </r>
  </si>
  <si>
    <r>
      <t>N/A=</t>
    </r>
    <r>
      <rPr>
        <sz val="10"/>
        <color theme="1"/>
        <rFont val="Arial Narrow"/>
        <family val="2"/>
      </rPr>
      <t xml:space="preserve"> No aplica</t>
    </r>
    <r>
      <rPr>
        <b/>
        <sz val="10"/>
        <color theme="1"/>
        <rFont val="Arial Narrow"/>
        <family val="2"/>
      </rPr>
      <t>.</t>
    </r>
  </si>
  <si>
    <r>
      <rPr>
        <b/>
        <sz val="10"/>
        <color theme="1"/>
        <rFont val="Arial Narrow"/>
        <family val="2"/>
      </rPr>
      <t xml:space="preserve">1/ </t>
    </r>
    <r>
      <rPr>
        <sz val="10"/>
        <color theme="1"/>
        <rFont val="Arial Narrow"/>
        <family val="2"/>
      </rPr>
      <t xml:space="preserve">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 </t>
    </r>
  </si>
  <si>
    <r>
      <rPr>
        <b/>
        <sz val="10"/>
        <color rgb="FF000000"/>
        <rFont val="Arial Narrow"/>
      </rPr>
      <t>2/</t>
    </r>
    <r>
      <rPr>
        <sz val="10"/>
        <color rgb="FF000000"/>
        <rFont val="Arial Narrow"/>
      </rPr>
      <t xml:space="preserve"> Para dolarizar los montos de los préstamos cuya moneda contractual no fue pactada en dólares, se utilizó como referencia el valor del tipo de cambio al 30 de junio de 2023 de dicha moneda con respecto al dólar.</t>
    </r>
  </si>
  <si>
    <t>ANEXO N° 5</t>
  </si>
  <si>
    <t>DESEMBOLSOS, AVANCE FINANCIERO Y AVANCE FISICO 2013 AL 2022 DE LOS CRÉDITOS DE INVERSIÓN EN EJECUCIÓN</t>
  </si>
  <si>
    <t xml:space="preserve">Monto del préstamo 
(en US$) </t>
  </si>
  <si>
    <t xml:space="preserve">Monto acumulado desembolsado a junio 2023 
(en US$)  </t>
  </si>
  <si>
    <r>
      <t xml:space="preserve">Desembolsos </t>
    </r>
    <r>
      <rPr>
        <b/>
        <vertAlign val="superscript"/>
        <sz val="10"/>
        <color theme="1"/>
        <rFont val="Arial Narrow"/>
        <family val="2"/>
      </rPr>
      <t>6/</t>
    </r>
  </si>
  <si>
    <r>
      <t xml:space="preserve">Comisiones de compromisos pagadas </t>
    </r>
    <r>
      <rPr>
        <b/>
        <vertAlign val="superscript"/>
        <sz val="10"/>
        <color theme="1"/>
        <rFont val="Arial Narrow"/>
        <family val="2"/>
      </rPr>
      <t>6/</t>
    </r>
  </si>
  <si>
    <r>
      <t xml:space="preserve">Avance financiero (%) </t>
    </r>
    <r>
      <rPr>
        <b/>
        <vertAlign val="superscript"/>
        <sz val="10"/>
        <color theme="1"/>
        <rFont val="Arial Narrow"/>
        <family val="2"/>
      </rPr>
      <t>7/</t>
    </r>
  </si>
  <si>
    <r>
      <t xml:space="preserve">Avance físico (%) </t>
    </r>
    <r>
      <rPr>
        <b/>
        <vertAlign val="superscript"/>
        <sz val="10"/>
        <color theme="1"/>
        <rFont val="Arial Narrow"/>
        <family val="2"/>
      </rPr>
      <t>7/</t>
    </r>
  </si>
  <si>
    <r>
      <t xml:space="preserve">Programa de Abastecimiento del Área Metropolitana de San José, Acueductos Urbanos II y Alcantarillado Sanitario de Juanito Mora de Puntarenas </t>
    </r>
    <r>
      <rPr>
        <b/>
        <vertAlign val="superscript"/>
        <sz val="10"/>
        <color theme="1"/>
        <rFont val="Arial Narrow"/>
        <family val="2"/>
      </rPr>
      <t>2/</t>
    </r>
  </si>
  <si>
    <r>
      <t xml:space="preserve">Programa de Agua Potable y Saneamiento de Zonas Costeras, Gestión de la Calidad y Eficiencia del Servicio. </t>
    </r>
    <r>
      <rPr>
        <b/>
        <vertAlign val="superscript"/>
        <sz val="10"/>
        <color theme="1"/>
        <rFont val="Arial Narrow"/>
        <family val="2"/>
      </rPr>
      <t>2/</t>
    </r>
  </si>
  <si>
    <t xml:space="preserve">3071/OC-CR  
</t>
  </si>
  <si>
    <r>
      <t xml:space="preserve">Programa de Infraestructura de Transporte </t>
    </r>
    <r>
      <rPr>
        <vertAlign val="superscript"/>
        <sz val="10"/>
        <color theme="1"/>
        <rFont val="Arial Narrow"/>
        <family val="2"/>
      </rPr>
      <t>3/</t>
    </r>
  </si>
  <si>
    <t xml:space="preserve">
3072/CH-CR </t>
  </si>
  <si>
    <t>Primer Programa de Energía Renovable, Transmisión y Distribución de Electricidad</t>
  </si>
  <si>
    <r>
      <t xml:space="preserve">Programa por Resultados para el Fortalecimiento del Seguro Universal de Salud en Costa Rica </t>
    </r>
    <r>
      <rPr>
        <vertAlign val="superscript"/>
        <sz val="10"/>
        <color theme="1"/>
        <rFont val="Arial Narrow"/>
        <family val="2"/>
      </rPr>
      <t>4</t>
    </r>
    <r>
      <rPr>
        <b/>
        <vertAlign val="superscript"/>
        <sz val="10"/>
        <color theme="1"/>
        <rFont val="Arial Narrow"/>
        <family val="2"/>
      </rPr>
      <t>/</t>
    </r>
  </si>
  <si>
    <t>ND</t>
  </si>
  <si>
    <t xml:space="preserve">MH </t>
  </si>
  <si>
    <r>
      <t xml:space="preserve">Rehabilitación y Ampliación de la Ruta Nacional No. 32 </t>
    </r>
    <r>
      <rPr>
        <vertAlign val="superscript"/>
        <sz val="10"/>
        <color theme="1"/>
        <rFont val="Arial Narrow"/>
        <family val="2"/>
      </rPr>
      <t>5</t>
    </r>
    <r>
      <rPr>
        <b/>
        <vertAlign val="superscript"/>
        <sz val="10"/>
        <color theme="1"/>
        <rFont val="Arial Narrow"/>
        <family val="2"/>
      </rPr>
      <t xml:space="preserve">/ </t>
    </r>
    <r>
      <rPr>
        <vertAlign val="superscript"/>
        <sz val="10"/>
        <color theme="1"/>
        <rFont val="Arial Narrow"/>
        <family val="2"/>
      </rPr>
      <t>8/</t>
    </r>
  </si>
  <si>
    <r>
      <t>Rehabilitación y Ampliación de la Ruta Nacional No. 32</t>
    </r>
    <r>
      <rPr>
        <vertAlign val="superscript"/>
        <sz val="10"/>
        <color theme="1"/>
        <rFont val="Arial Narrow"/>
        <family val="2"/>
      </rPr>
      <t xml:space="preserve"> 5</t>
    </r>
    <r>
      <rPr>
        <b/>
        <vertAlign val="superscript"/>
        <sz val="10"/>
        <color theme="1"/>
        <rFont val="Arial Narrow"/>
        <family val="2"/>
      </rPr>
      <t>/</t>
    </r>
  </si>
  <si>
    <r>
      <t xml:space="preserve">Proyecto Geotérmico Borinquen I </t>
    </r>
    <r>
      <rPr>
        <vertAlign val="superscript"/>
        <sz val="10"/>
        <color theme="1"/>
        <rFont val="Arial Narrow"/>
        <family val="2"/>
      </rPr>
      <t>9/</t>
    </r>
  </si>
  <si>
    <r>
      <t xml:space="preserve">Programa de Saneamiento en Zonas Prioritarias </t>
    </r>
    <r>
      <rPr>
        <vertAlign val="superscript"/>
        <sz val="10"/>
        <color theme="1"/>
        <rFont val="Arial Narrow"/>
        <family val="2"/>
      </rPr>
      <t>9/</t>
    </r>
  </si>
  <si>
    <r>
      <t>N/D=</t>
    </r>
    <r>
      <rPr>
        <sz val="10"/>
        <color theme="1"/>
        <rFont val="Arial Narrow"/>
        <family val="2"/>
      </rPr>
      <t xml:space="preserve"> Información no disponible</t>
    </r>
    <r>
      <rPr>
        <b/>
        <sz val="10"/>
        <color theme="1"/>
        <rFont val="Arial Narrow"/>
        <family val="2"/>
      </rPr>
      <t>.</t>
    </r>
  </si>
  <si>
    <r>
      <rPr>
        <b/>
        <sz val="10"/>
        <color theme="1"/>
        <rFont val="Arial Narrow"/>
        <family val="2"/>
      </rPr>
      <t>1/</t>
    </r>
    <r>
      <rPr>
        <sz val="10"/>
        <color theme="1"/>
        <rFont val="Arial Narrow"/>
        <family val="2"/>
      </rPr>
      <t xml:space="preserve"> El Programa presentó un menor porcentaje de avance físico del 2017 al 2018 debido a que realizó un cambio al PGI en el cual se incluyen nuevos Proyectos, por lo cual se realizó un ajuste interno en los pesos de cada unos de los Proyectos afectando el avance físico. Adicionalmente, en el I trimestre 2022 nuevamente la UEN ajustó el avance físico, por ello, los avances son menores que el dato reportado a finales de 2021.</t>
    </r>
  </si>
  <si>
    <r>
      <rPr>
        <b/>
        <sz val="10"/>
        <color theme="1"/>
        <rFont val="Arial Narrow"/>
        <family val="2"/>
      </rPr>
      <t xml:space="preserve">2/ </t>
    </r>
    <r>
      <rPr>
        <sz val="10"/>
        <color theme="1"/>
        <rFont val="Arial Narrow"/>
        <family val="2"/>
      </rPr>
      <t>Se realiza una reprogramación de los proyectos del Programa BCIE 2164 Juanito Mora y BCIE 2188-A PAACC, dado que se han materializado algunos incidentes que impactan de manera negativa la ejecución de los objetivos inicialmente planteados en la restricción de tiempo, por lo que el Gerente de Proyecto en conjunto con el equipo del proyecto: Diseñadores, Contratistas, Consultores, Abogados, Sociológos, envian a la Gerencia General la justificación de los ajustes en los avances físicos a la baja, para este periodo y la de los siguientes periodos y se da el V°B° de la Gerencia General.</t>
    </r>
  </si>
  <si>
    <r>
      <rPr>
        <b/>
        <sz val="10"/>
        <rFont val="Arial Narrow"/>
        <family val="2"/>
      </rPr>
      <t>3/</t>
    </r>
    <r>
      <rPr>
        <sz val="10"/>
        <rFont val="Arial Narrow"/>
        <family val="2"/>
      </rPr>
      <t xml:space="preserve"> Durante el I Trimestre 2021, el Ejecutor aplicó un cambio a la metodología que venía implementando para estimar de avance físico del Programa, considerando las mejoras implementadas por parte del PIT para el cumplimiento de las disposiciones establecidas por la CGR.</t>
    </r>
  </si>
  <si>
    <r>
      <rPr>
        <b/>
        <sz val="10"/>
        <color theme="1"/>
        <rFont val="Arial Narrow"/>
        <family val="2"/>
      </rPr>
      <t>4/</t>
    </r>
    <r>
      <rPr>
        <sz val="10"/>
        <color theme="1"/>
        <rFont val="Arial Narrow"/>
        <family val="2"/>
      </rPr>
      <t xml:space="preserve"> El avance físico corresponde al avance global de los indicadores del Programa, calculado por la CCSS. </t>
    </r>
  </si>
  <si>
    <r>
      <rPr>
        <b/>
        <sz val="10"/>
        <color theme="1"/>
        <rFont val="Arial Narrow"/>
        <family val="2"/>
      </rPr>
      <t>5/</t>
    </r>
    <r>
      <rPr>
        <sz val="10"/>
        <color theme="1"/>
        <rFont val="Arial Narrow"/>
        <family val="2"/>
      </rPr>
      <t xml:space="preserve"> El avance físico acumulado reportado para el Proyecto incluye los dos créditos del EXIMBANK. </t>
    </r>
  </si>
  <si>
    <r>
      <rPr>
        <b/>
        <sz val="10"/>
        <color theme="1"/>
        <rFont val="Arial Narrow"/>
        <family val="2"/>
      </rPr>
      <t>6/</t>
    </r>
    <r>
      <rPr>
        <sz val="10"/>
        <color theme="1"/>
        <rFont val="Arial Narrow"/>
        <family val="2"/>
      </rPr>
      <t xml:space="preserve"> Los valores corresponden al comportamiento de cada año y periodo en particular (no son acumulados).</t>
    </r>
  </si>
  <si>
    <r>
      <rPr>
        <b/>
        <sz val="10"/>
        <color theme="1"/>
        <rFont val="Arial Narrow"/>
        <family val="2"/>
      </rPr>
      <t>7/</t>
    </r>
    <r>
      <rPr>
        <sz val="10"/>
        <color theme="1"/>
        <rFont val="Arial Narrow"/>
        <family val="2"/>
      </rPr>
      <t xml:space="preserve"> Los valores corresponden al avance acumulado desde que inició el Programa/Proyecto hasta el final de cada periodo.</t>
    </r>
  </si>
  <si>
    <r>
      <rPr>
        <b/>
        <sz val="10"/>
        <color theme="1"/>
        <rFont val="Arial Narrow"/>
        <family val="2"/>
      </rPr>
      <t xml:space="preserve">8/ </t>
    </r>
    <r>
      <rPr>
        <sz val="10"/>
        <color theme="1"/>
        <rFont val="Arial Narrow"/>
        <family val="2"/>
      </rPr>
      <t>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t>
    </r>
  </si>
  <si>
    <r>
      <rPr>
        <b/>
        <sz val="10"/>
        <color rgb="FF000000"/>
        <rFont val="Arial Narrow"/>
      </rPr>
      <t xml:space="preserve">9/ </t>
    </r>
    <r>
      <rPr>
        <sz val="10"/>
        <color rgb="FF000000"/>
        <rFont val="Arial Narrow"/>
      </rPr>
      <t>Para dolarizar los montos de los préstamos cuya moneda contractual no fue pactada en dólares, se utilizó como referencia el valor del tipo de cambio al 30 de junio de 2023 de dicha moneda con respecto al dólar.</t>
    </r>
  </si>
  <si>
    <t>TIPOS DE CAMBIO</t>
  </si>
  <si>
    <t>Euros a $</t>
  </si>
  <si>
    <t>Yenes a $</t>
  </si>
  <si>
    <t>Yuanes a $</t>
  </si>
  <si>
    <t>DEG a $</t>
  </si>
  <si>
    <t>ANEXO N° 5.1:</t>
  </si>
  <si>
    <t xml:space="preserve">PROGRAMAS/PROYECTOS EN EJECUCIÓN ORDENADOS DE MENOR A MAYOR SEGÚN AVANCE FINANCIERO </t>
  </si>
  <si>
    <t>(cifras expresadas en US$)</t>
  </si>
  <si>
    <t xml:space="preserve">Desembolsos </t>
  </si>
  <si>
    <t xml:space="preserve">Comisiones de compromisos pagadas </t>
  </si>
  <si>
    <t xml:space="preserve">Avance financiero (%) </t>
  </si>
  <si>
    <t xml:space="preserve">Avance físico (%) </t>
  </si>
  <si>
    <t xml:space="preserve">Programa de Saneamiento en Zonas Prioritarias </t>
  </si>
  <si>
    <t xml:space="preserve">Programa de Agua Potable y Saneamiento de Zonas Costeras, Gestión de la Calidad y Eficiencia del Servicio. </t>
  </si>
  <si>
    <t>Programa de Abastecimiento del Área Metropolitana de San José, Acueductos Urbanos II y Alcantarillado Sanitario de Juanito Mora de Puntarenas 2/</t>
  </si>
  <si>
    <t xml:space="preserve">Proyecto Geotérmico Borinquen I </t>
  </si>
  <si>
    <t xml:space="preserve">Programa de Infraestructura de Transporte </t>
  </si>
  <si>
    <t>Programa Abastecimiento del Área Metropolitana de San José, Acueductos Urbanos y Alcantarillado Sanitario de Puerto Viejo de Limón 1/</t>
  </si>
  <si>
    <t xml:space="preserve">Programa por Resultados para el Fortalecimiento del Seguro Universal de Salud en Costa Rica </t>
  </si>
  <si>
    <t xml:space="preserve">NOTAS: </t>
  </si>
  <si>
    <t>1/ Aplica el mismo detalle de las notas que forman parte del Anexo 5.</t>
  </si>
  <si>
    <t>ANEXO N° 6:</t>
  </si>
  <si>
    <t>Valor Planificado 
(PV)</t>
  </si>
  <si>
    <t>Valor Ganado 
(EV)</t>
  </si>
  <si>
    <t>Costo Real 
(AC)</t>
  </si>
  <si>
    <t>Presupuesto Hasta la Conclusión 
(BAC)</t>
  </si>
  <si>
    <t>Variación del Costo 
(CV)</t>
  </si>
  <si>
    <t>Variación del Cronograma 
(SV)</t>
  </si>
  <si>
    <t>Variación a la Conclusión 
(VAC)</t>
  </si>
  <si>
    <t>Índice de Desempeño del Costo 
(CPI)</t>
  </si>
  <si>
    <t>Índice de Desempeño del Cronograma 
(SPI)</t>
  </si>
  <si>
    <t>Estimación a la conclusión 
(EAC)</t>
  </si>
  <si>
    <t>Estimación Hasta la Conclusión 
(ETC)</t>
  </si>
  <si>
    <r>
      <t xml:space="preserve">Estimación de tiempo hasta la Conclusión 
(TTC) </t>
    </r>
    <r>
      <rPr>
        <b/>
        <vertAlign val="superscript"/>
        <sz val="10"/>
        <color theme="1"/>
        <rFont val="Arial Narrow"/>
        <family val="2"/>
      </rPr>
      <t xml:space="preserve"> 1/</t>
    </r>
  </si>
  <si>
    <t>Índice de Desempeño del Trabajo por Completar 
(TCPI)</t>
  </si>
  <si>
    <t xml:space="preserve">Programa de Agua Potable y Saneamiento de Zonas Costeras, Gestión de la Calidad y Eficiencia del Servicio </t>
  </si>
  <si>
    <t>Programa de Agua Potable y Saneamiento</t>
  </si>
  <si>
    <r>
      <t xml:space="preserve">Rehabilitación y Ampliación de la Ruta Nacional No. 32 </t>
    </r>
    <r>
      <rPr>
        <vertAlign val="superscript"/>
        <sz val="10"/>
        <color theme="1"/>
        <rFont val="Arial Narrow"/>
        <family val="2"/>
      </rPr>
      <t>2</t>
    </r>
    <r>
      <rPr>
        <b/>
        <vertAlign val="superscript"/>
        <sz val="10"/>
        <color theme="1"/>
        <rFont val="Arial Narrow"/>
        <family val="2"/>
      </rPr>
      <t>/</t>
    </r>
  </si>
  <si>
    <r>
      <t xml:space="preserve">Proyecto Geotérmico Borinquen I </t>
    </r>
    <r>
      <rPr>
        <vertAlign val="superscript"/>
        <sz val="10"/>
        <color theme="1"/>
        <rFont val="Arial Narrow"/>
        <family val="2"/>
      </rPr>
      <t>3/</t>
    </r>
  </si>
  <si>
    <r>
      <t xml:space="preserve">Programa de Saneamiento en Zonas Prioritarias </t>
    </r>
    <r>
      <rPr>
        <vertAlign val="superscript"/>
        <sz val="10"/>
        <color theme="1"/>
        <rFont val="Arial Narrow"/>
        <family val="2"/>
      </rPr>
      <t>3/</t>
    </r>
  </si>
  <si>
    <r>
      <rPr>
        <b/>
        <sz val="10"/>
        <color theme="1"/>
        <rFont val="Arial Narrow"/>
        <family val="2"/>
      </rPr>
      <t>N/A:</t>
    </r>
    <r>
      <rPr>
        <sz val="10"/>
        <color theme="1"/>
        <rFont val="Arial Narrow"/>
        <family val="2"/>
      </rPr>
      <t xml:space="preserve"> No Aplica.</t>
    </r>
  </si>
  <si>
    <r>
      <rPr>
        <b/>
        <sz val="10"/>
        <color theme="1"/>
        <rFont val="Arial Narrow"/>
        <family val="2"/>
      </rPr>
      <t xml:space="preserve">1/ </t>
    </r>
    <r>
      <rPr>
        <sz val="10"/>
        <color theme="1"/>
        <rFont val="Arial Narrow"/>
        <family val="2"/>
      </rPr>
      <t>Para efectos de medir el indicador TTC se utilizan las fechas vigentes de finalización de los contratos de préstamo.</t>
    </r>
  </si>
  <si>
    <r>
      <rPr>
        <b/>
        <sz val="10"/>
        <color theme="1"/>
        <rFont val="Arial Narrow"/>
        <family val="2"/>
      </rPr>
      <t xml:space="preserve">2/ </t>
    </r>
    <r>
      <rPr>
        <sz val="10"/>
        <color theme="1"/>
        <rFont val="Arial Narrow"/>
        <family val="2"/>
      </rPr>
      <t>Para el caso del Crédito Concesional (¥628.000.000,00) el monto del préstamo en dólares responde al monto desembolsado (utilizando las referencias cambiarias del acreedor), y al pagado a la empresa contratista a cargo del proyecto. Este crédito se desembolsó en su totalidad en el año 2019.</t>
    </r>
  </si>
  <si>
    <r>
      <rPr>
        <b/>
        <sz val="10"/>
        <color rgb="FF000000"/>
        <rFont val="Arial Narrow"/>
      </rPr>
      <t xml:space="preserve">3/ </t>
    </r>
    <r>
      <rPr>
        <sz val="10"/>
        <color rgb="FF000000"/>
        <rFont val="Arial Narrow"/>
      </rPr>
      <t>Para dolarizar los montos de los préstamos cuya moneda contractual no fue pactada en dólares, se utilizó como referencia el valor del tipo de cambio al 30 de junio de 2023 de dicha moneda con respecto al dólar.</t>
    </r>
  </si>
  <si>
    <t>ANEXO N° 7:</t>
  </si>
  <si>
    <t>Acreedor</t>
  </si>
  <si>
    <t>Ajuste a reportar</t>
  </si>
  <si>
    <t>Tipo de ajuste en el Plan de Inversión Vigente (PIV)</t>
  </si>
  <si>
    <t>Fuente financiamiento que respalda ajuste en el PIV</t>
  </si>
  <si>
    <t>Monto a ser modificado (US$)</t>
  </si>
  <si>
    <t>Causas del ajuste en el Plan de Inversión Vigente (PIV)</t>
  </si>
  <si>
    <t>Impacto del ajuste del PIV del Programa/Proyecto</t>
  </si>
  <si>
    <t>¿Alcance afectado?</t>
  </si>
  <si>
    <t>¿Plazo afectado?</t>
  </si>
  <si>
    <t>Afectación en meses</t>
  </si>
  <si>
    <t>Información o detalles adicionales a compartir</t>
  </si>
  <si>
    <t>Ubicación del Programa/ Proyecto</t>
  </si>
  <si>
    <t>Sector</t>
  </si>
  <si>
    <t>Programa de Alcantarillado y Control de Inundaciones para Limón/SENARA</t>
  </si>
  <si>
    <t>SENARA</t>
  </si>
  <si>
    <t>Previsión</t>
  </si>
  <si>
    <t>Aumento</t>
  </si>
  <si>
    <t>El monto considerado en la formulación de la Ley 9690, es insuficiente para poder cumplir con los objetivos del proyecto, en cuanto a los gastos operativos se refiere.</t>
  </si>
  <si>
    <t>No impacta el alcance del Proyecto, hay un compromiso institucional para la gestión e incorporación de los recursos adicionales de contrapartida para los periodos de 2023 a 2025, los recursos se irán integrando en la programación conforme estén aprobados e incorporados en el presupuesto institucional.</t>
  </si>
  <si>
    <t>No</t>
  </si>
  <si>
    <t>Si</t>
  </si>
  <si>
    <t>Limón</t>
  </si>
  <si>
    <t>Salud</t>
  </si>
  <si>
    <t> </t>
  </si>
  <si>
    <t>Por definir</t>
  </si>
  <si>
    <t>Posterior a la atualización del cuadro de costos en octubre del 2021 , durante el periodo 2021 la Unidad Ejecutora-PAPS (UE-PAPS) realizó una actualización de los presupuestos de las obras pendientes de ejecutar. Este estudio determino un incremento en los costos de las obras pendientes de financiar.</t>
  </si>
  <si>
    <t>No. Los ajuste que se realicen al PIV serían para poder cumplir con los terminos de cumplimiento de objetivos y resultados del Programa, de no realizarse el cambio sí se afectaría el cumplimiento de estos.</t>
  </si>
  <si>
    <t>Aun no se ha estimado</t>
  </si>
  <si>
    <t>Se está trabajando en el documento del estudio de factibilidad para conseguir el financiamiento.</t>
  </si>
  <si>
    <t>Cartago, Huertar Norte y San José</t>
  </si>
  <si>
    <t>COMEX</t>
  </si>
  <si>
    <t>Costos reales superiores a los estimados.</t>
  </si>
  <si>
    <t>Debido al aumento del costo de las construcciones, aun con el aporte local es necesario acortar el alcance de la construcción y equipamiento de dos puestos fronterizos, el Centro de Control Integrado Sabalito y el Centro de Control Las Tablillas.</t>
  </si>
  <si>
    <t>Paso Canoas-Peñas Blancas-Sabalito y Las Tablillas</t>
  </si>
  <si>
    <t>Acción Exterior</t>
  </si>
  <si>
    <t>1420203052013111013 &amp; 1420202052013211015</t>
  </si>
  <si>
    <t>Proyecto Rehabilitación y Ampliación de la Ruta Nacional N°32, Sección: Intersección con la Ruta Nacional 4 - Limón.</t>
  </si>
  <si>
    <t>i) Por la fluctuación cambiaria (Yuan /Dolar), el Crédito Concesional no logró cubrir el monto previsto para pagar al contratista, por lo cual el CONAVI deberá incluir oportunamente dentro de su presupuesto, los recursos pendientes de pagar al contratista del proyecto.
ii) Construcción de Obras adicionales: retornos, 20 puentes peatonales, calles marginales, ciclovias, bahías de autobuses, aceras, rotondas y accesos a fincas que no estaban contemplados en el alcance inicial del proyecto.</t>
  </si>
  <si>
    <t>i) Incrementa el costo total del proyecto, a través de la contrapartida; una vez que se incorpore dentro del presupuesto del CONAVI.
Ii) Incremento en el alcance del proyecto, en caso de que se decida incorporarlos.</t>
  </si>
  <si>
    <t>i) No se ha formalizado este incremento.
ii) En proceso de análisis de obras y costos para tener mayor certeza y tomar decisiones respecto a la incorporación de estas obras dentro del proyecto (no hay nada formalizado).</t>
  </si>
  <si>
    <t>Obras públicas y transportes</t>
  </si>
  <si>
    <t>Cambio formalizado</t>
  </si>
  <si>
    <t xml:space="preserve">Incremento en relocalización de servicios </t>
  </si>
  <si>
    <t>No afecta objetivos ni alcance del proyecto; por el contrario, es necesaria la reubicación de las tuberias del AyA para poder continuar con la construcción de obras.</t>
  </si>
  <si>
    <t>Incluye únicamente aprobaciones en el monto de la contrapartida, por parte del Consejo de Administración del CONAVI.</t>
  </si>
  <si>
    <t>No. Los ajuste que se realicen al PIV serían para poder cumplir con los terminos de cumplimiento de objetivos y resultados del Programa, de no realizarse el cambio sí se afectaría el cumplimiento.</t>
  </si>
  <si>
    <t>19 meses de retraso con respecto al plan operativo (pero con respecto al Acuerdo Separado [Equivalente al Contrato], el atraso es de 38 meses).</t>
  </si>
  <si>
    <t>Comentarios plasmados ante la consulta:
"¿Este ajuste afectará el alcance del Programa?":
Al momento se valoran dos opciones:
1. Búsqueda de financiamiento adicional para cubrir incremento.
2. Disminución del alcance de las áreas de cobertura de los alcantarillados y eliminación de proyectos completos.
La afectación en plazo de ejecución dependerá de la estrategia que se plantee para solucionar el problema del incremento del costo de las obras. La cifra de 19 meses se obtiene respecto al programa original elaborado por la UEN AP, cuando le fue trasladado el programa de Zonas Prioritarias, sin embargo, el retraso con respecto al Acuerdo Separado es de 38 meses.</t>
  </si>
  <si>
    <t>Puntarenas y Alajuela</t>
  </si>
  <si>
    <t>FUENTE: INFORMES DE SEGUIMIENTO DE LAS UNIDADES EJECUTORAS (UE)</t>
  </si>
  <si>
    <r>
      <t>NOTAS:</t>
    </r>
    <r>
      <rPr>
        <b/>
        <sz val="10"/>
        <color rgb="FF000000"/>
        <rFont val="Arial Narrow"/>
        <family val="2"/>
      </rPr>
      <t xml:space="preserve"> </t>
    </r>
  </si>
  <si>
    <r>
      <t>ND:</t>
    </r>
    <r>
      <rPr>
        <sz val="10"/>
        <color rgb="FF000000"/>
        <rFont val="Arial Narrow"/>
        <family val="2"/>
      </rPr>
      <t xml:space="preserve"> No disponible</t>
    </r>
  </si>
  <si>
    <r>
      <t>N/A:</t>
    </r>
    <r>
      <rPr>
        <sz val="10"/>
        <color rgb="FF000000"/>
        <rFont val="Arial Narrow"/>
        <family val="2"/>
      </rPr>
      <t xml:space="preserve"> No Aplica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</si>
</sst>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 &quot;€&quot;;[Red]\-#,##0\ &quot;€&quot;"/>
    <numFmt numFmtId="165" formatCode="_-* #,##0.00\ &quot;€&quot;_-;\-* #,##0.00\ &quot;€&quot;_-;_-* &quot;-&quot;??\ &quot;€&quot;_-;_-@_-"/>
    <numFmt numFmtId="166" formatCode="_(&quot;₡&quot;* #,##0.00_);_(&quot;₡&quot;* \(#,##0.00\);_(&quot;₡&quot;* &quot;-&quot;??_);_(@_)"/>
    <numFmt numFmtId="167" formatCode="_(* #,##0.00_);_(* \(#,##0.00\);_(* &quot;-&quot;??_);_(@_)"/>
    <numFmt numFmtId="168" formatCode="dd/mm/yyyy;@"/>
    <numFmt numFmtId="169" formatCode="_([$€-2]* #,##0.00_);_([$€-2]* \(#,##0.00\);_([$€-2]* &quot;-&quot;??_)"/>
    <numFmt numFmtId="170" formatCode="#,##0.0000"/>
    <numFmt numFmtId="171" formatCode="_(* #,##0.0000_);_(* \(#,##0.0000\);_(* &quot;-&quot;??_);_(@_)"/>
    <numFmt numFmtId="172" formatCode="_(* #,##0.000_);_(* \(#,##0.000\);_(* &quot;-&quot;??_);_(@_)"/>
    <numFmt numFmtId="173" formatCode="_-* #,##0.000_-;\-* #,##0.000_-;_-* &quot;-&quot;???_-;_-@_-"/>
    <numFmt numFmtId="174" formatCode="0.00_ ;[Red]\-0.00\ "/>
    <numFmt numFmtId="175" formatCode="#,##0.00000"/>
    <numFmt numFmtId="176" formatCode="0.0000"/>
    <numFmt numFmtId="177" formatCode="_-* #,##0.00\ _€_-;\-* #,##0.00\ _€_-;_-* &quot;-&quot;??\ _€_-;_-@_-"/>
    <numFmt numFmtId="178" formatCode="_-&quot;XDR&quot;* #,##0.00_-;\-&quot;XDR&quot;* #,##0.00_-;_-&quot;XDR&quot;* &quot;-&quot;??_-;_-@_-"/>
    <numFmt numFmtId="179" formatCode="_(&quot;$&quot;* #,##0.00_);_(&quot;$&quot;* \(#,##0.00\);_(&quot;$&quot;* &quot;-&quot;??_);_(@_)"/>
    <numFmt numFmtId="180" formatCode="#,##0\ _$;[Red]\-#,##0\ _$"/>
    <numFmt numFmtId="181" formatCode="_-* #,##0.00\ [$€]_-;\-* #,##0.00\ [$€]_-;_-* &quot;-&quot;??\ [$€]_-;_-@_-"/>
    <numFmt numFmtId="182" formatCode="_-* #,##0.00\ &quot;$&quot;_-;\-* #,##0.00\ &quot;$&quot;_-;_-* &quot;-&quot;??\ &quot;$&quot;_-;_-@_-"/>
  </numFmts>
  <fonts count="66">
    <font>
      <sz val="10"/>
      <name val="Courie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Courier"/>
      <family val="3"/>
    </font>
    <font>
      <sz val="10"/>
      <name val="Courier"/>
      <family val="3"/>
    </font>
    <font>
      <sz val="10"/>
      <name val="Courier"/>
      <family val="3"/>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theme="1"/>
      <name val="Calibri"/>
      <family val="2"/>
      <scheme val="minor"/>
    </font>
    <font>
      <sz val="12"/>
      <name val="ＭＳ ゴシック"/>
      <family val="3"/>
      <charset val="128"/>
    </font>
    <font>
      <sz val="10"/>
      <name val="Arial"/>
      <family val="2"/>
    </font>
    <font>
      <b/>
      <sz val="10"/>
      <color theme="1"/>
      <name val="Arial Narrow"/>
      <family val="2"/>
    </font>
    <font>
      <sz val="10"/>
      <color theme="1"/>
      <name val="Arial Narrow"/>
      <family val="2"/>
    </font>
    <font>
      <b/>
      <sz val="10"/>
      <name val="Arial Narrow"/>
      <family val="2"/>
    </font>
    <font>
      <sz val="10"/>
      <name val="Arial Narrow"/>
      <family val="2"/>
    </font>
    <font>
      <b/>
      <u/>
      <sz val="10"/>
      <color theme="1"/>
      <name val="Arial Narrow"/>
      <family val="2"/>
    </font>
    <font>
      <b/>
      <vertAlign val="superscript"/>
      <sz val="10"/>
      <color theme="1"/>
      <name val="Arial Narrow"/>
      <family val="2"/>
    </font>
    <font>
      <sz val="10"/>
      <color rgb="FFFF0000"/>
      <name val="Arial Narrow"/>
      <family val="2"/>
    </font>
    <font>
      <b/>
      <vertAlign val="superscript"/>
      <sz val="10"/>
      <name val="Arial Narrow"/>
      <family val="2"/>
    </font>
    <font>
      <b/>
      <sz val="9"/>
      <color theme="1"/>
      <name val="Arial"/>
      <family val="2"/>
    </font>
    <font>
      <vertAlign val="superscript"/>
      <sz val="10"/>
      <color theme="1"/>
      <name val="Arial Narrow"/>
      <family val="2"/>
    </font>
    <font>
      <sz val="8"/>
      <color theme="1"/>
      <name val="Arial Narrow"/>
      <family val="2"/>
    </font>
    <font>
      <sz val="8"/>
      <color rgb="FF000000"/>
      <name val="Arial Narrow"/>
      <family val="2"/>
    </font>
    <font>
      <b/>
      <sz val="8"/>
      <color theme="1"/>
      <name val="Arial Narrow"/>
      <family val="2"/>
    </font>
    <font>
      <sz val="10"/>
      <color rgb="FF000000"/>
      <name val="Arial Narrow"/>
      <family val="2"/>
    </font>
    <font>
      <b/>
      <sz val="10"/>
      <color theme="0"/>
      <name val="Arial Narrow"/>
      <family val="2"/>
    </font>
    <font>
      <u/>
      <sz val="10"/>
      <color theme="10"/>
      <name val="Courier"/>
    </font>
    <font>
      <b/>
      <sz val="16"/>
      <name val="Arial"/>
      <family val="2"/>
    </font>
    <font>
      <b/>
      <sz val="10"/>
      <name val="Arial"/>
      <family val="2"/>
    </font>
    <font>
      <u/>
      <sz val="10"/>
      <color theme="10"/>
      <name val="Arial"/>
      <family val="2"/>
    </font>
    <font>
      <b/>
      <sz val="10"/>
      <color rgb="FF000000"/>
      <name val="Arial Narrow"/>
      <family val="2"/>
    </font>
    <font>
      <vertAlign val="superscript"/>
      <sz val="10"/>
      <color rgb="FF000000"/>
      <name val="Arial Narrow"/>
      <family val="2"/>
    </font>
    <font>
      <sz val="10"/>
      <color rgb="FF0070C0"/>
      <name val="Arial Narrow"/>
      <family val="2"/>
    </font>
    <font>
      <b/>
      <sz val="10"/>
      <color rgb="FF0070C0"/>
      <name val="Arial Narrow"/>
      <family val="2"/>
    </font>
    <font>
      <b/>
      <u/>
      <sz val="10"/>
      <color rgb="FF000000"/>
      <name val="Arial Narrow"/>
      <family val="2"/>
    </font>
    <font>
      <b/>
      <vertAlign val="superscript"/>
      <sz val="11"/>
      <color rgb="FF000000"/>
      <name val="Arial Narrow"/>
      <family val="2"/>
    </font>
    <font>
      <vertAlign val="superscript"/>
      <sz val="11"/>
      <color theme="1"/>
      <name val="Arial Narrow"/>
      <family val="2"/>
    </font>
    <font>
      <b/>
      <sz val="10"/>
      <color rgb="FF000000"/>
      <name val="Arial Narrow"/>
    </font>
    <font>
      <sz val="10"/>
      <color rgb="FF000000"/>
      <name val="Arial Narrow"/>
    </font>
    <font>
      <sz val="10"/>
      <name val="Arial"/>
    </font>
    <font>
      <sz val="12"/>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auto="1"/>
      </top>
      <bottom style="medium">
        <color auto="1"/>
      </bottom>
      <diagonal/>
    </border>
  </borders>
  <cellStyleXfs count="898">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2"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1" fillId="21" borderId="2" applyNumberFormat="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2" fillId="0" borderId="3" applyNumberFormat="0" applyFill="0" applyAlignment="0" applyProtection="0"/>
    <xf numFmtId="0" fontId="21" fillId="21" borderId="2" applyNumberFormat="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0" fontId="24" fillId="7" borderId="1" applyNumberFormat="0" applyAlignment="0" applyProtection="0"/>
    <xf numFmtId="169" fontId="15" fillId="0" borderId="0" applyFont="0" applyFill="0" applyBorder="0" applyAlignment="0" applyProtection="0"/>
    <xf numFmtId="169" fontId="14" fillId="0" borderId="0" applyFont="0" applyFill="0" applyBorder="0" applyAlignment="0" applyProtection="0"/>
    <xf numFmtId="0" fontId="25" fillId="0" borderId="0" applyNumberFormat="0" applyFill="0" applyBorder="0" applyAlignment="0" applyProtection="0"/>
    <xf numFmtId="0" fontId="19" fillId="4" borderId="0" applyNumberFormat="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0" applyNumberFormat="0" applyFill="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24" fillId="7" borderId="1" applyNumberFormat="0" applyAlignment="0" applyProtection="0"/>
    <xf numFmtId="0" fontId="22" fillId="0" borderId="3" applyNumberFormat="0" applyFill="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28" fillId="22" borderId="0" applyNumberFormat="0" applyBorder="0" applyAlignment="0" applyProtection="0"/>
    <xf numFmtId="0" fontId="14" fillId="0" borderId="0"/>
    <xf numFmtId="0" fontId="12" fillId="0" borderId="0"/>
    <xf numFmtId="0" fontId="14" fillId="0" borderId="0"/>
    <xf numFmtId="0" fontId="33" fillId="0" borderId="0"/>
    <xf numFmtId="0" fontId="12" fillId="0" borderId="0"/>
    <xf numFmtId="0" fontId="11" fillId="0" borderId="0"/>
    <xf numFmtId="0" fontId="15" fillId="0" borderId="0"/>
    <xf numFmtId="0" fontId="11" fillId="0" borderId="0"/>
    <xf numFmtId="0" fontId="11"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1" fillId="23" borderId="7" applyNumberFormat="0" applyFont="0" applyAlignment="0" applyProtection="0"/>
    <xf numFmtId="0" fontId="12" fillId="23" borderId="7" applyNumberFormat="0" applyFont="0" applyAlignment="0" applyProtection="0"/>
    <xf numFmtId="0" fontId="29" fillId="20" borderId="8"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29" fillId="20" borderId="8"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2" fillId="0" borderId="9" applyNumberFormat="0" applyFill="0" applyAlignment="0" applyProtection="0"/>
    <xf numFmtId="0" fontId="30" fillId="0" borderId="0" applyNumberFormat="0" applyFill="0" applyBorder="0" applyAlignment="0" applyProtection="0"/>
    <xf numFmtId="0" fontId="10" fillId="0" borderId="0"/>
    <xf numFmtId="167" fontId="10" fillId="0" borderId="0" applyFont="0" applyFill="0" applyBorder="0" applyAlignment="0" applyProtection="0"/>
    <xf numFmtId="9" fontId="10" fillId="0" borderId="0" applyFont="0" applyFill="0" applyBorder="0" applyAlignment="0" applyProtection="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9" fillId="4"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24" fillId="7" borderId="1" applyNumberFormat="0" applyAlignment="0" applyProtection="0"/>
    <xf numFmtId="0" fontId="18" fillId="3" borderId="0" applyNumberFormat="0" applyBorder="0" applyAlignment="0" applyProtection="0"/>
    <xf numFmtId="167" fontId="12" fillId="0" borderId="0" applyFont="0" applyFill="0" applyBorder="0" applyAlignment="0" applyProtection="0"/>
    <xf numFmtId="0" fontId="28" fillId="22" borderId="0" applyNumberFormat="0" applyBorder="0" applyAlignment="0" applyProtection="0"/>
    <xf numFmtId="0" fontId="10" fillId="0" borderId="0"/>
    <xf numFmtId="0" fontId="12" fillId="0" borderId="0"/>
    <xf numFmtId="0" fontId="12" fillId="23" borderId="7" applyNumberFormat="0" applyFont="0" applyAlignment="0" applyProtection="0"/>
    <xf numFmtId="9" fontId="12" fillId="0" borderId="0" applyFont="0" applyFill="0" applyBorder="0" applyAlignment="0" applyProtection="0"/>
    <xf numFmtId="0" fontId="29" fillId="20" borderId="8" applyNumberFormat="0" applyAlignment="0" applyProtection="0"/>
    <xf numFmtId="0" fontId="30" fillId="0" borderId="0" applyNumberFormat="0" applyFill="0" applyBorder="0" applyAlignment="0" applyProtection="0"/>
    <xf numFmtId="0" fontId="25" fillId="0" borderId="0" applyNumberFormat="0" applyFill="0" applyBorder="0" applyAlignment="0" applyProtection="0"/>
    <xf numFmtId="0" fontId="31" fillId="0" borderId="0" applyNumberFormat="0" applyFill="0" applyBorder="0" applyAlignment="0" applyProtection="0"/>
    <xf numFmtId="0" fontId="26" fillId="0" borderId="4" applyNumberFormat="0" applyFill="0" applyAlignment="0" applyProtection="0"/>
    <xf numFmtId="0" fontId="27" fillId="0" borderId="5" applyNumberFormat="0" applyFill="0" applyAlignment="0" applyProtection="0"/>
    <xf numFmtId="0" fontId="23" fillId="0" borderId="6" applyNumberFormat="0" applyFill="0" applyAlignment="0" applyProtection="0"/>
    <xf numFmtId="0" fontId="32" fillId="0" borderId="9" applyNumberFormat="0" applyFill="0" applyAlignment="0" applyProtection="0"/>
    <xf numFmtId="0" fontId="12" fillId="23" borderId="7" applyNumberFormat="0" applyFont="0" applyAlignment="0" applyProtection="0"/>
    <xf numFmtId="0" fontId="9" fillId="0" borderId="0"/>
    <xf numFmtId="167" fontId="9" fillId="0" borderId="0" applyFont="0" applyFill="0" applyBorder="0" applyAlignment="0" applyProtection="0"/>
    <xf numFmtId="9" fontId="9" fillId="0" borderId="0" applyFont="0" applyFill="0" applyBorder="0" applyAlignment="0" applyProtection="0"/>
    <xf numFmtId="165"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167" fontId="12" fillId="0" borderId="0" applyFont="0" applyFill="0" applyBorder="0" applyAlignment="0" applyProtection="0"/>
    <xf numFmtId="0" fontId="12" fillId="0" borderId="0"/>
    <xf numFmtId="0" fontId="34" fillId="0" borderId="0">
      <alignment vertical="center"/>
    </xf>
    <xf numFmtId="0" fontId="9" fillId="0" borderId="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34" fillId="0" borderId="0" applyFont="0" applyFill="0" applyBorder="0" applyAlignment="0" applyProtection="0">
      <alignment vertical="center"/>
    </xf>
    <xf numFmtId="0" fontId="35" fillId="0" borderId="0"/>
    <xf numFmtId="165"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7" fontId="11" fillId="0" borderId="0" applyFont="0" applyFill="0" applyBorder="0" applyAlignment="0" applyProtection="0"/>
    <xf numFmtId="166" fontId="11" fillId="0" borderId="0" applyFont="0" applyFill="0" applyBorder="0" applyAlignment="0" applyProtection="0"/>
    <xf numFmtId="0" fontId="11" fillId="0" borderId="0"/>
    <xf numFmtId="0" fontId="11" fillId="0" borderId="0"/>
    <xf numFmtId="0" fontId="11" fillId="0" borderId="0"/>
    <xf numFmtId="0" fontId="8"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xf numFmtId="9" fontId="11" fillId="0" borderId="0" applyFont="0" applyFill="0" applyBorder="0" applyAlignment="0" applyProtection="0"/>
    <xf numFmtId="0" fontId="7" fillId="0" borderId="0"/>
    <xf numFmtId="0" fontId="11" fillId="0" borderId="0"/>
    <xf numFmtId="9" fontId="11" fillId="0" borderId="0" applyFont="0" applyFill="0" applyBorder="0" applyAlignment="0" applyProtection="0"/>
    <xf numFmtId="0" fontId="11" fillId="0" borderId="0"/>
    <xf numFmtId="0" fontId="7" fillId="0" borderId="0"/>
    <xf numFmtId="167" fontId="7" fillId="0" borderId="0" applyFont="0" applyFill="0" applyBorder="0" applyAlignment="0" applyProtection="0"/>
    <xf numFmtId="0" fontId="7" fillId="0" borderId="0"/>
    <xf numFmtId="167" fontId="7" fillId="0" borderId="0" applyFont="0" applyFill="0" applyBorder="0" applyAlignment="0" applyProtection="0"/>
    <xf numFmtId="0" fontId="14" fillId="0" borderId="0"/>
    <xf numFmtId="166" fontId="14" fillId="0" borderId="0" applyFont="0" applyFill="0" applyBorder="0" applyAlignment="0" applyProtection="0"/>
    <xf numFmtId="167" fontId="11" fillId="0" borderId="0" applyFont="0" applyFill="0" applyBorder="0" applyAlignment="0" applyProtection="0"/>
    <xf numFmtId="0" fontId="6" fillId="0" borderId="0"/>
    <xf numFmtId="0" fontId="11" fillId="0" borderId="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0" fontId="11" fillId="23" borderId="7" applyNumberFormat="0" applyFont="0" applyAlignment="0" applyProtection="0"/>
    <xf numFmtId="9" fontId="11" fillId="0" borderId="0" applyFont="0" applyFill="0" applyBorder="0" applyAlignment="0" applyProtection="0"/>
    <xf numFmtId="9" fontId="11" fillId="0" borderId="0" applyFont="0" applyFill="0" applyBorder="0" applyAlignment="0" applyProtection="0"/>
    <xf numFmtId="0" fontId="6" fillId="0" borderId="0"/>
    <xf numFmtId="167" fontId="6" fillId="0" borderId="0" applyFont="0" applyFill="0" applyBorder="0" applyAlignment="0" applyProtection="0"/>
    <xf numFmtId="9" fontId="6" fillId="0" borderId="0" applyFont="0" applyFill="0" applyBorder="0" applyAlignment="0" applyProtection="0"/>
    <xf numFmtId="0" fontId="6" fillId="0" borderId="0"/>
    <xf numFmtId="0" fontId="11" fillId="0" borderId="0"/>
    <xf numFmtId="0" fontId="11" fillId="23" borderId="7" applyNumberFormat="0" applyFont="0" applyAlignment="0" applyProtection="0"/>
    <xf numFmtId="9" fontId="11" fillId="0" borderId="0" applyFont="0" applyFill="0" applyBorder="0" applyAlignment="0" applyProtection="0"/>
    <xf numFmtId="0" fontId="11" fillId="23" borderId="7" applyNumberFormat="0" applyFont="0" applyAlignment="0" applyProtection="0"/>
    <xf numFmtId="0" fontId="6" fillId="0" borderId="0"/>
    <xf numFmtId="167" fontId="6" fillId="0" borderId="0" applyFont="0" applyFill="0" applyBorder="0" applyAlignment="0" applyProtection="0"/>
    <xf numFmtId="9" fontId="6" fillId="0" borderId="0" applyFont="0" applyFill="0" applyBorder="0" applyAlignment="0" applyProtection="0"/>
    <xf numFmtId="165" fontId="11" fillId="0" borderId="0" applyFont="0" applyFill="0" applyBorder="0" applyAlignment="0" applyProtection="0"/>
    <xf numFmtId="0" fontId="6" fillId="0" borderId="0"/>
    <xf numFmtId="0" fontId="11" fillId="0" borderId="0"/>
    <xf numFmtId="0" fontId="6" fillId="0" borderId="0"/>
    <xf numFmtId="0" fontId="6" fillId="0" borderId="0"/>
    <xf numFmtId="0" fontId="6" fillId="0" borderId="0"/>
    <xf numFmtId="167" fontId="6" fillId="0" borderId="0" applyFont="0" applyFill="0" applyBorder="0" applyAlignment="0" applyProtection="0"/>
    <xf numFmtId="0" fontId="6" fillId="0" borderId="0"/>
    <xf numFmtId="167" fontId="6" fillId="0" borderId="0" applyFont="0" applyFill="0" applyBorder="0" applyAlignment="0" applyProtection="0"/>
    <xf numFmtId="0" fontId="5" fillId="0" borderId="0"/>
    <xf numFmtId="0" fontId="4" fillId="0" borderId="0"/>
    <xf numFmtId="0" fontId="4" fillId="0" borderId="0"/>
    <xf numFmtId="167"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7"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0" fontId="4" fillId="0" borderId="0"/>
    <xf numFmtId="167"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7"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0" fontId="3" fillId="0" borderId="0"/>
    <xf numFmtId="167" fontId="3" fillId="0" borderId="0" applyFont="0" applyFill="0" applyBorder="0" applyAlignment="0" applyProtection="0"/>
    <xf numFmtId="0" fontId="14"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1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2"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 fillId="0" borderId="0"/>
    <xf numFmtId="43" fontId="1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44" fontId="14" fillId="0" borderId="0" applyFont="0" applyFill="0" applyBorder="0" applyAlignment="0" applyProtection="0"/>
    <xf numFmtId="43" fontId="11"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51" fillId="0" borderId="0" applyNumberFormat="0" applyFill="0" applyBorder="0" applyAlignment="0" applyProtection="0"/>
    <xf numFmtId="0" fontId="64" fillId="0" borderId="0"/>
    <xf numFmtId="0" fontId="1" fillId="0" borderId="0"/>
    <xf numFmtId="9" fontId="1" fillId="0" borderId="0" applyFont="0" applyFill="0" applyBorder="0" applyAlignment="0" applyProtection="0"/>
    <xf numFmtId="0" fontId="1" fillId="0" borderId="0"/>
    <xf numFmtId="180" fontId="11" fillId="0" borderId="0" applyFill="0" applyAlignment="0" applyProtection="0"/>
    <xf numFmtId="164" fontId="11" fillId="0" borderId="0" applyFont="0" applyFill="0" applyBorder="0" applyAlignment="0" applyProtection="0"/>
    <xf numFmtId="177" fontId="11" fillId="0" borderId="0" applyFill="0" applyBorder="0" applyAlignment="0" applyProtection="0"/>
    <xf numFmtId="179" fontId="1" fillId="0" borderId="0" applyFont="0" applyFill="0" applyBorder="0" applyAlignment="0" applyProtection="0"/>
    <xf numFmtId="0" fontId="65" fillId="0" borderId="0"/>
    <xf numFmtId="0" fontId="65" fillId="0" borderId="0"/>
    <xf numFmtId="0" fontId="34" fillId="0" borderId="0">
      <alignment vertical="center"/>
    </xf>
    <xf numFmtId="0" fontId="1" fillId="0" borderId="0"/>
    <xf numFmtId="0" fontId="65" fillId="0" borderId="0"/>
    <xf numFmtId="0" fontId="65" fillId="0" borderId="0"/>
    <xf numFmtId="0" fontId="1" fillId="0" borderId="0"/>
    <xf numFmtId="9" fontId="11" fillId="0" borderId="0" applyFill="0" applyBorder="0" applyAlignment="0" applyProtection="0"/>
    <xf numFmtId="0" fontId="11" fillId="0" borderId="0" applyNumberFormat="0" applyFill="0" applyBorder="0" applyAlignment="0" applyProtection="0"/>
    <xf numFmtId="9" fontId="16" fillId="0" borderId="0" applyFont="0" applyFill="0" applyBorder="0" applyAlignment="0" applyProtection="0"/>
    <xf numFmtId="9" fontId="11" fillId="0" borderId="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9" fontId="16" fillId="0" borderId="0" applyFont="0" applyFill="0" applyBorder="0" applyAlignment="0" applyProtection="0"/>
    <xf numFmtId="0" fontId="11" fillId="0" borderId="0"/>
    <xf numFmtId="181" fontId="11" fillId="0" borderId="0" applyFont="0" applyFill="0" applyBorder="0" applyAlignment="0" applyProtection="0"/>
    <xf numFmtId="0" fontId="11" fillId="0" borderId="0" applyNumberFormat="0" applyFont="0" applyFill="0" applyBorder="0" applyAlignment="0" applyProtection="0">
      <alignment vertical="top"/>
    </xf>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8" fontId="11" fillId="0" borderId="0" applyFont="0" applyFill="0" applyBorder="0" applyAlignment="0" applyProtection="0"/>
    <xf numFmtId="43"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82"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0" fontId="11" fillId="0" borderId="0"/>
    <xf numFmtId="182"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2"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77" fontId="11" fillId="0" borderId="0" applyFont="0" applyFill="0" applyBorder="0" applyAlignment="0" applyProtection="0"/>
    <xf numFmtId="177" fontId="11" fillId="0" borderId="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7" fontId="11" fillId="0" borderId="0" applyFont="0" applyFill="0" applyBorder="0" applyAlignment="0" applyProtection="0"/>
    <xf numFmtId="177" fontId="11" fillId="0" borderId="0" applyFont="0" applyFill="0" applyBorder="0" applyAlignment="0" applyProtection="0"/>
    <xf numFmtId="0" fontId="1" fillId="0" borderId="0"/>
    <xf numFmtId="43" fontId="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43" fontId="1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43" fontId="11" fillId="0" borderId="0" applyFont="0" applyFill="0" applyBorder="0" applyAlignment="0" applyProtection="0"/>
    <xf numFmtId="0" fontId="1" fillId="0" borderId="0"/>
    <xf numFmtId="182"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82"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1" fillId="0" borderId="0" applyFont="0" applyFill="0" applyBorder="0" applyAlignment="0" applyProtection="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179" fontId="1" fillId="0" borderId="0" applyFont="0" applyFill="0" applyBorder="0" applyAlignment="0" applyProtection="0"/>
    <xf numFmtId="0" fontId="1" fillId="0" borderId="0"/>
    <xf numFmtId="0" fontId="1" fillId="0" borderId="0"/>
    <xf numFmtId="0" fontId="1" fillId="0" borderId="0"/>
    <xf numFmtId="179"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54" fillId="0" borderId="0" applyNumberFormat="0" applyFill="0" applyBorder="0" applyAlignment="0" applyProtection="0"/>
  </cellStyleXfs>
  <cellXfs count="468">
    <xf numFmtId="0" fontId="0" fillId="0" borderId="0" xfId="0"/>
    <xf numFmtId="0" fontId="36" fillId="0" borderId="0" xfId="0" applyFont="1" applyAlignment="1" applyProtection="1">
      <alignment horizontal="left" vertical="center" wrapText="1"/>
    </xf>
    <xf numFmtId="0" fontId="52" fillId="0" borderId="0" xfId="0" applyFont="1" applyAlignment="1" applyProtection="1">
      <alignment horizontal="center" wrapText="1"/>
    </xf>
    <xf numFmtId="0" fontId="11" fillId="0" borderId="0" xfId="0" applyFont="1" applyProtection="1"/>
    <xf numFmtId="0" fontId="53" fillId="0" borderId="0" xfId="0" applyFont="1" applyProtection="1"/>
    <xf numFmtId="0" fontId="11" fillId="0" borderId="0" xfId="0" applyFont="1" applyAlignment="1" applyProtection="1">
      <alignment horizontal="left"/>
    </xf>
    <xf numFmtId="0" fontId="0" fillId="0" borderId="0" xfId="0" applyProtection="1"/>
    <xf numFmtId="0" fontId="54" fillId="0" borderId="0" xfId="514" applyFont="1" applyAlignment="1" applyProtection="1">
      <alignment horizontal="left"/>
    </xf>
    <xf numFmtId="0" fontId="37" fillId="0" borderId="0" xfId="0" applyFont="1" applyAlignment="1" applyProtection="1">
      <alignment horizontal="center"/>
    </xf>
    <xf numFmtId="0" fontId="37" fillId="0" borderId="0" xfId="0" applyFont="1" applyProtection="1"/>
    <xf numFmtId="14" fontId="36" fillId="0" borderId="0" xfId="0" applyNumberFormat="1" applyFont="1" applyAlignment="1" applyProtection="1">
      <alignment horizontal="center" vertical="center"/>
    </xf>
    <xf numFmtId="14" fontId="36" fillId="25" borderId="0" xfId="0" applyNumberFormat="1" applyFont="1" applyFill="1" applyAlignment="1" applyProtection="1">
      <alignment horizontal="center" vertical="center"/>
    </xf>
    <xf numFmtId="14" fontId="36" fillId="0" borderId="0" xfId="177" applyNumberFormat="1" applyFont="1" applyAlignment="1" applyProtection="1">
      <alignment horizontal="center" vertical="center"/>
    </xf>
    <xf numFmtId="0" fontId="36" fillId="26" borderId="12" xfId="0" applyFont="1" applyFill="1" applyBorder="1" applyAlignment="1" applyProtection="1">
      <alignment horizontal="center" vertical="center" wrapText="1"/>
    </xf>
    <xf numFmtId="0" fontId="44" fillId="26" borderId="12" xfId="0" applyFont="1" applyFill="1" applyBorder="1" applyAlignment="1" applyProtection="1">
      <alignment horizontal="center" vertical="center" wrapText="1"/>
    </xf>
    <xf numFmtId="0" fontId="38" fillId="26" borderId="12" xfId="0" applyFont="1" applyFill="1" applyBorder="1" applyAlignment="1" applyProtection="1">
      <alignment horizontal="center" vertical="center" wrapText="1"/>
    </xf>
    <xf numFmtId="0" fontId="37" fillId="0" borderId="0" xfId="0" applyFont="1" applyAlignment="1" applyProtection="1">
      <alignment horizontal="center"/>
    </xf>
    <xf numFmtId="0" fontId="37" fillId="0" borderId="15" xfId="0" applyFont="1" applyBorder="1" applyAlignment="1" applyProtection="1">
      <alignment horizontal="left"/>
    </xf>
    <xf numFmtId="0" fontId="37" fillId="0" borderId="16" xfId="0" applyFont="1" applyBorder="1" applyAlignment="1" applyProtection="1">
      <alignment horizontal="left"/>
    </xf>
    <xf numFmtId="0" fontId="37" fillId="0" borderId="16" xfId="0" applyFont="1" applyBorder="1" applyProtection="1"/>
    <xf numFmtId="0" fontId="39" fillId="0" borderId="16" xfId="0" applyFont="1" applyBorder="1" applyProtection="1"/>
    <xf numFmtId="0" fontId="37" fillId="0" borderId="20" xfId="0" applyFont="1" applyBorder="1" applyProtection="1"/>
    <xf numFmtId="2" fontId="37" fillId="0" borderId="0" xfId="0" applyNumberFormat="1" applyFont="1" applyProtection="1"/>
    <xf numFmtId="0" fontId="40" fillId="0" borderId="14" xfId="0" applyFont="1" applyBorder="1" applyAlignment="1" applyProtection="1">
      <alignment vertical="center"/>
    </xf>
    <xf numFmtId="0" fontId="37" fillId="0" borderId="0" xfId="0" applyFont="1" applyAlignment="1" applyProtection="1">
      <alignment horizontal="right"/>
    </xf>
    <xf numFmtId="0" fontId="37" fillId="0" borderId="0" xfId="0" applyFont="1" applyAlignment="1" applyProtection="1">
      <alignment horizontal="center" wrapText="1"/>
    </xf>
    <xf numFmtId="0" fontId="37" fillId="25" borderId="0" xfId="0" applyFont="1" applyFill="1" applyProtection="1"/>
    <xf numFmtId="3" fontId="37" fillId="25" borderId="0" xfId="0" applyNumberFormat="1" applyFont="1" applyFill="1" applyAlignment="1" applyProtection="1">
      <alignment horizontal="right"/>
    </xf>
    <xf numFmtId="0" fontId="37" fillId="0" borderId="17" xfId="0" applyFont="1" applyBorder="1" applyProtection="1"/>
    <xf numFmtId="0" fontId="36" fillId="0" borderId="14" xfId="0" applyFont="1" applyBorder="1" applyAlignment="1" applyProtection="1">
      <alignment horizontal="left" vertical="center"/>
    </xf>
    <xf numFmtId="0" fontId="37" fillId="0" borderId="0" xfId="0" applyFont="1" applyAlignment="1" applyProtection="1">
      <alignment horizontal="left" vertical="center" wrapText="1"/>
    </xf>
    <xf numFmtId="0" fontId="37" fillId="0" borderId="0" xfId="0" applyFont="1" applyAlignment="1" applyProtection="1">
      <alignment horizontal="center" vertical="center"/>
    </xf>
    <xf numFmtId="4" fontId="37" fillId="25" borderId="0" xfId="0" applyNumberFormat="1" applyFont="1" applyFill="1" applyAlignment="1" applyProtection="1">
      <alignment horizontal="center" vertical="center"/>
    </xf>
    <xf numFmtId="14" fontId="37" fillId="25" borderId="0" xfId="0" applyNumberFormat="1" applyFont="1" applyFill="1" applyAlignment="1" applyProtection="1">
      <alignment horizontal="center" vertical="center"/>
    </xf>
    <xf numFmtId="49" fontId="37" fillId="25" borderId="0" xfId="0" applyNumberFormat="1" applyFont="1" applyFill="1" applyAlignment="1" applyProtection="1">
      <alignment horizontal="center" vertical="center"/>
    </xf>
    <xf numFmtId="168" fontId="37" fillId="25" borderId="0" xfId="0" applyNumberFormat="1" applyFont="1" applyFill="1" applyAlignment="1" applyProtection="1">
      <alignment horizontal="center" vertical="center"/>
    </xf>
    <xf numFmtId="0" fontId="37" fillId="25" borderId="0" xfId="0" applyFont="1" applyFill="1" applyAlignment="1" applyProtection="1">
      <alignment horizontal="center" vertical="center"/>
    </xf>
    <xf numFmtId="14" fontId="37" fillId="0" borderId="17" xfId="0" applyNumberFormat="1" applyFont="1" applyBorder="1" applyAlignment="1" applyProtection="1">
      <alignment horizontal="center" vertical="center"/>
    </xf>
    <xf numFmtId="2" fontId="37" fillId="25" borderId="0" xfId="0" applyNumberFormat="1" applyFont="1" applyFill="1" applyProtection="1"/>
    <xf numFmtId="0" fontId="37" fillId="0" borderId="0" xfId="0" applyFont="1" applyAlignment="1" applyProtection="1">
      <alignment horizontal="left" vertical="center"/>
    </xf>
    <xf numFmtId="14" fontId="37" fillId="25" borderId="0" xfId="0" applyNumberFormat="1" applyFont="1" applyFill="1" applyAlignment="1" applyProtection="1">
      <alignment horizontal="center" vertical="center" wrapText="1"/>
    </xf>
    <xf numFmtId="14" fontId="37" fillId="0" borderId="17" xfId="0" applyNumberFormat="1" applyFont="1" applyBorder="1" applyAlignment="1" applyProtection="1">
      <alignment horizontal="center" vertical="center" wrapText="1"/>
    </xf>
    <xf numFmtId="14" fontId="39" fillId="25" borderId="0" xfId="0" applyNumberFormat="1" applyFont="1" applyFill="1" applyAlignment="1" applyProtection="1">
      <alignment horizontal="center" vertical="center" wrapText="1"/>
    </xf>
    <xf numFmtId="0" fontId="36" fillId="0" borderId="0" xfId="0" applyFont="1" applyAlignment="1" applyProtection="1">
      <alignment horizontal="center" vertical="center"/>
    </xf>
    <xf numFmtId="0" fontId="36" fillId="0" borderId="0" xfId="0" applyFont="1" applyAlignment="1" applyProtection="1">
      <alignment vertical="center"/>
    </xf>
    <xf numFmtId="4" fontId="36" fillId="25" borderId="0" xfId="0" applyNumberFormat="1" applyFont="1" applyFill="1" applyAlignment="1" applyProtection="1">
      <alignment horizontal="center" vertical="center"/>
    </xf>
    <xf numFmtId="0" fontId="36" fillId="0" borderId="0" xfId="0" applyFont="1" applyProtection="1"/>
    <xf numFmtId="168" fontId="36" fillId="25" borderId="0" xfId="0" applyNumberFormat="1" applyFont="1" applyFill="1" applyAlignment="1" applyProtection="1">
      <alignment horizontal="center" vertical="center"/>
    </xf>
    <xf numFmtId="0" fontId="40" fillId="0" borderId="14" xfId="0" applyFont="1" applyBorder="1" applyAlignment="1" applyProtection="1">
      <alignment horizontal="left" vertical="center"/>
    </xf>
    <xf numFmtId="0" fontId="37" fillId="0" borderId="0" xfId="0" applyFont="1" applyAlignment="1" applyProtection="1">
      <alignment vertical="center"/>
    </xf>
    <xf numFmtId="167" fontId="37" fillId="25" borderId="0" xfId="162" applyFont="1" applyFill="1" applyBorder="1" applyAlignment="1" applyProtection="1">
      <alignment horizontal="center" vertical="center"/>
    </xf>
    <xf numFmtId="0" fontId="37" fillId="0" borderId="17" xfId="0" applyFont="1" applyBorder="1" applyAlignment="1" applyProtection="1">
      <alignment horizontal="center" vertical="center"/>
    </xf>
    <xf numFmtId="0" fontId="37" fillId="0" borderId="0" xfId="176" applyFont="1" applyAlignment="1" applyProtection="1">
      <alignment horizontal="left" vertical="center" wrapText="1"/>
    </xf>
    <xf numFmtId="14" fontId="37" fillId="25" borderId="0" xfId="177" applyNumberFormat="1" applyFont="1" applyFill="1" applyAlignment="1" applyProtection="1">
      <alignment horizontal="center" vertical="center"/>
    </xf>
    <xf numFmtId="0" fontId="36" fillId="0" borderId="14" xfId="0" applyFont="1" applyBorder="1" applyAlignment="1" applyProtection="1">
      <alignment horizontal="left" vertical="center" wrapText="1"/>
    </xf>
    <xf numFmtId="0" fontId="37" fillId="0" borderId="0" xfId="0" applyFont="1" applyAlignment="1" applyProtection="1">
      <alignment horizontal="center" vertical="center"/>
    </xf>
    <xf numFmtId="168" fontId="37" fillId="25" borderId="0" xfId="0" applyNumberFormat="1" applyFont="1" applyFill="1" applyAlignment="1" applyProtection="1">
      <alignment horizontal="center" vertical="center"/>
    </xf>
    <xf numFmtId="0" fontId="37" fillId="25" borderId="0" xfId="0" applyFont="1" applyFill="1" applyAlignment="1" applyProtection="1">
      <alignment horizontal="center" vertical="center"/>
    </xf>
    <xf numFmtId="14" fontId="37" fillId="25" borderId="0" xfId="177" applyNumberFormat="1" applyFont="1" applyFill="1" applyAlignment="1" applyProtection="1">
      <alignment horizontal="center" vertical="center"/>
    </xf>
    <xf numFmtId="14" fontId="37" fillId="0" borderId="17" xfId="0" applyNumberFormat="1" applyFont="1" applyBorder="1" applyAlignment="1" applyProtection="1">
      <alignment horizontal="center" vertical="center"/>
    </xf>
    <xf numFmtId="0" fontId="36" fillId="25" borderId="14" xfId="0" applyFont="1" applyFill="1" applyBorder="1" applyAlignment="1" applyProtection="1">
      <alignment horizontal="left" vertical="center" wrapText="1"/>
    </xf>
    <xf numFmtId="0" fontId="37" fillId="0" borderId="0" xfId="0" applyFont="1" applyAlignment="1" applyProtection="1">
      <alignment horizontal="justify" vertical="center" wrapText="1"/>
    </xf>
    <xf numFmtId="168" fontId="37" fillId="25" borderId="0" xfId="177" applyNumberFormat="1" applyFont="1" applyFill="1" applyAlignment="1" applyProtection="1">
      <alignment horizontal="center" vertical="center"/>
    </xf>
    <xf numFmtId="0" fontId="36" fillId="25" borderId="0" xfId="0" applyFont="1" applyFill="1" applyAlignment="1" applyProtection="1">
      <alignment horizontal="center" vertical="center"/>
    </xf>
    <xf numFmtId="3" fontId="36" fillId="25" borderId="0" xfId="0" applyNumberFormat="1" applyFont="1" applyFill="1" applyAlignment="1" applyProtection="1">
      <alignment horizontal="center" vertical="center"/>
    </xf>
    <xf numFmtId="3" fontId="37" fillId="25" borderId="0" xfId="0" applyNumberFormat="1" applyFont="1" applyFill="1" applyAlignment="1" applyProtection="1">
      <alignment horizontal="center" vertical="center"/>
    </xf>
    <xf numFmtId="0" fontId="36" fillId="0" borderId="17" xfId="0" applyFont="1" applyBorder="1" applyAlignment="1" applyProtection="1">
      <alignment horizontal="center" vertical="center"/>
    </xf>
    <xf numFmtId="2" fontId="36" fillId="0" borderId="0" xfId="0" applyNumberFormat="1" applyFont="1" applyProtection="1"/>
    <xf numFmtId="0" fontId="37" fillId="0" borderId="14" xfId="0" applyFont="1" applyBorder="1" applyAlignment="1" applyProtection="1">
      <alignment horizontal="left" vertical="center"/>
    </xf>
    <xf numFmtId="0" fontId="37" fillId="0" borderId="0" xfId="0" applyFont="1" applyAlignment="1" applyProtection="1">
      <alignment vertical="center" wrapText="1"/>
    </xf>
    <xf numFmtId="49" fontId="37" fillId="25" borderId="0" xfId="0" applyNumberFormat="1" applyFont="1" applyFill="1" applyAlignment="1" applyProtection="1">
      <alignment horizontal="center" vertical="center"/>
    </xf>
    <xf numFmtId="168" fontId="37" fillId="25" borderId="0" xfId="0" applyNumberFormat="1" applyFont="1" applyFill="1" applyAlignment="1" applyProtection="1">
      <alignment horizontal="center" vertical="center" wrapText="1"/>
    </xf>
    <xf numFmtId="0" fontId="36" fillId="0" borderId="0" xfId="0" applyFont="1" applyAlignment="1" applyProtection="1">
      <alignment horizontal="left"/>
    </xf>
    <xf numFmtId="3" fontId="36" fillId="0" borderId="0" xfId="0" applyNumberFormat="1" applyFont="1" applyAlignment="1" applyProtection="1">
      <alignment vertical="center"/>
    </xf>
    <xf numFmtId="0" fontId="36" fillId="0" borderId="13" xfId="0" applyFont="1" applyBorder="1" applyAlignment="1" applyProtection="1">
      <alignment horizontal="left"/>
    </xf>
    <xf numFmtId="0" fontId="36" fillId="0" borderId="10" xfId="0" applyFont="1" applyBorder="1" applyAlignment="1" applyProtection="1">
      <alignment horizontal="left"/>
    </xf>
    <xf numFmtId="0" fontId="36" fillId="0" borderId="10" xfId="0" applyFont="1" applyBorder="1" applyProtection="1"/>
    <xf numFmtId="4" fontId="37" fillId="0" borderId="10" xfId="0" applyNumberFormat="1" applyFont="1" applyBorder="1" applyAlignment="1" applyProtection="1">
      <alignment horizontal="center" vertical="center"/>
    </xf>
    <xf numFmtId="0" fontId="36" fillId="0" borderId="10" xfId="0" applyFont="1" applyBorder="1" applyAlignment="1" applyProtection="1">
      <alignment horizontal="center" vertical="center"/>
    </xf>
    <xf numFmtId="3" fontId="36" fillId="0" borderId="10" xfId="0" applyNumberFormat="1" applyFont="1" applyBorder="1" applyAlignment="1" applyProtection="1">
      <alignment horizontal="center" vertical="center"/>
    </xf>
    <xf numFmtId="0" fontId="36" fillId="0" borderId="18" xfId="0" applyFont="1" applyBorder="1" applyAlignment="1" applyProtection="1">
      <alignment horizontal="center" vertical="center"/>
    </xf>
    <xf numFmtId="4" fontId="37" fillId="0" borderId="0" xfId="0" applyNumberFormat="1" applyFont="1" applyProtection="1"/>
    <xf numFmtId="0" fontId="40" fillId="25" borderId="0" xfId="0" applyFont="1" applyFill="1" applyAlignment="1" applyProtection="1">
      <alignment horizontal="left"/>
    </xf>
    <xf numFmtId="167" fontId="37" fillId="25" borderId="0" xfId="308" applyFont="1" applyFill="1" applyProtection="1"/>
    <xf numFmtId="0" fontId="36" fillId="25" borderId="0" xfId="0" applyFont="1" applyFill="1" applyAlignment="1" applyProtection="1">
      <alignment horizontal="left" vertical="center"/>
    </xf>
    <xf numFmtId="0" fontId="37" fillId="25" borderId="0" xfId="0" applyFont="1" applyFill="1" applyAlignment="1" applyProtection="1">
      <alignment horizontal="left" vertical="center"/>
    </xf>
    <xf numFmtId="10" fontId="37" fillId="25" borderId="0" xfId="343" applyNumberFormat="1" applyFont="1" applyFill="1" applyAlignment="1" applyProtection="1">
      <alignment horizontal="left" vertical="center"/>
    </xf>
    <xf numFmtId="0" fontId="39" fillId="0" borderId="0" xfId="0" applyFont="1" applyAlignment="1" applyProtection="1">
      <alignment vertical="center"/>
    </xf>
    <xf numFmtId="0" fontId="57" fillId="0" borderId="0" xfId="0" applyFont="1" applyAlignment="1" applyProtection="1">
      <alignment vertical="center"/>
    </xf>
    <xf numFmtId="0" fontId="63" fillId="0" borderId="0" xfId="0" applyFont="1" applyAlignment="1" applyProtection="1">
      <alignment horizontal="left" vertical="center"/>
    </xf>
    <xf numFmtId="0" fontId="37" fillId="0" borderId="0" xfId="0" applyFont="1" applyAlignment="1" applyProtection="1">
      <alignment horizontal="left"/>
    </xf>
    <xf numFmtId="0" fontId="39" fillId="0" borderId="0" xfId="0" applyFont="1" applyProtection="1"/>
    <xf numFmtId="0" fontId="42" fillId="25" borderId="0" xfId="0" applyFont="1" applyFill="1" applyAlignment="1" applyProtection="1">
      <alignment horizontal="left" vertical="center"/>
    </xf>
    <xf numFmtId="0" fontId="42" fillId="25" borderId="0" xfId="0" applyFont="1" applyFill="1" applyAlignment="1" applyProtection="1">
      <alignment horizontal="left" vertical="center"/>
    </xf>
    <xf numFmtId="0" fontId="42" fillId="0" borderId="0" xfId="0" applyFont="1" applyAlignment="1" applyProtection="1">
      <alignment horizontal="left"/>
    </xf>
    <xf numFmtId="0" fontId="42" fillId="0" borderId="0" xfId="0" applyFont="1" applyProtection="1"/>
    <xf numFmtId="4" fontId="39" fillId="0" borderId="0" xfId="0" applyNumberFormat="1" applyFont="1" applyProtection="1"/>
    <xf numFmtId="14" fontId="36" fillId="0" borderId="10" xfId="0" applyNumberFormat="1" applyFont="1" applyBorder="1" applyAlignment="1" applyProtection="1">
      <alignment horizontal="center" vertical="center"/>
    </xf>
    <xf numFmtId="0" fontId="36" fillId="26" borderId="22" xfId="0" applyFont="1" applyFill="1" applyBorder="1" applyAlignment="1" applyProtection="1">
      <alignment horizontal="center" vertical="center" wrapText="1"/>
    </xf>
    <xf numFmtId="0" fontId="38" fillId="26" borderId="21" xfId="0" applyFont="1" applyFill="1" applyBorder="1" applyAlignment="1" applyProtection="1">
      <alignment horizontal="center" vertical="center"/>
    </xf>
    <xf numFmtId="0" fontId="38" fillId="26" borderId="19" xfId="0" applyFont="1" applyFill="1" applyBorder="1" applyAlignment="1" applyProtection="1">
      <alignment horizontal="center" vertical="center"/>
    </xf>
    <xf numFmtId="0" fontId="36" fillId="26" borderId="21" xfId="0" applyFont="1" applyFill="1" applyBorder="1" applyAlignment="1" applyProtection="1">
      <alignment horizontal="center" vertical="center"/>
    </xf>
    <xf numFmtId="0" fontId="36" fillId="26" borderId="25" xfId="0" applyFont="1" applyFill="1" applyBorder="1" applyAlignment="1" applyProtection="1">
      <alignment horizontal="center" vertical="center"/>
    </xf>
    <xf numFmtId="0" fontId="36" fillId="26" borderId="19" xfId="0" applyFont="1" applyFill="1" applyBorder="1" applyAlignment="1" applyProtection="1">
      <alignment horizontal="center" vertical="center"/>
    </xf>
    <xf numFmtId="0" fontId="36" fillId="26" borderId="11" xfId="0" applyFont="1" applyFill="1" applyBorder="1" applyAlignment="1" applyProtection="1">
      <alignment horizontal="center" vertical="center" wrapText="1"/>
    </xf>
    <xf numFmtId="4" fontId="37" fillId="25" borderId="0" xfId="0" applyNumberFormat="1" applyFont="1" applyFill="1" applyAlignment="1" applyProtection="1">
      <alignment horizontal="right"/>
    </xf>
    <xf numFmtId="4" fontId="37" fillId="25" borderId="0" xfId="0" applyNumberFormat="1" applyFont="1" applyFill="1" applyAlignment="1" applyProtection="1">
      <alignment horizontal="center"/>
    </xf>
    <xf numFmtId="10" fontId="37" fillId="25" borderId="0" xfId="186" applyNumberFormat="1" applyFont="1" applyFill="1" applyBorder="1" applyAlignment="1" applyProtection="1">
      <alignment horizontal="center"/>
    </xf>
    <xf numFmtId="4" fontId="37" fillId="0" borderId="17" xfId="0" applyNumberFormat="1" applyFont="1" applyBorder="1" applyProtection="1"/>
    <xf numFmtId="0" fontId="37" fillId="0" borderId="0" xfId="0" applyFont="1" applyAlignment="1" applyProtection="1">
      <alignment horizontal="left" vertical="top" wrapText="1"/>
    </xf>
    <xf numFmtId="4" fontId="37" fillId="0" borderId="0" xfId="0" applyNumberFormat="1" applyFont="1" applyAlignment="1" applyProtection="1">
      <alignment horizontal="center" vertical="center"/>
    </xf>
    <xf numFmtId="10" fontId="37" fillId="25" borderId="0" xfId="186" applyNumberFormat="1" applyFont="1" applyFill="1" applyBorder="1" applyAlignment="1" applyProtection="1">
      <alignment horizontal="center" vertical="center"/>
    </xf>
    <xf numFmtId="3" fontId="37" fillId="0" borderId="0" xfId="0" applyNumberFormat="1" applyFont="1" applyAlignment="1" applyProtection="1">
      <alignment horizontal="center" vertical="center"/>
    </xf>
    <xf numFmtId="3" fontId="37" fillId="0" borderId="17" xfId="0" applyNumberFormat="1" applyFont="1" applyBorder="1" applyAlignment="1" applyProtection="1">
      <alignment horizontal="center" vertical="center"/>
    </xf>
    <xf numFmtId="10" fontId="37" fillId="0" borderId="0" xfId="0" applyNumberFormat="1" applyFont="1" applyProtection="1"/>
    <xf numFmtId="3" fontId="37" fillId="0" borderId="0" xfId="0" applyNumberFormat="1" applyFont="1" applyAlignment="1" applyProtection="1">
      <alignment horizontal="center" vertical="center" wrapText="1"/>
    </xf>
    <xf numFmtId="0" fontId="49" fillId="0" borderId="0" xfId="0" applyFont="1" applyAlignment="1" applyProtection="1">
      <alignment horizontal="left" vertical="center" wrapText="1"/>
    </xf>
    <xf numFmtId="4" fontId="36" fillId="0" borderId="0" xfId="0" applyNumberFormat="1" applyFont="1" applyAlignment="1" applyProtection="1">
      <alignment horizontal="center" vertical="center"/>
    </xf>
    <xf numFmtId="3" fontId="36" fillId="0" borderId="0" xfId="0" applyNumberFormat="1" applyFont="1" applyAlignment="1" applyProtection="1">
      <alignment horizontal="center" vertical="center"/>
    </xf>
    <xf numFmtId="10" fontId="37" fillId="25" borderId="0" xfId="186" applyNumberFormat="1" applyFont="1" applyFill="1" applyBorder="1" applyAlignment="1" applyProtection="1">
      <alignment horizontal="center" vertical="center"/>
    </xf>
    <xf numFmtId="3" fontId="37" fillId="0" borderId="0" xfId="0" applyNumberFormat="1" applyFont="1" applyAlignment="1" applyProtection="1">
      <alignment horizontal="center" vertical="center"/>
    </xf>
    <xf numFmtId="4" fontId="37" fillId="0" borderId="0" xfId="0" applyNumberFormat="1" applyFont="1" applyAlignment="1" applyProtection="1">
      <alignment horizontal="center" vertical="center"/>
    </xf>
    <xf numFmtId="3" fontId="37" fillId="0" borderId="17" xfId="0" applyNumberFormat="1" applyFont="1" applyBorder="1" applyAlignment="1" applyProtection="1">
      <alignment horizontal="center" vertical="center"/>
    </xf>
    <xf numFmtId="0" fontId="36" fillId="0" borderId="0" xfId="0" applyFont="1" applyAlignment="1" applyProtection="1">
      <alignment horizontal="center"/>
    </xf>
    <xf numFmtId="4" fontId="38" fillId="0" borderId="0" xfId="0" applyNumberFormat="1" applyFont="1" applyAlignment="1" applyProtection="1">
      <alignment horizontal="center" vertical="center"/>
    </xf>
    <xf numFmtId="4" fontId="38" fillId="25" borderId="0" xfId="0" applyNumberFormat="1" applyFont="1" applyFill="1" applyAlignment="1" applyProtection="1">
      <alignment horizontal="center" vertical="center"/>
    </xf>
    <xf numFmtId="10" fontId="36" fillId="25" borderId="0" xfId="186" applyNumberFormat="1" applyFont="1" applyFill="1" applyBorder="1" applyAlignment="1" applyProtection="1">
      <alignment horizontal="center" vertical="center"/>
    </xf>
    <xf numFmtId="3" fontId="36" fillId="0" borderId="17" xfId="0" applyNumberFormat="1" applyFont="1" applyBorder="1" applyAlignment="1" applyProtection="1">
      <alignment horizontal="center" vertical="center"/>
    </xf>
    <xf numFmtId="14" fontId="50" fillId="25" borderId="0" xfId="0" applyNumberFormat="1" applyFont="1" applyFill="1" applyProtection="1"/>
    <xf numFmtId="0" fontId="36" fillId="25" borderId="0" xfId="0" applyFont="1" applyFill="1" applyProtection="1"/>
    <xf numFmtId="0" fontId="50" fillId="25" borderId="0" xfId="0" applyFont="1" applyFill="1" applyProtection="1"/>
    <xf numFmtId="10" fontId="37" fillId="0" borderId="0" xfId="186" applyNumberFormat="1" applyFont="1" applyFill="1" applyBorder="1" applyAlignment="1" applyProtection="1">
      <alignment horizontal="center" vertical="center"/>
    </xf>
    <xf numFmtId="0" fontId="36" fillId="0" borderId="0" xfId="0" applyFont="1" applyAlignment="1" applyProtection="1">
      <alignment horizontal="left" wrapText="1"/>
    </xf>
    <xf numFmtId="0" fontId="37" fillId="0" borderId="0" xfId="0" applyFont="1" applyAlignment="1" applyProtection="1">
      <alignment horizontal="left" wrapText="1"/>
    </xf>
    <xf numFmtId="4" fontId="36" fillId="0" borderId="17" xfId="0" applyNumberFormat="1" applyFont="1" applyBorder="1" applyAlignment="1" applyProtection="1">
      <alignment horizontal="center" vertical="center"/>
    </xf>
    <xf numFmtId="0" fontId="36" fillId="0" borderId="10" xfId="0" applyFont="1" applyBorder="1" applyAlignment="1" applyProtection="1">
      <alignment horizontal="left" wrapText="1"/>
    </xf>
    <xf numFmtId="0" fontId="37" fillId="0" borderId="10" xfId="0" applyFont="1" applyBorder="1" applyAlignment="1" applyProtection="1">
      <alignment horizontal="center" vertical="center"/>
    </xf>
    <xf numFmtId="10" fontId="37" fillId="0" borderId="10" xfId="0" applyNumberFormat="1" applyFont="1" applyBorder="1" applyAlignment="1" applyProtection="1">
      <alignment horizontal="center" vertical="center"/>
    </xf>
    <xf numFmtId="1" fontId="37" fillId="0" borderId="10" xfId="0" applyNumberFormat="1" applyFont="1" applyBorder="1" applyAlignment="1" applyProtection="1">
      <alignment horizontal="center" vertical="center"/>
    </xf>
    <xf numFmtId="3" fontId="37" fillId="0" borderId="10" xfId="0" applyNumberFormat="1" applyFont="1" applyBorder="1" applyAlignment="1" applyProtection="1">
      <alignment horizontal="center" vertical="center"/>
    </xf>
    <xf numFmtId="1" fontId="37" fillId="0" borderId="18" xfId="0" applyNumberFormat="1" applyFont="1" applyBorder="1" applyAlignment="1" applyProtection="1">
      <alignment horizontal="center" vertical="center"/>
    </xf>
    <xf numFmtId="4" fontId="37" fillId="0" borderId="0" xfId="0" applyNumberFormat="1" applyFont="1" applyAlignment="1" applyProtection="1">
      <alignment horizontal="left"/>
    </xf>
    <xf numFmtId="0" fontId="40" fillId="0" borderId="0" xfId="0" applyFont="1" applyAlignment="1" applyProtection="1">
      <alignment horizontal="left" vertical="center"/>
    </xf>
    <xf numFmtId="167" fontId="37" fillId="0" borderId="0" xfId="162" applyFont="1" applyFill="1" applyAlignment="1" applyProtection="1">
      <alignment vertical="center"/>
    </xf>
    <xf numFmtId="4" fontId="37" fillId="0" borderId="0" xfId="0" applyNumberFormat="1" applyFont="1" applyAlignment="1" applyProtection="1">
      <alignment vertical="center"/>
    </xf>
    <xf numFmtId="0" fontId="36" fillId="25" borderId="0" xfId="0" applyFont="1" applyFill="1" applyAlignment="1" applyProtection="1">
      <alignment vertical="center"/>
    </xf>
    <xf numFmtId="0" fontId="36" fillId="25" borderId="0" xfId="0" applyFont="1" applyFill="1" applyAlignment="1" applyProtection="1">
      <alignment vertical="center" wrapText="1"/>
    </xf>
    <xf numFmtId="0" fontId="58" fillId="25" borderId="0" xfId="0" applyFont="1" applyFill="1" applyAlignment="1" applyProtection="1">
      <alignment vertical="center" wrapText="1"/>
    </xf>
    <xf numFmtId="0" fontId="37" fillId="25" borderId="0" xfId="0" applyFont="1" applyFill="1" applyAlignment="1" applyProtection="1">
      <alignment vertical="center"/>
    </xf>
    <xf numFmtId="0" fontId="49" fillId="25" borderId="0" xfId="0" applyFont="1" applyFill="1" applyAlignment="1" applyProtection="1">
      <alignment horizontal="left" vertical="center"/>
    </xf>
    <xf numFmtId="0" fontId="40" fillId="25" borderId="0" xfId="0" applyFont="1" applyFill="1" applyAlignment="1" applyProtection="1">
      <alignment horizontal="left" vertical="center"/>
    </xf>
    <xf numFmtId="167" fontId="37" fillId="25" borderId="0" xfId="162" applyFont="1" applyFill="1" applyAlignment="1" applyProtection="1">
      <alignment vertical="center"/>
    </xf>
    <xf numFmtId="4" fontId="37" fillId="25" borderId="0" xfId="0" applyNumberFormat="1" applyFont="1" applyFill="1" applyAlignment="1" applyProtection="1">
      <alignment vertical="center"/>
    </xf>
    <xf numFmtId="4" fontId="57" fillId="25" borderId="0" xfId="0" applyNumberFormat="1" applyFont="1" applyFill="1" applyAlignment="1" applyProtection="1">
      <alignment vertical="center"/>
    </xf>
    <xf numFmtId="0" fontId="37" fillId="25" borderId="0" xfId="0" applyFont="1" applyFill="1" applyAlignment="1" applyProtection="1">
      <alignment horizontal="left" vertical="center" wrapText="1"/>
    </xf>
    <xf numFmtId="0" fontId="63" fillId="25" borderId="0" xfId="0" applyFont="1" applyFill="1" applyAlignment="1" applyProtection="1">
      <alignment horizontal="left" vertical="center"/>
    </xf>
    <xf numFmtId="0" fontId="37" fillId="25" borderId="0" xfId="0" applyFont="1" applyFill="1" applyAlignment="1" applyProtection="1">
      <alignment vertical="center" wrapText="1"/>
    </xf>
    <xf numFmtId="0" fontId="57" fillId="25" borderId="0" xfId="0" applyFont="1" applyFill="1" applyAlignment="1" applyProtection="1">
      <alignment vertical="center"/>
    </xf>
    <xf numFmtId="0" fontId="37" fillId="25" borderId="0" xfId="0" applyFont="1" applyFill="1" applyAlignment="1" applyProtection="1">
      <alignment horizontal="center"/>
    </xf>
    <xf numFmtId="0" fontId="39" fillId="25" borderId="0" xfId="0" applyFont="1" applyFill="1" applyProtection="1"/>
    <xf numFmtId="0" fontId="37" fillId="25" borderId="0" xfId="0" applyFont="1" applyFill="1" applyAlignment="1" applyProtection="1">
      <alignment horizontal="left"/>
    </xf>
    <xf numFmtId="4" fontId="37" fillId="25" borderId="0" xfId="0" applyNumberFormat="1" applyFont="1" applyFill="1" applyProtection="1"/>
    <xf numFmtId="4" fontId="39" fillId="25" borderId="0" xfId="0" applyNumberFormat="1" applyFont="1" applyFill="1" applyProtection="1"/>
    <xf numFmtId="0" fontId="37" fillId="0" borderId="0" xfId="0" applyFont="1" applyAlignment="1" applyProtection="1">
      <alignment horizontal="left" wrapText="1"/>
    </xf>
    <xf numFmtId="0" fontId="37" fillId="25" borderId="0" xfId="0" applyFont="1" applyFill="1" applyAlignment="1" applyProtection="1">
      <alignment wrapText="1"/>
    </xf>
    <xf numFmtId="0" fontId="42" fillId="0" borderId="0" xfId="0" applyFont="1" applyAlignment="1" applyProtection="1">
      <alignment wrapText="1"/>
    </xf>
    <xf numFmtId="0" fontId="37" fillId="0" borderId="0" xfId="0" applyFont="1" applyAlignment="1" applyProtection="1">
      <alignment wrapText="1"/>
    </xf>
    <xf numFmtId="0" fontId="39" fillId="0" borderId="0" xfId="0" applyFont="1" applyAlignment="1" applyProtection="1">
      <alignment wrapText="1"/>
    </xf>
    <xf numFmtId="0" fontId="36" fillId="0" borderId="0" xfId="0" applyFont="1" applyAlignment="1" applyProtection="1">
      <alignment horizontal="center"/>
    </xf>
    <xf numFmtId="14" fontId="36" fillId="0" borderId="10" xfId="0" applyNumberFormat="1" applyFont="1" applyBorder="1" applyAlignment="1" applyProtection="1">
      <alignment horizontal="center"/>
    </xf>
    <xf numFmtId="14" fontId="36" fillId="0" borderId="0" xfId="0" applyNumberFormat="1" applyFont="1" applyAlignment="1" applyProtection="1">
      <alignment horizontal="center"/>
    </xf>
    <xf numFmtId="14" fontId="36" fillId="0" borderId="0" xfId="0" applyNumberFormat="1" applyFont="1" applyAlignment="1" applyProtection="1">
      <alignment horizontal="center"/>
    </xf>
    <xf numFmtId="0" fontId="36" fillId="26" borderId="21" xfId="0" applyFont="1" applyFill="1" applyBorder="1" applyAlignment="1" applyProtection="1">
      <alignment horizontal="center" vertical="center" wrapText="1"/>
    </xf>
    <xf numFmtId="0" fontId="36" fillId="26" borderId="25" xfId="0" applyFont="1" applyFill="1" applyBorder="1" applyAlignment="1" applyProtection="1">
      <alignment horizontal="center" vertical="center" wrapText="1"/>
    </xf>
    <xf numFmtId="0" fontId="36" fillId="26" borderId="19" xfId="0" applyFont="1" applyFill="1" applyBorder="1" applyAlignment="1" applyProtection="1">
      <alignment horizontal="center" vertical="center" wrapText="1"/>
    </xf>
    <xf numFmtId="0" fontId="36" fillId="26" borderId="21" xfId="0" applyFont="1" applyFill="1" applyBorder="1" applyAlignment="1" applyProtection="1">
      <alignment vertical="center"/>
    </xf>
    <xf numFmtId="0" fontId="36" fillId="26" borderId="25" xfId="0" applyFont="1" applyFill="1" applyBorder="1" applyAlignment="1" applyProtection="1">
      <alignment vertical="center"/>
    </xf>
    <xf numFmtId="4" fontId="36" fillId="26" borderId="23" xfId="0" applyNumberFormat="1" applyFont="1" applyFill="1" applyBorder="1" applyAlignment="1" applyProtection="1">
      <alignment horizontal="center" vertical="center" wrapText="1"/>
    </xf>
    <xf numFmtId="10" fontId="36" fillId="26" borderId="23" xfId="186" applyNumberFormat="1" applyFont="1" applyFill="1" applyBorder="1" applyAlignment="1" applyProtection="1">
      <alignment horizontal="center" vertical="center" wrapText="1"/>
    </xf>
    <xf numFmtId="4" fontId="36" fillId="26" borderId="22" xfId="0" applyNumberFormat="1" applyFont="1" applyFill="1" applyBorder="1" applyAlignment="1" applyProtection="1">
      <alignment horizontal="center" vertical="center" wrapText="1"/>
    </xf>
    <xf numFmtId="49" fontId="36" fillId="26" borderId="23" xfId="186" applyNumberFormat="1" applyFont="1" applyFill="1" applyBorder="1" applyAlignment="1" applyProtection="1">
      <alignment horizontal="center" vertical="center" wrapText="1"/>
    </xf>
    <xf numFmtId="49" fontId="36" fillId="26" borderId="12" xfId="186" applyNumberFormat="1" applyFont="1" applyFill="1" applyBorder="1" applyAlignment="1" applyProtection="1">
      <alignment horizontal="center" vertical="center" wrapText="1"/>
    </xf>
    <xf numFmtId="10" fontId="37" fillId="0" borderId="16" xfId="186" applyNumberFormat="1" applyFont="1" applyFill="1" applyBorder="1" applyProtection="1"/>
    <xf numFmtId="10" fontId="37" fillId="0" borderId="0" xfId="186" applyNumberFormat="1" applyFont="1" applyFill="1" applyBorder="1" applyProtection="1"/>
    <xf numFmtId="10" fontId="37" fillId="25" borderId="17" xfId="186" applyNumberFormat="1" applyFont="1" applyFill="1" applyBorder="1" applyAlignment="1" applyProtection="1">
      <alignment horizontal="center" vertical="center"/>
    </xf>
    <xf numFmtId="175" fontId="37" fillId="0" borderId="0" xfId="0" applyNumberFormat="1" applyFont="1" applyProtection="1"/>
    <xf numFmtId="172" fontId="37" fillId="0" borderId="0" xfId="162" applyNumberFormat="1" applyFont="1" applyFill="1" applyProtection="1"/>
    <xf numFmtId="173" fontId="37" fillId="0" borderId="0" xfId="0" applyNumberFormat="1" applyFont="1" applyProtection="1"/>
    <xf numFmtId="10" fontId="37" fillId="0" borderId="17" xfId="186" applyNumberFormat="1" applyFont="1" applyFill="1" applyBorder="1" applyAlignment="1" applyProtection="1">
      <alignment horizontal="center" vertical="center"/>
    </xf>
    <xf numFmtId="4" fontId="37" fillId="0" borderId="17" xfId="0" applyNumberFormat="1" applyFont="1" applyBorder="1" applyAlignment="1" applyProtection="1">
      <alignment horizontal="center" vertical="center"/>
    </xf>
    <xf numFmtId="4" fontId="39" fillId="0" borderId="0" xfId="0" applyNumberFormat="1" applyFont="1" applyAlignment="1" applyProtection="1">
      <alignment horizontal="center" vertical="center"/>
    </xf>
    <xf numFmtId="43" fontId="37" fillId="0" borderId="0" xfId="186" applyNumberFormat="1" applyFont="1" applyFill="1" applyBorder="1" applyAlignment="1" applyProtection="1">
      <alignment horizontal="center" vertical="center"/>
    </xf>
    <xf numFmtId="0" fontId="36" fillId="0" borderId="0" xfId="0" applyFont="1" applyAlignment="1" applyProtection="1">
      <alignment horizontal="left" vertical="center"/>
    </xf>
    <xf numFmtId="10" fontId="36" fillId="0" borderId="0" xfId="186" applyNumberFormat="1" applyFont="1" applyFill="1" applyBorder="1" applyAlignment="1" applyProtection="1">
      <alignment horizontal="center" vertical="center"/>
    </xf>
    <xf numFmtId="4" fontId="37" fillId="0" borderId="0" xfId="162" applyNumberFormat="1" applyFont="1" applyFill="1" applyBorder="1" applyAlignment="1" applyProtection="1">
      <alignment horizontal="center" vertical="center"/>
    </xf>
    <xf numFmtId="0" fontId="37" fillId="0" borderId="0" xfId="0" applyFont="1" applyAlignment="1" applyProtection="1">
      <alignment horizontal="left" vertical="center"/>
    </xf>
    <xf numFmtId="4" fontId="37" fillId="25" borderId="0" xfId="162" applyNumberFormat="1" applyFont="1" applyFill="1" applyBorder="1" applyAlignment="1" applyProtection="1">
      <alignment horizontal="center" vertical="center"/>
    </xf>
    <xf numFmtId="175" fontId="37" fillId="25" borderId="0" xfId="0" applyNumberFormat="1" applyFont="1" applyFill="1" applyProtection="1"/>
    <xf numFmtId="4" fontId="37" fillId="25" borderId="17" xfId="0" applyNumberFormat="1" applyFont="1" applyFill="1" applyBorder="1" applyAlignment="1" applyProtection="1">
      <alignment horizontal="center" vertical="center"/>
    </xf>
    <xf numFmtId="4" fontId="36" fillId="25" borderId="17" xfId="0" applyNumberFormat="1" applyFont="1" applyFill="1" applyBorder="1" applyAlignment="1" applyProtection="1">
      <alignment horizontal="center" vertical="center"/>
    </xf>
    <xf numFmtId="4" fontId="39" fillId="25" borderId="0" xfId="0" applyNumberFormat="1" applyFont="1" applyFill="1" applyAlignment="1" applyProtection="1">
      <alignment horizontal="center" vertical="center"/>
    </xf>
    <xf numFmtId="4" fontId="39" fillId="25" borderId="17" xfId="0" applyNumberFormat="1" applyFont="1" applyFill="1" applyBorder="1" applyAlignment="1" applyProtection="1">
      <alignment horizontal="center" vertical="center"/>
    </xf>
    <xf numFmtId="3" fontId="36" fillId="0" borderId="0" xfId="0" applyNumberFormat="1" applyFont="1" applyAlignment="1" applyProtection="1">
      <alignment horizontal="left" vertical="center"/>
    </xf>
    <xf numFmtId="4" fontId="36" fillId="0" borderId="10" xfId="0" applyNumberFormat="1" applyFont="1" applyBorder="1" applyAlignment="1" applyProtection="1">
      <alignment horizontal="center" vertical="center"/>
    </xf>
    <xf numFmtId="10" fontId="36" fillId="0" borderId="10" xfId="186" applyNumberFormat="1" applyFont="1" applyFill="1" applyBorder="1" applyAlignment="1" applyProtection="1">
      <alignment horizontal="center" vertical="center"/>
    </xf>
    <xf numFmtId="4" fontId="37" fillId="0" borderId="18" xfId="0" applyNumberFormat="1" applyFont="1" applyBorder="1" applyAlignment="1" applyProtection="1">
      <alignment horizontal="center" vertical="center"/>
    </xf>
    <xf numFmtId="0" fontId="36" fillId="0" borderId="14" xfId="0" applyFont="1" applyBorder="1" applyAlignment="1" applyProtection="1">
      <alignment horizontal="left"/>
    </xf>
    <xf numFmtId="176" fontId="55" fillId="0" borderId="0" xfId="186" applyNumberFormat="1" applyFont="1" applyFill="1" applyBorder="1" applyAlignment="1" applyProtection="1">
      <alignment horizontal="center" vertical="center"/>
    </xf>
    <xf numFmtId="167" fontId="37" fillId="0" borderId="0" xfId="162" applyFont="1" applyFill="1" applyProtection="1"/>
    <xf numFmtId="9" fontId="37" fillId="0" borderId="0" xfId="186" applyFont="1" applyFill="1" applyProtection="1"/>
    <xf numFmtId="10" fontId="37" fillId="0" borderId="0" xfId="186" applyNumberFormat="1" applyFont="1" applyFill="1" applyProtection="1"/>
    <xf numFmtId="10" fontId="37" fillId="0" borderId="0" xfId="186" applyNumberFormat="1" applyFont="1" applyFill="1" applyAlignment="1" applyProtection="1">
      <alignment vertical="center"/>
    </xf>
    <xf numFmtId="10" fontId="37" fillId="25" borderId="0" xfId="186" applyNumberFormat="1" applyFont="1" applyFill="1" applyAlignment="1" applyProtection="1">
      <alignment vertical="center"/>
    </xf>
    <xf numFmtId="0" fontId="37" fillId="25" borderId="0" xfId="0" applyFont="1" applyFill="1" applyAlignment="1" applyProtection="1">
      <alignment horizontal="left" vertical="center" wrapText="1"/>
    </xf>
    <xf numFmtId="10" fontId="37" fillId="25" borderId="0" xfId="186" applyNumberFormat="1" applyFont="1" applyFill="1" applyProtection="1"/>
    <xf numFmtId="0" fontId="37" fillId="24" borderId="0" xfId="0" applyFont="1" applyFill="1" applyProtection="1"/>
    <xf numFmtId="0" fontId="36" fillId="0" borderId="0" xfId="0" applyFont="1" applyAlignment="1" applyProtection="1">
      <alignment horizontal="center" vertical="center"/>
    </xf>
    <xf numFmtId="0" fontId="36" fillId="24" borderId="0" xfId="0" applyFont="1" applyFill="1" applyAlignment="1" applyProtection="1">
      <alignment horizontal="center" vertical="center"/>
    </xf>
    <xf numFmtId="14" fontId="36" fillId="24" borderId="10" xfId="0" applyNumberFormat="1" applyFont="1" applyFill="1" applyBorder="1" applyAlignment="1" applyProtection="1">
      <alignment horizontal="center" vertical="center"/>
    </xf>
    <xf numFmtId="0" fontId="37" fillId="24" borderId="0" xfId="0" applyFont="1" applyFill="1" applyAlignment="1" applyProtection="1">
      <alignment horizontal="center"/>
    </xf>
    <xf numFmtId="0" fontId="36" fillId="26" borderId="23" xfId="0" applyFont="1" applyFill="1" applyBorder="1" applyAlignment="1" applyProtection="1">
      <alignment horizontal="center" vertical="center" wrapText="1"/>
    </xf>
    <xf numFmtId="0" fontId="36" fillId="26" borderId="22" xfId="0" applyFont="1" applyFill="1" applyBorder="1" applyAlignment="1" applyProtection="1">
      <alignment horizontal="center" vertical="center" wrapText="1"/>
    </xf>
    <xf numFmtId="0" fontId="37" fillId="0" borderId="16" xfId="0" applyFont="1" applyBorder="1" applyAlignment="1" applyProtection="1">
      <alignment horizontal="center" vertical="center"/>
    </xf>
    <xf numFmtId="0" fontId="39" fillId="0" borderId="16" xfId="0" applyFont="1" applyBorder="1" applyAlignment="1" applyProtection="1">
      <alignment horizontal="left"/>
    </xf>
    <xf numFmtId="0" fontId="40" fillId="0" borderId="14" xfId="0" applyFont="1" applyBorder="1" applyProtection="1"/>
    <xf numFmtId="3" fontId="39" fillId="0" borderId="0" xfId="0" applyNumberFormat="1" applyFont="1" applyAlignment="1" applyProtection="1">
      <alignment horizontal="right"/>
    </xf>
    <xf numFmtId="3" fontId="37" fillId="0" borderId="0" xfId="0" applyNumberFormat="1" applyFont="1" applyAlignment="1" applyProtection="1">
      <alignment horizontal="right"/>
    </xf>
    <xf numFmtId="0" fontId="37" fillId="0" borderId="0" xfId="0" applyFont="1" applyAlignment="1" applyProtection="1">
      <alignment horizontal="center" vertical="center" wrapText="1"/>
    </xf>
    <xf numFmtId="0" fontId="36" fillId="0" borderId="17" xfId="0" applyFont="1" applyBorder="1" applyProtection="1"/>
    <xf numFmtId="0" fontId="40" fillId="0" borderId="14" xfId="0" applyFont="1" applyBorder="1" applyAlignment="1" applyProtection="1">
      <alignment horizontal="left"/>
    </xf>
    <xf numFmtId="0" fontId="36" fillId="0" borderId="14" xfId="0" applyFont="1" applyBorder="1" applyAlignment="1" applyProtection="1">
      <alignment horizontal="left" vertical="top" wrapText="1"/>
    </xf>
    <xf numFmtId="0" fontId="37" fillId="0" borderId="14" xfId="0" applyFont="1" applyBorder="1" applyAlignment="1" applyProtection="1">
      <alignment horizontal="left"/>
    </xf>
    <xf numFmtId="4" fontId="37" fillId="25" borderId="0" xfId="0" applyNumberFormat="1" applyFont="1" applyFill="1" applyAlignment="1" applyProtection="1">
      <alignment horizontal="center" vertical="center"/>
    </xf>
    <xf numFmtId="4" fontId="37" fillId="0" borderId="17" xfId="0" applyNumberFormat="1" applyFont="1" applyBorder="1" applyAlignment="1" applyProtection="1">
      <alignment horizontal="center" vertical="center"/>
    </xf>
    <xf numFmtId="0" fontId="37" fillId="0" borderId="14" xfId="0" applyFont="1" applyBorder="1" applyProtection="1"/>
    <xf numFmtId="0" fontId="36" fillId="0" borderId="18" xfId="0" applyFont="1" applyBorder="1" applyProtection="1"/>
    <xf numFmtId="3" fontId="36" fillId="0" borderId="0" xfId="0" applyNumberFormat="1" applyFont="1" applyProtection="1"/>
    <xf numFmtId="3" fontId="37" fillId="25" borderId="0" xfId="0" applyNumberFormat="1" applyFont="1" applyFill="1" applyProtection="1"/>
    <xf numFmtId="0" fontId="63" fillId="25" borderId="0" xfId="0" applyFont="1" applyFill="1" applyAlignment="1" applyProtection="1">
      <alignment horizontal="left" vertical="center" wrapText="1"/>
    </xf>
    <xf numFmtId="0" fontId="39" fillId="25" borderId="0" xfId="0" applyFont="1" applyFill="1" applyAlignment="1" applyProtection="1">
      <alignment horizontal="left" vertical="center" wrapText="1"/>
    </xf>
    <xf numFmtId="0" fontId="37" fillId="24" borderId="0" xfId="0" applyFont="1" applyFill="1" applyAlignment="1" applyProtection="1">
      <alignment horizontal="left"/>
    </xf>
    <xf numFmtId="0" fontId="37" fillId="24" borderId="0" xfId="0" applyFont="1" applyFill="1" applyAlignment="1" applyProtection="1">
      <alignment horizontal="center" vertical="center"/>
    </xf>
    <xf numFmtId="0" fontId="39" fillId="24" borderId="0" xfId="0" applyFont="1" applyFill="1" applyProtection="1"/>
    <xf numFmtId="174" fontId="37" fillId="25" borderId="0" xfId="0" applyNumberFormat="1" applyFont="1" applyFill="1" applyProtection="1"/>
    <xf numFmtId="174" fontId="37" fillId="25" borderId="0" xfId="0" applyNumberFormat="1" applyFont="1" applyFill="1" applyAlignment="1" applyProtection="1">
      <alignment horizontal="center"/>
    </xf>
    <xf numFmtId="0" fontId="36" fillId="26" borderId="25" xfId="0" applyFont="1" applyFill="1" applyBorder="1" applyAlignment="1" applyProtection="1">
      <alignment horizontal="center" vertical="center" wrapText="1"/>
    </xf>
    <xf numFmtId="0" fontId="36" fillId="26" borderId="21" xfId="0" applyFont="1" applyFill="1" applyBorder="1" applyAlignment="1" applyProtection="1">
      <alignment horizontal="center" vertical="center" wrapText="1"/>
    </xf>
    <xf numFmtId="0" fontId="37" fillId="24" borderId="15" xfId="0" applyFont="1" applyFill="1" applyBorder="1" applyAlignment="1" applyProtection="1">
      <alignment horizontal="left"/>
    </xf>
    <xf numFmtId="0" fontId="37" fillId="24" borderId="16" xfId="0" applyFont="1" applyFill="1" applyBorder="1" applyAlignment="1" applyProtection="1">
      <alignment horizontal="left"/>
    </xf>
    <xf numFmtId="0" fontId="37" fillId="24" borderId="16" xfId="0" applyFont="1" applyFill="1" applyBorder="1" applyProtection="1"/>
    <xf numFmtId="0" fontId="37" fillId="24" borderId="20" xfId="0" applyFont="1" applyFill="1" applyBorder="1" applyProtection="1"/>
    <xf numFmtId="0" fontId="37" fillId="0" borderId="20" xfId="0" applyFont="1" applyBorder="1" applyAlignment="1" applyProtection="1">
      <alignment horizontal="left"/>
    </xf>
    <xf numFmtId="0" fontId="37" fillId="25" borderId="15" xfId="0" applyFont="1" applyFill="1" applyBorder="1" applyAlignment="1" applyProtection="1">
      <alignment horizontal="left"/>
    </xf>
    <xf numFmtId="0" fontId="37" fillId="25" borderId="16" xfId="0" applyFont="1" applyFill="1" applyBorder="1" applyAlignment="1" applyProtection="1">
      <alignment horizontal="left"/>
    </xf>
    <xf numFmtId="0" fontId="37" fillId="24" borderId="20" xfId="0" applyFont="1" applyFill="1" applyBorder="1" applyAlignment="1" applyProtection="1">
      <alignment horizontal="left"/>
    </xf>
    <xf numFmtId="0" fontId="37" fillId="24" borderId="14" xfId="0" applyFont="1" applyFill="1" applyBorder="1" applyProtection="1"/>
    <xf numFmtId="0" fontId="37" fillId="25" borderId="16" xfId="0" applyFont="1" applyFill="1" applyBorder="1" applyProtection="1"/>
    <xf numFmtId="0" fontId="37" fillId="25" borderId="17" xfId="0" applyFont="1" applyFill="1" applyBorder="1" applyProtection="1"/>
    <xf numFmtId="0" fontId="40" fillId="25" borderId="14" xfId="0" applyFont="1" applyFill="1" applyBorder="1" applyProtection="1"/>
    <xf numFmtId="0" fontId="37" fillId="24" borderId="0" xfId="0" applyFont="1" applyFill="1" applyAlignment="1" applyProtection="1">
      <alignment horizontal="right"/>
    </xf>
    <xf numFmtId="4" fontId="37" fillId="24" borderId="0" xfId="0" applyNumberFormat="1" applyFont="1" applyFill="1" applyProtection="1"/>
    <xf numFmtId="0" fontId="37" fillId="24" borderId="17" xfId="0" applyFont="1" applyFill="1" applyBorder="1" applyProtection="1"/>
    <xf numFmtId="3" fontId="37" fillId="24" borderId="0" xfId="0" applyNumberFormat="1" applyFont="1" applyFill="1" applyAlignment="1" applyProtection="1">
      <alignment horizontal="right"/>
    </xf>
    <xf numFmtId="3" fontId="37" fillId="0" borderId="17" xfId="0" applyNumberFormat="1" applyFont="1" applyBorder="1" applyAlignment="1" applyProtection="1">
      <alignment horizontal="right"/>
    </xf>
    <xf numFmtId="3" fontId="37" fillId="0" borderId="14" xfId="0" applyNumberFormat="1" applyFont="1" applyBorder="1" applyAlignment="1" applyProtection="1">
      <alignment horizontal="right"/>
    </xf>
    <xf numFmtId="3" fontId="37" fillId="25" borderId="14" xfId="0" applyNumberFormat="1" applyFont="1" applyFill="1" applyBorder="1" applyAlignment="1" applyProtection="1">
      <alignment horizontal="right"/>
    </xf>
    <xf numFmtId="170" fontId="37" fillId="0" borderId="0" xfId="0" applyNumberFormat="1" applyFont="1" applyAlignment="1" applyProtection="1">
      <alignment horizontal="right"/>
    </xf>
    <xf numFmtId="10" fontId="37" fillId="25" borderId="0" xfId="0" applyNumberFormat="1" applyFont="1" applyFill="1" applyAlignment="1" applyProtection="1">
      <alignment horizontal="right"/>
    </xf>
    <xf numFmtId="10" fontId="37" fillId="25" borderId="17" xfId="0" applyNumberFormat="1" applyFont="1" applyFill="1" applyBorder="1" applyAlignment="1" applyProtection="1">
      <alignment horizontal="right"/>
    </xf>
    <xf numFmtId="10" fontId="37" fillId="25" borderId="0" xfId="0" applyNumberFormat="1" applyFont="1" applyFill="1" applyProtection="1"/>
    <xf numFmtId="4" fontId="37" fillId="0" borderId="14" xfId="0" applyNumberFormat="1" applyFont="1" applyBorder="1" applyAlignment="1" applyProtection="1">
      <alignment horizontal="center" vertical="center"/>
    </xf>
    <xf numFmtId="10" fontId="37" fillId="0" borderId="14" xfId="343" applyNumberFormat="1" applyFont="1" applyFill="1" applyBorder="1" applyAlignment="1" applyProtection="1">
      <alignment horizontal="center" vertical="center"/>
    </xf>
    <xf numFmtId="10" fontId="37" fillId="0" borderId="0" xfId="343" applyNumberFormat="1" applyFont="1" applyFill="1" applyBorder="1" applyAlignment="1" applyProtection="1">
      <alignment horizontal="center" vertical="center"/>
    </xf>
    <xf numFmtId="10" fontId="37" fillId="25" borderId="17" xfId="343" applyNumberFormat="1" applyFont="1" applyFill="1" applyBorder="1" applyAlignment="1" applyProtection="1">
      <alignment horizontal="center" vertical="center"/>
    </xf>
    <xf numFmtId="10" fontId="37" fillId="0" borderId="0" xfId="0" applyNumberFormat="1" applyFont="1" applyAlignment="1" applyProtection="1">
      <alignment horizontal="center" vertical="center"/>
    </xf>
    <xf numFmtId="4" fontId="37" fillId="25" borderId="14" xfId="0" applyNumberFormat="1" applyFont="1" applyFill="1" applyBorder="1" applyAlignment="1" applyProtection="1">
      <alignment horizontal="center" vertical="center"/>
    </xf>
    <xf numFmtId="4" fontId="36" fillId="25" borderId="14" xfId="0" applyNumberFormat="1" applyFont="1" applyFill="1" applyBorder="1" applyAlignment="1" applyProtection="1">
      <alignment horizontal="center" vertical="center"/>
    </xf>
    <xf numFmtId="10" fontId="36" fillId="0" borderId="14" xfId="343" applyNumberFormat="1" applyFont="1" applyFill="1" applyBorder="1" applyAlignment="1" applyProtection="1">
      <alignment horizontal="center" vertical="center"/>
    </xf>
    <xf numFmtId="10" fontId="36" fillId="0" borderId="0" xfId="343" applyNumberFormat="1" applyFont="1" applyFill="1" applyBorder="1" applyAlignment="1" applyProtection="1">
      <alignment horizontal="center" vertical="center"/>
    </xf>
    <xf numFmtId="0" fontId="36" fillId="25" borderId="17" xfId="0" applyFont="1" applyFill="1" applyBorder="1" applyProtection="1"/>
    <xf numFmtId="10" fontId="36" fillId="25" borderId="17" xfId="186" applyNumberFormat="1" applyFont="1" applyFill="1" applyBorder="1" applyAlignment="1" applyProtection="1">
      <alignment horizontal="center" vertical="center"/>
    </xf>
    <xf numFmtId="10" fontId="37" fillId="0" borderId="14" xfId="343" applyNumberFormat="1" applyFont="1" applyFill="1" applyBorder="1" applyAlignment="1" applyProtection="1">
      <alignment horizontal="center" vertical="center"/>
    </xf>
    <xf numFmtId="10" fontId="37" fillId="0" borderId="0" xfId="343" applyNumberFormat="1" applyFont="1" applyFill="1" applyBorder="1" applyAlignment="1" applyProtection="1">
      <alignment horizontal="center" vertical="center"/>
    </xf>
    <xf numFmtId="10" fontId="37" fillId="0" borderId="0" xfId="186" applyNumberFormat="1" applyFont="1" applyFill="1" applyBorder="1" applyAlignment="1" applyProtection="1">
      <alignment horizontal="center" vertical="center"/>
    </xf>
    <xf numFmtId="10" fontId="37" fillId="25" borderId="17" xfId="186" applyNumberFormat="1" applyFont="1" applyFill="1" applyBorder="1" applyAlignment="1" applyProtection="1">
      <alignment horizontal="center" vertical="center"/>
    </xf>
    <xf numFmtId="10" fontId="39" fillId="0" borderId="0" xfId="343" applyNumberFormat="1" applyFont="1" applyFill="1" applyBorder="1" applyAlignment="1" applyProtection="1">
      <alignment horizontal="center" vertical="center"/>
    </xf>
    <xf numFmtId="10" fontId="39" fillId="0" borderId="0" xfId="343" applyNumberFormat="1" applyFont="1" applyFill="1" applyBorder="1" applyAlignment="1" applyProtection="1">
      <alignment horizontal="center" vertical="center"/>
    </xf>
    <xf numFmtId="10" fontId="39" fillId="25" borderId="17" xfId="343" applyNumberFormat="1" applyFont="1" applyFill="1" applyBorder="1" applyAlignment="1" applyProtection="1">
      <alignment horizontal="center" vertical="center"/>
    </xf>
    <xf numFmtId="10" fontId="36" fillId="0" borderId="17" xfId="186" applyNumberFormat="1" applyFont="1" applyFill="1" applyBorder="1" applyAlignment="1" applyProtection="1">
      <alignment horizontal="center" vertical="center"/>
    </xf>
    <xf numFmtId="0" fontId="36" fillId="25" borderId="14" xfId="0" applyFont="1" applyFill="1" applyBorder="1" applyAlignment="1" applyProtection="1">
      <alignment horizontal="left"/>
    </xf>
    <xf numFmtId="10" fontId="36" fillId="25" borderId="17" xfId="343" applyNumberFormat="1" applyFont="1" applyFill="1" applyBorder="1" applyAlignment="1" applyProtection="1">
      <alignment horizontal="center" vertical="center"/>
    </xf>
    <xf numFmtId="174" fontId="37" fillId="0" borderId="0" xfId="0" applyNumberFormat="1" applyFont="1" applyProtection="1"/>
    <xf numFmtId="10" fontId="36" fillId="0" borderId="17" xfId="343" applyNumberFormat="1" applyFont="1" applyFill="1" applyBorder="1" applyAlignment="1" applyProtection="1">
      <alignment horizontal="center" vertical="center"/>
    </xf>
    <xf numFmtId="0" fontId="36" fillId="24" borderId="14" xfId="0" applyFont="1" applyFill="1" applyBorder="1" applyAlignment="1" applyProtection="1">
      <alignment horizontal="left"/>
    </xf>
    <xf numFmtId="0" fontId="36" fillId="24" borderId="0" xfId="0" applyFont="1" applyFill="1" applyAlignment="1" applyProtection="1">
      <alignment horizontal="left"/>
    </xf>
    <xf numFmtId="0" fontId="37" fillId="24" borderId="0" xfId="0" applyFont="1" applyFill="1" applyAlignment="1" applyProtection="1">
      <alignment horizontal="left" vertical="center"/>
    </xf>
    <xf numFmtId="4" fontId="36" fillId="24" borderId="0" xfId="0" applyNumberFormat="1" applyFont="1" applyFill="1" applyAlignment="1" applyProtection="1">
      <alignment horizontal="center" vertical="center"/>
    </xf>
    <xf numFmtId="4" fontId="36" fillId="24" borderId="17" xfId="0" applyNumberFormat="1" applyFont="1" applyFill="1" applyBorder="1" applyAlignment="1" applyProtection="1">
      <alignment horizontal="center" vertical="center"/>
    </xf>
    <xf numFmtId="4" fontId="36" fillId="0" borderId="14" xfId="0" applyNumberFormat="1" applyFont="1" applyBorder="1" applyAlignment="1" applyProtection="1">
      <alignment horizontal="center" vertical="center"/>
    </xf>
    <xf numFmtId="0" fontId="36" fillId="24" borderId="13" xfId="0" applyFont="1" applyFill="1" applyBorder="1" applyAlignment="1" applyProtection="1">
      <alignment horizontal="left"/>
    </xf>
    <xf numFmtId="0" fontId="36" fillId="24" borderId="10" xfId="0" applyFont="1" applyFill="1" applyBorder="1" applyAlignment="1" applyProtection="1">
      <alignment horizontal="left"/>
    </xf>
    <xf numFmtId="0" fontId="36" fillId="24" borderId="10" xfId="0" applyFont="1" applyFill="1" applyBorder="1" applyAlignment="1" applyProtection="1">
      <alignment horizontal="left" vertical="center"/>
    </xf>
    <xf numFmtId="4" fontId="37" fillId="24" borderId="10" xfId="0" applyNumberFormat="1" applyFont="1" applyFill="1" applyBorder="1" applyAlignment="1" applyProtection="1">
      <alignment horizontal="center" vertical="center"/>
    </xf>
    <xf numFmtId="4" fontId="37" fillId="24" borderId="18" xfId="0" applyNumberFormat="1" applyFont="1" applyFill="1" applyBorder="1" applyAlignment="1" applyProtection="1">
      <alignment horizontal="center" vertical="center"/>
    </xf>
    <xf numFmtId="4" fontId="36" fillId="24" borderId="10" xfId="0" applyNumberFormat="1" applyFont="1" applyFill="1" applyBorder="1" applyAlignment="1" applyProtection="1">
      <alignment horizontal="center" vertical="center"/>
    </xf>
    <xf numFmtId="4" fontId="36" fillId="0" borderId="18" xfId="0" applyNumberFormat="1" applyFont="1" applyBorder="1" applyAlignment="1" applyProtection="1">
      <alignment horizontal="center" vertical="center"/>
    </xf>
    <xf numFmtId="4" fontId="36" fillId="0" borderId="13" xfId="0" applyNumberFormat="1" applyFont="1" applyBorder="1" applyAlignment="1" applyProtection="1">
      <alignment horizontal="center" vertical="center"/>
    </xf>
    <xf numFmtId="10" fontId="36" fillId="25" borderId="13" xfId="343" applyNumberFormat="1" applyFont="1" applyFill="1" applyBorder="1" applyAlignment="1" applyProtection="1">
      <alignment horizontal="center" vertical="center"/>
    </xf>
    <xf numFmtId="10" fontId="36" fillId="25" borderId="10" xfId="343" applyNumberFormat="1" applyFont="1" applyFill="1" applyBorder="1" applyAlignment="1" applyProtection="1">
      <alignment horizontal="center" vertical="center"/>
    </xf>
    <xf numFmtId="10" fontId="36" fillId="0" borderId="10" xfId="343" applyNumberFormat="1" applyFont="1" applyFill="1" applyBorder="1" applyAlignment="1" applyProtection="1">
      <alignment horizontal="center" vertical="center"/>
    </xf>
    <xf numFmtId="10" fontId="36" fillId="24" borderId="10" xfId="343" applyNumberFormat="1" applyFont="1" applyFill="1" applyBorder="1" applyAlignment="1" applyProtection="1">
      <alignment horizontal="center" vertical="center"/>
    </xf>
    <xf numFmtId="10" fontId="36" fillId="0" borderId="18" xfId="343" applyNumberFormat="1" applyFont="1" applyFill="1" applyBorder="1" applyAlignment="1" applyProtection="1">
      <alignment horizontal="center" vertical="center"/>
    </xf>
    <xf numFmtId="10" fontId="36" fillId="24" borderId="13" xfId="343" applyNumberFormat="1" applyFont="1" applyFill="1" applyBorder="1" applyAlignment="1" applyProtection="1">
      <alignment horizontal="center" vertical="center"/>
    </xf>
    <xf numFmtId="10" fontId="37" fillId="25" borderId="10" xfId="343" applyNumberFormat="1" applyFont="1" applyFill="1" applyBorder="1" applyAlignment="1" applyProtection="1">
      <alignment horizontal="center" vertical="center"/>
    </xf>
    <xf numFmtId="0" fontId="36" fillId="25" borderId="10" xfId="0" applyFont="1" applyFill="1" applyBorder="1" applyProtection="1"/>
    <xf numFmtId="174" fontId="36" fillId="25" borderId="0" xfId="0" applyNumberFormat="1" applyFont="1" applyFill="1" applyProtection="1"/>
    <xf numFmtId="0" fontId="36" fillId="24" borderId="0" xfId="0" applyFont="1" applyFill="1" applyProtection="1"/>
    <xf numFmtId="4" fontId="36" fillId="0" borderId="0" xfId="0" applyNumberFormat="1" applyFont="1" applyProtection="1"/>
    <xf numFmtId="4" fontId="37" fillId="0" borderId="0" xfId="414" applyNumberFormat="1" applyFont="1" applyFill="1" applyProtection="1"/>
    <xf numFmtId="4" fontId="42" fillId="0" borderId="0" xfId="414" applyNumberFormat="1" applyFont="1" applyFill="1" applyProtection="1"/>
    <xf numFmtId="0" fontId="37" fillId="0" borderId="0" xfId="414" applyNumberFormat="1" applyFont="1" applyFill="1" applyProtection="1"/>
    <xf numFmtId="167" fontId="37" fillId="25" borderId="0" xfId="0" applyNumberFormat="1" applyFont="1" applyFill="1" applyProtection="1"/>
    <xf numFmtId="167" fontId="42" fillId="25" borderId="0" xfId="0" applyNumberFormat="1" applyFont="1" applyFill="1" applyProtection="1"/>
    <xf numFmtId="0" fontId="42" fillId="25" borderId="0" xfId="0" applyFont="1" applyFill="1" applyProtection="1"/>
    <xf numFmtId="167" fontId="37" fillId="25" borderId="0" xfId="308" applyFont="1" applyFill="1" applyBorder="1" applyProtection="1"/>
    <xf numFmtId="0" fontId="36" fillId="25" borderId="0" xfId="0" applyFont="1" applyFill="1" applyAlignment="1" applyProtection="1">
      <alignment horizontal="left"/>
    </xf>
    <xf numFmtId="0" fontId="42" fillId="25" borderId="0" xfId="0" applyFont="1" applyFill="1" applyAlignment="1" applyProtection="1">
      <alignment vertical="center" wrapText="1"/>
    </xf>
    <xf numFmtId="0" fontId="37" fillId="0" borderId="0" xfId="0" applyFont="1" applyAlignment="1" applyProtection="1">
      <alignment horizontal="left" vertical="center" wrapText="1"/>
    </xf>
    <xf numFmtId="0" fontId="39" fillId="25" borderId="0" xfId="0" applyFont="1" applyFill="1" applyAlignment="1" applyProtection="1">
      <alignment horizontal="left" vertical="center"/>
    </xf>
    <xf numFmtId="0" fontId="42" fillId="25" borderId="0" xfId="0" applyFont="1" applyFill="1" applyAlignment="1" applyProtection="1">
      <alignment vertical="center"/>
    </xf>
    <xf numFmtId="174" fontId="42" fillId="25" borderId="0" xfId="0" applyNumberFormat="1" applyFont="1" applyFill="1" applyProtection="1"/>
    <xf numFmtId="0" fontId="37" fillId="25" borderId="0" xfId="0" applyFont="1" applyFill="1" applyAlignment="1" applyProtection="1">
      <alignment horizontal="left" wrapText="1"/>
    </xf>
    <xf numFmtId="0" fontId="37" fillId="25" borderId="0" xfId="0" applyFont="1" applyFill="1" applyAlignment="1" applyProtection="1">
      <alignment horizontal="left" wrapText="1"/>
    </xf>
    <xf numFmtId="174" fontId="37" fillId="24" borderId="0" xfId="0" applyNumberFormat="1" applyFont="1" applyFill="1" applyProtection="1"/>
    <xf numFmtId="14" fontId="36" fillId="25" borderId="24" xfId="0" applyNumberFormat="1" applyFont="1" applyFill="1" applyBorder="1" applyAlignment="1" applyProtection="1">
      <alignment horizontal="center"/>
    </xf>
    <xf numFmtId="14" fontId="36" fillId="25" borderId="0" xfId="0" applyNumberFormat="1" applyFont="1" applyFill="1" applyAlignment="1" applyProtection="1">
      <alignment horizontal="center"/>
    </xf>
    <xf numFmtId="0" fontId="36" fillId="24" borderId="0" xfId="0" applyFont="1" applyFill="1" applyAlignment="1" applyProtection="1">
      <alignment horizontal="center"/>
    </xf>
    <xf numFmtId="0" fontId="36" fillId="0" borderId="0" xfId="0" applyFont="1" applyAlignment="1" applyProtection="1">
      <alignment horizontal="center" wrapText="1"/>
    </xf>
    <xf numFmtId="17" fontId="36" fillId="0" borderId="0" xfId="0" applyNumberFormat="1" applyFont="1" applyAlignment="1" applyProtection="1">
      <alignment horizontal="center" wrapText="1"/>
    </xf>
    <xf numFmtId="171" fontId="37" fillId="25" borderId="24" xfId="308" applyNumberFormat="1" applyFont="1" applyFill="1" applyBorder="1" applyAlignment="1" applyProtection="1">
      <alignment horizontal="left" vertical="center"/>
    </xf>
    <xf numFmtId="171" fontId="37" fillId="0" borderId="24" xfId="308" applyNumberFormat="1" applyFont="1" applyFill="1" applyBorder="1" applyAlignment="1" applyProtection="1">
      <alignment horizontal="left" vertical="center"/>
    </xf>
    <xf numFmtId="171" fontId="37" fillId="28" borderId="24" xfId="308" applyNumberFormat="1" applyFont="1" applyFill="1" applyBorder="1" applyAlignment="1" applyProtection="1">
      <alignment horizontal="left" vertical="center"/>
    </xf>
    <xf numFmtId="171" fontId="37" fillId="25" borderId="0" xfId="308" applyNumberFormat="1" applyFont="1" applyFill="1" applyBorder="1" applyAlignment="1" applyProtection="1">
      <alignment horizontal="left" vertical="top"/>
    </xf>
    <xf numFmtId="167" fontId="37" fillId="25" borderId="0" xfId="308" applyFont="1" applyFill="1" applyBorder="1" applyAlignment="1" applyProtection="1">
      <alignment horizontal="left" vertical="top"/>
    </xf>
    <xf numFmtId="0" fontId="36" fillId="24" borderId="0" xfId="0" applyFont="1" applyFill="1" applyAlignment="1" applyProtection="1">
      <alignment horizontal="center"/>
    </xf>
    <xf numFmtId="0" fontId="36" fillId="26" borderId="19" xfId="0" applyFont="1" applyFill="1" applyBorder="1" applyAlignment="1" applyProtection="1">
      <alignment horizontal="center" vertical="center" wrapText="1"/>
    </xf>
    <xf numFmtId="0" fontId="37" fillId="0" borderId="14" xfId="0" applyFont="1" applyBorder="1" applyAlignment="1" applyProtection="1">
      <alignment vertical="center" wrapText="1"/>
    </xf>
    <xf numFmtId="4" fontId="37" fillId="25" borderId="16" xfId="0" applyNumberFormat="1" applyFont="1" applyFill="1" applyBorder="1" applyAlignment="1" applyProtection="1">
      <alignment horizontal="center" vertical="center"/>
    </xf>
    <xf numFmtId="4" fontId="37" fillId="25" borderId="20" xfId="0" applyNumberFormat="1" applyFont="1" applyFill="1" applyBorder="1" applyAlignment="1" applyProtection="1">
      <alignment horizontal="center" vertical="center"/>
    </xf>
    <xf numFmtId="4" fontId="37" fillId="24" borderId="0" xfId="0" applyNumberFormat="1" applyFont="1" applyFill="1" applyAlignment="1" applyProtection="1">
      <alignment horizontal="center" vertical="center"/>
    </xf>
    <xf numFmtId="4" fontId="37" fillId="24" borderId="17" xfId="0" applyNumberFormat="1" applyFont="1" applyFill="1" applyBorder="1" applyAlignment="1" applyProtection="1">
      <alignment horizontal="center" vertical="center"/>
    </xf>
    <xf numFmtId="10" fontId="37" fillId="25" borderId="14" xfId="0" applyNumberFormat="1" applyFont="1" applyFill="1" applyBorder="1" applyAlignment="1" applyProtection="1">
      <alignment horizontal="center" vertical="center"/>
    </xf>
    <xf numFmtId="10" fontId="37" fillId="25" borderId="0" xfId="0" applyNumberFormat="1" applyFont="1" applyFill="1" applyAlignment="1" applyProtection="1">
      <alignment horizontal="center" vertical="center"/>
    </xf>
    <xf numFmtId="10" fontId="37" fillId="25" borderId="17" xfId="0" applyNumberFormat="1" applyFont="1" applyFill="1" applyBorder="1" applyAlignment="1" applyProtection="1">
      <alignment horizontal="center" vertical="center"/>
    </xf>
    <xf numFmtId="0" fontId="37" fillId="24" borderId="14" xfId="0" applyFont="1" applyFill="1" applyBorder="1" applyAlignment="1" applyProtection="1">
      <alignment horizontal="left"/>
    </xf>
    <xf numFmtId="0" fontId="37" fillId="25" borderId="14" xfId="0" applyFont="1" applyFill="1" applyBorder="1" applyAlignment="1" applyProtection="1">
      <alignment horizontal="left"/>
    </xf>
    <xf numFmtId="4" fontId="37" fillId="24" borderId="14" xfId="0" applyNumberFormat="1" applyFont="1" applyFill="1" applyBorder="1" applyAlignment="1" applyProtection="1">
      <alignment horizontal="center" vertical="center"/>
    </xf>
    <xf numFmtId="10" fontId="37" fillId="24" borderId="14" xfId="0" applyNumberFormat="1" applyFont="1" applyFill="1" applyBorder="1" applyAlignment="1" applyProtection="1">
      <alignment horizontal="center" vertical="center"/>
    </xf>
    <xf numFmtId="10" fontId="37" fillId="24" borderId="0" xfId="0" applyNumberFormat="1" applyFont="1" applyFill="1" applyAlignment="1" applyProtection="1">
      <alignment horizontal="center" vertical="center"/>
    </xf>
    <xf numFmtId="10" fontId="37" fillId="24" borderId="17" xfId="0" applyNumberFormat="1" applyFont="1" applyFill="1" applyBorder="1" applyAlignment="1" applyProtection="1">
      <alignment horizontal="center" vertical="center"/>
    </xf>
    <xf numFmtId="10" fontId="37" fillId="0" borderId="17" xfId="0" applyNumberFormat="1" applyFont="1" applyBorder="1" applyAlignment="1" applyProtection="1">
      <alignment horizontal="center" vertical="center"/>
    </xf>
    <xf numFmtId="10" fontId="37" fillId="0" borderId="14" xfId="0" applyNumberFormat="1" applyFont="1" applyBorder="1" applyAlignment="1" applyProtection="1">
      <alignment horizontal="center" vertical="center"/>
    </xf>
    <xf numFmtId="0" fontId="37" fillId="0" borderId="13" xfId="0" applyFont="1" applyBorder="1" applyAlignment="1" applyProtection="1">
      <alignment horizontal="left" vertical="center" wrapText="1"/>
    </xf>
    <xf numFmtId="0" fontId="37" fillId="0" borderId="10" xfId="0" applyFont="1" applyBorder="1" applyAlignment="1" applyProtection="1">
      <alignment horizontal="left" vertical="center" wrapText="1"/>
    </xf>
    <xf numFmtId="4" fontId="37" fillId="25" borderId="10" xfId="0" applyNumberFormat="1" applyFont="1" applyFill="1" applyBorder="1" applyAlignment="1" applyProtection="1">
      <alignment horizontal="center" vertical="center"/>
    </xf>
    <xf numFmtId="4" fontId="37" fillId="25" borderId="18" xfId="0" applyNumberFormat="1" applyFont="1" applyFill="1" applyBorder="1" applyAlignment="1" applyProtection="1">
      <alignment horizontal="center" vertical="center"/>
    </xf>
    <xf numFmtId="4" fontId="37" fillId="25" borderId="13" xfId="0" applyNumberFormat="1" applyFont="1" applyFill="1" applyBorder="1" applyAlignment="1" applyProtection="1">
      <alignment horizontal="center" vertical="center"/>
    </xf>
    <xf numFmtId="10" fontId="37" fillId="25" borderId="13" xfId="0" applyNumberFormat="1" applyFont="1" applyFill="1" applyBorder="1" applyAlignment="1" applyProtection="1">
      <alignment horizontal="center" vertical="center"/>
    </xf>
    <xf numFmtId="10" fontId="37" fillId="25" borderId="10" xfId="0" applyNumberFormat="1" applyFont="1" applyFill="1" applyBorder="1" applyAlignment="1" applyProtection="1">
      <alignment horizontal="center" vertical="center"/>
    </xf>
    <xf numFmtId="10" fontId="37" fillId="25" borderId="18" xfId="0" applyNumberFormat="1" applyFont="1" applyFill="1" applyBorder="1" applyAlignment="1" applyProtection="1">
      <alignment horizontal="center" vertical="center"/>
    </xf>
    <xf numFmtId="10" fontId="37" fillId="0" borderId="10" xfId="186" applyNumberFormat="1" applyFont="1" applyFill="1" applyBorder="1" applyAlignment="1" applyProtection="1">
      <alignment horizontal="center" vertical="center"/>
    </xf>
    <xf numFmtId="10" fontId="37" fillId="0" borderId="18" xfId="186" applyNumberFormat="1" applyFont="1" applyFill="1" applyBorder="1" applyAlignment="1" applyProtection="1">
      <alignment horizontal="center" vertical="center"/>
    </xf>
    <xf numFmtId="0" fontId="36" fillId="0" borderId="0" xfId="0" applyFont="1" applyAlignment="1" applyProtection="1">
      <alignment horizontal="left" vertical="center" wrapText="1"/>
    </xf>
    <xf numFmtId="10" fontId="37" fillId="0" borderId="0" xfId="0" applyNumberFormat="1" applyFont="1" applyAlignment="1" applyProtection="1">
      <alignment horizontal="left" wrapText="1"/>
    </xf>
    <xf numFmtId="0" fontId="40" fillId="24" borderId="0" xfId="0" applyFont="1" applyFill="1" applyAlignment="1" applyProtection="1">
      <alignment horizontal="left"/>
    </xf>
    <xf numFmtId="0" fontId="39" fillId="24" borderId="0" xfId="0" applyFont="1" applyFill="1" applyAlignment="1" applyProtection="1">
      <alignment horizontal="left" vertical="center"/>
    </xf>
    <xf numFmtId="0" fontId="42" fillId="24" borderId="0" xfId="0" applyFont="1" applyFill="1" applyAlignment="1" applyProtection="1">
      <alignment horizontal="left" vertical="center"/>
    </xf>
    <xf numFmtId="0" fontId="42" fillId="24" borderId="0" xfId="0" applyFont="1" applyFill="1" applyAlignment="1" applyProtection="1">
      <alignment vertical="center"/>
    </xf>
    <xf numFmtId="0" fontId="42" fillId="0" borderId="0" xfId="0" applyFont="1" applyAlignment="1" applyProtection="1">
      <alignment vertical="center"/>
    </xf>
    <xf numFmtId="0" fontId="42" fillId="24" borderId="0" xfId="0" applyFont="1" applyFill="1" applyProtection="1"/>
    <xf numFmtId="0" fontId="37" fillId="24" borderId="0" xfId="0" applyFont="1" applyFill="1" applyAlignment="1" applyProtection="1">
      <alignment vertical="center"/>
    </xf>
    <xf numFmtId="167" fontId="37" fillId="0" borderId="0" xfId="162" applyFont="1" applyProtection="1"/>
    <xf numFmtId="14" fontId="36" fillId="25" borderId="0" xfId="415" applyNumberFormat="1" applyFont="1" applyFill="1" applyAlignment="1" applyProtection="1">
      <alignment horizontal="center" vertical="center"/>
    </xf>
    <xf numFmtId="14" fontId="36" fillId="0" borderId="0" xfId="415" applyNumberFormat="1" applyFont="1" applyAlignment="1" applyProtection="1">
      <alignment horizontal="center" vertical="center"/>
    </xf>
    <xf numFmtId="14" fontId="36" fillId="25" borderId="10" xfId="415" applyNumberFormat="1" applyFont="1" applyFill="1" applyBorder="1" applyAlignment="1" applyProtection="1">
      <alignment horizontal="center" vertical="center"/>
    </xf>
    <xf numFmtId="0" fontId="37" fillId="25" borderId="14" xfId="0" applyFont="1" applyFill="1" applyBorder="1" applyProtection="1"/>
    <xf numFmtId="167" fontId="37" fillId="25" borderId="0" xfId="162" applyFont="1" applyFill="1" applyBorder="1" applyProtection="1"/>
    <xf numFmtId="39" fontId="42" fillId="25" borderId="0" xfId="0" applyNumberFormat="1" applyFont="1" applyFill="1" applyAlignment="1" applyProtection="1">
      <alignment horizontal="center" vertical="center"/>
    </xf>
    <xf numFmtId="39" fontId="37" fillId="25" borderId="0" xfId="0" applyNumberFormat="1" applyFont="1" applyFill="1" applyAlignment="1" applyProtection="1">
      <alignment horizontal="center" vertical="center"/>
    </xf>
    <xf numFmtId="39" fontId="37" fillId="25" borderId="20" xfId="0" applyNumberFormat="1" applyFont="1" applyFill="1" applyBorder="1" applyAlignment="1" applyProtection="1">
      <alignment horizontal="center" vertical="center"/>
    </xf>
    <xf numFmtId="0" fontId="40" fillId="25" borderId="14" xfId="0" applyFont="1" applyFill="1" applyBorder="1" applyAlignment="1" applyProtection="1">
      <alignment vertical="center"/>
    </xf>
    <xf numFmtId="0" fontId="37" fillId="25" borderId="0" xfId="0" applyFont="1" applyFill="1" applyAlignment="1" applyProtection="1">
      <alignment horizontal="right"/>
    </xf>
    <xf numFmtId="39" fontId="37" fillId="0" borderId="0" xfId="0" applyNumberFormat="1" applyFont="1" applyAlignment="1" applyProtection="1">
      <alignment horizontal="center" vertical="center"/>
    </xf>
    <xf numFmtId="39" fontId="37" fillId="25" borderId="17" xfId="0" applyNumberFormat="1" applyFont="1" applyFill="1" applyBorder="1" applyAlignment="1" applyProtection="1">
      <alignment horizontal="center" vertical="center"/>
    </xf>
    <xf numFmtId="0" fontId="36" fillId="25" borderId="14" xfId="0" applyFont="1" applyFill="1" applyBorder="1" applyAlignment="1" applyProtection="1">
      <alignment horizontal="left" vertical="center"/>
    </xf>
    <xf numFmtId="0" fontId="36" fillId="25" borderId="0" xfId="0" applyFont="1" applyFill="1" applyAlignment="1" applyProtection="1">
      <alignment horizontal="left" vertical="center" wrapText="1"/>
    </xf>
    <xf numFmtId="0" fontId="40" fillId="25" borderId="14" xfId="0" applyFont="1" applyFill="1" applyBorder="1" applyAlignment="1" applyProtection="1">
      <alignment horizontal="left" vertical="center"/>
    </xf>
    <xf numFmtId="0" fontId="37" fillId="25" borderId="0" xfId="176" applyFont="1" applyFill="1" applyAlignment="1" applyProtection="1">
      <alignment horizontal="left" vertical="center" wrapText="1"/>
    </xf>
    <xf numFmtId="0" fontId="37" fillId="25" borderId="14" xfId="0" applyFont="1" applyFill="1" applyBorder="1" applyAlignment="1" applyProtection="1">
      <alignment horizontal="left" vertical="center"/>
    </xf>
    <xf numFmtId="0" fontId="36" fillId="25" borderId="13" xfId="0" applyFont="1" applyFill="1" applyBorder="1" applyAlignment="1" applyProtection="1">
      <alignment horizontal="left"/>
    </xf>
    <xf numFmtId="0" fontId="36" fillId="25" borderId="10" xfId="0" applyFont="1" applyFill="1" applyBorder="1" applyAlignment="1" applyProtection="1">
      <alignment horizontal="left"/>
    </xf>
    <xf numFmtId="0" fontId="37" fillId="25" borderId="10" xfId="0" applyFont="1" applyFill="1" applyBorder="1" applyAlignment="1" applyProtection="1">
      <alignment horizontal="center"/>
    </xf>
    <xf numFmtId="4" fontId="37" fillId="0" borderId="10" xfId="162" applyNumberFormat="1" applyFont="1" applyFill="1" applyBorder="1" applyAlignment="1" applyProtection="1">
      <alignment horizontal="center" vertical="center"/>
    </xf>
    <xf numFmtId="167" fontId="37" fillId="25" borderId="0" xfId="162" applyFont="1" applyFill="1" applyProtection="1"/>
    <xf numFmtId="0" fontId="40" fillId="25" borderId="0" xfId="415" applyFont="1" applyFill="1" applyAlignment="1" applyProtection="1">
      <alignment horizontal="left"/>
    </xf>
    <xf numFmtId="0" fontId="39" fillId="0" borderId="0" xfId="0" applyFont="1" applyAlignment="1" applyProtection="1">
      <alignment horizontal="left" vertical="center" wrapText="1"/>
    </xf>
    <xf numFmtId="0" fontId="0" fillId="25" borderId="0" xfId="0" applyFill="1" applyProtection="1"/>
    <xf numFmtId="0" fontId="0" fillId="25" borderId="0" xfId="0" applyFill="1" applyAlignment="1" applyProtection="1">
      <alignment horizontal="center"/>
    </xf>
    <xf numFmtId="0" fontId="0" fillId="25" borderId="0" xfId="0" applyFill="1" applyAlignment="1" applyProtection="1">
      <alignment horizontal="center" vertical="center"/>
    </xf>
    <xf numFmtId="0" fontId="0" fillId="0" borderId="0" xfId="0" applyProtection="1"/>
    <xf numFmtId="0" fontId="39" fillId="0" borderId="0" xfId="0" applyFont="1" applyAlignment="1" applyProtection="1">
      <alignment horizontal="center"/>
    </xf>
    <xf numFmtId="0" fontId="39" fillId="25" borderId="0" xfId="0" applyFont="1" applyFill="1" applyAlignment="1" applyProtection="1">
      <alignment horizontal="center"/>
    </xf>
    <xf numFmtId="0" fontId="39" fillId="25" borderId="0" xfId="0" applyFont="1" applyFill="1" applyAlignment="1" applyProtection="1">
      <alignment horizontal="center" vertical="center"/>
    </xf>
    <xf numFmtId="0" fontId="48" fillId="0" borderId="14" xfId="0" applyFont="1" applyBorder="1" applyAlignment="1" applyProtection="1">
      <alignment horizontal="left" vertical="center" wrapText="1"/>
    </xf>
    <xf numFmtId="0" fontId="47" fillId="27" borderId="0" xfId="0" applyFont="1" applyFill="1" applyAlignment="1" applyProtection="1">
      <alignment horizontal="left" vertical="center" wrapText="1"/>
    </xf>
    <xf numFmtId="0" fontId="47" fillId="27" borderId="0" xfId="0" applyFont="1" applyFill="1" applyAlignment="1" applyProtection="1">
      <alignment horizontal="center" vertical="center" wrapText="1"/>
    </xf>
    <xf numFmtId="4" fontId="46" fillId="0" borderId="0" xfId="0" applyNumberFormat="1" applyFont="1" applyAlignment="1" applyProtection="1">
      <alignment horizontal="center" vertical="center" wrapText="1"/>
    </xf>
    <xf numFmtId="4" fontId="46" fillId="27" borderId="0" xfId="0" applyNumberFormat="1" applyFont="1" applyFill="1" applyAlignment="1" applyProtection="1">
      <alignment horizontal="center" vertical="center" wrapText="1"/>
    </xf>
    <xf numFmtId="0" fontId="46" fillId="27" borderId="0" xfId="0" applyFont="1" applyFill="1" applyAlignment="1" applyProtection="1">
      <alignment horizontal="left" vertical="center" wrapText="1"/>
    </xf>
    <xf numFmtId="0" fontId="46" fillId="27" borderId="0" xfId="0" applyFont="1" applyFill="1" applyAlignment="1" applyProtection="1">
      <alignment horizontal="center" vertical="center" wrapText="1"/>
    </xf>
    <xf numFmtId="0" fontId="49" fillId="0" borderId="17" xfId="0" applyFont="1" applyBorder="1" applyAlignment="1" applyProtection="1">
      <alignment horizontal="center" vertical="center" wrapText="1"/>
    </xf>
    <xf numFmtId="0" fontId="47" fillId="25" borderId="0" xfId="0" applyFont="1" applyFill="1" applyAlignment="1" applyProtection="1">
      <alignment horizontal="center" vertical="center" wrapText="1"/>
    </xf>
    <xf numFmtId="0" fontId="59" fillId="0" borderId="14" xfId="0" applyFont="1" applyBorder="1" applyAlignment="1" applyProtection="1">
      <alignment horizontal="left" vertical="center"/>
    </xf>
    <xf numFmtId="0" fontId="49" fillId="0" borderId="0" xfId="0" applyFont="1" applyAlignment="1" applyProtection="1">
      <alignment vertical="center" wrapText="1"/>
    </xf>
    <xf numFmtId="0" fontId="49" fillId="0" borderId="0" xfId="0" applyFont="1" applyAlignment="1" applyProtection="1">
      <alignment horizontal="center" vertical="center" wrapText="1"/>
    </xf>
    <xf numFmtId="0" fontId="49" fillId="25" borderId="0" xfId="0" applyFont="1" applyFill="1" applyAlignment="1" applyProtection="1">
      <alignment horizontal="center" vertical="center" wrapText="1"/>
    </xf>
    <xf numFmtId="0" fontId="55" fillId="0" borderId="14" xfId="0" applyFont="1" applyBorder="1" applyAlignment="1" applyProtection="1">
      <alignment horizontal="left" vertical="center"/>
    </xf>
    <xf numFmtId="0" fontId="39" fillId="0" borderId="0" xfId="0" applyFont="1" applyAlignment="1" applyProtection="1">
      <alignment horizontal="center" vertical="center"/>
    </xf>
    <xf numFmtId="4" fontId="49" fillId="0" borderId="0" xfId="0" applyNumberFormat="1" applyFont="1" applyAlignment="1" applyProtection="1">
      <alignment horizontal="center" vertical="center" wrapText="1"/>
    </xf>
    <xf numFmtId="0" fontId="55" fillId="0" borderId="14" xfId="0" applyFont="1" applyBorder="1" applyAlignment="1" applyProtection="1">
      <alignment horizontal="center" vertical="center"/>
    </xf>
    <xf numFmtId="0" fontId="55" fillId="0" borderId="0" xfId="0" applyFont="1" applyAlignment="1" applyProtection="1">
      <alignment vertical="center" wrapText="1"/>
    </xf>
    <xf numFmtId="0" fontId="55" fillId="0" borderId="0" xfId="0" applyFont="1" applyAlignment="1" applyProtection="1">
      <alignment horizontal="center" vertical="center" wrapText="1"/>
    </xf>
    <xf numFmtId="0" fontId="55" fillId="0" borderId="17" xfId="0" applyFont="1" applyBorder="1" applyAlignment="1" applyProtection="1">
      <alignment horizontal="center" vertical="center" wrapText="1"/>
    </xf>
    <xf numFmtId="0" fontId="36" fillId="0" borderId="0" xfId="0" applyFont="1" applyAlignment="1" applyProtection="1">
      <alignment horizontal="center" vertical="center" wrapText="1"/>
    </xf>
    <xf numFmtId="0" fontId="55" fillId="0" borderId="14" xfId="0" applyFont="1" applyBorder="1" applyAlignment="1" applyProtection="1">
      <alignment horizontal="left" vertical="center" wrapText="1"/>
    </xf>
    <xf numFmtId="0" fontId="49" fillId="29" borderId="0" xfId="0" applyFont="1" applyFill="1" applyAlignment="1" applyProtection="1">
      <alignment horizontal="center" vertical="center" wrapText="1"/>
    </xf>
    <xf numFmtId="0" fontId="39" fillId="29" borderId="0" xfId="0" applyFont="1" applyFill="1" applyAlignment="1" applyProtection="1">
      <alignment horizontal="center" vertical="center"/>
    </xf>
    <xf numFmtId="0" fontId="49" fillId="29" borderId="0" xfId="0" applyFont="1" applyFill="1" applyAlignment="1" applyProtection="1">
      <alignment vertical="center" wrapText="1"/>
    </xf>
    <xf numFmtId="0" fontId="49" fillId="29" borderId="17" xfId="0" applyFont="1" applyFill="1" applyBorder="1" applyAlignment="1" applyProtection="1">
      <alignment horizontal="center" vertical="center" wrapText="1"/>
    </xf>
    <xf numFmtId="0" fontId="59" fillId="0" borderId="14" xfId="0" applyFont="1" applyBorder="1" applyProtection="1"/>
    <xf numFmtId="0" fontId="49" fillId="0" borderId="0" xfId="0" applyFont="1" applyAlignment="1" applyProtection="1">
      <alignment wrapText="1"/>
    </xf>
    <xf numFmtId="0" fontId="49" fillId="29" borderId="0" xfId="0" applyFont="1" applyFill="1" applyAlignment="1" applyProtection="1">
      <alignment wrapText="1"/>
    </xf>
    <xf numFmtId="0" fontId="55" fillId="0" borderId="14" xfId="0" applyFont="1" applyBorder="1" applyAlignment="1" applyProtection="1">
      <alignment horizontal="left" vertical="center" wrapText="1"/>
    </xf>
    <xf numFmtId="0" fontId="49" fillId="0" borderId="0" xfId="0" applyFont="1" applyAlignment="1" applyProtection="1">
      <alignment horizontal="left" vertical="center" wrapText="1"/>
    </xf>
    <xf numFmtId="0" fontId="49" fillId="29" borderId="0" xfId="0" applyFont="1" applyFill="1" applyAlignment="1" applyProtection="1">
      <alignment horizontal="center" vertical="center" wrapText="1"/>
    </xf>
    <xf numFmtId="0" fontId="49" fillId="0" borderId="0" xfId="0" applyFont="1" applyAlignment="1" applyProtection="1">
      <alignment horizontal="center" vertical="center" wrapText="1"/>
    </xf>
    <xf numFmtId="0" fontId="49" fillId="0" borderId="17" xfId="0" applyFont="1" applyBorder="1" applyAlignment="1" applyProtection="1">
      <alignment horizontal="center" vertical="center" wrapText="1"/>
    </xf>
    <xf numFmtId="4" fontId="37" fillId="25" borderId="0" xfId="0" applyNumberFormat="1" applyFont="1" applyFill="1" applyAlignment="1" applyProtection="1">
      <alignment horizontal="center" vertical="center" wrapText="1"/>
    </xf>
    <xf numFmtId="0" fontId="39" fillId="29" borderId="0" xfId="0" applyFont="1" applyFill="1" applyAlignment="1" applyProtection="1">
      <alignment horizontal="center" vertical="center" wrapText="1"/>
    </xf>
    <xf numFmtId="0" fontId="55" fillId="0" borderId="14" xfId="0" applyFont="1" applyBorder="1" applyAlignment="1" applyProtection="1">
      <alignment horizontal="center" vertical="center" wrapText="1"/>
    </xf>
    <xf numFmtId="4" fontId="37" fillId="25" borderId="0" xfId="0" applyNumberFormat="1" applyFont="1" applyFill="1" applyAlignment="1" applyProtection="1">
      <alignment horizontal="center" vertical="center" wrapText="1"/>
    </xf>
    <xf numFmtId="0" fontId="59" fillId="0" borderId="14" xfId="0" applyFont="1" applyBorder="1" applyAlignment="1" applyProtection="1">
      <alignment wrapText="1"/>
    </xf>
    <xf numFmtId="4" fontId="49" fillId="29" borderId="0" xfId="0" applyNumberFormat="1" applyFont="1" applyFill="1" applyAlignment="1" applyProtection="1">
      <alignment horizontal="center" vertical="center" wrapText="1"/>
    </xf>
    <xf numFmtId="0" fontId="55" fillId="0" borderId="13" xfId="0" applyFont="1" applyBorder="1" applyAlignment="1" applyProtection="1">
      <alignment horizontal="center" vertical="center" wrapText="1"/>
    </xf>
    <xf numFmtId="0" fontId="49" fillId="0" borderId="10" xfId="0" applyFont="1" applyBorder="1" applyAlignment="1" applyProtection="1">
      <alignment vertical="center" wrapText="1"/>
    </xf>
    <xf numFmtId="0" fontId="49" fillId="29" borderId="10" xfId="0" applyFont="1" applyFill="1" applyBorder="1" applyAlignment="1" applyProtection="1">
      <alignment horizontal="center" vertical="center" wrapText="1"/>
    </xf>
    <xf numFmtId="0" fontId="39" fillId="29" borderId="10" xfId="0" applyFont="1" applyFill="1" applyBorder="1" applyAlignment="1" applyProtection="1">
      <alignment horizontal="center" vertical="center"/>
    </xf>
    <xf numFmtId="0" fontId="49" fillId="29" borderId="10" xfId="0" applyFont="1" applyFill="1" applyBorder="1" applyAlignment="1" applyProtection="1">
      <alignment horizontal="left" vertical="center" wrapText="1"/>
    </xf>
    <xf numFmtId="0" fontId="39" fillId="0" borderId="10" xfId="0" applyFont="1" applyBorder="1" applyAlignment="1" applyProtection="1">
      <alignment horizontal="center" vertical="center"/>
    </xf>
    <xf numFmtId="0" fontId="49" fillId="29" borderId="10" xfId="0" applyFont="1" applyFill="1" applyBorder="1" applyAlignment="1" applyProtection="1">
      <alignment horizontal="justify" vertical="center" wrapText="1"/>
    </xf>
    <xf numFmtId="0" fontId="49" fillId="29" borderId="18" xfId="0" applyFont="1" applyFill="1" applyBorder="1" applyAlignment="1" applyProtection="1">
      <alignment horizontal="center" vertical="center" wrapText="1"/>
    </xf>
    <xf numFmtId="0" fontId="39" fillId="29" borderId="0" xfId="0" applyFont="1" applyFill="1" applyAlignment="1" applyProtection="1">
      <alignment vertical="center"/>
    </xf>
    <xf numFmtId="0" fontId="39" fillId="29" borderId="0" xfId="0" applyFont="1" applyFill="1" applyAlignment="1" applyProtection="1">
      <alignment vertical="center" wrapText="1"/>
    </xf>
    <xf numFmtId="0" fontId="49" fillId="0" borderId="0" xfId="0" applyFont="1" applyAlignment="1" applyProtection="1">
      <alignment horizontal="left" vertical="center"/>
    </xf>
    <xf numFmtId="0" fontId="59" fillId="29" borderId="0" xfId="0" applyFont="1" applyFill="1" applyAlignment="1" applyProtection="1">
      <alignment horizontal="left" vertical="center"/>
    </xf>
    <xf numFmtId="0" fontId="55" fillId="0" borderId="0" xfId="0" applyFont="1" applyAlignment="1" applyProtection="1">
      <alignment horizontal="left" vertical="center"/>
    </xf>
    <xf numFmtId="0" fontId="0" fillId="0" borderId="0" xfId="0" applyAlignment="1" applyProtection="1">
      <alignment horizontal="center"/>
    </xf>
    <xf numFmtId="0" fontId="0" fillId="0" borderId="0" xfId="0" applyAlignment="1" applyProtection="1">
      <alignment horizontal="center" vertical="center"/>
    </xf>
  </cellXfs>
  <cellStyles count="898">
    <cellStyle name="0,0_x000a__x000a_NA_x000a__x000a_ 2" xfId="540" xr:uid="{E29C52CF-5CE8-4590-AB8E-1A51C89C6694}"/>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20% - Énfasis1" xfId="7" builtinId="30" customBuiltin="1"/>
    <cellStyle name="20% - Énfasis1 2" xfId="8" xr:uid="{00000000-0005-0000-0000-000007000000}"/>
    <cellStyle name="20% - Énfasis1 3" xfId="9" xr:uid="{00000000-0005-0000-0000-000008000000}"/>
    <cellStyle name="20% - Énfasis1 4" xfId="10" xr:uid="{00000000-0005-0000-0000-000009000000}"/>
    <cellStyle name="20% - Énfasis1 5" xfId="228" xr:uid="{00000000-0005-0000-0000-00000A000000}"/>
    <cellStyle name="20% - Énfasis2" xfId="11" builtinId="34" customBuiltin="1"/>
    <cellStyle name="20% - Énfasis2 2" xfId="12" xr:uid="{00000000-0005-0000-0000-00000C000000}"/>
    <cellStyle name="20% - Énfasis2 3" xfId="13" xr:uid="{00000000-0005-0000-0000-00000D000000}"/>
    <cellStyle name="20% - Énfasis2 4" xfId="14" xr:uid="{00000000-0005-0000-0000-00000E000000}"/>
    <cellStyle name="20% - Énfasis2 5" xfId="229" xr:uid="{00000000-0005-0000-0000-00000F000000}"/>
    <cellStyle name="20% - Énfasis3" xfId="15" builtinId="38" customBuiltin="1"/>
    <cellStyle name="20% - Énfasis3 2" xfId="16" xr:uid="{00000000-0005-0000-0000-000011000000}"/>
    <cellStyle name="20% - Énfasis3 3" xfId="17" xr:uid="{00000000-0005-0000-0000-000012000000}"/>
    <cellStyle name="20% - Énfasis3 4" xfId="18" xr:uid="{00000000-0005-0000-0000-000013000000}"/>
    <cellStyle name="20% - Énfasis3 5" xfId="230" xr:uid="{00000000-0005-0000-0000-000014000000}"/>
    <cellStyle name="20% - Énfasis4" xfId="19" builtinId="42" customBuiltin="1"/>
    <cellStyle name="20% - Énfasis4 2" xfId="20" xr:uid="{00000000-0005-0000-0000-000016000000}"/>
    <cellStyle name="20% - Énfasis4 3" xfId="21" xr:uid="{00000000-0005-0000-0000-000017000000}"/>
    <cellStyle name="20% - Énfasis4 4" xfId="22" xr:uid="{00000000-0005-0000-0000-000018000000}"/>
    <cellStyle name="20% - Énfasis4 5" xfId="231" xr:uid="{00000000-0005-0000-0000-000019000000}"/>
    <cellStyle name="20% - Énfasis5" xfId="23" builtinId="46" customBuiltin="1"/>
    <cellStyle name="20% - Énfasis5 2" xfId="24" xr:uid="{00000000-0005-0000-0000-00001B000000}"/>
    <cellStyle name="20% - Énfasis5 3" xfId="25" xr:uid="{00000000-0005-0000-0000-00001C000000}"/>
    <cellStyle name="20% - Énfasis5 4" xfId="26" xr:uid="{00000000-0005-0000-0000-00001D000000}"/>
    <cellStyle name="20% - Énfasis5 5" xfId="232" xr:uid="{00000000-0005-0000-0000-00001E000000}"/>
    <cellStyle name="20% - Énfasis6" xfId="27" builtinId="50" customBuiltin="1"/>
    <cellStyle name="20% - Énfasis6 2" xfId="28" xr:uid="{00000000-0005-0000-0000-000020000000}"/>
    <cellStyle name="20% - Énfasis6 3" xfId="29" xr:uid="{00000000-0005-0000-0000-000021000000}"/>
    <cellStyle name="20% - Énfasis6 4" xfId="30" xr:uid="{00000000-0005-0000-0000-000022000000}"/>
    <cellStyle name="20% - Énfasis6 5" xfId="233" xr:uid="{00000000-0005-0000-0000-000023000000}"/>
    <cellStyle name="40% - Accent1" xfId="31" xr:uid="{00000000-0005-0000-0000-000024000000}"/>
    <cellStyle name="40% - Accent2" xfId="32" xr:uid="{00000000-0005-0000-0000-000025000000}"/>
    <cellStyle name="40% - Accent3" xfId="33" xr:uid="{00000000-0005-0000-0000-000026000000}"/>
    <cellStyle name="40% - Accent4" xfId="34" xr:uid="{00000000-0005-0000-0000-000027000000}"/>
    <cellStyle name="40% - Accent5" xfId="35" xr:uid="{00000000-0005-0000-0000-000028000000}"/>
    <cellStyle name="40% - Accent6" xfId="36" xr:uid="{00000000-0005-0000-0000-000029000000}"/>
    <cellStyle name="40% - Énfasis1" xfId="37" builtinId="31" customBuiltin="1"/>
    <cellStyle name="40% - Énfasis1 2" xfId="38" xr:uid="{00000000-0005-0000-0000-00002B000000}"/>
    <cellStyle name="40% - Énfasis1 3" xfId="39" xr:uid="{00000000-0005-0000-0000-00002C000000}"/>
    <cellStyle name="40% - Énfasis1 4" xfId="40" xr:uid="{00000000-0005-0000-0000-00002D000000}"/>
    <cellStyle name="40% - Énfasis1 5" xfId="234" xr:uid="{00000000-0005-0000-0000-00002E000000}"/>
    <cellStyle name="40% - Énfasis2" xfId="41" builtinId="35" customBuiltin="1"/>
    <cellStyle name="40% - Énfasis2 2" xfId="42" xr:uid="{00000000-0005-0000-0000-000030000000}"/>
    <cellStyle name="40% - Énfasis2 3" xfId="43" xr:uid="{00000000-0005-0000-0000-000031000000}"/>
    <cellStyle name="40% - Énfasis2 4" xfId="44" xr:uid="{00000000-0005-0000-0000-000032000000}"/>
    <cellStyle name="40% - Énfasis2 5" xfId="235" xr:uid="{00000000-0005-0000-0000-000033000000}"/>
    <cellStyle name="40% - Énfasis3" xfId="45" builtinId="39" customBuiltin="1"/>
    <cellStyle name="40% - Énfasis3 2" xfId="46" xr:uid="{00000000-0005-0000-0000-000035000000}"/>
    <cellStyle name="40% - Énfasis3 3" xfId="47" xr:uid="{00000000-0005-0000-0000-000036000000}"/>
    <cellStyle name="40% - Énfasis3 4" xfId="48" xr:uid="{00000000-0005-0000-0000-000037000000}"/>
    <cellStyle name="40% - Énfasis3 5" xfId="236" xr:uid="{00000000-0005-0000-0000-000038000000}"/>
    <cellStyle name="40% - Énfasis4" xfId="49" builtinId="43" customBuiltin="1"/>
    <cellStyle name="40% - Énfasis4 2" xfId="50" xr:uid="{00000000-0005-0000-0000-00003A000000}"/>
    <cellStyle name="40% - Énfasis4 3" xfId="51" xr:uid="{00000000-0005-0000-0000-00003B000000}"/>
    <cellStyle name="40% - Énfasis4 4" xfId="52" xr:uid="{00000000-0005-0000-0000-00003C000000}"/>
    <cellStyle name="40% - Énfasis4 5" xfId="237" xr:uid="{00000000-0005-0000-0000-00003D000000}"/>
    <cellStyle name="40% - Énfasis5" xfId="53" builtinId="47" customBuiltin="1"/>
    <cellStyle name="40% - Énfasis5 2" xfId="54" xr:uid="{00000000-0005-0000-0000-00003F000000}"/>
    <cellStyle name="40% - Énfasis5 3" xfId="55" xr:uid="{00000000-0005-0000-0000-000040000000}"/>
    <cellStyle name="40% - Énfasis5 4" xfId="56" xr:uid="{00000000-0005-0000-0000-000041000000}"/>
    <cellStyle name="40% - Énfasis5 5" xfId="238" xr:uid="{00000000-0005-0000-0000-000042000000}"/>
    <cellStyle name="40% - Énfasis6" xfId="57" builtinId="51" customBuiltin="1"/>
    <cellStyle name="40% - Énfasis6 2" xfId="58" xr:uid="{00000000-0005-0000-0000-000044000000}"/>
    <cellStyle name="40% - Énfasis6 3" xfId="59" xr:uid="{00000000-0005-0000-0000-000045000000}"/>
    <cellStyle name="40% - Énfasis6 4" xfId="60" xr:uid="{00000000-0005-0000-0000-000046000000}"/>
    <cellStyle name="40% - Énfasis6 5" xfId="239" xr:uid="{00000000-0005-0000-0000-000047000000}"/>
    <cellStyle name="60% - Accent1" xfId="61" xr:uid="{00000000-0005-0000-0000-000048000000}"/>
    <cellStyle name="60% - Accent2" xfId="62" xr:uid="{00000000-0005-0000-0000-000049000000}"/>
    <cellStyle name="60% - Accent3" xfId="63" xr:uid="{00000000-0005-0000-0000-00004A000000}"/>
    <cellStyle name="60% - Accent4" xfId="64" xr:uid="{00000000-0005-0000-0000-00004B000000}"/>
    <cellStyle name="60% - Accent5" xfId="65" xr:uid="{00000000-0005-0000-0000-00004C000000}"/>
    <cellStyle name="60% - Accent6" xfId="66" xr:uid="{00000000-0005-0000-0000-00004D000000}"/>
    <cellStyle name="60% - Énfasis1" xfId="67" builtinId="32" customBuiltin="1"/>
    <cellStyle name="60% - Énfasis1 2" xfId="68" xr:uid="{00000000-0005-0000-0000-00004F000000}"/>
    <cellStyle name="60% - Énfasis1 3" xfId="69" xr:uid="{00000000-0005-0000-0000-000050000000}"/>
    <cellStyle name="60% - Énfasis1 4" xfId="70" xr:uid="{00000000-0005-0000-0000-000051000000}"/>
    <cellStyle name="60% - Énfasis1 5" xfId="240" xr:uid="{00000000-0005-0000-0000-000052000000}"/>
    <cellStyle name="60% - Énfasis2" xfId="71" builtinId="36" customBuiltin="1"/>
    <cellStyle name="60% - Énfasis2 2" xfId="72" xr:uid="{00000000-0005-0000-0000-000054000000}"/>
    <cellStyle name="60% - Énfasis2 3" xfId="73" xr:uid="{00000000-0005-0000-0000-000055000000}"/>
    <cellStyle name="60% - Énfasis2 4" xfId="74" xr:uid="{00000000-0005-0000-0000-000056000000}"/>
    <cellStyle name="60% - Énfasis2 5" xfId="241" xr:uid="{00000000-0005-0000-0000-000057000000}"/>
    <cellStyle name="60% - Énfasis3" xfId="75" builtinId="40" customBuiltin="1"/>
    <cellStyle name="60% - Énfasis3 2" xfId="76" xr:uid="{00000000-0005-0000-0000-000059000000}"/>
    <cellStyle name="60% - Énfasis3 3" xfId="77" xr:uid="{00000000-0005-0000-0000-00005A000000}"/>
    <cellStyle name="60% - Énfasis3 4" xfId="78" xr:uid="{00000000-0005-0000-0000-00005B000000}"/>
    <cellStyle name="60% - Énfasis3 5" xfId="242" xr:uid="{00000000-0005-0000-0000-00005C000000}"/>
    <cellStyle name="60% - Énfasis4" xfId="79" builtinId="44" customBuiltin="1"/>
    <cellStyle name="60% - Énfasis4 2" xfId="80" xr:uid="{00000000-0005-0000-0000-00005E000000}"/>
    <cellStyle name="60% - Énfasis4 3" xfId="81" xr:uid="{00000000-0005-0000-0000-00005F000000}"/>
    <cellStyle name="60% - Énfasis4 4" xfId="82" xr:uid="{00000000-0005-0000-0000-000060000000}"/>
    <cellStyle name="60% - Énfasis4 5" xfId="243" xr:uid="{00000000-0005-0000-0000-000061000000}"/>
    <cellStyle name="60% - Énfasis5" xfId="83" builtinId="48" customBuiltin="1"/>
    <cellStyle name="60% - Énfasis5 2" xfId="84" xr:uid="{00000000-0005-0000-0000-000063000000}"/>
    <cellStyle name="60% - Énfasis5 3" xfId="85" xr:uid="{00000000-0005-0000-0000-000064000000}"/>
    <cellStyle name="60% - Énfasis5 4" xfId="86" xr:uid="{00000000-0005-0000-0000-000065000000}"/>
    <cellStyle name="60% - Énfasis5 5" xfId="244" xr:uid="{00000000-0005-0000-0000-000066000000}"/>
    <cellStyle name="60% - Énfasis6" xfId="87" builtinId="52" customBuiltin="1"/>
    <cellStyle name="60% - Énfasis6 2" xfId="88" xr:uid="{00000000-0005-0000-0000-000068000000}"/>
    <cellStyle name="60% - Énfasis6 3" xfId="89" xr:uid="{00000000-0005-0000-0000-000069000000}"/>
    <cellStyle name="60% - Énfasis6 4" xfId="90" xr:uid="{00000000-0005-0000-0000-00006A000000}"/>
    <cellStyle name="60% - Énfasis6 5" xfId="245" xr:uid="{00000000-0005-0000-0000-00006B000000}"/>
    <cellStyle name="Accent1" xfId="91" xr:uid="{00000000-0005-0000-0000-00006C000000}"/>
    <cellStyle name="Accent2" xfId="92" xr:uid="{00000000-0005-0000-0000-00006D000000}"/>
    <cellStyle name="Accent3" xfId="93" xr:uid="{00000000-0005-0000-0000-00006E000000}"/>
    <cellStyle name="Accent4" xfId="94" xr:uid="{00000000-0005-0000-0000-00006F000000}"/>
    <cellStyle name="Accent5" xfId="95" xr:uid="{00000000-0005-0000-0000-000070000000}"/>
    <cellStyle name="Accent6" xfId="96" xr:uid="{00000000-0005-0000-0000-000071000000}"/>
    <cellStyle name="Bad" xfId="97" xr:uid="{00000000-0005-0000-0000-000072000000}"/>
    <cellStyle name="Buena 2" xfId="99" xr:uid="{00000000-0005-0000-0000-000073000000}"/>
    <cellStyle name="Buena 3" xfId="100" xr:uid="{00000000-0005-0000-0000-000074000000}"/>
    <cellStyle name="Buena 4" xfId="101" xr:uid="{00000000-0005-0000-0000-000075000000}"/>
    <cellStyle name="Buena 5" xfId="246" xr:uid="{00000000-0005-0000-0000-000076000000}"/>
    <cellStyle name="Bueno" xfId="98" builtinId="26" customBuiltin="1"/>
    <cellStyle name="Calculation" xfId="102" xr:uid="{00000000-0005-0000-0000-000078000000}"/>
    <cellStyle name="Cálculo" xfId="103" builtinId="22" customBuiltin="1"/>
    <cellStyle name="Cálculo 2" xfId="104" xr:uid="{00000000-0005-0000-0000-00007A000000}"/>
    <cellStyle name="Cálculo 3" xfId="105" xr:uid="{00000000-0005-0000-0000-00007B000000}"/>
    <cellStyle name="Cálculo 4" xfId="106" xr:uid="{00000000-0005-0000-0000-00007C000000}"/>
    <cellStyle name="Cálculo 5" xfId="247" xr:uid="{00000000-0005-0000-0000-00007D000000}"/>
    <cellStyle name="Celda de comprobación" xfId="107" builtinId="23" customBuiltin="1"/>
    <cellStyle name="Celda de comprobación 2" xfId="108" xr:uid="{00000000-0005-0000-0000-00007F000000}"/>
    <cellStyle name="Celda de comprobación 3" xfId="109" xr:uid="{00000000-0005-0000-0000-000080000000}"/>
    <cellStyle name="Celda de comprobación 4" xfId="110" xr:uid="{00000000-0005-0000-0000-000081000000}"/>
    <cellStyle name="Celda de comprobación 5" xfId="248" xr:uid="{00000000-0005-0000-0000-000082000000}"/>
    <cellStyle name="Celda vinculada" xfId="111" builtinId="24" customBuiltin="1"/>
    <cellStyle name="Celda vinculada 2" xfId="112" xr:uid="{00000000-0005-0000-0000-000084000000}"/>
    <cellStyle name="Celda vinculada 3" xfId="113" xr:uid="{00000000-0005-0000-0000-000085000000}"/>
    <cellStyle name="Celda vinculada 4" xfId="114" xr:uid="{00000000-0005-0000-0000-000086000000}"/>
    <cellStyle name="Celda vinculada 5" xfId="249" xr:uid="{00000000-0005-0000-0000-000087000000}"/>
    <cellStyle name="Check Cell" xfId="115" xr:uid="{00000000-0005-0000-0000-000088000000}"/>
    <cellStyle name="Comma 2" xfId="561" xr:uid="{449FA50F-2F80-40CE-90C3-8D66A4A9B508}"/>
    <cellStyle name="Comma 2 2" xfId="715" xr:uid="{6B76ADE1-FEEA-4D69-9508-8AF219DECC65}"/>
    <cellStyle name="Comma 3" xfId="719" xr:uid="{D0A5168F-E16C-4240-9393-33461F437A8E}"/>
    <cellStyle name="Currency 2" xfId="563" xr:uid="{29487893-1BA0-4A69-A470-99E17E263BFC}"/>
    <cellStyle name="Encabezado 1" xfId="204" builtinId="16" customBuiltin="1"/>
    <cellStyle name="Encabezado 4" xfId="116" builtinId="19" customBuiltin="1"/>
    <cellStyle name="Encabezado 4 2" xfId="117" xr:uid="{00000000-0005-0000-0000-00008B000000}"/>
    <cellStyle name="Encabezado 4 3" xfId="118" xr:uid="{00000000-0005-0000-0000-00008C000000}"/>
    <cellStyle name="Encabezado 4 4" xfId="119" xr:uid="{00000000-0005-0000-0000-00008D000000}"/>
    <cellStyle name="Encabezado 4 5" xfId="250" xr:uid="{00000000-0005-0000-0000-00008E000000}"/>
    <cellStyle name="Énfasis1" xfId="120" builtinId="29" customBuiltin="1"/>
    <cellStyle name="Énfasis1 2" xfId="121" xr:uid="{00000000-0005-0000-0000-000090000000}"/>
    <cellStyle name="Énfasis1 3" xfId="122" xr:uid="{00000000-0005-0000-0000-000091000000}"/>
    <cellStyle name="Énfasis1 4" xfId="123" xr:uid="{00000000-0005-0000-0000-000092000000}"/>
    <cellStyle name="Énfasis1 5" xfId="251" xr:uid="{00000000-0005-0000-0000-000093000000}"/>
    <cellStyle name="Énfasis2" xfId="124" builtinId="33" customBuiltin="1"/>
    <cellStyle name="Énfasis2 2" xfId="125" xr:uid="{00000000-0005-0000-0000-000095000000}"/>
    <cellStyle name="Énfasis2 3" xfId="126" xr:uid="{00000000-0005-0000-0000-000096000000}"/>
    <cellStyle name="Énfasis2 4" xfId="127" xr:uid="{00000000-0005-0000-0000-000097000000}"/>
    <cellStyle name="Énfasis2 5" xfId="252" xr:uid="{00000000-0005-0000-0000-000098000000}"/>
    <cellStyle name="Énfasis3" xfId="128" builtinId="37" customBuiltin="1"/>
    <cellStyle name="Énfasis3 2" xfId="129" xr:uid="{00000000-0005-0000-0000-00009A000000}"/>
    <cellStyle name="Énfasis3 3" xfId="130" xr:uid="{00000000-0005-0000-0000-00009B000000}"/>
    <cellStyle name="Énfasis3 4" xfId="131" xr:uid="{00000000-0005-0000-0000-00009C000000}"/>
    <cellStyle name="Énfasis3 5" xfId="253" xr:uid="{00000000-0005-0000-0000-00009D000000}"/>
    <cellStyle name="Énfasis4" xfId="132" builtinId="41" customBuiltin="1"/>
    <cellStyle name="Énfasis4 2" xfId="133" xr:uid="{00000000-0005-0000-0000-00009F000000}"/>
    <cellStyle name="Énfasis4 3" xfId="134" xr:uid="{00000000-0005-0000-0000-0000A0000000}"/>
    <cellStyle name="Énfasis4 4" xfId="135" xr:uid="{00000000-0005-0000-0000-0000A1000000}"/>
    <cellStyle name="Énfasis4 5" xfId="254" xr:uid="{00000000-0005-0000-0000-0000A2000000}"/>
    <cellStyle name="Énfasis5" xfId="136" builtinId="45" customBuiltin="1"/>
    <cellStyle name="Énfasis5 2" xfId="137" xr:uid="{00000000-0005-0000-0000-0000A4000000}"/>
    <cellStyle name="Énfasis5 3" xfId="138" xr:uid="{00000000-0005-0000-0000-0000A5000000}"/>
    <cellStyle name="Énfasis5 4" xfId="139" xr:uid="{00000000-0005-0000-0000-0000A6000000}"/>
    <cellStyle name="Énfasis5 5" xfId="255" xr:uid="{00000000-0005-0000-0000-0000A7000000}"/>
    <cellStyle name="Énfasis6" xfId="140" builtinId="49" customBuiltin="1"/>
    <cellStyle name="Énfasis6 2" xfId="141" xr:uid="{00000000-0005-0000-0000-0000A9000000}"/>
    <cellStyle name="Énfasis6 3" xfId="142" xr:uid="{00000000-0005-0000-0000-0000AA000000}"/>
    <cellStyle name="Énfasis6 4" xfId="143" xr:uid="{00000000-0005-0000-0000-0000AB000000}"/>
    <cellStyle name="Énfasis6 5" xfId="256" xr:uid="{00000000-0005-0000-0000-0000AC000000}"/>
    <cellStyle name="Entrada" xfId="144" builtinId="20" customBuiltin="1"/>
    <cellStyle name="Entrada 2" xfId="145" xr:uid="{00000000-0005-0000-0000-0000AE000000}"/>
    <cellStyle name="Entrada 3" xfId="146" xr:uid="{00000000-0005-0000-0000-0000AF000000}"/>
    <cellStyle name="Entrada 4" xfId="147" xr:uid="{00000000-0005-0000-0000-0000B0000000}"/>
    <cellStyle name="Entrada 5" xfId="257" xr:uid="{00000000-0005-0000-0000-0000B1000000}"/>
    <cellStyle name="Euro" xfId="148" xr:uid="{00000000-0005-0000-0000-0000B2000000}"/>
    <cellStyle name="Euro 2" xfId="149" xr:uid="{00000000-0005-0000-0000-0000B3000000}"/>
    <cellStyle name="Euro 2 2" xfId="541" xr:uid="{3994D3AE-47B7-44B7-91D3-EE02143D9122}"/>
    <cellStyle name="Euro 3" xfId="277" xr:uid="{00000000-0005-0000-0000-0000B4000000}"/>
    <cellStyle name="Euro 3 2" xfId="372" xr:uid="{00000000-0005-0000-0000-0000B5000000}"/>
    <cellStyle name="Euro 4" xfId="305" xr:uid="{00000000-0005-0000-0000-0000B6000000}"/>
    <cellStyle name="Explanatory Text" xfId="150" xr:uid="{00000000-0005-0000-0000-0000B7000000}"/>
    <cellStyle name="Good" xfId="151" xr:uid="{00000000-0005-0000-0000-0000B8000000}"/>
    <cellStyle name="Heading 1" xfId="152" xr:uid="{00000000-0005-0000-0000-0000B9000000}"/>
    <cellStyle name="Heading 2" xfId="153" xr:uid="{00000000-0005-0000-0000-0000BA000000}"/>
    <cellStyle name="Heading 3" xfId="154" xr:uid="{00000000-0005-0000-0000-0000BB000000}"/>
    <cellStyle name="Heading 4" xfId="155" xr:uid="{00000000-0005-0000-0000-0000BC000000}"/>
    <cellStyle name="Hipervínculo" xfId="514" builtinId="8"/>
    <cellStyle name="Hipervínculo 2" xfId="897" xr:uid="{053C22C5-009E-40C7-9BEF-536834525DB8}"/>
    <cellStyle name="Incorrecto" xfId="156" builtinId="27" customBuiltin="1"/>
    <cellStyle name="Incorrecto 2" xfId="157" xr:uid="{00000000-0005-0000-0000-0000BE000000}"/>
    <cellStyle name="Incorrecto 3" xfId="158" xr:uid="{00000000-0005-0000-0000-0000BF000000}"/>
    <cellStyle name="Incorrecto 4" xfId="159" xr:uid="{00000000-0005-0000-0000-0000C0000000}"/>
    <cellStyle name="Incorrecto 5" xfId="258" xr:uid="{00000000-0005-0000-0000-0000C1000000}"/>
    <cellStyle name="Input" xfId="160" xr:uid="{00000000-0005-0000-0000-0000C2000000}"/>
    <cellStyle name="Linked Cell" xfId="161" xr:uid="{00000000-0005-0000-0000-0000C3000000}"/>
    <cellStyle name="Millares" xfId="162" builtinId="3"/>
    <cellStyle name="Millares [0] 2" xfId="519" xr:uid="{679F49B7-8C3B-4E65-89F4-4919D297F346}"/>
    <cellStyle name="Millares [0] 3" xfId="520" xr:uid="{C4E7F267-0024-4940-A730-0B064D90815D}"/>
    <cellStyle name="Millares [0] 3 2" xfId="691" xr:uid="{ECE03710-36AA-4C40-B9A6-D4B6BB188AE7}"/>
    <cellStyle name="Millares [0] 3 2 2" xfId="875" xr:uid="{4CA4D535-7277-444E-865F-F78503BF5964}"/>
    <cellStyle name="Millares [0] 3 3" xfId="723" xr:uid="{BE1D084E-5B58-44D4-9867-149E9BF3F3B3}"/>
    <cellStyle name="Millares [0] 4" xfId="685" xr:uid="{B87E0107-26FF-4D57-B99C-A47A37450882}"/>
    <cellStyle name="Millares [0] 4 2" xfId="869" xr:uid="{8C5FD0CC-F056-4298-BEB5-B25590F91580}"/>
    <cellStyle name="Millares 10" xfId="416" xr:uid="{00000000-0005-0000-0000-0000C5000000}"/>
    <cellStyle name="Millares 10 2" xfId="837" xr:uid="{A04857E3-9FB4-452A-ACD9-213862F1A806}"/>
    <cellStyle name="Millares 10 3" xfId="652" xr:uid="{6DF21E12-C0AF-46C1-B0FA-6D0EAF943C4C}"/>
    <cellStyle name="Millares 11" xfId="718" xr:uid="{BCAC447E-5C77-4E49-80D0-A45A33A6148F}"/>
    <cellStyle name="Millares 11 2" xfId="896" xr:uid="{6B5FE7C7-1BD9-47E0-AEEC-12AA0CA5061C}"/>
    <cellStyle name="Millares 2" xfId="163" xr:uid="{00000000-0005-0000-0000-0000C6000000}"/>
    <cellStyle name="Millares 2 10" xfId="278" xr:uid="{00000000-0005-0000-0000-0000C7000000}"/>
    <cellStyle name="Millares 2 10 2" xfId="308" xr:uid="{00000000-0005-0000-0000-0000C8000000}"/>
    <cellStyle name="Millares 2 10 2 2" xfId="443" xr:uid="{00000000-0005-0000-0000-0000C9000000}"/>
    <cellStyle name="Millares 2 10 2 3" xfId="716" xr:uid="{162AA5DF-1851-463E-A099-109569BF6E6F}"/>
    <cellStyle name="Millares 2 10 3" xfId="429" xr:uid="{00000000-0005-0000-0000-0000CA000000}"/>
    <cellStyle name="Millares 2 10 4" xfId="562" xr:uid="{48A90F8C-49D4-4997-80A9-61458DC7BCD7}"/>
    <cellStyle name="Millares 2 11" xfId="279" xr:uid="{00000000-0005-0000-0000-0000CB000000}"/>
    <cellStyle name="Millares 2 11 2" xfId="309" xr:uid="{00000000-0005-0000-0000-0000CC000000}"/>
    <cellStyle name="Millares 2 11 2 2" xfId="444" xr:uid="{00000000-0005-0000-0000-0000CD000000}"/>
    <cellStyle name="Millares 2 11 3" xfId="430" xr:uid="{00000000-0005-0000-0000-0000CE000000}"/>
    <cellStyle name="Millares 2 12" xfId="280" xr:uid="{00000000-0005-0000-0000-0000CF000000}"/>
    <cellStyle name="Millares 2 12 2" xfId="310" xr:uid="{00000000-0005-0000-0000-0000D0000000}"/>
    <cellStyle name="Millares 2 12 2 2" xfId="445" xr:uid="{00000000-0005-0000-0000-0000D1000000}"/>
    <cellStyle name="Millares 2 12 3" xfId="431" xr:uid="{00000000-0005-0000-0000-0000D2000000}"/>
    <cellStyle name="Millares 2 13" xfId="307" xr:uid="{00000000-0005-0000-0000-0000D3000000}"/>
    <cellStyle name="Millares 2 13 2" xfId="442" xr:uid="{00000000-0005-0000-0000-0000D4000000}"/>
    <cellStyle name="Millares 2 14" xfId="417" xr:uid="{00000000-0005-0000-0000-0000D5000000}"/>
    <cellStyle name="Millares 2 2" xfId="281" xr:uid="{00000000-0005-0000-0000-0000D6000000}"/>
    <cellStyle name="Millares 2 2 2" xfId="311" xr:uid="{00000000-0005-0000-0000-0000D7000000}"/>
    <cellStyle name="Millares 2 2 2 2" xfId="446" xr:uid="{00000000-0005-0000-0000-0000D8000000}"/>
    <cellStyle name="Millares 2 2 2 2 2" xfId="640" xr:uid="{5D7F4200-EFE6-4886-99AC-6EEBC467869C}"/>
    <cellStyle name="Millares 2 2 2 2 2 2" xfId="825" xr:uid="{ED6C29C7-712A-47BA-90AB-8282EEBB44EA}"/>
    <cellStyle name="Millares 2 2 2 2 3" xfId="766" xr:uid="{9314D14D-C2FA-4964-B792-7DB657627CF8}"/>
    <cellStyle name="Millares 2 2 2 2 4" xfId="581" xr:uid="{A5F4ABF1-F966-4E03-9290-51530C1776E0}"/>
    <cellStyle name="Millares 2 2 2 3" xfId="611" xr:uid="{6C97CAE2-B1A3-4E6A-8447-7A705FCDA627}"/>
    <cellStyle name="Millares 2 2 2 3 2" xfId="796" xr:uid="{54329FC1-9149-4A0B-802D-AAA7470AD177}"/>
    <cellStyle name="Millares 2 2 2 4" xfId="669" xr:uid="{F9D2AB87-BF74-48C9-BCCF-B77EF6AA7B20}"/>
    <cellStyle name="Millares 2 2 2 4 2" xfId="854" xr:uid="{F6F7C4A5-D970-4C44-9271-9C5D65B8CBDF}"/>
    <cellStyle name="Millares 2 2 2 5" xfId="737" xr:uid="{8673FE14-2D72-4CB5-BC8C-02E925FB875C}"/>
    <cellStyle name="Millares 2 2 2 6" xfId="548" xr:uid="{9AE9AF9B-8ACA-47D5-9D04-DE0B82B592DF}"/>
    <cellStyle name="Millares 2 2 3" xfId="432" xr:uid="{00000000-0005-0000-0000-0000D9000000}"/>
    <cellStyle name="Millares 2 2 3 2" xfId="692" xr:uid="{646F3249-3DB0-4678-AE90-D6A05C96641C}"/>
    <cellStyle name="Millares 2 3" xfId="282" xr:uid="{00000000-0005-0000-0000-0000DA000000}"/>
    <cellStyle name="Millares 2 3 2" xfId="312" xr:uid="{00000000-0005-0000-0000-0000DB000000}"/>
    <cellStyle name="Millares 2 3 2 2" xfId="447" xr:uid="{00000000-0005-0000-0000-0000DC000000}"/>
    <cellStyle name="Millares 2 3 2 2 2" xfId="641" xr:uid="{3B0EA4A4-2859-4AFB-8B3E-AF5D3D2BB4B8}"/>
    <cellStyle name="Millares 2 3 2 2 2 2" xfId="826" xr:uid="{F6DA8968-D135-4092-886E-81B7F1251FC2}"/>
    <cellStyle name="Millares 2 3 2 2 3" xfId="767" xr:uid="{CDC943B7-2DD0-4089-A2C2-363DACFD48AF}"/>
    <cellStyle name="Millares 2 3 2 2 4" xfId="582" xr:uid="{B1580CC8-912D-4BC4-BF81-81A1F0975829}"/>
    <cellStyle name="Millares 2 3 2 3" xfId="612" xr:uid="{54341FC6-FCEA-4D98-82BE-555338AFC184}"/>
    <cellStyle name="Millares 2 3 2 3 2" xfId="797" xr:uid="{1BBEB678-3FD4-4E46-B421-F4AEB1D74403}"/>
    <cellStyle name="Millares 2 3 2 4" xfId="670" xr:uid="{5A7A4DAA-4769-47D8-9A58-E1ACFB292DEE}"/>
    <cellStyle name="Millares 2 3 2 4 2" xfId="855" xr:uid="{395498E8-D100-4678-B825-D7A720B10ACA}"/>
    <cellStyle name="Millares 2 3 2 5" xfId="738" xr:uid="{6CF4C79F-853C-45E3-B969-21647D4E03B9}"/>
    <cellStyle name="Millares 2 3 2 6" xfId="549" xr:uid="{C7F94A26-A29D-4565-93E3-FA09F69965E8}"/>
    <cellStyle name="Millares 2 3 3" xfId="433" xr:uid="{00000000-0005-0000-0000-0000DD000000}"/>
    <cellStyle name="Millares 2 3 3 2" xfId="693" xr:uid="{05DF7C93-9A60-4A88-A9A6-2AFC14EC6983}"/>
    <cellStyle name="Millares 2 4" xfId="283" xr:uid="{00000000-0005-0000-0000-0000DE000000}"/>
    <cellStyle name="Millares 2 4 2" xfId="313" xr:uid="{00000000-0005-0000-0000-0000DF000000}"/>
    <cellStyle name="Millares 2 4 2 2" xfId="448" xr:uid="{00000000-0005-0000-0000-0000E0000000}"/>
    <cellStyle name="Millares 2 4 2 2 2" xfId="824" xr:uid="{DC7921FC-79AC-4C40-B1C6-40D111BEFC73}"/>
    <cellStyle name="Millares 2 4 2 2 3" xfId="639" xr:uid="{EF3DFDC5-9159-4AF9-8424-7103C6D73520}"/>
    <cellStyle name="Millares 2 4 2 3" xfId="765" xr:uid="{3065698E-B1E8-4880-860C-5104E4BE3217}"/>
    <cellStyle name="Millares 2 4 2 4" xfId="580" xr:uid="{C1C94488-FA19-436F-B39B-D55DCEDFE4EF}"/>
    <cellStyle name="Millares 2 4 3" xfId="434" xr:uid="{00000000-0005-0000-0000-0000E1000000}"/>
    <cellStyle name="Millares 2 4 3 2" xfId="795" xr:uid="{94ACD363-8FD2-4E8A-98E0-3BA5165ADC57}"/>
    <cellStyle name="Millares 2 4 3 3" xfId="610" xr:uid="{2E0672A4-DEE7-4629-B717-587249323B51}"/>
    <cellStyle name="Millares 2 4 4" xfId="668" xr:uid="{CDFAD6A2-BBA1-4A5E-A30B-65222093FBDB}"/>
    <cellStyle name="Millares 2 4 4 2" xfId="853" xr:uid="{EA799EE4-FAA4-4A39-9C77-FDA6DD602634}"/>
    <cellStyle name="Millares 2 4 5" xfId="736" xr:uid="{F1F75716-3C20-4EE3-991C-26086A00E9DC}"/>
    <cellStyle name="Millares 2 4 6" xfId="547" xr:uid="{C2EAEDFA-4895-4780-A918-595C93325F80}"/>
    <cellStyle name="Millares 2 5" xfId="284" xr:uid="{00000000-0005-0000-0000-0000E2000000}"/>
    <cellStyle name="Millares 2 5 2" xfId="314" xr:uid="{00000000-0005-0000-0000-0000E3000000}"/>
    <cellStyle name="Millares 2 5 2 2" xfId="449" xr:uid="{00000000-0005-0000-0000-0000E4000000}"/>
    <cellStyle name="Millares 2 5 3" xfId="435" xr:uid="{00000000-0005-0000-0000-0000E5000000}"/>
    <cellStyle name="Millares 2 6" xfId="285" xr:uid="{00000000-0005-0000-0000-0000E6000000}"/>
    <cellStyle name="Millares 2 6 2" xfId="315" xr:uid="{00000000-0005-0000-0000-0000E7000000}"/>
    <cellStyle name="Millares 2 6 2 2" xfId="450" xr:uid="{00000000-0005-0000-0000-0000E8000000}"/>
    <cellStyle name="Millares 2 6 3" xfId="436" xr:uid="{00000000-0005-0000-0000-0000E9000000}"/>
    <cellStyle name="Millares 2 7" xfId="286" xr:uid="{00000000-0005-0000-0000-0000EA000000}"/>
    <cellStyle name="Millares 2 7 2" xfId="316" xr:uid="{00000000-0005-0000-0000-0000EB000000}"/>
    <cellStyle name="Millares 2 7 2 2" xfId="451" xr:uid="{00000000-0005-0000-0000-0000EC000000}"/>
    <cellStyle name="Millares 2 7 3" xfId="437" xr:uid="{00000000-0005-0000-0000-0000ED000000}"/>
    <cellStyle name="Millares 2 8" xfId="287" xr:uid="{00000000-0005-0000-0000-0000EE000000}"/>
    <cellStyle name="Millares 2 8 2" xfId="317" xr:uid="{00000000-0005-0000-0000-0000EF000000}"/>
    <cellStyle name="Millares 2 8 2 2" xfId="452" xr:uid="{00000000-0005-0000-0000-0000F0000000}"/>
    <cellStyle name="Millares 2 8 3" xfId="438" xr:uid="{00000000-0005-0000-0000-0000F1000000}"/>
    <cellStyle name="Millares 2 9" xfId="288" xr:uid="{00000000-0005-0000-0000-0000F2000000}"/>
    <cellStyle name="Millares 2 9 2" xfId="318" xr:uid="{00000000-0005-0000-0000-0000F3000000}"/>
    <cellStyle name="Millares 2 9 2 2" xfId="453" xr:uid="{00000000-0005-0000-0000-0000F4000000}"/>
    <cellStyle name="Millares 2 9 3" xfId="439" xr:uid="{00000000-0005-0000-0000-0000F5000000}"/>
    <cellStyle name="Millares 3" xfId="164" xr:uid="{00000000-0005-0000-0000-0000F6000000}"/>
    <cellStyle name="Millares 3 2" xfId="319" xr:uid="{00000000-0005-0000-0000-0000F7000000}"/>
    <cellStyle name="Millares 3 2 2" xfId="454" xr:uid="{00000000-0005-0000-0000-0000F8000000}"/>
    <cellStyle name="Millares 3 2 2 2" xfId="642" xr:uid="{F3FB7694-9B2B-4C8C-BC56-908D2F5376B0}"/>
    <cellStyle name="Millares 3 2 2 2 2" xfId="827" xr:uid="{714A99C9-E15A-4E21-B74E-7143576286B4}"/>
    <cellStyle name="Millares 3 2 2 3" xfId="768" xr:uid="{78B83109-36C1-4C65-98F4-CA4D9CDFC8D8}"/>
    <cellStyle name="Millares 3 2 2 4" xfId="583" xr:uid="{F81C0B67-B553-4525-A2D2-1FA5B76AB97E}"/>
    <cellStyle name="Millares 3 2 3" xfId="613" xr:uid="{8D917D31-41F9-46EB-B3AD-EF77BFA0F923}"/>
    <cellStyle name="Millares 3 2 3 2" xfId="798" xr:uid="{6DB5B38A-6B12-48EF-9988-0F11BADA1CFB}"/>
    <cellStyle name="Millares 3 2 4" xfId="671" xr:uid="{24CA3616-0896-4CA3-ACF6-49085F726FBF}"/>
    <cellStyle name="Millares 3 2 4 2" xfId="856" xr:uid="{18B1E060-CC55-4467-8668-38CD20D0CBEA}"/>
    <cellStyle name="Millares 3 2 5" xfId="739" xr:uid="{7E15CB9C-588B-4251-A666-8F27B47E9051}"/>
    <cellStyle name="Millares 3 2 6" xfId="550" xr:uid="{9D3910F6-0F08-4B85-A28C-ECF2DD1F8221}"/>
    <cellStyle name="Millares 3 3" xfId="418" xr:uid="{00000000-0005-0000-0000-0000F9000000}"/>
    <cellStyle name="Millares 3 3 2" xfId="694" xr:uid="{0D941194-3394-4E0E-B7D7-ADFA8888A77A}"/>
    <cellStyle name="Millares 4" xfId="165" xr:uid="{00000000-0005-0000-0000-0000FA000000}"/>
    <cellStyle name="Millares 4 2" xfId="346" xr:uid="{00000000-0005-0000-0000-0000FB000000}"/>
    <cellStyle name="Millares 4 2 2" xfId="378" xr:uid="{00000000-0005-0000-0000-0000FC000000}"/>
    <cellStyle name="Millares 4 2 2 2" xfId="409" xr:uid="{00000000-0005-0000-0000-0000FD000000}"/>
    <cellStyle name="Millares 4 2 2 2 2" xfId="508" xr:uid="{00000000-0005-0000-0000-0000FE000000}"/>
    <cellStyle name="Millares 4 2 2 3" xfId="477" xr:uid="{00000000-0005-0000-0000-0000FF000000}"/>
    <cellStyle name="Millares 4 2 3" xfId="394" xr:uid="{00000000-0005-0000-0000-000000010000}"/>
    <cellStyle name="Millares 4 2 3 2" xfId="493" xr:uid="{00000000-0005-0000-0000-000001010000}"/>
    <cellStyle name="Millares 4 2 4" xfId="460" xr:uid="{00000000-0005-0000-0000-000002010000}"/>
    <cellStyle name="Millares 4 2 5" xfId="695" xr:uid="{183B2C7D-47A6-4675-9842-9420732D9918}"/>
    <cellStyle name="Millares 4 3" xfId="351" xr:uid="{00000000-0005-0000-0000-000003010000}"/>
    <cellStyle name="Millares 4 3 2" xfId="464" xr:uid="{00000000-0005-0000-0000-000004010000}"/>
    <cellStyle name="Millares 4 4" xfId="419" xr:uid="{00000000-0005-0000-0000-000005010000}"/>
    <cellStyle name="Millares 4 5" xfId="521" xr:uid="{8C28954B-2180-4AC6-ABC2-51BB1E9D7804}"/>
    <cellStyle name="Millares 5" xfId="259" xr:uid="{00000000-0005-0000-0000-000006010000}"/>
    <cellStyle name="Millares 5 2" xfId="339" xr:uid="{00000000-0005-0000-0000-000007010000}"/>
    <cellStyle name="Millares 5 2 2" xfId="457" xr:uid="{00000000-0005-0000-0000-000008010000}"/>
    <cellStyle name="Millares 5 2 2 2" xfId="820" xr:uid="{DA6046DF-950F-46A4-8C33-4E52413F84B8}"/>
    <cellStyle name="Millares 5 2 2 3" xfId="635" xr:uid="{AA5E9912-1573-4C1C-8958-01CC6796EF46}"/>
    <cellStyle name="Millares 5 2 3" xfId="761" xr:uid="{A2F14646-AC2C-4E42-A164-46CACD55B026}"/>
    <cellStyle name="Millares 5 2 4" xfId="576" xr:uid="{C5CE28DF-2083-4AD4-A79A-DEDD92F6F047}"/>
    <cellStyle name="Millares 5 3" xfId="424" xr:uid="{00000000-0005-0000-0000-000009010000}"/>
    <cellStyle name="Millares 5 3 2" xfId="791" xr:uid="{2BF1693B-1336-4A61-BEF7-0562B16EE556}"/>
    <cellStyle name="Millares 5 3 3" xfId="606" xr:uid="{C2A93D74-F420-4D45-A76F-B96338DCA730}"/>
    <cellStyle name="Millares 5 4" xfId="664" xr:uid="{FBFDFAC5-24EC-4591-A38B-F849703484B5}"/>
    <cellStyle name="Millares 5 4 2" xfId="849" xr:uid="{462FA0BF-AB05-4118-AD1E-4FFF3197F3FE}"/>
    <cellStyle name="Millares 5 5" xfId="732" xr:uid="{2E0F97F2-988A-471E-9ADD-C6ADD2051465}"/>
    <cellStyle name="Millares 5 6" xfId="543" xr:uid="{40926D7D-8462-4A4E-86B3-081A93AA5426}"/>
    <cellStyle name="Millares 6" xfId="225" xr:uid="{00000000-0005-0000-0000-00000A010000}"/>
    <cellStyle name="Millares 6 2" xfId="348" xr:uid="{00000000-0005-0000-0000-00000B010000}"/>
    <cellStyle name="Millares 6 2 2" xfId="380" xr:uid="{00000000-0005-0000-0000-00000C010000}"/>
    <cellStyle name="Millares 6 2 2 2" xfId="411" xr:uid="{00000000-0005-0000-0000-00000D010000}"/>
    <cellStyle name="Millares 6 2 2 2 2" xfId="510" xr:uid="{00000000-0005-0000-0000-00000E010000}"/>
    <cellStyle name="Millares 6 2 2 2 3" xfId="836" xr:uid="{F87A321D-A7EE-40C4-B6D8-D658BB7CD612}"/>
    <cellStyle name="Millares 6 2 2 3" xfId="479" xr:uid="{00000000-0005-0000-0000-00000F010000}"/>
    <cellStyle name="Millares 6 2 2 4" xfId="651" xr:uid="{DEE81E29-D0C6-413C-BB58-1303F1EAADC2}"/>
    <cellStyle name="Millares 6 2 3" xfId="396" xr:uid="{00000000-0005-0000-0000-000010010000}"/>
    <cellStyle name="Millares 6 2 3 2" xfId="495" xr:uid="{00000000-0005-0000-0000-000011010000}"/>
    <cellStyle name="Millares 6 2 3 3" xfId="777" xr:uid="{FE7DA108-89C9-40E7-A590-24370789E377}"/>
    <cellStyle name="Millares 6 2 4" xfId="462" xr:uid="{00000000-0005-0000-0000-000012010000}"/>
    <cellStyle name="Millares 6 2 5" xfId="592" xr:uid="{269FB696-94BD-414A-953E-D53D60B18C7A}"/>
    <cellStyle name="Millares 6 3" xfId="362" xr:uid="{00000000-0005-0000-0000-000013010000}"/>
    <cellStyle name="Millares 6 3 2" xfId="399" xr:uid="{00000000-0005-0000-0000-000014010000}"/>
    <cellStyle name="Millares 6 3 2 2" xfId="498" xr:uid="{00000000-0005-0000-0000-000015010000}"/>
    <cellStyle name="Millares 6 3 2 3" xfId="807" xr:uid="{08848C3C-559D-4D1A-85F9-61CB280464DB}"/>
    <cellStyle name="Millares 6 3 3" xfId="467" xr:uid="{00000000-0005-0000-0000-000016010000}"/>
    <cellStyle name="Millares 6 3 4" xfId="622" xr:uid="{FC03C12F-9669-4947-BACF-66763A6C8A8A}"/>
    <cellStyle name="Millares 6 4" xfId="384" xr:uid="{00000000-0005-0000-0000-000017010000}"/>
    <cellStyle name="Millares 6 4 2" xfId="483" xr:uid="{00000000-0005-0000-0000-000018010000}"/>
    <cellStyle name="Millares 6 4 2 2" xfId="865" xr:uid="{77903FCD-7044-4376-AD4B-5864F9CE7A21}"/>
    <cellStyle name="Millares 6 4 3" xfId="680" xr:uid="{5E5AF0AD-AFDB-4742-80F3-944FAC668BBD}"/>
    <cellStyle name="Millares 6 5" xfId="422" xr:uid="{00000000-0005-0000-0000-000019010000}"/>
    <cellStyle name="Millares 6 5 2" xfId="748" xr:uid="{9DA3A22A-3FB4-4F0A-9402-C9FC4DFCDCC7}"/>
    <cellStyle name="Millares 6 6" xfId="560" xr:uid="{54EEF829-105A-41E8-AD4D-53AB6B83A98B}"/>
    <cellStyle name="Millares 7" xfId="275" xr:uid="{00000000-0005-0000-0000-00001A010000}"/>
    <cellStyle name="Millares 7 2" xfId="370" xr:uid="{00000000-0005-0000-0000-00001B010000}"/>
    <cellStyle name="Millares 7 2 2" xfId="403" xr:uid="{00000000-0005-0000-0000-00001C010000}"/>
    <cellStyle name="Millares 7 2 2 2" xfId="502" xr:uid="{00000000-0005-0000-0000-00001D010000}"/>
    <cellStyle name="Millares 7 2 2 3" xfId="808" xr:uid="{75117ED4-9FAA-4584-9EA6-F7A8353222DC}"/>
    <cellStyle name="Millares 7 2 3" xfId="471" xr:uid="{00000000-0005-0000-0000-00001E010000}"/>
    <cellStyle name="Millares 7 2 4" xfId="623" xr:uid="{24941ECC-E5B5-4F1E-AF13-7F4F1ADE57EB}"/>
    <cellStyle name="Millares 7 3" xfId="388" xr:uid="{00000000-0005-0000-0000-00001F010000}"/>
    <cellStyle name="Millares 7 3 2" xfId="487" xr:uid="{00000000-0005-0000-0000-000020010000}"/>
    <cellStyle name="Millares 7 3 3" xfId="749" xr:uid="{B1E93826-4E48-4C50-9D5C-CD2BBD417794}"/>
    <cellStyle name="Millares 7 4" xfId="427" xr:uid="{00000000-0005-0000-0000-000021010000}"/>
    <cellStyle name="Millares 7 5" xfId="564" xr:uid="{1E40BE00-9C46-45B9-9EF9-8CE3A394B1C4}"/>
    <cellStyle name="Millares 8" xfId="306" xr:uid="{00000000-0005-0000-0000-000022010000}"/>
    <cellStyle name="Millares 8 2" xfId="441" xr:uid="{00000000-0005-0000-0000-000023010000}"/>
    <cellStyle name="Millares 8 2 2" xfId="778" xr:uid="{FBCE6696-9C99-4F71-83D5-C6317852EC87}"/>
    <cellStyle name="Millares 8 3" xfId="593" xr:uid="{7183B770-D91F-4A17-8452-F13F78B8DF4B}"/>
    <cellStyle name="Millares 9" xfId="414" xr:uid="{00000000-0005-0000-0000-000024010000}"/>
    <cellStyle name="Millares 9 2" xfId="513" xr:uid="{00000000-0005-0000-0000-000025010000}"/>
    <cellStyle name="Millares 9 2 2" xfId="783" xr:uid="{DA759944-59BB-4C1D-8B04-9A989F38F742}"/>
    <cellStyle name="Millares 9 3" xfId="598" xr:uid="{C5AAD3E0-6CC6-4D4F-8114-512C3432AB66}"/>
    <cellStyle name="Moneda [0] 2" xfId="686" xr:uid="{DB40B122-B001-4705-94EA-BFE1C42DC978}"/>
    <cellStyle name="Moneda [0] 2 2" xfId="870" xr:uid="{B485D0CB-4B54-421F-88A2-26B699782AD7}"/>
    <cellStyle name="Moneda 2" xfId="320" xr:uid="{00000000-0005-0000-0000-000026010000}"/>
    <cellStyle name="Moneda 2 2" xfId="455" xr:uid="{00000000-0005-0000-0000-000027010000}"/>
    <cellStyle name="Moneda 2 2 2" xfId="584" xr:uid="{EDF52FFF-F466-4D6E-93F0-9DC7059AF010}"/>
    <cellStyle name="Moneda 2 2 2 2" xfId="643" xr:uid="{398509FF-F29D-48EA-B882-2559AF58957F}"/>
    <cellStyle name="Moneda 2 2 2 2 2" xfId="828" xr:uid="{DD90B3AC-BEBE-4522-A49C-27D630013251}"/>
    <cellStyle name="Moneda 2 2 2 3" xfId="707" xr:uid="{C531DB7C-5863-4894-A376-8DAEAA6DAF5D}"/>
    <cellStyle name="Moneda 2 2 2 3 2" xfId="887" xr:uid="{B25ABC6E-57A7-41B1-B5BF-750EB0ACCD48}"/>
    <cellStyle name="Moneda 2 2 2 4" xfId="769" xr:uid="{C5B346C8-726D-4C7F-94FC-4008F99496DE}"/>
    <cellStyle name="Moneda 2 2 3" xfId="614" xr:uid="{FF7288AC-C438-404E-A1A7-1B63B777EC70}"/>
    <cellStyle name="Moneda 2 2 3 2" xfId="799" xr:uid="{196019B2-93FD-42FD-AC8C-6A1C6A674D7B}"/>
    <cellStyle name="Moneda 2 2 4" xfId="672" xr:uid="{738FB9BF-40F7-4815-A822-12DE888596F1}"/>
    <cellStyle name="Moneda 2 2 4 2" xfId="857" xr:uid="{3DCFA287-AFDC-4885-AA8B-BE61A19D50DD}"/>
    <cellStyle name="Moneda 2 2 5" xfId="740" xr:uid="{AB3531CB-175D-4F0D-8FDA-986FA902A770}"/>
    <cellStyle name="Moneda 2 2 6" xfId="551" xr:uid="{28D18B48-35D2-4E81-8A08-D3BA26643F4D}"/>
    <cellStyle name="Moneda 2 3" xfId="568" xr:uid="{258FF0CC-78AE-48A6-BDD4-0195549B168C}"/>
    <cellStyle name="Moneda 2 3 2" xfId="627" xr:uid="{46A5F243-2183-47BA-8772-17FF742255A1}"/>
    <cellStyle name="Moneda 2 3 2 2" xfId="812" xr:uid="{D698844A-01E9-4F22-9E5F-8136DEB2C65A}"/>
    <cellStyle name="Moneda 2 3 3" xfId="696" xr:uid="{7ED6BDE0-E0C8-4CD4-A5D4-A76943DA4C4B}"/>
    <cellStyle name="Moneda 2 3 3 2" xfId="876" xr:uid="{1364E33C-81FE-4AAD-AED2-B01125AF7563}"/>
    <cellStyle name="Moneda 2 3 4" xfId="753" xr:uid="{9FEA6FF9-FCE0-45A7-831E-385FB96B9C58}"/>
    <cellStyle name="Moneda 2 4" xfId="597" xr:uid="{397FE374-A6D9-4028-807E-CC4C924B6779}"/>
    <cellStyle name="Moneda 2 4 2" xfId="782" xr:uid="{2654B8F8-1BBC-435E-BEE8-CD3F8E9F39FC}"/>
    <cellStyle name="Moneda 2 5" xfId="656" xr:uid="{3552893F-DA10-43FC-81FC-AFA6AA5B109A}"/>
    <cellStyle name="Moneda 2 5 2" xfId="841" xr:uid="{18BD1164-A7D0-40EC-90A9-B7E7724A4770}"/>
    <cellStyle name="Moneda 2 6" xfId="724" xr:uid="{8A5715B2-3EE8-4770-A331-B334CB3C1865}"/>
    <cellStyle name="Moneda 2 7" xfId="522" xr:uid="{D084307C-1737-4C82-A4B4-463695CEEEE1}"/>
    <cellStyle name="Moneda 3" xfId="350" xr:uid="{00000000-0005-0000-0000-000028010000}"/>
    <cellStyle name="Moneda 3 2" xfId="463" xr:uid="{00000000-0005-0000-0000-000029010000}"/>
    <cellStyle name="Moneda 3 2 2" xfId="588" xr:uid="{DF61C09A-B669-46F0-860C-869519DC1546}"/>
    <cellStyle name="Moneda 3 2 2 2" xfId="647" xr:uid="{2CF91734-1905-4D43-9B04-96720894EF56}"/>
    <cellStyle name="Moneda 3 2 2 2 2" xfId="832" xr:uid="{0FB27075-47F6-4515-ABB4-C2FB23BAEBDE}"/>
    <cellStyle name="Moneda 3 2 2 3" xfId="711" xr:uid="{66A0A652-1FCE-4F27-8B82-2AFB2D8AD939}"/>
    <cellStyle name="Moneda 3 2 2 3 2" xfId="891" xr:uid="{5D490765-A2A4-43D5-A30E-5F618E93A37A}"/>
    <cellStyle name="Moneda 3 2 2 4" xfId="773" xr:uid="{CB953657-0949-462D-A1CD-54B7AB592724}"/>
    <cellStyle name="Moneda 3 2 3" xfId="618" xr:uid="{C5E27A91-5C14-49D7-A2E5-F3FD287B03CA}"/>
    <cellStyle name="Moneda 3 2 3 2" xfId="803" xr:uid="{DE029A9E-0EA7-4D42-989C-72C45DD359BD}"/>
    <cellStyle name="Moneda 3 2 4" xfId="676" xr:uid="{0D2DC6D5-3E1B-4AFA-83D1-0481A86B6B53}"/>
    <cellStyle name="Moneda 3 2 4 2" xfId="861" xr:uid="{458154D4-AA20-4D6B-A1F7-63B75A48DEB7}"/>
    <cellStyle name="Moneda 3 2 5" xfId="744" xr:uid="{7AE9776E-3637-43A2-AE51-74CBF6A5ECDB}"/>
    <cellStyle name="Moneda 3 2 6" xfId="555" xr:uid="{0E202743-5638-49D2-B2A6-A1FEB6852F7D}"/>
    <cellStyle name="Moneda 3 3" xfId="572" xr:uid="{02454392-1FCA-443A-8311-9D0B5723C784}"/>
    <cellStyle name="Moneda 3 3 2" xfId="631" xr:uid="{BBC81934-828C-4BF6-B679-BFC09CC76B49}"/>
    <cellStyle name="Moneda 3 3 2 2" xfId="816" xr:uid="{FF713F65-9F34-4D53-9FDA-AFC487EB4842}"/>
    <cellStyle name="Moneda 3 3 3" xfId="700" xr:uid="{D24AD3E0-B485-4B21-A1F6-3E3E4516286C}"/>
    <cellStyle name="Moneda 3 3 3 2" xfId="880" xr:uid="{A37070A1-810D-4632-8C69-6B29733631B1}"/>
    <cellStyle name="Moneda 3 3 4" xfId="757" xr:uid="{57F1AC50-A94C-4CEC-AB46-5FD236306B12}"/>
    <cellStyle name="Moneda 3 4" xfId="602" xr:uid="{3A35A60F-F34C-43E4-953C-8B6134C198BA}"/>
    <cellStyle name="Moneda 3 4 2" xfId="787" xr:uid="{8B242C39-04F1-45E4-B0F5-FE9E66D5195E}"/>
    <cellStyle name="Moneda 3 5" xfId="660" xr:uid="{0E6D2811-2BAB-443E-B693-B5766F425455}"/>
    <cellStyle name="Moneda 3 5 2" xfId="845" xr:uid="{693F35BF-CA43-4835-82E6-FFF512C890C3}"/>
    <cellStyle name="Moneda 3 6" xfId="728" xr:uid="{3790E2D9-A32F-456E-847D-5855C06BD26B}"/>
    <cellStyle name="Moneda 3 7" xfId="535" xr:uid="{C582AFD8-0464-4B8C-BE5D-99275874D2F1}"/>
    <cellStyle name="Moneda 4" xfId="559" xr:uid="{3EF2CFEE-7C1F-4CD1-92B6-221F8A23FB37}"/>
    <cellStyle name="Moneda 5" xfId="683" xr:uid="{8AF561F5-331A-4285-A766-B30409B71CFC}"/>
    <cellStyle name="Moneda 5 2" xfId="867" xr:uid="{62B7368F-0E4C-4734-835F-083BE2E925FC}"/>
    <cellStyle name="Moneda 6" xfId="687" xr:uid="{BA2DA5EA-CA61-4834-986A-55B86DD75E5A}"/>
    <cellStyle name="Moneda 6 2" xfId="871" xr:uid="{46A81110-8272-4CFA-9AD2-6CE85755D256}"/>
    <cellStyle name="Neutral" xfId="166" builtinId="28" customBuiltin="1"/>
    <cellStyle name="Neutral 2" xfId="167" xr:uid="{00000000-0005-0000-0000-00002B010000}"/>
    <cellStyle name="Neutral 3" xfId="168" xr:uid="{00000000-0005-0000-0000-00002C010000}"/>
    <cellStyle name="Neutral 4" xfId="169" xr:uid="{00000000-0005-0000-0000-00002D010000}"/>
    <cellStyle name="Neutral 5" xfId="260" xr:uid="{00000000-0005-0000-0000-00002E010000}"/>
    <cellStyle name="Normal" xfId="0" builtinId="0"/>
    <cellStyle name="Normal 10" xfId="413" xr:uid="{00000000-0005-0000-0000-000030010000}"/>
    <cellStyle name="Normal 10 2" xfId="512" xr:uid="{00000000-0005-0000-0000-000031010000}"/>
    <cellStyle name="Normal 10 2 2" xfId="524" xr:uid="{854A707F-E198-46C8-8B9B-E0A5C947D1CF}"/>
    <cellStyle name="Normal 10 3" xfId="523" xr:uid="{55609B1F-2353-4F94-BC85-1DC9CE7FB684}"/>
    <cellStyle name="Normal 11" xfId="415" xr:uid="{00000000-0005-0000-0000-000032010000}"/>
    <cellStyle name="Normal 11 2" xfId="558" xr:uid="{6AFF2B70-ADA4-468E-9278-813EB24F19AB}"/>
    <cellStyle name="Normal 11 2 2" xfId="591" xr:uid="{A3F79688-6FCD-4EE1-88E1-54521274FCC5}"/>
    <cellStyle name="Normal 11 2 2 2" xfId="650" xr:uid="{6DB1C6EA-F991-46C5-A028-8AD22473E045}"/>
    <cellStyle name="Normal 11 2 2 2 2" xfId="835" xr:uid="{3D55CDF2-2221-44FF-B520-E7EE79F85EFD}"/>
    <cellStyle name="Normal 11 2 2 3" xfId="714" xr:uid="{64AD5A0D-B468-40DF-AEB6-FD22D755DD59}"/>
    <cellStyle name="Normal 11 2 2 3 2" xfId="894" xr:uid="{91F4C82D-CB33-4CCF-990F-F5800599FA49}"/>
    <cellStyle name="Normal 11 2 2 4" xfId="776" xr:uid="{B98C7094-1949-49C9-AB08-BA22DCA4212D}"/>
    <cellStyle name="Normal 11 2 3" xfId="621" xr:uid="{2446E922-085C-46C0-A9C1-6FBA8A784485}"/>
    <cellStyle name="Normal 11 2 3 2" xfId="806" xr:uid="{CF30E626-1F3B-45B5-A338-64D88C56A338}"/>
    <cellStyle name="Normal 11 2 4" xfId="679" xr:uid="{9C86CCFB-08DF-4C04-AEE4-122130C1361C}"/>
    <cellStyle name="Normal 11 2 4 2" xfId="864" xr:uid="{3C4F7BAA-163F-40B8-9674-FCCED7AC1A9A}"/>
    <cellStyle name="Normal 11 2 5" xfId="747" xr:uid="{CF5741DC-8BE5-417D-A3D7-887ADAF8FA28}"/>
    <cellStyle name="Normal 11 3" xfId="575" xr:uid="{5D867BF9-2CA1-4302-8EC8-497DDA18A178}"/>
    <cellStyle name="Normal 11 3 2" xfId="634" xr:uid="{AED486FE-1DAA-4F57-8392-5CDCCCA40D6D}"/>
    <cellStyle name="Normal 11 3 2 2" xfId="819" xr:uid="{C9FCEFDE-1D10-43E9-B371-A7500B3A636A}"/>
    <cellStyle name="Normal 11 3 3" xfId="703" xr:uid="{E41D240A-3B3E-4FA8-816D-5F2DF413D6A5}"/>
    <cellStyle name="Normal 11 3 3 2" xfId="883" xr:uid="{E6557CBE-F794-4F0C-AE86-F42434E091EF}"/>
    <cellStyle name="Normal 11 3 4" xfId="760" xr:uid="{22FA4B55-89C9-4E66-B13F-DB8B6D31DC80}"/>
    <cellStyle name="Normal 11 4" xfId="605" xr:uid="{9EA46C89-D986-4C8F-8E0F-F20424744078}"/>
    <cellStyle name="Normal 11 4 2" xfId="790" xr:uid="{08921496-CA58-4A4F-8022-AA667521CFE4}"/>
    <cellStyle name="Normal 11 5" xfId="663" xr:uid="{B4E175A1-819C-49EA-A588-5EBC1B7EF82F}"/>
    <cellStyle name="Normal 11 5 2" xfId="848" xr:uid="{D520E036-C92F-46D9-B43A-2BA6F9DB8F9B}"/>
    <cellStyle name="Normal 11 6" xfId="731" xr:uid="{4665343A-9FAB-4708-B6B3-C4557E1E1672}"/>
    <cellStyle name="Normal 11 7" xfId="538" xr:uid="{C406F225-1E6C-4E0A-8E0F-698C413D6BC8}"/>
    <cellStyle name="Normal 12" xfId="681" xr:uid="{FE05BCBA-9E68-4747-B710-86FF03843F4C}"/>
    <cellStyle name="Normal 12 2" xfId="866" xr:uid="{91FB1DBD-15D9-49A3-A79F-0664867ABB72}"/>
    <cellStyle name="Normal 13" xfId="717" xr:uid="{C92D33BF-3BAF-424D-9295-6FDD6449AEE2}"/>
    <cellStyle name="Normal 13 2" xfId="895" xr:uid="{788C42BD-D7E6-4797-A8E6-79965DEF454C}"/>
    <cellStyle name="Normal 14" xfId="515" xr:uid="{6AFF2690-FDAA-44FF-9834-7F1B7EABF36D}"/>
    <cellStyle name="Normal 2" xfId="170" xr:uid="{00000000-0005-0000-0000-000033010000}"/>
    <cellStyle name="Normal 2 10" xfId="682" xr:uid="{3F5825DD-0ECD-4A08-8EB1-34167E59EB0D}"/>
    <cellStyle name="Normal 2 2" xfId="171" xr:uid="{00000000-0005-0000-0000-000034010000}"/>
    <cellStyle name="Normal 2 2 2" xfId="322" xr:uid="{00000000-0005-0000-0000-000035010000}"/>
    <cellStyle name="Normal 2 3" xfId="289" xr:uid="{00000000-0005-0000-0000-000036010000}"/>
    <cellStyle name="Normal 2 3 2" xfId="323" xr:uid="{00000000-0005-0000-0000-000037010000}"/>
    <cellStyle name="Normal 2 4" xfId="321" xr:uid="{00000000-0005-0000-0000-000038010000}"/>
    <cellStyle name="Normal 2 4 2" xfId="542" xr:uid="{7C704971-AE56-47BE-BCDA-947874AF03E6}"/>
    <cellStyle name="Normal 3" xfId="227" xr:uid="{00000000-0005-0000-0000-000039010000}"/>
    <cellStyle name="Normal 3 2" xfId="172" xr:uid="{00000000-0005-0000-0000-00003A010000}"/>
    <cellStyle name="Normal 3 2 2" xfId="344" xr:uid="{00000000-0005-0000-0000-00003B010000}"/>
    <cellStyle name="Normal 3 2 3" xfId="525" xr:uid="{84992E22-8207-4804-946F-E32E4EF1232E}"/>
    <cellStyle name="Normal 3 3" xfId="290" xr:uid="{00000000-0005-0000-0000-00003C010000}"/>
    <cellStyle name="Normal 3 3 2" xfId="342" xr:uid="{00000000-0005-0000-0000-00003D010000}"/>
    <cellStyle name="Normal 3 3 2 2" xfId="636" xr:uid="{BB831496-EB5E-4222-8C1D-8A6AEC41D880}"/>
    <cellStyle name="Normal 3 3 2 2 2" xfId="821" xr:uid="{677C5D0E-858E-419F-8D4D-3F0A0ED5E6E3}"/>
    <cellStyle name="Normal 3 3 2 3" xfId="704" xr:uid="{87EF5EE0-A3FD-45C0-BF45-0ACACC7F414F}"/>
    <cellStyle name="Normal 3 3 2 3 2" xfId="884" xr:uid="{9752AE82-4D0A-423C-807A-B1E9A09CCBF6}"/>
    <cellStyle name="Normal 3 3 2 4" xfId="762" xr:uid="{F5FEA463-B820-40D2-A44F-74B24A673277}"/>
    <cellStyle name="Normal 3 3 2 5" xfId="577" xr:uid="{FA4B9ABA-6268-485A-82FD-5FAF68D93393}"/>
    <cellStyle name="Normal 3 3 3" xfId="607" xr:uid="{26F9ECF8-0CA7-48FB-95ED-6264B0BC5616}"/>
    <cellStyle name="Normal 3 3 3 2" xfId="792" xr:uid="{118F6D4A-6B17-4529-996B-2194EE83E697}"/>
    <cellStyle name="Normal 3 3 4" xfId="665" xr:uid="{FC32CF72-C27B-4A48-9054-B6DA4AADE308}"/>
    <cellStyle name="Normal 3 3 4 2" xfId="850" xr:uid="{D81F7C64-467E-429D-89EF-F4265D4846E8}"/>
    <cellStyle name="Normal 3 3 5" xfId="733" xr:uid="{B31E3BA2-5787-454A-ABD1-7E38E3A2EF03}"/>
    <cellStyle name="Normal 3 3 6" xfId="544" xr:uid="{BC8A1555-477C-482B-AC20-726AF81C0485}"/>
    <cellStyle name="Normal 3 4" xfId="324" xr:uid="{00000000-0005-0000-0000-00003E010000}"/>
    <cellStyle name="Normal 3 4 2" xfId="349" xr:uid="{00000000-0005-0000-0000-00003F010000}"/>
    <cellStyle name="Normal 3 4 2 2" xfId="809" xr:uid="{966C7DFF-62C2-41C1-AA5D-41086B60C9E4}"/>
    <cellStyle name="Normal 3 4 2 3" xfId="624" xr:uid="{15CDFEA4-88B3-43CD-BEFC-4A10AA259F75}"/>
    <cellStyle name="Normal 3 4 3" xfId="375" xr:uid="{00000000-0005-0000-0000-000040010000}"/>
    <cellStyle name="Normal 3 4 3 2" xfId="406" xr:uid="{00000000-0005-0000-0000-000041010000}"/>
    <cellStyle name="Normal 3 4 3 2 2" xfId="505" xr:uid="{00000000-0005-0000-0000-000042010000}"/>
    <cellStyle name="Normal 3 4 3 2 3" xfId="872" xr:uid="{0DA11045-18BA-4D2F-BBF4-1FC0C168994B}"/>
    <cellStyle name="Normal 3 4 3 3" xfId="474" xr:uid="{00000000-0005-0000-0000-000043010000}"/>
    <cellStyle name="Normal 3 4 3 4" xfId="688" xr:uid="{A550B5FF-C80E-4597-BAC5-677288AC69DC}"/>
    <cellStyle name="Normal 3 4 4" xfId="391" xr:uid="{00000000-0005-0000-0000-000044010000}"/>
    <cellStyle name="Normal 3 4 4 2" xfId="490" xr:uid="{00000000-0005-0000-0000-000045010000}"/>
    <cellStyle name="Normal 3 4 4 3" xfId="750" xr:uid="{95D50DBE-5827-4AC0-BFEF-1CE50089EF5D}"/>
    <cellStyle name="Normal 3 4 5" xfId="456" xr:uid="{00000000-0005-0000-0000-000046010000}"/>
    <cellStyle name="Normal 3 4 6" xfId="565" xr:uid="{37B1EE4C-0718-4C06-844A-0A45D8E5337B}"/>
    <cellStyle name="Normal 3 5" xfId="594" xr:uid="{E767A68C-1485-4663-80B7-92B46D14BA30}"/>
    <cellStyle name="Normal 3 5 2" xfId="779" xr:uid="{98534006-BE65-4498-9B62-5D35D007CF2D}"/>
    <cellStyle name="Normal 3 6" xfId="653" xr:uid="{2D2E4C69-821E-49D4-AF57-EA475AB55956}"/>
    <cellStyle name="Normal 3 6 2" xfId="838" xr:uid="{04B65018-591C-4EF4-8D63-EEFAFDFB9FFB}"/>
    <cellStyle name="Normal 3 7" xfId="720" xr:uid="{74C12DB3-B2D9-4334-9FBA-7BDF7E85BBD6}"/>
    <cellStyle name="Normal 3 8" xfId="516" xr:uid="{B8D22874-2EBE-4A6E-81F7-8800CCA18224}"/>
    <cellStyle name="Normal 4" xfId="173" xr:uid="{00000000-0005-0000-0000-000047010000}"/>
    <cellStyle name="Normal 4 10" xfId="526" xr:uid="{3F28BCC9-F874-4859-9417-0D02115064CD}"/>
    <cellStyle name="Normal 4 2" xfId="174" xr:uid="{00000000-0005-0000-0000-000048010000}"/>
    <cellStyle name="Normal 4 2 2" xfId="353" xr:uid="{00000000-0005-0000-0000-000049010000}"/>
    <cellStyle name="Normal 4 2 2 2" xfId="589" xr:uid="{44FFF0E1-A1E3-4B14-B9D9-B49560B9DB98}"/>
    <cellStyle name="Normal 4 2 2 2 2" xfId="648" xr:uid="{2515255B-81CC-44C2-BA9C-DFA352561440}"/>
    <cellStyle name="Normal 4 2 2 2 2 2" xfId="833" xr:uid="{AF21E630-BDFA-498E-8C02-9C9EEE05A4CA}"/>
    <cellStyle name="Normal 4 2 2 2 3" xfId="712" xr:uid="{63DAB627-4C52-4564-A225-ABB3192BB57E}"/>
    <cellStyle name="Normal 4 2 2 2 3 2" xfId="892" xr:uid="{0574D083-B8DB-4089-9D85-DB79E89004E3}"/>
    <cellStyle name="Normal 4 2 2 2 4" xfId="774" xr:uid="{E0BCC464-27F3-4EFE-96D0-1273805D05CE}"/>
    <cellStyle name="Normal 4 2 2 3" xfId="619" xr:uid="{FE11239E-E0AD-43D2-B805-985FBF175D45}"/>
    <cellStyle name="Normal 4 2 2 3 2" xfId="804" xr:uid="{379C68A4-ED41-4E56-9083-0A2C7D035FC5}"/>
    <cellStyle name="Normal 4 2 2 4" xfId="677" xr:uid="{93860E5B-DB86-4BC3-B8A7-13A4AEDD8DA7}"/>
    <cellStyle name="Normal 4 2 2 4 2" xfId="862" xr:uid="{4355C82F-FEB3-4C78-84DB-D2AB2E8070C0}"/>
    <cellStyle name="Normal 4 2 2 5" xfId="745" xr:uid="{7761E26E-FE07-4C4A-BA1B-02E7955A2814}"/>
    <cellStyle name="Normal 4 2 2 6" xfId="556" xr:uid="{E52C0FBC-8A0F-4665-A015-CA86D34E7E31}"/>
    <cellStyle name="Normal 4 2 3" xfId="573" xr:uid="{B3CE2F7D-2526-466C-BDC8-961D42693261}"/>
    <cellStyle name="Normal 4 2 3 2" xfId="632" xr:uid="{A3B77049-5770-4546-A7DD-8EFF5DA7771A}"/>
    <cellStyle name="Normal 4 2 3 2 2" xfId="817" xr:uid="{072FC008-444B-473E-89A7-6A43D77C51B9}"/>
    <cellStyle name="Normal 4 2 3 3" xfId="701" xr:uid="{CC20C8CF-3D52-4F57-A9F5-3BF11DC94A3B}"/>
    <cellStyle name="Normal 4 2 3 3 2" xfId="881" xr:uid="{7AE587A9-C3D5-4977-BD15-858837AEA66C}"/>
    <cellStyle name="Normal 4 2 3 4" xfId="758" xr:uid="{7292ACF7-7749-4929-AD16-C60F316F51B4}"/>
    <cellStyle name="Normal 4 2 4" xfId="603" xr:uid="{FFDF436D-3BFA-4C38-9E38-3BB64B25B466}"/>
    <cellStyle name="Normal 4 2 4 2" xfId="788" xr:uid="{4117ECB7-7D5F-43ED-B4A2-AFDE86B3F730}"/>
    <cellStyle name="Normal 4 2 5" xfId="661" xr:uid="{A9016BEB-8377-407E-B086-93AAD63F847E}"/>
    <cellStyle name="Normal 4 2 5 2" xfId="846" xr:uid="{9CFD600C-983F-42F2-95A0-7B01064BEBD0}"/>
    <cellStyle name="Normal 4 2 6" xfId="729" xr:uid="{6323A8D0-AB22-43E8-9E4F-0AEF12FD61FF}"/>
    <cellStyle name="Normal 4 2 7" xfId="536" xr:uid="{6279D203-9F4B-4B10-9092-99834874570F}"/>
    <cellStyle name="Normal 4 3" xfId="261" xr:uid="{00000000-0005-0000-0000-00004A010000}"/>
    <cellStyle name="Normal 4 3 2" xfId="364" xr:uid="{00000000-0005-0000-0000-00004B010000}"/>
    <cellStyle name="Normal 4 3 2 2" xfId="401" xr:uid="{00000000-0005-0000-0000-00004C010000}"/>
    <cellStyle name="Normal 4 3 2 2 2" xfId="500" xr:uid="{00000000-0005-0000-0000-00004D010000}"/>
    <cellStyle name="Normal 4 3 2 2 2 2" xfId="829" xr:uid="{A66A258A-F31D-4B93-8C8F-42E7FC1AF1F8}"/>
    <cellStyle name="Normal 4 3 2 2 3" xfId="644" xr:uid="{1BF252C8-A8CC-40BB-901F-45D81C8A1E82}"/>
    <cellStyle name="Normal 4 3 2 3" xfId="469" xr:uid="{00000000-0005-0000-0000-00004E010000}"/>
    <cellStyle name="Normal 4 3 2 3 2" xfId="888" xr:uid="{79B8415E-5CE2-48DC-A998-66EC456CDAF8}"/>
    <cellStyle name="Normal 4 3 2 3 3" xfId="708" xr:uid="{08FA387F-BE0E-47EC-87D1-8D1F76871C52}"/>
    <cellStyle name="Normal 4 3 2 4" xfId="770" xr:uid="{6BA3523F-17C5-40D9-8EA8-41FB4DE99DF8}"/>
    <cellStyle name="Normal 4 3 2 5" xfId="585" xr:uid="{2D75B1BA-8D30-4901-80E1-F4C79F0316FA}"/>
    <cellStyle name="Normal 4 3 3" xfId="386" xr:uid="{00000000-0005-0000-0000-00004F010000}"/>
    <cellStyle name="Normal 4 3 3 2" xfId="485" xr:uid="{00000000-0005-0000-0000-000050010000}"/>
    <cellStyle name="Normal 4 3 3 2 2" xfId="800" xr:uid="{AE8C760A-2D94-4F12-B90B-E07520CDEBE0}"/>
    <cellStyle name="Normal 4 3 3 3" xfId="615" xr:uid="{20D0B975-C66E-4463-92D4-F32540F38A4B}"/>
    <cellStyle name="Normal 4 3 4" xfId="425" xr:uid="{00000000-0005-0000-0000-000051010000}"/>
    <cellStyle name="Normal 4 3 4 2" xfId="858" xr:uid="{BDC231E0-52A6-4BF2-A6D8-B87908D2B461}"/>
    <cellStyle name="Normal 4 3 4 3" xfId="673" xr:uid="{725CBAA5-2EA8-4D87-BC54-803FD1973EE5}"/>
    <cellStyle name="Normal 4 3 5" xfId="741" xr:uid="{2B96699F-9AF8-4785-AE5F-DD1C494CB26B}"/>
    <cellStyle name="Normal 4 3 6" xfId="552" xr:uid="{575FC7CB-CD35-4092-BC02-7D83F9DC1408}"/>
    <cellStyle name="Normal 4 4" xfId="291" xr:uid="{00000000-0005-0000-0000-000052010000}"/>
    <cellStyle name="Normal 4 4 2" xfId="373" xr:uid="{00000000-0005-0000-0000-000053010000}"/>
    <cellStyle name="Normal 4 4 2 2" xfId="405" xr:uid="{00000000-0005-0000-0000-000054010000}"/>
    <cellStyle name="Normal 4 4 2 2 2" xfId="504" xr:uid="{00000000-0005-0000-0000-000055010000}"/>
    <cellStyle name="Normal 4 4 2 2 3" xfId="813" xr:uid="{C0309EE6-B462-48BE-A7E3-8E3A90AC8347}"/>
    <cellStyle name="Normal 4 4 2 3" xfId="473" xr:uid="{00000000-0005-0000-0000-000056010000}"/>
    <cellStyle name="Normal 4 4 2 4" xfId="628" xr:uid="{EE49B9E8-39C0-4AA8-B342-ABDFEE8D7B79}"/>
    <cellStyle name="Normal 4 4 3" xfId="390" xr:uid="{00000000-0005-0000-0000-000057010000}"/>
    <cellStyle name="Normal 4 4 3 2" xfId="489" xr:uid="{00000000-0005-0000-0000-000058010000}"/>
    <cellStyle name="Normal 4 4 3 2 2" xfId="877" xr:uid="{4FF7E98D-6C4D-433A-BFA6-5C9E13BE6F4C}"/>
    <cellStyle name="Normal 4 4 3 3" xfId="697" xr:uid="{A6071C9E-6655-4707-B0D0-9F54C6335EF6}"/>
    <cellStyle name="Normal 4 4 4" xfId="440" xr:uid="{00000000-0005-0000-0000-000059010000}"/>
    <cellStyle name="Normal 4 4 4 2" xfId="754" xr:uid="{283FC230-BD27-4F57-83F0-A15959590067}"/>
    <cellStyle name="Normal 4 4 5" xfId="569" xr:uid="{B982BA69-8284-43FD-BBF0-0263F668ED34}"/>
    <cellStyle name="Normal 4 5" xfId="325" xr:uid="{00000000-0005-0000-0000-00005A010000}"/>
    <cellStyle name="Normal 4 5 2" xfId="784" xr:uid="{DFD27239-2DFC-45BE-8ECA-A2559AE8DF71}"/>
    <cellStyle name="Normal 4 5 3" xfId="599" xr:uid="{DE574BE6-5427-4510-9EDB-A12DBFE50FDF}"/>
    <cellStyle name="Normal 4 6" xfId="341" xr:uid="{00000000-0005-0000-0000-00005B010000}"/>
    <cellStyle name="Normal 4 6 2" xfId="376" xr:uid="{00000000-0005-0000-0000-00005C010000}"/>
    <cellStyle name="Normal 4 6 2 2" xfId="407" xr:uid="{00000000-0005-0000-0000-00005D010000}"/>
    <cellStyle name="Normal 4 6 2 2 2" xfId="506" xr:uid="{00000000-0005-0000-0000-00005E010000}"/>
    <cellStyle name="Normal 4 6 2 3" xfId="475" xr:uid="{00000000-0005-0000-0000-00005F010000}"/>
    <cellStyle name="Normal 4 6 2 4" xfId="842" xr:uid="{476D5E29-C6BF-4641-8E0A-DCEB339311FA}"/>
    <cellStyle name="Normal 4 6 3" xfId="392" xr:uid="{00000000-0005-0000-0000-000060010000}"/>
    <cellStyle name="Normal 4 6 3 2" xfId="491" xr:uid="{00000000-0005-0000-0000-000061010000}"/>
    <cellStyle name="Normal 4 6 4" xfId="458" xr:uid="{00000000-0005-0000-0000-000062010000}"/>
    <cellStyle name="Normal 4 6 5" xfId="657" xr:uid="{2747A9C6-54FB-49F6-BB9A-CF53C02ED3AB}"/>
    <cellStyle name="Normal 4 7" xfId="352" xr:uid="{00000000-0005-0000-0000-000063010000}"/>
    <cellStyle name="Normal 4 7 2" xfId="397" xr:uid="{00000000-0005-0000-0000-000064010000}"/>
    <cellStyle name="Normal 4 7 2 2" xfId="496" xr:uid="{00000000-0005-0000-0000-000065010000}"/>
    <cellStyle name="Normal 4 7 3" xfId="465" xr:uid="{00000000-0005-0000-0000-000066010000}"/>
    <cellStyle name="Normal 4 7 4" xfId="725" xr:uid="{23C9DC3A-76A6-426D-85ED-BAD8F5F94A33}"/>
    <cellStyle name="Normal 4 8" xfId="382" xr:uid="{00000000-0005-0000-0000-000067010000}"/>
    <cellStyle name="Normal 4 8 2" xfId="481" xr:uid="{00000000-0005-0000-0000-000068010000}"/>
    <cellStyle name="Normal 4 9" xfId="420" xr:uid="{00000000-0005-0000-0000-000069010000}"/>
    <cellStyle name="Normal 5" xfId="175" xr:uid="{00000000-0005-0000-0000-00006A010000}"/>
    <cellStyle name="Normal 5 2" xfId="262" xr:uid="{00000000-0005-0000-0000-00006B010000}"/>
    <cellStyle name="Normal 5 2 2" xfId="365" xr:uid="{00000000-0005-0000-0000-00006C010000}"/>
    <cellStyle name="Normal 5 3" xfId="527" xr:uid="{F953C5CE-2766-4C88-B696-4C670DF14DE8}"/>
    <cellStyle name="Normal 6" xfId="224" xr:uid="{00000000-0005-0000-0000-00006D010000}"/>
    <cellStyle name="Normal 6 2" xfId="345" xr:uid="{00000000-0005-0000-0000-00006E010000}"/>
    <cellStyle name="Normal 6 2 2" xfId="377" xr:uid="{00000000-0005-0000-0000-00006F010000}"/>
    <cellStyle name="Normal 6 2 2 2" xfId="408" xr:uid="{00000000-0005-0000-0000-000070010000}"/>
    <cellStyle name="Normal 6 2 2 2 2" xfId="507" xr:uid="{00000000-0005-0000-0000-000071010000}"/>
    <cellStyle name="Normal 6 2 2 3" xfId="476" xr:uid="{00000000-0005-0000-0000-000072010000}"/>
    <cellStyle name="Normal 6 2 3" xfId="393" xr:uid="{00000000-0005-0000-0000-000073010000}"/>
    <cellStyle name="Normal 6 2 3 2" xfId="492" xr:uid="{00000000-0005-0000-0000-000074010000}"/>
    <cellStyle name="Normal 6 2 4" xfId="459" xr:uid="{00000000-0005-0000-0000-000075010000}"/>
    <cellStyle name="Normal 6 3" xfId="361" xr:uid="{00000000-0005-0000-0000-000076010000}"/>
    <cellStyle name="Normal 6 3 2" xfId="398" xr:uid="{00000000-0005-0000-0000-000077010000}"/>
    <cellStyle name="Normal 6 3 2 2" xfId="497" xr:uid="{00000000-0005-0000-0000-000078010000}"/>
    <cellStyle name="Normal 6 3 3" xfId="466" xr:uid="{00000000-0005-0000-0000-000079010000}"/>
    <cellStyle name="Normal 6 4" xfId="383" xr:uid="{00000000-0005-0000-0000-00007A010000}"/>
    <cellStyle name="Normal 6 4 2" xfId="482" xr:uid="{00000000-0005-0000-0000-00007B010000}"/>
    <cellStyle name="Normal 6 5" xfId="421" xr:uid="{00000000-0005-0000-0000-00007C010000}"/>
    <cellStyle name="Normal 6 6" xfId="528" xr:uid="{4DD0DC34-5DF5-4B5E-B730-438684E59D26}"/>
    <cellStyle name="Normal 7" xfId="274" xr:uid="{00000000-0005-0000-0000-00007D010000}"/>
    <cellStyle name="Normal 7 2" xfId="347" xr:uid="{00000000-0005-0000-0000-00007E010000}"/>
    <cellStyle name="Normal 7 2 2" xfId="379" xr:uid="{00000000-0005-0000-0000-00007F010000}"/>
    <cellStyle name="Normal 7 2 2 2" xfId="410" xr:uid="{00000000-0005-0000-0000-000080010000}"/>
    <cellStyle name="Normal 7 2 2 2 2" xfId="509" xr:uid="{00000000-0005-0000-0000-000081010000}"/>
    <cellStyle name="Normal 7 2 2 2 2 2" xfId="834" xr:uid="{7C9EB5C0-4B42-4BD8-A6F3-1EC7A7EAD417}"/>
    <cellStyle name="Normal 7 2 2 2 2 3" xfId="649" xr:uid="{5A0AC136-56DB-42C3-9F2A-6FE6BCCFCF54}"/>
    <cellStyle name="Normal 7 2 2 2 3" xfId="713" xr:uid="{DB1F70AC-8468-458B-8C70-B5496C35EA43}"/>
    <cellStyle name="Normal 7 2 2 2 3 2" xfId="893" xr:uid="{76060434-5CAD-45B2-AB9D-AF352C40BC45}"/>
    <cellStyle name="Normal 7 2 2 2 4" xfId="775" xr:uid="{407A529E-0307-491A-9A3A-1B8EED983263}"/>
    <cellStyle name="Normal 7 2 2 2 5" xfId="590" xr:uid="{88DA9593-6402-4BAD-8A9F-03A3E2D4300D}"/>
    <cellStyle name="Normal 7 2 2 3" xfId="478" xr:uid="{00000000-0005-0000-0000-000082010000}"/>
    <cellStyle name="Normal 7 2 2 3 2" xfId="805" xr:uid="{733FA295-F8BD-49C7-93F6-BBB51FD28F4E}"/>
    <cellStyle name="Normal 7 2 2 3 3" xfId="620" xr:uid="{9A417C76-5C9B-4B70-8CEF-657B6A063231}"/>
    <cellStyle name="Normal 7 2 2 4" xfId="678" xr:uid="{3919894C-FBC1-41A5-803A-F9A755EA1AE5}"/>
    <cellStyle name="Normal 7 2 2 4 2" xfId="863" xr:uid="{45CB5EB2-B347-4F2B-AD91-899289EBACB5}"/>
    <cellStyle name="Normal 7 2 2 5" xfId="746" xr:uid="{7C7BA2A5-A9AB-43C0-945A-E48FED033A01}"/>
    <cellStyle name="Normal 7 2 2 6" xfId="557" xr:uid="{1B1FCE4B-EE42-48BB-9FA5-D7C7EE7A4A3D}"/>
    <cellStyle name="Normal 7 2 3" xfId="395" xr:uid="{00000000-0005-0000-0000-000083010000}"/>
    <cellStyle name="Normal 7 2 3 2" xfId="494" xr:uid="{00000000-0005-0000-0000-000084010000}"/>
    <cellStyle name="Normal 7 2 3 2 2" xfId="818" xr:uid="{2D736530-2570-48D0-B2CE-B895C8503078}"/>
    <cellStyle name="Normal 7 2 3 2 3" xfId="633" xr:uid="{0E53D558-2449-4B82-A898-7471A3F4B911}"/>
    <cellStyle name="Normal 7 2 3 3" xfId="702" xr:uid="{F10A8FE3-573A-4371-8E1A-AE423B2B4790}"/>
    <cellStyle name="Normal 7 2 3 3 2" xfId="882" xr:uid="{3C7E09FE-C0B9-4DF3-A995-BBE5D23D7910}"/>
    <cellStyle name="Normal 7 2 3 4" xfId="759" xr:uid="{25D33AAF-2BA1-4D65-B742-3F03C646E0C4}"/>
    <cellStyle name="Normal 7 2 3 5" xfId="574" xr:uid="{AED2B823-E629-40E4-88B1-0D3D83C922AF}"/>
    <cellStyle name="Normal 7 2 4" xfId="461" xr:uid="{00000000-0005-0000-0000-000085010000}"/>
    <cellStyle name="Normal 7 2 4 2" xfId="789" xr:uid="{5A010FE5-18E5-4E2F-AC6D-9B302F74BB35}"/>
    <cellStyle name="Normal 7 2 4 3" xfId="604" xr:uid="{B45775A1-7B3C-41B3-87D0-CEF8BC3B107B}"/>
    <cellStyle name="Normal 7 2 5" xfId="662" xr:uid="{CD90B413-A449-4532-83A1-74AF244555ED}"/>
    <cellStyle name="Normal 7 2 5 2" xfId="847" xr:uid="{D0C18E0A-3929-4EEC-B8B2-957C90BEE19B}"/>
    <cellStyle name="Normal 7 2 6" xfId="730" xr:uid="{BBFCAB30-1DD3-4C2F-A8B3-E9D0B6787EBD}"/>
    <cellStyle name="Normal 7 2 7" xfId="537" xr:uid="{672FEE87-17E4-4990-A6C2-C45C4406F4D7}"/>
    <cellStyle name="Normal 7 3" xfId="369" xr:uid="{00000000-0005-0000-0000-000086010000}"/>
    <cellStyle name="Normal 7 3 2" xfId="402" xr:uid="{00000000-0005-0000-0000-000087010000}"/>
    <cellStyle name="Normal 7 3 2 2" xfId="501" xr:uid="{00000000-0005-0000-0000-000088010000}"/>
    <cellStyle name="Normal 7 3 2 2 2" xfId="830" xr:uid="{0620DB75-EEC5-4A17-84BB-9965D505EA3B}"/>
    <cellStyle name="Normal 7 3 2 2 3" xfId="645" xr:uid="{CC937C26-3D04-45D9-9DBA-2B22D927DA60}"/>
    <cellStyle name="Normal 7 3 2 3" xfId="709" xr:uid="{81CAB252-B107-4A2B-B400-F078BDFBD7B7}"/>
    <cellStyle name="Normal 7 3 2 3 2" xfId="889" xr:uid="{CB0AF17D-3C20-43DD-AA1D-D398FF3E4CB5}"/>
    <cellStyle name="Normal 7 3 2 4" xfId="771" xr:uid="{61EA5E63-6E4F-4CB5-A39C-EA30D01B7CD8}"/>
    <cellStyle name="Normal 7 3 2 5" xfId="586" xr:uid="{E46FDFF0-4858-4989-818B-027278CA74C0}"/>
    <cellStyle name="Normal 7 3 3" xfId="470" xr:uid="{00000000-0005-0000-0000-000089010000}"/>
    <cellStyle name="Normal 7 3 3 2" xfId="801" xr:uid="{FAF84E1B-9499-4827-BC80-EED0537FC1A6}"/>
    <cellStyle name="Normal 7 3 3 3" xfId="616" xr:uid="{18194183-A954-40D5-8419-F8ECC2D16D26}"/>
    <cellStyle name="Normal 7 3 4" xfId="674" xr:uid="{A80237AC-708E-468B-B7AD-9A479EDDC11B}"/>
    <cellStyle name="Normal 7 3 4 2" xfId="859" xr:uid="{1BDAB2BE-885D-4C1A-8C3C-015D090AFE26}"/>
    <cellStyle name="Normal 7 3 5" xfId="742" xr:uid="{AABB00E6-7DAD-4EED-B518-0873A7EB1ACE}"/>
    <cellStyle name="Normal 7 3 6" xfId="553" xr:uid="{AF5064E3-58BB-417E-841E-D719A5CCF4D7}"/>
    <cellStyle name="Normal 7 4" xfId="387" xr:uid="{00000000-0005-0000-0000-00008A010000}"/>
    <cellStyle name="Normal 7 4 2" xfId="486" xr:uid="{00000000-0005-0000-0000-00008B010000}"/>
    <cellStyle name="Normal 7 4 2 2" xfId="814" xr:uid="{10B803FE-4E69-407A-8358-CB2860BE7E70}"/>
    <cellStyle name="Normal 7 4 2 3" xfId="629" xr:uid="{B44333E4-21E5-4DDC-A606-A5F6062C9710}"/>
    <cellStyle name="Normal 7 4 3" xfId="698" xr:uid="{3867FB68-39C3-45F0-8CD4-E7F2AD30A78C}"/>
    <cellStyle name="Normal 7 4 3 2" xfId="878" xr:uid="{28583B85-58FD-4902-8B97-BEEEDF5ABB44}"/>
    <cellStyle name="Normal 7 4 4" xfId="755" xr:uid="{52086FC6-980A-4037-83EB-1E99B4607C3F}"/>
    <cellStyle name="Normal 7 4 5" xfId="570" xr:uid="{C480BF96-EA1E-4F2B-8BC0-3B16C1801889}"/>
    <cellStyle name="Normal 7 5" xfId="426" xr:uid="{00000000-0005-0000-0000-00008C010000}"/>
    <cellStyle name="Normal 7 5 2" xfId="785" xr:uid="{18741529-6A73-4954-A5EF-D8A2BF10740C}"/>
    <cellStyle name="Normal 7 5 3" xfId="600" xr:uid="{EA21FDA7-80A5-4D0E-982E-525EA6CD2FDA}"/>
    <cellStyle name="Normal 7 6" xfId="658" xr:uid="{671F6639-AEB0-462E-A8A8-F999D71A38E6}"/>
    <cellStyle name="Normal 7 6 2" xfId="843" xr:uid="{654A06A5-4E17-46CE-9D09-B57C11B5951D}"/>
    <cellStyle name="Normal 7 7" xfId="726" xr:uid="{331FA671-88A6-4F96-AE87-D8F7DB7F858B}"/>
    <cellStyle name="Normal 7 8" xfId="529" xr:uid="{CE6DCC91-A0E7-44A7-B297-27A10468B530}"/>
    <cellStyle name="Normal 8" xfId="304" xr:uid="{00000000-0005-0000-0000-00008D010000}"/>
    <cellStyle name="Normal 8 2" xfId="374" xr:uid="{00000000-0005-0000-0000-00008E010000}"/>
    <cellStyle name="Normal 8 2 2" xfId="579" xr:uid="{A3E23546-A9CC-4309-BDF1-66590D9FF585}"/>
    <cellStyle name="Normal 8 2 2 2" xfId="638" xr:uid="{3FBFB03D-5E3D-41AA-99C1-38A3D333116F}"/>
    <cellStyle name="Normal 8 2 2 2 2" xfId="823" xr:uid="{2DADE439-8C31-472F-A5E2-2816E0A3AB85}"/>
    <cellStyle name="Normal 8 2 2 3" xfId="706" xr:uid="{14C3878D-5291-4FAE-8921-298742966C85}"/>
    <cellStyle name="Normal 8 2 2 3 2" xfId="886" xr:uid="{FBE95F19-C444-4A55-A890-A60633F8A03B}"/>
    <cellStyle name="Normal 8 2 2 4" xfId="764" xr:uid="{74090732-9F23-4932-BCC1-1621A890C844}"/>
    <cellStyle name="Normal 8 2 3" xfId="609" xr:uid="{4F3D1932-0F8F-44F2-AFB2-5599D8293D87}"/>
    <cellStyle name="Normal 8 2 3 2" xfId="794" xr:uid="{1048FF4D-D477-47DC-BFE2-F6180E6F4004}"/>
    <cellStyle name="Normal 8 2 4" xfId="667" xr:uid="{44A64971-AC28-4E34-9F1C-C544665A050C}"/>
    <cellStyle name="Normal 8 2 4 2" xfId="852" xr:uid="{C2DC3F7C-E98B-4E03-9E9D-E24245973DC0}"/>
    <cellStyle name="Normal 8 2 5" xfId="735" xr:uid="{AD1CB308-4F66-42D7-99A4-B956B5DA3B84}"/>
    <cellStyle name="Normal 8 2 6" xfId="546" xr:uid="{851B39EA-059A-4614-B78D-26A84E8905F9}"/>
    <cellStyle name="Normal 8 3" xfId="567" xr:uid="{45F323A3-2D86-4967-A146-C2164CE8112D}"/>
    <cellStyle name="Normal 8 3 2" xfId="626" xr:uid="{3B56E80D-3D33-4AF5-80E2-3453C5D6D9D2}"/>
    <cellStyle name="Normal 8 3 2 2" xfId="811" xr:uid="{4B989E39-C7C4-42ED-AB45-1A2A9DBF92B0}"/>
    <cellStyle name="Normal 8 3 3" xfId="690" xr:uid="{D88F13F1-321C-471D-812D-36FAAA133373}"/>
    <cellStyle name="Normal 8 3 3 2" xfId="874" xr:uid="{F0D6351A-BE92-4852-9E36-66D400C631E4}"/>
    <cellStyle name="Normal 8 3 4" xfId="752" xr:uid="{EB4F1659-95A3-4554-B39C-B5ABA48265B8}"/>
    <cellStyle name="Normal 8 4" xfId="596" xr:uid="{FAD6CFB3-071E-4871-842B-D6CAEA20093E}"/>
    <cellStyle name="Normal 8 4 2" xfId="781" xr:uid="{313CC684-DDE1-417E-AD99-794B0FF493B8}"/>
    <cellStyle name="Normal 8 5" xfId="655" xr:uid="{E17D4F83-EB3D-4976-B9A7-1610EEEFACC9}"/>
    <cellStyle name="Normal 8 5 2" xfId="840" xr:uid="{FBA58018-D041-43ED-891A-69B82C7547B4}"/>
    <cellStyle name="Normal 8 6" xfId="722" xr:uid="{47D66038-6AAF-42C9-8717-B0D20405C885}"/>
    <cellStyle name="Normal 8 7" xfId="518" xr:uid="{FEB58797-8219-492F-9D7C-0AC1713FE0AF}"/>
    <cellStyle name="Normal 9" xfId="381" xr:uid="{00000000-0005-0000-0000-00008F010000}"/>
    <cellStyle name="Normal 9 2" xfId="412" xr:uid="{00000000-0005-0000-0000-000090010000}"/>
    <cellStyle name="Normal 9 2 2" xfId="511" xr:uid="{00000000-0005-0000-0000-000091010000}"/>
    <cellStyle name="Normal 9 2 2 2" xfId="646" xr:uid="{672F3CB8-3222-432E-A862-7DCA52588535}"/>
    <cellStyle name="Normal 9 2 2 2 2" xfId="831" xr:uid="{0A40C572-BA50-405A-98AA-F4810CF6C65F}"/>
    <cellStyle name="Normal 9 2 2 3" xfId="710" xr:uid="{F57158B9-48DD-492B-884E-F118D75EAF6E}"/>
    <cellStyle name="Normal 9 2 2 3 2" xfId="890" xr:uid="{F9F123F1-B4C3-41B2-BA0B-C63BEE33CEDC}"/>
    <cellStyle name="Normal 9 2 2 4" xfId="772" xr:uid="{0F26E437-7380-45FA-B46D-6C6E26797496}"/>
    <cellStyle name="Normal 9 2 2 5" xfId="587" xr:uid="{4E871B43-61C3-47CA-8CE7-178386F8F32A}"/>
    <cellStyle name="Normal 9 2 3" xfId="617" xr:uid="{477B5084-475D-49E1-9538-3FC7F58E1E7B}"/>
    <cellStyle name="Normal 9 2 3 2" xfId="802" xr:uid="{E30C35D8-D538-44D3-BCFF-18B88CBC54E7}"/>
    <cellStyle name="Normal 9 2 4" xfId="675" xr:uid="{9A115544-1D0E-44CC-BB54-EEDFFB1E5041}"/>
    <cellStyle name="Normal 9 2 4 2" xfId="860" xr:uid="{D44494E0-8B4D-43E8-B573-AAB479E5C479}"/>
    <cellStyle name="Normal 9 2 5" xfId="743" xr:uid="{A80B8D24-F6FE-451F-ADA8-5E309DA90680}"/>
    <cellStyle name="Normal 9 2 6" xfId="554" xr:uid="{81F7348B-6558-4D05-92AE-A59EEB2E0AC5}"/>
    <cellStyle name="Normal 9 3" xfId="480" xr:uid="{00000000-0005-0000-0000-000092010000}"/>
    <cellStyle name="Normal 9 3 2" xfId="630" xr:uid="{194642A8-28E0-4A4D-899A-FFB5B00F3993}"/>
    <cellStyle name="Normal 9 3 2 2" xfId="815" xr:uid="{40CE6969-12A4-4DE0-8068-BD70258B09BD}"/>
    <cellStyle name="Normal 9 3 3" xfId="699" xr:uid="{AA47C5CC-CC37-45FC-9049-7373AC205B4A}"/>
    <cellStyle name="Normal 9 3 3 2" xfId="879" xr:uid="{052ACA3B-C88D-4905-96F0-11F869B5DEB5}"/>
    <cellStyle name="Normal 9 3 4" xfId="756" xr:uid="{9057786B-803E-4B8A-ACBD-419D4A936276}"/>
    <cellStyle name="Normal 9 3 5" xfId="571" xr:uid="{8187474A-086C-47BC-822B-403858792E4B}"/>
    <cellStyle name="Normal 9 4" xfId="601" xr:uid="{533C71A3-6A05-421E-958F-77E47A141285}"/>
    <cellStyle name="Normal 9 4 2" xfId="786" xr:uid="{CDF348E5-043C-4840-AA3F-A84247497729}"/>
    <cellStyle name="Normal 9 5" xfId="659" xr:uid="{265F7BAB-2212-411A-B723-A022ADD02983}"/>
    <cellStyle name="Normal 9 5 2" xfId="844" xr:uid="{0CBB3D9E-6FC2-4A63-A456-E9469EA88161}"/>
    <cellStyle name="Normal 9 6" xfId="727" xr:uid="{D02AF578-198F-4BE9-90BC-7EE91B4BBBC7}"/>
    <cellStyle name="Normal 9 7" xfId="534" xr:uid="{48461459-9124-40CF-BEDA-D857A146EB37}"/>
    <cellStyle name="Normal_Hoja1" xfId="176" xr:uid="{00000000-0005-0000-0000-000093010000}"/>
    <cellStyle name="Normal_prestmos dispon x acreedor" xfId="177" xr:uid="{00000000-0005-0000-0000-000094010000}"/>
    <cellStyle name="Notas" xfId="178" builtinId="10" customBuiltin="1"/>
    <cellStyle name="Notas 2" xfId="179" xr:uid="{00000000-0005-0000-0000-000096010000}"/>
    <cellStyle name="Notas 2 2" xfId="354" xr:uid="{00000000-0005-0000-0000-000097010000}"/>
    <cellStyle name="Notas 3" xfId="180" xr:uid="{00000000-0005-0000-0000-000098010000}"/>
    <cellStyle name="Notas 3 2" xfId="355" xr:uid="{00000000-0005-0000-0000-000099010000}"/>
    <cellStyle name="Notas 4" xfId="181" xr:uid="{00000000-0005-0000-0000-00009A010000}"/>
    <cellStyle name="Notas 4 2" xfId="356" xr:uid="{00000000-0005-0000-0000-00009B010000}"/>
    <cellStyle name="Notas 5" xfId="182" xr:uid="{00000000-0005-0000-0000-00009C010000}"/>
    <cellStyle name="Notas 5 2" xfId="357" xr:uid="{00000000-0005-0000-0000-00009D010000}"/>
    <cellStyle name="Notas 6" xfId="263" xr:uid="{00000000-0005-0000-0000-00009E010000}"/>
    <cellStyle name="Notas 6 2" xfId="273" xr:uid="{00000000-0005-0000-0000-00009F010000}"/>
    <cellStyle name="Notas 6 2 2" xfId="368" xr:uid="{00000000-0005-0000-0000-0000A0010000}"/>
    <cellStyle name="Notas 6 3" xfId="366" xr:uid="{00000000-0005-0000-0000-0000A1010000}"/>
    <cellStyle name="Note" xfId="183" xr:uid="{00000000-0005-0000-0000-0000A2010000}"/>
    <cellStyle name="Note 2" xfId="184" xr:uid="{00000000-0005-0000-0000-0000A3010000}"/>
    <cellStyle name="Note 2 2" xfId="358" xr:uid="{00000000-0005-0000-0000-0000A4010000}"/>
    <cellStyle name="Output" xfId="185" xr:uid="{00000000-0005-0000-0000-0000A5010000}"/>
    <cellStyle name="Percent 2" xfId="530" xr:uid="{9A74497B-0B77-426C-B2C9-D43BF6E6D420}"/>
    <cellStyle name="Piloto de Datos Campo" xfId="531" xr:uid="{60148299-8307-4CBB-9DA7-2D3F596C4843}"/>
    <cellStyle name="Porcentaje" xfId="186" builtinId="5"/>
    <cellStyle name="Porcentaje 2" xfId="343" xr:uid="{00000000-0005-0000-0000-0000A7010000}"/>
    <cellStyle name="Porcentaje 2 2" xfId="545" xr:uid="{616C1951-3526-4008-B92F-9E617B8B750B}"/>
    <cellStyle name="Porcentaje 2 2 2" xfId="578" xr:uid="{14676DF4-DFB4-414D-9F32-763F4CDD1716}"/>
    <cellStyle name="Porcentaje 2 2 2 2" xfId="637" xr:uid="{B986A408-E856-4C05-A9CE-77AFA16F2490}"/>
    <cellStyle name="Porcentaje 2 2 2 2 2" xfId="822" xr:uid="{3AE73ED1-6E8F-46D7-9936-CD0D57F81A84}"/>
    <cellStyle name="Porcentaje 2 2 2 3" xfId="705" xr:uid="{9BD3A2DF-55D3-4B2E-97E0-B763A82A7292}"/>
    <cellStyle name="Porcentaje 2 2 2 3 2" xfId="885" xr:uid="{40703168-12FC-4EC8-9C4F-392C9D46A367}"/>
    <cellStyle name="Porcentaje 2 2 2 4" xfId="763" xr:uid="{CD198DCA-5CA3-40EA-97F6-8B2EA4151AD6}"/>
    <cellStyle name="Porcentaje 2 2 3" xfId="608" xr:uid="{1E5E51C8-31C7-462F-9200-98CB0FF75820}"/>
    <cellStyle name="Porcentaje 2 2 3 2" xfId="793" xr:uid="{5F6C7605-04F8-411E-8982-B65525F5F591}"/>
    <cellStyle name="Porcentaje 2 2 4" xfId="666" xr:uid="{DBA59286-AEFB-45DE-8BD4-80A68CDDE21B}"/>
    <cellStyle name="Porcentaje 2 2 4 2" xfId="851" xr:uid="{B122E16B-8AD3-48B2-BA2D-F2321D431A37}"/>
    <cellStyle name="Porcentaje 2 2 5" xfId="734" xr:uid="{359AAFEA-3A54-4136-B896-B34773BDDC84}"/>
    <cellStyle name="Porcentaje 2 3" xfId="566" xr:uid="{2FD96932-FE5F-4F55-882D-FE9095CA2FCE}"/>
    <cellStyle name="Porcentaje 2 3 2" xfId="625" xr:uid="{49EC4DA8-E6CC-4600-88F9-FDB3EDB21A05}"/>
    <cellStyle name="Porcentaje 2 3 2 2" xfId="810" xr:uid="{0080E285-1168-4220-9218-733FBAB1C5F7}"/>
    <cellStyle name="Porcentaje 2 3 3" xfId="689" xr:uid="{C55C94D7-7693-42EB-8634-29E02D9AF3FC}"/>
    <cellStyle name="Porcentaje 2 3 3 2" xfId="873" xr:uid="{4CB5C152-1BF8-4328-8AA2-396AB17E441F}"/>
    <cellStyle name="Porcentaje 2 3 4" xfId="751" xr:uid="{B81397C0-D2E1-44E7-8CC7-786DA6AC2F01}"/>
    <cellStyle name="Porcentaje 2 4" xfId="595" xr:uid="{52A7B048-EA6F-4052-846B-52BBB409507D}"/>
    <cellStyle name="Porcentaje 2 4 2" xfId="780" xr:uid="{28FF95B3-72D0-4433-A6AF-02D35BF162F9}"/>
    <cellStyle name="Porcentaje 2 5" xfId="654" xr:uid="{66C80BFA-71DB-4365-9C64-660CD705DD20}"/>
    <cellStyle name="Porcentaje 2 5 2" xfId="839" xr:uid="{1857332F-9417-4EB5-B73F-B5B5EAECD90D}"/>
    <cellStyle name="Porcentaje 2 6" xfId="721" xr:uid="{1D972FC7-D87A-4D98-954D-4BEBF99DB7F5}"/>
    <cellStyle name="Porcentaje 2 7" xfId="517" xr:uid="{16C9F14E-2D35-45A3-A662-C3E81A7E6500}"/>
    <cellStyle name="Porcentaje 3" xfId="340" xr:uid="{00000000-0005-0000-0000-0000A8010000}"/>
    <cellStyle name="Porcentaje 3 2" xfId="539" xr:uid="{34FE5964-D0F5-4F6F-A3A8-EA9FB71824BC}"/>
    <cellStyle name="Porcentaje 4" xfId="684" xr:uid="{504C8539-5D86-42D4-9049-B7BEC22CDE54}"/>
    <cellStyle name="Porcentaje 4 2" xfId="868" xr:uid="{E099C43B-2339-4439-A80F-32DEFADD186C}"/>
    <cellStyle name="Porcentual 2" xfId="187" xr:uid="{00000000-0005-0000-0000-0000A9010000}"/>
    <cellStyle name="Porcentual 2 10" xfId="292" xr:uid="{00000000-0005-0000-0000-0000AA010000}"/>
    <cellStyle name="Porcentual 2 10 2" xfId="328" xr:uid="{00000000-0005-0000-0000-0000AB010000}"/>
    <cellStyle name="Porcentual 2 11" xfId="293" xr:uid="{00000000-0005-0000-0000-0000AC010000}"/>
    <cellStyle name="Porcentual 2 11 2" xfId="329" xr:uid="{00000000-0005-0000-0000-0000AD010000}"/>
    <cellStyle name="Porcentual 2 12" xfId="294" xr:uid="{00000000-0005-0000-0000-0000AE010000}"/>
    <cellStyle name="Porcentual 2 12 2" xfId="330" xr:uid="{00000000-0005-0000-0000-0000AF010000}"/>
    <cellStyle name="Porcentual 2 13" xfId="327" xr:uid="{00000000-0005-0000-0000-0000B0010000}"/>
    <cellStyle name="Porcentual 2 2" xfId="295" xr:uid="{00000000-0005-0000-0000-0000B1010000}"/>
    <cellStyle name="Porcentual 2 2 2" xfId="331" xr:uid="{00000000-0005-0000-0000-0000B2010000}"/>
    <cellStyle name="Porcentual 2 3" xfId="296" xr:uid="{00000000-0005-0000-0000-0000B3010000}"/>
    <cellStyle name="Porcentual 2 3 2" xfId="332" xr:uid="{00000000-0005-0000-0000-0000B4010000}"/>
    <cellStyle name="Porcentual 2 4" xfId="297" xr:uid="{00000000-0005-0000-0000-0000B5010000}"/>
    <cellStyle name="Porcentual 2 4 2" xfId="333" xr:uid="{00000000-0005-0000-0000-0000B6010000}"/>
    <cellStyle name="Porcentual 2 5" xfId="298" xr:uid="{00000000-0005-0000-0000-0000B7010000}"/>
    <cellStyle name="Porcentual 2 5 2" xfId="334" xr:uid="{00000000-0005-0000-0000-0000B8010000}"/>
    <cellStyle name="Porcentual 2 6" xfId="299" xr:uid="{00000000-0005-0000-0000-0000B9010000}"/>
    <cellStyle name="Porcentual 2 6 2" xfId="335" xr:uid="{00000000-0005-0000-0000-0000BA010000}"/>
    <cellStyle name="Porcentual 2 7" xfId="300" xr:uid="{00000000-0005-0000-0000-0000BB010000}"/>
    <cellStyle name="Porcentual 2 7 2" xfId="336" xr:uid="{00000000-0005-0000-0000-0000BC010000}"/>
    <cellStyle name="Porcentual 2 8" xfId="301" xr:uid="{00000000-0005-0000-0000-0000BD010000}"/>
    <cellStyle name="Porcentual 2 8 2" xfId="337" xr:uid="{00000000-0005-0000-0000-0000BE010000}"/>
    <cellStyle name="Porcentual 2 9" xfId="302" xr:uid="{00000000-0005-0000-0000-0000BF010000}"/>
    <cellStyle name="Porcentual 2 9 2" xfId="338" xr:uid="{00000000-0005-0000-0000-0000C0010000}"/>
    <cellStyle name="Porcentual 3" xfId="188" xr:uid="{00000000-0005-0000-0000-0000C1010000}"/>
    <cellStyle name="Porcentual 3 2" xfId="303" xr:uid="{00000000-0005-0000-0000-0000C2010000}"/>
    <cellStyle name="Porcentual 3 3" xfId="359" xr:uid="{00000000-0005-0000-0000-0000C3010000}"/>
    <cellStyle name="Porcentual 4" xfId="189" xr:uid="{00000000-0005-0000-0000-0000C4010000}"/>
    <cellStyle name="Porcentual 4 2" xfId="360" xr:uid="{00000000-0005-0000-0000-0000C5010000}"/>
    <cellStyle name="Porcentual 4 3" xfId="532" xr:uid="{15A50747-EA9C-40D4-86B6-D61875444B8C}"/>
    <cellStyle name="Porcentual 5" xfId="264" xr:uid="{00000000-0005-0000-0000-0000C6010000}"/>
    <cellStyle name="Porcentual 5 2" xfId="367" xr:uid="{00000000-0005-0000-0000-0000C7010000}"/>
    <cellStyle name="Porcentual 5 3" xfId="533" xr:uid="{730E3090-2D40-4D15-8CE7-7AFA1907626C}"/>
    <cellStyle name="Porcentual 6" xfId="226" xr:uid="{00000000-0005-0000-0000-0000C8010000}"/>
    <cellStyle name="Porcentual 6 2" xfId="363" xr:uid="{00000000-0005-0000-0000-0000C9010000}"/>
    <cellStyle name="Porcentual 6 2 2" xfId="400" xr:uid="{00000000-0005-0000-0000-0000CA010000}"/>
    <cellStyle name="Porcentual 6 2 2 2" xfId="499" xr:uid="{00000000-0005-0000-0000-0000CB010000}"/>
    <cellStyle name="Porcentual 6 2 3" xfId="468" xr:uid="{00000000-0005-0000-0000-0000CC010000}"/>
    <cellStyle name="Porcentual 6 3" xfId="385" xr:uid="{00000000-0005-0000-0000-0000CD010000}"/>
    <cellStyle name="Porcentual 6 3 2" xfId="484" xr:uid="{00000000-0005-0000-0000-0000CE010000}"/>
    <cellStyle name="Porcentual 6 4" xfId="423" xr:uid="{00000000-0005-0000-0000-0000CF010000}"/>
    <cellStyle name="Porcentual 7" xfId="276" xr:uid="{00000000-0005-0000-0000-0000D0010000}"/>
    <cellStyle name="Porcentual 7 2" xfId="371" xr:uid="{00000000-0005-0000-0000-0000D1010000}"/>
    <cellStyle name="Porcentual 7 2 2" xfId="404" xr:uid="{00000000-0005-0000-0000-0000D2010000}"/>
    <cellStyle name="Porcentual 7 2 2 2" xfId="503" xr:uid="{00000000-0005-0000-0000-0000D3010000}"/>
    <cellStyle name="Porcentual 7 2 3" xfId="472" xr:uid="{00000000-0005-0000-0000-0000D4010000}"/>
    <cellStyle name="Porcentual 7 3" xfId="389" xr:uid="{00000000-0005-0000-0000-0000D5010000}"/>
    <cellStyle name="Porcentual 7 3 2" xfId="488" xr:uid="{00000000-0005-0000-0000-0000D6010000}"/>
    <cellStyle name="Porcentual 7 4" xfId="428" xr:uid="{00000000-0005-0000-0000-0000D7010000}"/>
    <cellStyle name="Porcentual 8" xfId="326" xr:uid="{00000000-0005-0000-0000-0000D8010000}"/>
    <cellStyle name="Salida" xfId="190" builtinId="21" customBuiltin="1"/>
    <cellStyle name="Salida 2" xfId="191" xr:uid="{00000000-0005-0000-0000-0000DA010000}"/>
    <cellStyle name="Salida 3" xfId="192" xr:uid="{00000000-0005-0000-0000-0000DB010000}"/>
    <cellStyle name="Salida 4" xfId="193" xr:uid="{00000000-0005-0000-0000-0000DC010000}"/>
    <cellStyle name="Salida 5" xfId="265" xr:uid="{00000000-0005-0000-0000-0000DD010000}"/>
    <cellStyle name="Texto de advertencia" xfId="194" builtinId="11" customBuiltin="1"/>
    <cellStyle name="Texto de advertencia 2" xfId="195" xr:uid="{00000000-0005-0000-0000-0000DF010000}"/>
    <cellStyle name="Texto de advertencia 3" xfId="196" xr:uid="{00000000-0005-0000-0000-0000E0010000}"/>
    <cellStyle name="Texto de advertencia 4" xfId="197" xr:uid="{00000000-0005-0000-0000-0000E1010000}"/>
    <cellStyle name="Texto de advertencia 5" xfId="266" xr:uid="{00000000-0005-0000-0000-0000E2010000}"/>
    <cellStyle name="Texto explicativo" xfId="198" builtinId="53" customBuiltin="1"/>
    <cellStyle name="Texto explicativo 2" xfId="199" xr:uid="{00000000-0005-0000-0000-0000E4010000}"/>
    <cellStyle name="Texto explicativo 3" xfId="200" xr:uid="{00000000-0005-0000-0000-0000E5010000}"/>
    <cellStyle name="Texto explicativo 4" xfId="201" xr:uid="{00000000-0005-0000-0000-0000E6010000}"/>
    <cellStyle name="Texto explicativo 5" xfId="267" xr:uid="{00000000-0005-0000-0000-0000E7010000}"/>
    <cellStyle name="Title" xfId="202" xr:uid="{00000000-0005-0000-0000-0000E8010000}"/>
    <cellStyle name="Título" xfId="203" builtinId="15" customBuiltin="1"/>
    <cellStyle name="Título 1 2" xfId="205" xr:uid="{00000000-0005-0000-0000-0000EA010000}"/>
    <cellStyle name="Título 1 3" xfId="206" xr:uid="{00000000-0005-0000-0000-0000EB010000}"/>
    <cellStyle name="Título 1 4" xfId="207" xr:uid="{00000000-0005-0000-0000-0000EC010000}"/>
    <cellStyle name="Título 1 5" xfId="269" xr:uid="{00000000-0005-0000-0000-0000ED010000}"/>
    <cellStyle name="Título 2" xfId="208" builtinId="17" customBuiltin="1"/>
    <cellStyle name="Título 2 2" xfId="209" xr:uid="{00000000-0005-0000-0000-0000EF010000}"/>
    <cellStyle name="Título 2 3" xfId="210" xr:uid="{00000000-0005-0000-0000-0000F0010000}"/>
    <cellStyle name="Título 2 4" xfId="211" xr:uid="{00000000-0005-0000-0000-0000F1010000}"/>
    <cellStyle name="Título 2 5" xfId="270" xr:uid="{00000000-0005-0000-0000-0000F2010000}"/>
    <cellStyle name="Título 3" xfId="212" builtinId="18" customBuiltin="1"/>
    <cellStyle name="Título 3 2" xfId="213" xr:uid="{00000000-0005-0000-0000-0000F4010000}"/>
    <cellStyle name="Título 3 3" xfId="214" xr:uid="{00000000-0005-0000-0000-0000F5010000}"/>
    <cellStyle name="Título 3 4" xfId="215" xr:uid="{00000000-0005-0000-0000-0000F6010000}"/>
    <cellStyle name="Título 3 5" xfId="271" xr:uid="{00000000-0005-0000-0000-0000F7010000}"/>
    <cellStyle name="Título 4" xfId="216" xr:uid="{00000000-0005-0000-0000-0000F8010000}"/>
    <cellStyle name="Título 5" xfId="217" xr:uid="{00000000-0005-0000-0000-0000F9010000}"/>
    <cellStyle name="Título 6" xfId="218" xr:uid="{00000000-0005-0000-0000-0000FA010000}"/>
    <cellStyle name="Título 7" xfId="268" xr:uid="{00000000-0005-0000-0000-0000FB010000}"/>
    <cellStyle name="Total" xfId="219" builtinId="25" customBuiltin="1"/>
    <cellStyle name="Total 2" xfId="220" xr:uid="{00000000-0005-0000-0000-0000FD010000}"/>
    <cellStyle name="Total 3" xfId="221" xr:uid="{00000000-0005-0000-0000-0000FE010000}"/>
    <cellStyle name="Total 4" xfId="222" xr:uid="{00000000-0005-0000-0000-0000FF010000}"/>
    <cellStyle name="Total 5" xfId="272" xr:uid="{00000000-0005-0000-0000-000000020000}"/>
    <cellStyle name="Warning Text" xfId="223" xr:uid="{00000000-0005-0000-0000-0000010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99"/>
      <color rgb="FF99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3.png"/><Relationship Id="rId5" Type="http://schemas.openxmlformats.org/officeDocument/2006/relationships/image" Target="../media/image4.pn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6.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6.pn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6.png"/><Relationship Id="rId4"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525781</xdr:colOff>
      <xdr:row>12</xdr:row>
      <xdr:rowOff>81578</xdr:rowOff>
    </xdr:from>
    <xdr:to>
      <xdr:col>7</xdr:col>
      <xdr:colOff>236221</xdr:colOff>
      <xdr:row>24</xdr:row>
      <xdr:rowOff>10308</xdr:rowOff>
    </xdr:to>
    <xdr:pic>
      <xdr:nvPicPr>
        <xdr:cNvPr id="4" name="WordPictureWatermark90971338">
          <a:extLst>
            <a:ext uri="{FF2B5EF4-FFF2-40B4-BE49-F238E27FC236}">
              <a16:creationId xmlns:a16="http://schemas.microsoft.com/office/drawing/2014/main" id="{D74B3014-D5FC-B72D-271B-8524417ED068}"/>
            </a:ext>
          </a:extLst>
        </xdr:cNvPr>
        <xdr:cNvPicPr>
          <a:picLocks noChangeAspect="1" noChangeArrowheads="1"/>
        </xdr:cNvPicPr>
      </xdr:nvPicPr>
      <xdr:blipFill>
        <a:blip xmlns:r="http://schemas.openxmlformats.org/officeDocument/2006/relationships" r:embed="rId1"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6101828" y="2502049"/>
          <a:ext cx="2077122" cy="1972683"/>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649193</xdr:colOff>
      <xdr:row>1</xdr:row>
      <xdr:rowOff>120277</xdr:rowOff>
    </xdr:from>
    <xdr:to>
      <xdr:col>8</xdr:col>
      <xdr:colOff>564028</xdr:colOff>
      <xdr:row>4</xdr:row>
      <xdr:rowOff>320488</xdr:rowOff>
    </xdr:to>
    <xdr:pic>
      <xdr:nvPicPr>
        <xdr:cNvPr id="3" name="Imagen 2">
          <a:extLst>
            <a:ext uri="{FF2B5EF4-FFF2-40B4-BE49-F238E27FC236}">
              <a16:creationId xmlns:a16="http://schemas.microsoft.com/office/drawing/2014/main" id="{9397A739-633A-5C69-E3C5-516F4BCEC7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53875" y="290606"/>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5</xdr:row>
      <xdr:rowOff>0</xdr:rowOff>
    </xdr:to>
    <xdr:pic>
      <xdr:nvPicPr>
        <xdr:cNvPr id="17965977" name="Picture 1" descr="mhlogo[1]">
          <a:extLst>
            <a:ext uri="{FF2B5EF4-FFF2-40B4-BE49-F238E27FC236}">
              <a16:creationId xmlns:a16="http://schemas.microsoft.com/office/drawing/2014/main" id="{00000000-0008-0000-0000-00009923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68580</xdr:colOff>
      <xdr:row>2</xdr:row>
      <xdr:rowOff>22860</xdr:rowOff>
    </xdr:from>
    <xdr:to>
      <xdr:col>1</xdr:col>
      <xdr:colOff>3505200</xdr:colOff>
      <xdr:row>4</xdr:row>
      <xdr:rowOff>93980</xdr:rowOff>
    </xdr:to>
    <xdr:pic>
      <xdr:nvPicPr>
        <xdr:cNvPr id="2" name="Imagen 1">
          <a:extLst>
            <a:ext uri="{FF2B5EF4-FFF2-40B4-BE49-F238E27FC236}">
              <a16:creationId xmlns:a16="http://schemas.microsoft.com/office/drawing/2014/main" id="{2C1FCDCE-CD2B-4A87-A351-3EFDE14E4E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 y="662940"/>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12</xdr:col>
      <xdr:colOff>91440</xdr:colOff>
      <xdr:row>1</xdr:row>
      <xdr:rowOff>315739</xdr:rowOff>
    </xdr:from>
    <xdr:to>
      <xdr:col>12</xdr:col>
      <xdr:colOff>1010639</xdr:colOff>
      <xdr:row>4</xdr:row>
      <xdr:rowOff>228600</xdr:rowOff>
    </xdr:to>
    <xdr:pic>
      <xdr:nvPicPr>
        <xdr:cNvPr id="6" name="WordPictureWatermark90971338">
          <a:extLst>
            <a:ext uri="{FF2B5EF4-FFF2-40B4-BE49-F238E27FC236}">
              <a16:creationId xmlns:a16="http://schemas.microsoft.com/office/drawing/2014/main" id="{0992EA5A-616C-4CAB-9237-1BC772F9BE1E}"/>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7442180" y="635779"/>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7967001" name="Picture 1" descr="mhlogo[1]">
          <a:extLst>
            <a:ext uri="{FF2B5EF4-FFF2-40B4-BE49-F238E27FC236}">
              <a16:creationId xmlns:a16="http://schemas.microsoft.com/office/drawing/2014/main" id="{00000000-0008-0000-0100-0000992712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144780</xdr:colOff>
      <xdr:row>1</xdr:row>
      <xdr:rowOff>167640</xdr:rowOff>
    </xdr:from>
    <xdr:to>
      <xdr:col>2</xdr:col>
      <xdr:colOff>15240</xdr:colOff>
      <xdr:row>3</xdr:row>
      <xdr:rowOff>238760</xdr:rowOff>
    </xdr:to>
    <xdr:pic>
      <xdr:nvPicPr>
        <xdr:cNvPr id="2" name="Imagen 1">
          <a:extLst>
            <a:ext uri="{FF2B5EF4-FFF2-40B4-BE49-F238E27FC236}">
              <a16:creationId xmlns:a16="http://schemas.microsoft.com/office/drawing/2014/main" id="{32577EA8-31C7-49E2-B435-D2FB4F816A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780" y="487680"/>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14</xdr:col>
      <xdr:colOff>320040</xdr:colOff>
      <xdr:row>1</xdr:row>
      <xdr:rowOff>190500</xdr:rowOff>
    </xdr:from>
    <xdr:to>
      <xdr:col>14</xdr:col>
      <xdr:colOff>1239239</xdr:colOff>
      <xdr:row>4</xdr:row>
      <xdr:rowOff>103361</xdr:rowOff>
    </xdr:to>
    <xdr:pic>
      <xdr:nvPicPr>
        <xdr:cNvPr id="3" name="WordPictureWatermark90971338">
          <a:extLst>
            <a:ext uri="{FF2B5EF4-FFF2-40B4-BE49-F238E27FC236}">
              <a16:creationId xmlns:a16="http://schemas.microsoft.com/office/drawing/2014/main" id="{CD266E16-9B63-4C70-B81C-0586483C4E68}"/>
            </a:ext>
          </a:extLst>
        </xdr:cNvPr>
        <xdr:cNvPicPr>
          <a:picLocks noChangeAspect="1" noChangeArrowheads="1"/>
        </xdr:cNvPicPr>
      </xdr:nvPicPr>
      <xdr:blipFill>
        <a:blip xmlns:r="http://schemas.openxmlformats.org/officeDocument/2006/relationships" r:embed="rId3"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6939260" y="510540"/>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9525</xdr:rowOff>
    </xdr:from>
    <xdr:to>
      <xdr:col>0</xdr:col>
      <xdr:colOff>0</xdr:colOff>
      <xdr:row>4</xdr:row>
      <xdr:rowOff>0</xdr:rowOff>
    </xdr:to>
    <xdr:pic>
      <xdr:nvPicPr>
        <xdr:cNvPr id="19682751" name="Picture 1" descr="mhlogo[1]">
          <a:extLst>
            <a:ext uri="{FF2B5EF4-FFF2-40B4-BE49-F238E27FC236}">
              <a16:creationId xmlns:a16="http://schemas.microsoft.com/office/drawing/2014/main" id="{00000000-0008-0000-0200-0000BF55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9525"/>
          <a:ext cx="0" cy="609600"/>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1</xdr:col>
      <xdr:colOff>1905</xdr:colOff>
      <xdr:row>0</xdr:row>
      <xdr:rowOff>0</xdr:rowOff>
    </xdr:to>
    <xdr:pic>
      <xdr:nvPicPr>
        <xdr:cNvPr id="19682752" name="Picture 4011" descr="C:\Documents and Settings\acunaaw\Configuración local\Temp\Dibujo.GIF">
          <a:extLst>
            <a:ext uri="{FF2B5EF4-FFF2-40B4-BE49-F238E27FC236}">
              <a16:creationId xmlns:a16="http://schemas.microsoft.com/office/drawing/2014/main" id="{00000000-0008-0000-0200-0000C055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57150"/>
          <a:ext cx="1390650" cy="0"/>
        </a:xfrm>
        <a:prstGeom prst="rect">
          <a:avLst/>
        </a:prstGeom>
        <a:noFill/>
        <a:ln w="9525">
          <a:noFill/>
          <a:miter lim="800000"/>
          <a:headEnd/>
          <a:tailEnd/>
        </a:ln>
      </xdr:spPr>
    </xdr:pic>
    <xdr:clientData/>
  </xdr:twoCellAnchor>
  <xdr:twoCellAnchor editAs="oneCell">
    <xdr:from>
      <xdr:col>9</xdr:col>
      <xdr:colOff>0</xdr:colOff>
      <xdr:row>0</xdr:row>
      <xdr:rowOff>0</xdr:rowOff>
    </xdr:from>
    <xdr:to>
      <xdr:col>10</xdr:col>
      <xdr:colOff>857250</xdr:colOff>
      <xdr:row>0</xdr:row>
      <xdr:rowOff>0</xdr:rowOff>
    </xdr:to>
    <xdr:pic>
      <xdr:nvPicPr>
        <xdr:cNvPr id="19682753" name="0 Imagen" descr="Logo DCP2.PNG">
          <a:extLst>
            <a:ext uri="{FF2B5EF4-FFF2-40B4-BE49-F238E27FC236}">
              <a16:creationId xmlns:a16="http://schemas.microsoft.com/office/drawing/2014/main" id="{00000000-0008-0000-0200-0000C1552C01}"/>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449800" y="28575"/>
          <a:ext cx="857250" cy="0"/>
        </a:xfrm>
        <a:prstGeom prst="rect">
          <a:avLst/>
        </a:prstGeom>
        <a:noFill/>
        <a:ln w="9525">
          <a:noFill/>
          <a:miter lim="800000"/>
          <a:headEnd/>
          <a:tailEnd/>
        </a:ln>
      </xdr:spPr>
    </xdr:pic>
    <xdr:clientData/>
  </xdr:twoCellAnchor>
  <xdr:twoCellAnchor editAs="oneCell">
    <xdr:from>
      <xdr:col>0</xdr:col>
      <xdr:colOff>38100</xdr:colOff>
      <xdr:row>0</xdr:row>
      <xdr:rowOff>114300</xdr:rowOff>
    </xdr:from>
    <xdr:to>
      <xdr:col>1</xdr:col>
      <xdr:colOff>3429000</xdr:colOff>
      <xdr:row>4</xdr:row>
      <xdr:rowOff>124460</xdr:rowOff>
    </xdr:to>
    <xdr:pic>
      <xdr:nvPicPr>
        <xdr:cNvPr id="2" name="Imagen 1">
          <a:extLst>
            <a:ext uri="{FF2B5EF4-FFF2-40B4-BE49-F238E27FC236}">
              <a16:creationId xmlns:a16="http://schemas.microsoft.com/office/drawing/2014/main" id="{CEDB3D0F-6F44-42EB-B384-3384D600BDC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8100" y="114300"/>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16</xdr:col>
      <xdr:colOff>335280</xdr:colOff>
      <xdr:row>0</xdr:row>
      <xdr:rowOff>0</xdr:rowOff>
    </xdr:from>
    <xdr:to>
      <xdr:col>16</xdr:col>
      <xdr:colOff>1254479</xdr:colOff>
      <xdr:row>4</xdr:row>
      <xdr:rowOff>171941</xdr:rowOff>
    </xdr:to>
    <xdr:pic>
      <xdr:nvPicPr>
        <xdr:cNvPr id="3" name="WordPictureWatermark90971338">
          <a:extLst>
            <a:ext uri="{FF2B5EF4-FFF2-40B4-BE49-F238E27FC236}">
              <a16:creationId xmlns:a16="http://schemas.microsoft.com/office/drawing/2014/main" id="{75D27E15-0B1E-4128-9F8E-A8CB920DD0DD}"/>
            </a:ext>
          </a:extLst>
        </xdr:cNvPr>
        <xdr:cNvPicPr>
          <a:picLocks noChangeAspect="1" noChangeArrowheads="1"/>
        </xdr:cNvPicPr>
      </xdr:nvPicPr>
      <xdr:blipFill>
        <a:blip xmlns:r="http://schemas.openxmlformats.org/officeDocument/2006/relationships" r:embed="rId5"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21800820" y="0"/>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19050</xdr:colOff>
      <xdr:row>1</xdr:row>
      <xdr:rowOff>38100</xdr:rowOff>
    </xdr:from>
    <xdr:to>
      <xdr:col>11</xdr:col>
      <xdr:colOff>895350</xdr:colOff>
      <xdr:row>1</xdr:row>
      <xdr:rowOff>38100</xdr:rowOff>
    </xdr:to>
    <xdr:pic>
      <xdr:nvPicPr>
        <xdr:cNvPr id="19087020" name="0 Imagen" descr="Logo DCP2.PNG">
          <a:extLst>
            <a:ext uri="{FF2B5EF4-FFF2-40B4-BE49-F238E27FC236}">
              <a16:creationId xmlns:a16="http://schemas.microsoft.com/office/drawing/2014/main" id="{00000000-0008-0000-0300-0000AC3E23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468225" y="38100"/>
          <a:ext cx="933450" cy="0"/>
        </a:xfrm>
        <a:prstGeom prst="rect">
          <a:avLst/>
        </a:prstGeom>
        <a:noFill/>
        <a:ln w="9525">
          <a:noFill/>
          <a:miter lim="800000"/>
          <a:headEnd/>
          <a:tailEnd/>
        </a:ln>
      </xdr:spPr>
    </xdr:pic>
    <xdr:clientData/>
  </xdr:twoCellAnchor>
  <xdr:twoCellAnchor editAs="oneCell">
    <xdr:from>
      <xdr:col>0</xdr:col>
      <xdr:colOff>0</xdr:colOff>
      <xdr:row>1</xdr:row>
      <xdr:rowOff>28575</xdr:rowOff>
    </xdr:from>
    <xdr:to>
      <xdr:col>0</xdr:col>
      <xdr:colOff>1291590</xdr:colOff>
      <xdr:row>1</xdr:row>
      <xdr:rowOff>28575</xdr:rowOff>
    </xdr:to>
    <xdr:pic>
      <xdr:nvPicPr>
        <xdr:cNvPr id="19087021" name="Picture 4011" descr="C:\Documents and Settings\acunaaw\Configuración local\Temp\Dibujo.GIF">
          <a:extLst>
            <a:ext uri="{FF2B5EF4-FFF2-40B4-BE49-F238E27FC236}">
              <a16:creationId xmlns:a16="http://schemas.microsoft.com/office/drawing/2014/main" id="{00000000-0008-0000-0300-0000AD3E23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0" y="28575"/>
          <a:ext cx="1390650" cy="0"/>
        </a:xfrm>
        <a:prstGeom prst="rect">
          <a:avLst/>
        </a:prstGeom>
        <a:noFill/>
        <a:ln w="9525">
          <a:noFill/>
          <a:miter lim="800000"/>
          <a:headEnd/>
          <a:tailEnd/>
        </a:ln>
      </xdr:spPr>
    </xdr:pic>
    <xdr:clientData/>
  </xdr:twoCellAnchor>
  <xdr:twoCellAnchor editAs="oneCell">
    <xdr:from>
      <xdr:col>0</xdr:col>
      <xdr:colOff>121920</xdr:colOff>
      <xdr:row>1</xdr:row>
      <xdr:rowOff>121920</xdr:rowOff>
    </xdr:from>
    <xdr:to>
      <xdr:col>1</xdr:col>
      <xdr:colOff>3474720</xdr:colOff>
      <xdr:row>3</xdr:row>
      <xdr:rowOff>193040</xdr:rowOff>
    </xdr:to>
    <xdr:pic>
      <xdr:nvPicPr>
        <xdr:cNvPr id="2" name="Imagen 1">
          <a:extLst>
            <a:ext uri="{FF2B5EF4-FFF2-40B4-BE49-F238E27FC236}">
              <a16:creationId xmlns:a16="http://schemas.microsoft.com/office/drawing/2014/main" id="{A6FA4785-93DD-4843-8147-8ACC78DE7D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1920" y="441960"/>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12</xdr:col>
      <xdr:colOff>144780</xdr:colOff>
      <xdr:row>1</xdr:row>
      <xdr:rowOff>68580</xdr:rowOff>
    </xdr:from>
    <xdr:to>
      <xdr:col>12</xdr:col>
      <xdr:colOff>1063979</xdr:colOff>
      <xdr:row>3</xdr:row>
      <xdr:rowOff>301481</xdr:rowOff>
    </xdr:to>
    <xdr:pic>
      <xdr:nvPicPr>
        <xdr:cNvPr id="3" name="WordPictureWatermark90971338">
          <a:extLst>
            <a:ext uri="{FF2B5EF4-FFF2-40B4-BE49-F238E27FC236}">
              <a16:creationId xmlns:a16="http://schemas.microsoft.com/office/drawing/2014/main" id="{A8401022-F085-42C6-B244-986B8159B84B}"/>
            </a:ext>
          </a:extLst>
        </xdr:cNvPr>
        <xdr:cNvPicPr>
          <a:picLocks noChangeAspect="1" noChangeArrowheads="1"/>
        </xdr:cNvPicPr>
      </xdr:nvPicPr>
      <xdr:blipFill>
        <a:blip xmlns:r="http://schemas.openxmlformats.org/officeDocument/2006/relationships" r:embed="rId4"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8265140" y="388620"/>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43</xdr:col>
      <xdr:colOff>0</xdr:colOff>
      <xdr:row>1</xdr:row>
      <xdr:rowOff>57150</xdr:rowOff>
    </xdr:from>
    <xdr:to>
      <xdr:col>44</xdr:col>
      <xdr:colOff>472211</xdr:colOff>
      <xdr:row>1</xdr:row>
      <xdr:rowOff>57150</xdr:rowOff>
    </xdr:to>
    <xdr:pic>
      <xdr:nvPicPr>
        <xdr:cNvPr id="19683775" name="0 Imagen" descr="Logo DCP2.PNG">
          <a:extLst>
            <a:ext uri="{FF2B5EF4-FFF2-40B4-BE49-F238E27FC236}">
              <a16:creationId xmlns:a16="http://schemas.microsoft.com/office/drawing/2014/main" id="{00000000-0008-0000-0400-0000BF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74050" y="57150"/>
          <a:ext cx="1104900" cy="0"/>
        </a:xfrm>
        <a:prstGeom prst="rect">
          <a:avLst/>
        </a:prstGeom>
        <a:noFill/>
        <a:ln w="9525">
          <a:noFill/>
          <a:miter lim="800000"/>
          <a:headEnd/>
          <a:tailEnd/>
        </a:ln>
      </xdr:spPr>
    </xdr:pic>
    <xdr:clientData/>
  </xdr:twoCellAnchor>
  <xdr:twoCellAnchor editAs="oneCell">
    <xdr:from>
      <xdr:col>0</xdr:col>
      <xdr:colOff>47625</xdr:colOff>
      <xdr:row>1</xdr:row>
      <xdr:rowOff>38100</xdr:rowOff>
    </xdr:from>
    <xdr:to>
      <xdr:col>1</xdr:col>
      <xdr:colOff>85725</xdr:colOff>
      <xdr:row>1</xdr:row>
      <xdr:rowOff>38100</xdr:rowOff>
    </xdr:to>
    <xdr:pic>
      <xdr:nvPicPr>
        <xdr:cNvPr id="19683776" name="Picture 4011" descr="C:\Documents and Settings\acunaaw\Configuración local\Temp\Dibujo.GIF">
          <a:extLst>
            <a:ext uri="{FF2B5EF4-FFF2-40B4-BE49-F238E27FC236}">
              <a16:creationId xmlns:a16="http://schemas.microsoft.com/office/drawing/2014/main" id="{00000000-0008-0000-0400-0000C0592C0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09550" y="38100"/>
          <a:ext cx="1562100" cy="0"/>
        </a:xfrm>
        <a:prstGeom prst="rect">
          <a:avLst/>
        </a:prstGeom>
        <a:noFill/>
        <a:ln w="9525">
          <a:noFill/>
          <a:miter lim="800000"/>
          <a:headEnd/>
          <a:tailEnd/>
        </a:ln>
      </xdr:spPr>
    </xdr:pic>
    <xdr:clientData/>
  </xdr:twoCellAnchor>
  <xdr:twoCellAnchor editAs="oneCell">
    <xdr:from>
      <xdr:col>43</xdr:col>
      <xdr:colOff>0</xdr:colOff>
      <xdr:row>1</xdr:row>
      <xdr:rowOff>95250</xdr:rowOff>
    </xdr:from>
    <xdr:to>
      <xdr:col>44</xdr:col>
      <xdr:colOff>389662</xdr:colOff>
      <xdr:row>1</xdr:row>
      <xdr:rowOff>95250</xdr:rowOff>
    </xdr:to>
    <xdr:pic>
      <xdr:nvPicPr>
        <xdr:cNvPr id="19683777" name="0 Imagen" descr="Logo DCP2.PNG">
          <a:extLst>
            <a:ext uri="{FF2B5EF4-FFF2-40B4-BE49-F238E27FC236}">
              <a16:creationId xmlns:a16="http://schemas.microsoft.com/office/drawing/2014/main" id="{00000000-0008-0000-0400-0000C1592C0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012150" y="95250"/>
          <a:ext cx="971550" cy="0"/>
        </a:xfrm>
        <a:prstGeom prst="rect">
          <a:avLst/>
        </a:prstGeom>
        <a:noFill/>
        <a:ln w="9525">
          <a:noFill/>
          <a:miter lim="800000"/>
          <a:headEnd/>
          <a:tailEnd/>
        </a:ln>
      </xdr:spPr>
    </xdr:pic>
    <xdr:clientData/>
  </xdr:twoCellAnchor>
  <xdr:twoCellAnchor editAs="oneCell">
    <xdr:from>
      <xdr:col>38</xdr:col>
      <xdr:colOff>0</xdr:colOff>
      <xdr:row>1</xdr:row>
      <xdr:rowOff>57150</xdr:rowOff>
    </xdr:from>
    <xdr:to>
      <xdr:col>40</xdr:col>
      <xdr:colOff>230943</xdr:colOff>
      <xdr:row>1</xdr:row>
      <xdr:rowOff>57150</xdr:rowOff>
    </xdr:to>
    <xdr:pic>
      <xdr:nvPicPr>
        <xdr:cNvPr id="7" name="0 Imagen" descr="Logo DCP2.PNG">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783425" y="209550"/>
          <a:ext cx="1088650" cy="0"/>
        </a:xfrm>
        <a:prstGeom prst="rect">
          <a:avLst/>
        </a:prstGeom>
        <a:noFill/>
        <a:ln w="9525">
          <a:noFill/>
          <a:miter lim="800000"/>
          <a:headEnd/>
          <a:tailEnd/>
        </a:ln>
      </xdr:spPr>
    </xdr:pic>
    <xdr:clientData/>
  </xdr:twoCellAnchor>
  <xdr:twoCellAnchor editAs="oneCell">
    <xdr:from>
      <xdr:col>0</xdr:col>
      <xdr:colOff>47625</xdr:colOff>
      <xdr:row>1</xdr:row>
      <xdr:rowOff>38100</xdr:rowOff>
    </xdr:from>
    <xdr:to>
      <xdr:col>1</xdr:col>
      <xdr:colOff>85725</xdr:colOff>
      <xdr:row>1</xdr:row>
      <xdr:rowOff>38100</xdr:rowOff>
    </xdr:to>
    <xdr:pic>
      <xdr:nvPicPr>
        <xdr:cNvPr id="8" name="Picture 4011" descr="C:\Documents and Settings\acunaaw\Configuración local\Temp\Dibujo.GIF">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38</xdr:col>
      <xdr:colOff>0</xdr:colOff>
      <xdr:row>1</xdr:row>
      <xdr:rowOff>95250</xdr:rowOff>
    </xdr:from>
    <xdr:to>
      <xdr:col>40</xdr:col>
      <xdr:colOff>139391</xdr:colOff>
      <xdr:row>1</xdr:row>
      <xdr:rowOff>95250</xdr:rowOff>
    </xdr:to>
    <xdr:pic>
      <xdr:nvPicPr>
        <xdr:cNvPr id="9" name="0 Imagen" descr="Logo DCP2.PNG">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783425" y="247650"/>
          <a:ext cx="955300" cy="0"/>
        </a:xfrm>
        <a:prstGeom prst="rect">
          <a:avLst/>
        </a:prstGeom>
        <a:noFill/>
        <a:ln w="9525">
          <a:noFill/>
          <a:miter lim="800000"/>
          <a:headEnd/>
          <a:tailEnd/>
        </a:ln>
      </xdr:spPr>
    </xdr:pic>
    <xdr:clientData/>
  </xdr:twoCellAnchor>
  <xdr:twoCellAnchor editAs="oneCell">
    <xdr:from>
      <xdr:col>0</xdr:col>
      <xdr:colOff>876300</xdr:colOff>
      <xdr:row>0</xdr:row>
      <xdr:rowOff>304800</xdr:rowOff>
    </xdr:from>
    <xdr:to>
      <xdr:col>1</xdr:col>
      <xdr:colOff>4152900</xdr:colOff>
      <xdr:row>3</xdr:row>
      <xdr:rowOff>55880</xdr:rowOff>
    </xdr:to>
    <xdr:pic>
      <xdr:nvPicPr>
        <xdr:cNvPr id="2" name="Imagen 1">
          <a:extLst>
            <a:ext uri="{FF2B5EF4-FFF2-40B4-BE49-F238E27FC236}">
              <a16:creationId xmlns:a16="http://schemas.microsoft.com/office/drawing/2014/main" id="{D0D9E361-9D45-43BD-9017-D0278D262C9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6300" y="304800"/>
          <a:ext cx="4648200" cy="711200"/>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48</xdr:col>
      <xdr:colOff>22860</xdr:colOff>
      <xdr:row>1</xdr:row>
      <xdr:rowOff>45720</xdr:rowOff>
    </xdr:from>
    <xdr:to>
      <xdr:col>49</xdr:col>
      <xdr:colOff>4799</xdr:colOff>
      <xdr:row>3</xdr:row>
      <xdr:rowOff>278621</xdr:rowOff>
    </xdr:to>
    <xdr:pic>
      <xdr:nvPicPr>
        <xdr:cNvPr id="3" name="WordPictureWatermark90971338">
          <a:extLst>
            <a:ext uri="{FF2B5EF4-FFF2-40B4-BE49-F238E27FC236}">
              <a16:creationId xmlns:a16="http://schemas.microsoft.com/office/drawing/2014/main" id="{DB6C3020-05EA-48A0-9B0D-B26E6853CAB1}"/>
            </a:ext>
          </a:extLst>
        </xdr:cNvPr>
        <xdr:cNvPicPr>
          <a:picLocks noChangeAspect="1" noChangeArrowheads="1"/>
        </xdr:cNvPicPr>
      </xdr:nvPicPr>
      <xdr:blipFill>
        <a:blip xmlns:r="http://schemas.openxmlformats.org/officeDocument/2006/relationships" r:embed="rId4"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46642020" y="365760"/>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0</xdr:colOff>
      <xdr:row>0</xdr:row>
      <xdr:rowOff>0</xdr:rowOff>
    </xdr:from>
    <xdr:to>
      <xdr:col>24</xdr:col>
      <xdr:colOff>1112374</xdr:colOff>
      <xdr:row>0</xdr:row>
      <xdr:rowOff>0</xdr:rowOff>
    </xdr:to>
    <xdr:pic>
      <xdr:nvPicPr>
        <xdr:cNvPr id="2" name="0 Imagen" descr="Logo DCP2.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945225" y="209550"/>
          <a:ext cx="1104900"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1104900</xdr:colOff>
      <xdr:row>0</xdr:row>
      <xdr:rowOff>0</xdr:rowOff>
    </xdr:to>
    <xdr:pic>
      <xdr:nvPicPr>
        <xdr:cNvPr id="3" name="Picture 4011" descr="C:\Documents and Settings\acunaaw\Configuración local\Temp\Dibujo.GIF">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24</xdr:col>
      <xdr:colOff>0</xdr:colOff>
      <xdr:row>0</xdr:row>
      <xdr:rowOff>0</xdr:rowOff>
    </xdr:from>
    <xdr:to>
      <xdr:col>24</xdr:col>
      <xdr:colOff>972673</xdr:colOff>
      <xdr:row>0</xdr:row>
      <xdr:rowOff>0</xdr:rowOff>
    </xdr:to>
    <xdr:pic>
      <xdr:nvPicPr>
        <xdr:cNvPr id="4" name="0 Imagen" descr="Logo DCP2.PNG">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945225" y="247650"/>
          <a:ext cx="971550" cy="0"/>
        </a:xfrm>
        <a:prstGeom prst="rect">
          <a:avLst/>
        </a:prstGeom>
        <a:noFill/>
        <a:ln w="9525">
          <a:noFill/>
          <a:miter lim="800000"/>
          <a:headEnd/>
          <a:tailEnd/>
        </a:ln>
      </xdr:spPr>
    </xdr:pic>
    <xdr:clientData/>
  </xdr:twoCellAnchor>
  <xdr:twoCellAnchor editAs="oneCell">
    <xdr:from>
      <xdr:col>24</xdr:col>
      <xdr:colOff>0</xdr:colOff>
      <xdr:row>0</xdr:row>
      <xdr:rowOff>0</xdr:rowOff>
    </xdr:from>
    <xdr:to>
      <xdr:col>24</xdr:col>
      <xdr:colOff>1001248</xdr:colOff>
      <xdr:row>0</xdr:row>
      <xdr:rowOff>0</xdr:rowOff>
    </xdr:to>
    <xdr:pic>
      <xdr:nvPicPr>
        <xdr:cNvPr id="6" name="0 Imagen" descr="Logo DCP2.PNG">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945225" y="209550"/>
          <a:ext cx="1104900" cy="0"/>
        </a:xfrm>
        <a:prstGeom prst="rect">
          <a:avLst/>
        </a:prstGeom>
        <a:noFill/>
        <a:ln w="9525">
          <a:noFill/>
          <a:miter lim="800000"/>
          <a:headEnd/>
          <a:tailEnd/>
        </a:ln>
      </xdr:spPr>
    </xdr:pic>
    <xdr:clientData/>
  </xdr:twoCellAnchor>
  <xdr:twoCellAnchor editAs="oneCell">
    <xdr:from>
      <xdr:col>24</xdr:col>
      <xdr:colOff>0</xdr:colOff>
      <xdr:row>0</xdr:row>
      <xdr:rowOff>0</xdr:rowOff>
    </xdr:from>
    <xdr:to>
      <xdr:col>24</xdr:col>
      <xdr:colOff>867898</xdr:colOff>
      <xdr:row>0</xdr:row>
      <xdr:rowOff>0</xdr:rowOff>
    </xdr:to>
    <xdr:pic>
      <xdr:nvPicPr>
        <xdr:cNvPr id="8" name="0 Imagen" descr="Logo DCP2.PNG">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945225" y="247650"/>
          <a:ext cx="971550" cy="0"/>
        </a:xfrm>
        <a:prstGeom prst="rect">
          <a:avLst/>
        </a:prstGeom>
        <a:noFill/>
        <a:ln w="9525">
          <a:noFill/>
          <a:miter lim="800000"/>
          <a:headEnd/>
          <a:tailEnd/>
        </a:ln>
      </xdr:spPr>
    </xdr:pic>
    <xdr:clientData/>
  </xdr:twoCellAnchor>
  <xdr:twoCellAnchor editAs="oneCell">
    <xdr:from>
      <xdr:col>37</xdr:col>
      <xdr:colOff>0</xdr:colOff>
      <xdr:row>0</xdr:row>
      <xdr:rowOff>0</xdr:rowOff>
    </xdr:from>
    <xdr:to>
      <xdr:col>38</xdr:col>
      <xdr:colOff>193673</xdr:colOff>
      <xdr:row>0</xdr:row>
      <xdr:rowOff>0</xdr:rowOff>
    </xdr:to>
    <xdr:pic>
      <xdr:nvPicPr>
        <xdr:cNvPr id="10" name="0 Imagen" descr="Logo DCP2.PNG">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337250" y="209550"/>
          <a:ext cx="1116737"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1547818</xdr:colOff>
      <xdr:row>0</xdr:row>
      <xdr:rowOff>0</xdr:rowOff>
    </xdr:to>
    <xdr:pic>
      <xdr:nvPicPr>
        <xdr:cNvPr id="11" name="Picture 4011" descr="C:\Documents and Settings\acunaaw\Configuración local\Temp\Dibujo.GIF">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37</xdr:col>
      <xdr:colOff>0</xdr:colOff>
      <xdr:row>0</xdr:row>
      <xdr:rowOff>0</xdr:rowOff>
    </xdr:from>
    <xdr:to>
      <xdr:col>38</xdr:col>
      <xdr:colOff>123188</xdr:colOff>
      <xdr:row>0</xdr:row>
      <xdr:rowOff>0</xdr:rowOff>
    </xdr:to>
    <xdr:pic>
      <xdr:nvPicPr>
        <xdr:cNvPr id="12" name="0 Imagen" descr="Logo DCP2.PNG">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337250" y="247650"/>
          <a:ext cx="983387" cy="0"/>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31</xdr:col>
      <xdr:colOff>547742</xdr:colOff>
      <xdr:row>0</xdr:row>
      <xdr:rowOff>0</xdr:rowOff>
    </xdr:to>
    <xdr:pic>
      <xdr:nvPicPr>
        <xdr:cNvPr id="14" name="0 Imagen" descr="Logo DCP2.PNG">
          <a:extLst>
            <a:ext uri="{FF2B5EF4-FFF2-40B4-BE49-F238E27FC236}">
              <a16:creationId xmlns:a16="http://schemas.microsoft.com/office/drawing/2014/main" id="{00000000-0008-0000-0500-00000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479750" y="209550"/>
          <a:ext cx="1336300"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1547818</xdr:colOff>
      <xdr:row>0</xdr:row>
      <xdr:rowOff>0</xdr:rowOff>
    </xdr:to>
    <xdr:pic>
      <xdr:nvPicPr>
        <xdr:cNvPr id="15" name="Picture 4011" descr="C:\Documents and Settings\acunaaw\Configuración local\Temp\Dibujo.GIF">
          <a:extLst>
            <a:ext uri="{FF2B5EF4-FFF2-40B4-BE49-F238E27FC236}">
              <a16:creationId xmlns:a16="http://schemas.microsoft.com/office/drawing/2014/main" id="{00000000-0008-0000-0500-00000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31</xdr:col>
      <xdr:colOff>422012</xdr:colOff>
      <xdr:row>0</xdr:row>
      <xdr:rowOff>0</xdr:rowOff>
    </xdr:to>
    <xdr:pic>
      <xdr:nvPicPr>
        <xdr:cNvPr id="16" name="0 Imagen" descr="Logo DCP2.PNG">
          <a:extLst>
            <a:ext uri="{FF2B5EF4-FFF2-40B4-BE49-F238E27FC236}">
              <a16:creationId xmlns:a16="http://schemas.microsoft.com/office/drawing/2014/main" id="{00000000-0008-0000-05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479750" y="247650"/>
          <a:ext cx="1202950" cy="0"/>
        </a:xfrm>
        <a:prstGeom prst="rect">
          <a:avLst/>
        </a:prstGeom>
        <a:noFill/>
        <a:ln w="9525">
          <a:noFill/>
          <a:miter lim="800000"/>
          <a:headEnd/>
          <a:tailEnd/>
        </a:ln>
      </xdr:spPr>
    </xdr:pic>
    <xdr:clientData/>
  </xdr:twoCellAnchor>
  <xdr:twoCellAnchor editAs="oneCell">
    <xdr:from>
      <xdr:col>37</xdr:col>
      <xdr:colOff>0</xdr:colOff>
      <xdr:row>0</xdr:row>
      <xdr:rowOff>0</xdr:rowOff>
    </xdr:from>
    <xdr:to>
      <xdr:col>38</xdr:col>
      <xdr:colOff>124756</xdr:colOff>
      <xdr:row>0</xdr:row>
      <xdr:rowOff>0</xdr:rowOff>
    </xdr:to>
    <xdr:pic>
      <xdr:nvPicPr>
        <xdr:cNvPr id="18" name="0 Imagen" descr="Logo DCP2.PNG">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337250" y="209550"/>
          <a:ext cx="1116737"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1507278</xdr:colOff>
      <xdr:row>0</xdr:row>
      <xdr:rowOff>0</xdr:rowOff>
    </xdr:to>
    <xdr:pic>
      <xdr:nvPicPr>
        <xdr:cNvPr id="19" name="Picture 4011" descr="C:\Documents and Settings\acunaaw\Configuración local\Temp\Dibujo.GIF">
          <a:extLst>
            <a:ext uri="{FF2B5EF4-FFF2-40B4-BE49-F238E27FC236}">
              <a16:creationId xmlns:a16="http://schemas.microsoft.com/office/drawing/2014/main" id="{00000000-0008-0000-0500-00001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37</xdr:col>
      <xdr:colOff>0</xdr:colOff>
      <xdr:row>0</xdr:row>
      <xdr:rowOff>0</xdr:rowOff>
    </xdr:from>
    <xdr:to>
      <xdr:col>38</xdr:col>
      <xdr:colOff>52366</xdr:colOff>
      <xdr:row>0</xdr:row>
      <xdr:rowOff>0</xdr:rowOff>
    </xdr:to>
    <xdr:pic>
      <xdr:nvPicPr>
        <xdr:cNvPr id="20" name="0 Imagen" descr="Logo DCP2.PNG">
          <a:extLst>
            <a:ext uri="{FF2B5EF4-FFF2-40B4-BE49-F238E27FC236}">
              <a16:creationId xmlns:a16="http://schemas.microsoft.com/office/drawing/2014/main" id="{00000000-0008-0000-0500-00001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337250" y="247650"/>
          <a:ext cx="983387" cy="0"/>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31</xdr:col>
      <xdr:colOff>103988</xdr:colOff>
      <xdr:row>0</xdr:row>
      <xdr:rowOff>0</xdr:rowOff>
    </xdr:to>
    <xdr:pic>
      <xdr:nvPicPr>
        <xdr:cNvPr id="22" name="0 Imagen" descr="Logo DCP2.PNG">
          <a:extLst>
            <a:ext uri="{FF2B5EF4-FFF2-40B4-BE49-F238E27FC236}">
              <a16:creationId xmlns:a16="http://schemas.microsoft.com/office/drawing/2014/main" id="{00000000-0008-0000-0500-00001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479750" y="209550"/>
          <a:ext cx="1336300"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1507278</xdr:colOff>
      <xdr:row>0</xdr:row>
      <xdr:rowOff>0</xdr:rowOff>
    </xdr:to>
    <xdr:pic>
      <xdr:nvPicPr>
        <xdr:cNvPr id="23" name="Picture 4011" descr="C:\Documents and Settings\acunaaw\Configuración local\Temp\Dibujo.GIF">
          <a:extLst>
            <a:ext uri="{FF2B5EF4-FFF2-40B4-BE49-F238E27FC236}">
              <a16:creationId xmlns:a16="http://schemas.microsoft.com/office/drawing/2014/main" id="{00000000-0008-0000-0500-000017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30</xdr:col>
      <xdr:colOff>491338</xdr:colOff>
      <xdr:row>0</xdr:row>
      <xdr:rowOff>0</xdr:rowOff>
    </xdr:to>
    <xdr:pic>
      <xdr:nvPicPr>
        <xdr:cNvPr id="24" name="0 Imagen" descr="Logo DCP2.PNG">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479750" y="247650"/>
          <a:ext cx="1202950" cy="0"/>
        </a:xfrm>
        <a:prstGeom prst="rect">
          <a:avLst/>
        </a:prstGeom>
        <a:noFill/>
        <a:ln w="9525">
          <a:noFill/>
          <a:miter lim="800000"/>
          <a:headEnd/>
          <a:tailEnd/>
        </a:ln>
      </xdr:spPr>
    </xdr:pic>
    <xdr:clientData/>
  </xdr:twoCellAnchor>
  <xdr:twoCellAnchor editAs="oneCell">
    <xdr:from>
      <xdr:col>37</xdr:col>
      <xdr:colOff>0</xdr:colOff>
      <xdr:row>0</xdr:row>
      <xdr:rowOff>0</xdr:rowOff>
    </xdr:from>
    <xdr:to>
      <xdr:col>37</xdr:col>
      <xdr:colOff>858816</xdr:colOff>
      <xdr:row>0</xdr:row>
      <xdr:rowOff>0</xdr:rowOff>
    </xdr:to>
    <xdr:pic>
      <xdr:nvPicPr>
        <xdr:cNvPr id="26" name="0 Imagen" descr="Logo DCP2.PNG">
          <a:extLst>
            <a:ext uri="{FF2B5EF4-FFF2-40B4-BE49-F238E27FC236}">
              <a16:creationId xmlns:a16="http://schemas.microsoft.com/office/drawing/2014/main" id="{00000000-0008-0000-0500-00001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337250" y="209550"/>
          <a:ext cx="1116737"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1543896</xdr:colOff>
      <xdr:row>0</xdr:row>
      <xdr:rowOff>0</xdr:rowOff>
    </xdr:to>
    <xdr:pic>
      <xdr:nvPicPr>
        <xdr:cNvPr id="27" name="Picture 4011" descr="C:\Documents and Settings\acunaaw\Configuración local\Temp\Dibujo.GIF">
          <a:extLst>
            <a:ext uri="{FF2B5EF4-FFF2-40B4-BE49-F238E27FC236}">
              <a16:creationId xmlns:a16="http://schemas.microsoft.com/office/drawing/2014/main" id="{00000000-0008-0000-0500-00001B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37</xdr:col>
      <xdr:colOff>0</xdr:colOff>
      <xdr:row>0</xdr:row>
      <xdr:rowOff>0</xdr:rowOff>
    </xdr:from>
    <xdr:to>
      <xdr:col>37</xdr:col>
      <xdr:colOff>717845</xdr:colOff>
      <xdr:row>0</xdr:row>
      <xdr:rowOff>0</xdr:rowOff>
    </xdr:to>
    <xdr:pic>
      <xdr:nvPicPr>
        <xdr:cNvPr id="28" name="0 Imagen" descr="Logo DCP2.PNG">
          <a:extLst>
            <a:ext uri="{FF2B5EF4-FFF2-40B4-BE49-F238E27FC236}">
              <a16:creationId xmlns:a16="http://schemas.microsoft.com/office/drawing/2014/main" id="{00000000-0008-0000-0500-00001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337250" y="247650"/>
          <a:ext cx="983387" cy="0"/>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31</xdr:col>
      <xdr:colOff>84938</xdr:colOff>
      <xdr:row>0</xdr:row>
      <xdr:rowOff>0</xdr:rowOff>
    </xdr:to>
    <xdr:pic>
      <xdr:nvPicPr>
        <xdr:cNvPr id="30" name="0 Imagen" descr="Logo DCP2.PNG">
          <a:extLst>
            <a:ext uri="{FF2B5EF4-FFF2-40B4-BE49-F238E27FC236}">
              <a16:creationId xmlns:a16="http://schemas.microsoft.com/office/drawing/2014/main" id="{00000000-0008-0000-0500-00001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479750" y="209550"/>
          <a:ext cx="1336300" cy="0"/>
        </a:xfrm>
        <a:prstGeom prst="rect">
          <a:avLst/>
        </a:prstGeom>
        <a:noFill/>
        <a:ln w="9525">
          <a:noFill/>
          <a:miter lim="800000"/>
          <a:headEnd/>
          <a:tailEnd/>
        </a:ln>
      </xdr:spPr>
    </xdr:pic>
    <xdr:clientData/>
  </xdr:twoCellAnchor>
  <xdr:twoCellAnchor editAs="oneCell">
    <xdr:from>
      <xdr:col>0</xdr:col>
      <xdr:colOff>47625</xdr:colOff>
      <xdr:row>0</xdr:row>
      <xdr:rowOff>0</xdr:rowOff>
    </xdr:from>
    <xdr:to>
      <xdr:col>0</xdr:col>
      <xdr:colOff>1543896</xdr:colOff>
      <xdr:row>0</xdr:row>
      <xdr:rowOff>0</xdr:rowOff>
    </xdr:to>
    <xdr:pic>
      <xdr:nvPicPr>
        <xdr:cNvPr id="31" name="Picture 4011" descr="C:\Documents and Settings\acunaaw\Configuración local\Temp\Dibujo.GIF">
          <a:extLst>
            <a:ext uri="{FF2B5EF4-FFF2-40B4-BE49-F238E27FC236}">
              <a16:creationId xmlns:a16="http://schemas.microsoft.com/office/drawing/2014/main" id="{00000000-0008-0000-0500-00001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190500"/>
          <a:ext cx="1562100" cy="0"/>
        </a:xfrm>
        <a:prstGeom prst="rect">
          <a:avLst/>
        </a:prstGeom>
        <a:noFill/>
        <a:ln w="9525">
          <a:noFill/>
          <a:miter lim="800000"/>
          <a:headEnd/>
          <a:tailEnd/>
        </a:ln>
      </xdr:spPr>
    </xdr:pic>
    <xdr:clientData/>
  </xdr:twoCellAnchor>
  <xdr:twoCellAnchor editAs="oneCell">
    <xdr:from>
      <xdr:col>29</xdr:col>
      <xdr:colOff>0</xdr:colOff>
      <xdr:row>0</xdr:row>
      <xdr:rowOff>0</xdr:rowOff>
    </xdr:from>
    <xdr:to>
      <xdr:col>30</xdr:col>
      <xdr:colOff>472288</xdr:colOff>
      <xdr:row>0</xdr:row>
      <xdr:rowOff>0</xdr:rowOff>
    </xdr:to>
    <xdr:pic>
      <xdr:nvPicPr>
        <xdr:cNvPr id="32" name="0 Imagen" descr="Logo DCP2.PNG">
          <a:extLst>
            <a:ext uri="{FF2B5EF4-FFF2-40B4-BE49-F238E27FC236}">
              <a16:creationId xmlns:a16="http://schemas.microsoft.com/office/drawing/2014/main" id="{00000000-0008-0000-0500-00002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8479750" y="247650"/>
          <a:ext cx="1202950" cy="0"/>
        </a:xfrm>
        <a:prstGeom prst="rect">
          <a:avLst/>
        </a:prstGeom>
        <a:noFill/>
        <a:ln w="9525">
          <a:noFill/>
          <a:miter lim="800000"/>
          <a:headEnd/>
          <a:tailEnd/>
        </a:ln>
      </xdr:spPr>
    </xdr:pic>
    <xdr:clientData/>
  </xdr:twoCellAnchor>
  <xdr:twoCellAnchor editAs="oneCell">
    <xdr:from>
      <xdr:col>40</xdr:col>
      <xdr:colOff>0</xdr:colOff>
      <xdr:row>1</xdr:row>
      <xdr:rowOff>57150</xdr:rowOff>
    </xdr:from>
    <xdr:to>
      <xdr:col>41</xdr:col>
      <xdr:colOff>396012</xdr:colOff>
      <xdr:row>1</xdr:row>
      <xdr:rowOff>57150</xdr:rowOff>
    </xdr:to>
    <xdr:pic>
      <xdr:nvPicPr>
        <xdr:cNvPr id="25" name="0 Imagen" descr="Logo DCP2.PNG">
          <a:extLst>
            <a:ext uri="{FF2B5EF4-FFF2-40B4-BE49-F238E27FC236}">
              <a16:creationId xmlns:a16="http://schemas.microsoft.com/office/drawing/2014/main" id="{896D7F0D-0335-45CA-9A54-B8BEAB555A5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413200" y="369570"/>
          <a:ext cx="1015772" cy="0"/>
        </a:xfrm>
        <a:prstGeom prst="rect">
          <a:avLst/>
        </a:prstGeom>
        <a:noFill/>
        <a:ln w="9525">
          <a:noFill/>
          <a:miter lim="800000"/>
          <a:headEnd/>
          <a:tailEnd/>
        </a:ln>
      </xdr:spPr>
    </xdr:pic>
    <xdr:clientData/>
  </xdr:twoCellAnchor>
  <xdr:twoCellAnchor editAs="oneCell">
    <xdr:from>
      <xdr:col>0</xdr:col>
      <xdr:colOff>47625</xdr:colOff>
      <xdr:row>1</xdr:row>
      <xdr:rowOff>38100</xdr:rowOff>
    </xdr:from>
    <xdr:to>
      <xdr:col>0</xdr:col>
      <xdr:colOff>1452245</xdr:colOff>
      <xdr:row>1</xdr:row>
      <xdr:rowOff>38100</xdr:rowOff>
    </xdr:to>
    <xdr:pic>
      <xdr:nvPicPr>
        <xdr:cNvPr id="29" name="Picture 4011" descr="C:\Documents and Settings\acunaaw\Configuración local\Temp\Dibujo.GIF">
          <a:extLst>
            <a:ext uri="{FF2B5EF4-FFF2-40B4-BE49-F238E27FC236}">
              <a16:creationId xmlns:a16="http://schemas.microsoft.com/office/drawing/2014/main" id="{4E4288CF-75B7-46C8-BF35-DD66025173C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350520"/>
          <a:ext cx="1409700" cy="0"/>
        </a:xfrm>
        <a:prstGeom prst="rect">
          <a:avLst/>
        </a:prstGeom>
        <a:noFill/>
        <a:ln w="9525">
          <a:noFill/>
          <a:miter lim="800000"/>
          <a:headEnd/>
          <a:tailEnd/>
        </a:ln>
      </xdr:spPr>
    </xdr:pic>
    <xdr:clientData/>
  </xdr:twoCellAnchor>
  <xdr:twoCellAnchor editAs="oneCell">
    <xdr:from>
      <xdr:col>40</xdr:col>
      <xdr:colOff>0</xdr:colOff>
      <xdr:row>1</xdr:row>
      <xdr:rowOff>95250</xdr:rowOff>
    </xdr:from>
    <xdr:to>
      <xdr:col>41</xdr:col>
      <xdr:colOff>321081</xdr:colOff>
      <xdr:row>1</xdr:row>
      <xdr:rowOff>95250</xdr:rowOff>
    </xdr:to>
    <xdr:pic>
      <xdr:nvPicPr>
        <xdr:cNvPr id="33" name="0 Imagen" descr="Logo DCP2.PNG">
          <a:extLst>
            <a:ext uri="{FF2B5EF4-FFF2-40B4-BE49-F238E27FC236}">
              <a16:creationId xmlns:a16="http://schemas.microsoft.com/office/drawing/2014/main" id="{AA357564-030A-4E70-AE39-3F3CB354F4C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413200" y="407670"/>
          <a:ext cx="935762" cy="0"/>
        </a:xfrm>
        <a:prstGeom prst="rect">
          <a:avLst/>
        </a:prstGeom>
        <a:noFill/>
        <a:ln w="9525">
          <a:noFill/>
          <a:miter lim="800000"/>
          <a:headEnd/>
          <a:tailEnd/>
        </a:ln>
      </xdr:spPr>
    </xdr:pic>
    <xdr:clientData/>
  </xdr:twoCellAnchor>
  <xdr:twoCellAnchor editAs="oneCell">
    <xdr:from>
      <xdr:col>34</xdr:col>
      <xdr:colOff>0</xdr:colOff>
      <xdr:row>1</xdr:row>
      <xdr:rowOff>57150</xdr:rowOff>
    </xdr:from>
    <xdr:to>
      <xdr:col>35</xdr:col>
      <xdr:colOff>616496</xdr:colOff>
      <xdr:row>1</xdr:row>
      <xdr:rowOff>57150</xdr:rowOff>
    </xdr:to>
    <xdr:pic>
      <xdr:nvPicPr>
        <xdr:cNvPr id="34" name="0 Imagen" descr="Logo DCP2.PNG">
          <a:extLst>
            <a:ext uri="{FF2B5EF4-FFF2-40B4-BE49-F238E27FC236}">
              <a16:creationId xmlns:a16="http://schemas.microsoft.com/office/drawing/2014/main" id="{322336F6-7BFB-4596-99A7-86C60B9CD23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317700" y="369570"/>
          <a:ext cx="1196143" cy="0"/>
        </a:xfrm>
        <a:prstGeom prst="rect">
          <a:avLst/>
        </a:prstGeom>
        <a:noFill/>
        <a:ln w="9525">
          <a:noFill/>
          <a:miter lim="800000"/>
          <a:headEnd/>
          <a:tailEnd/>
        </a:ln>
      </xdr:spPr>
    </xdr:pic>
    <xdr:clientData/>
  </xdr:twoCellAnchor>
  <xdr:twoCellAnchor editAs="oneCell">
    <xdr:from>
      <xdr:col>0</xdr:col>
      <xdr:colOff>47625</xdr:colOff>
      <xdr:row>1</xdr:row>
      <xdr:rowOff>38100</xdr:rowOff>
    </xdr:from>
    <xdr:to>
      <xdr:col>0</xdr:col>
      <xdr:colOff>1452245</xdr:colOff>
      <xdr:row>1</xdr:row>
      <xdr:rowOff>38100</xdr:rowOff>
    </xdr:to>
    <xdr:pic>
      <xdr:nvPicPr>
        <xdr:cNvPr id="35" name="Picture 4011" descr="C:\Documents and Settings\acunaaw\Configuración local\Temp\Dibujo.GIF">
          <a:extLst>
            <a:ext uri="{FF2B5EF4-FFF2-40B4-BE49-F238E27FC236}">
              <a16:creationId xmlns:a16="http://schemas.microsoft.com/office/drawing/2014/main" id="{A70F4519-C05B-42AE-81F1-DBC61A7FF9D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350520"/>
          <a:ext cx="1409700" cy="0"/>
        </a:xfrm>
        <a:prstGeom prst="rect">
          <a:avLst/>
        </a:prstGeom>
        <a:noFill/>
        <a:ln w="9525">
          <a:noFill/>
          <a:miter lim="800000"/>
          <a:headEnd/>
          <a:tailEnd/>
        </a:ln>
      </xdr:spPr>
    </xdr:pic>
    <xdr:clientData/>
  </xdr:twoCellAnchor>
  <xdr:twoCellAnchor editAs="oneCell">
    <xdr:from>
      <xdr:col>34</xdr:col>
      <xdr:colOff>0</xdr:colOff>
      <xdr:row>1</xdr:row>
      <xdr:rowOff>95250</xdr:rowOff>
    </xdr:from>
    <xdr:to>
      <xdr:col>35</xdr:col>
      <xdr:colOff>508418</xdr:colOff>
      <xdr:row>1</xdr:row>
      <xdr:rowOff>95250</xdr:rowOff>
    </xdr:to>
    <xdr:pic>
      <xdr:nvPicPr>
        <xdr:cNvPr id="36" name="0 Imagen" descr="Logo DCP2.PNG">
          <a:extLst>
            <a:ext uri="{FF2B5EF4-FFF2-40B4-BE49-F238E27FC236}">
              <a16:creationId xmlns:a16="http://schemas.microsoft.com/office/drawing/2014/main" id="{25AF191D-6F5A-4723-B01F-E27B3109060F}"/>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7317700" y="407670"/>
          <a:ext cx="1104591" cy="0"/>
        </a:xfrm>
        <a:prstGeom prst="rect">
          <a:avLst/>
        </a:prstGeom>
        <a:noFill/>
        <a:ln w="9525">
          <a:noFill/>
          <a:miter lim="800000"/>
          <a:headEnd/>
          <a:tailEnd/>
        </a:ln>
      </xdr:spPr>
    </xdr:pic>
    <xdr:clientData/>
  </xdr:twoCellAnchor>
  <xdr:twoCellAnchor editAs="oneCell">
    <xdr:from>
      <xdr:col>38</xdr:col>
      <xdr:colOff>0</xdr:colOff>
      <xdr:row>0</xdr:row>
      <xdr:rowOff>57150</xdr:rowOff>
    </xdr:from>
    <xdr:to>
      <xdr:col>39</xdr:col>
      <xdr:colOff>358437</xdr:colOff>
      <xdr:row>0</xdr:row>
      <xdr:rowOff>57150</xdr:rowOff>
    </xdr:to>
    <xdr:pic>
      <xdr:nvPicPr>
        <xdr:cNvPr id="45" name="0 Imagen" descr="Logo DCP2.PNG">
          <a:extLst>
            <a:ext uri="{FF2B5EF4-FFF2-40B4-BE49-F238E27FC236}">
              <a16:creationId xmlns:a16="http://schemas.microsoft.com/office/drawing/2014/main" id="{ED82ED94-431B-4779-8539-89C030B54B8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4960560" y="369570"/>
          <a:ext cx="846117" cy="0"/>
        </a:xfrm>
        <a:prstGeom prst="rect">
          <a:avLst/>
        </a:prstGeom>
        <a:noFill/>
        <a:ln w="9525">
          <a:noFill/>
          <a:miter lim="800000"/>
          <a:headEnd/>
          <a:tailEnd/>
        </a:ln>
      </xdr:spPr>
    </xdr:pic>
    <xdr:clientData/>
  </xdr:twoCellAnchor>
  <xdr:twoCellAnchor editAs="oneCell">
    <xdr:from>
      <xdr:col>0</xdr:col>
      <xdr:colOff>47625</xdr:colOff>
      <xdr:row>0</xdr:row>
      <xdr:rowOff>38100</xdr:rowOff>
    </xdr:from>
    <xdr:to>
      <xdr:col>0</xdr:col>
      <xdr:colOff>1543896</xdr:colOff>
      <xdr:row>0</xdr:row>
      <xdr:rowOff>38100</xdr:rowOff>
    </xdr:to>
    <xdr:pic>
      <xdr:nvPicPr>
        <xdr:cNvPr id="46" name="Picture 4011" descr="C:\Documents and Settings\acunaaw\Configuración local\Temp\Dibujo.GIF">
          <a:extLst>
            <a:ext uri="{FF2B5EF4-FFF2-40B4-BE49-F238E27FC236}">
              <a16:creationId xmlns:a16="http://schemas.microsoft.com/office/drawing/2014/main" id="{C9D67BBD-1116-4C7A-977F-3B08DC958607}"/>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350520"/>
          <a:ext cx="1501351" cy="0"/>
        </a:xfrm>
        <a:prstGeom prst="rect">
          <a:avLst/>
        </a:prstGeom>
        <a:noFill/>
        <a:ln w="9525">
          <a:noFill/>
          <a:miter lim="800000"/>
          <a:headEnd/>
          <a:tailEnd/>
        </a:ln>
      </xdr:spPr>
    </xdr:pic>
    <xdr:clientData/>
  </xdr:twoCellAnchor>
  <xdr:twoCellAnchor editAs="oneCell">
    <xdr:from>
      <xdr:col>38</xdr:col>
      <xdr:colOff>0</xdr:colOff>
      <xdr:row>0</xdr:row>
      <xdr:rowOff>95250</xdr:rowOff>
    </xdr:from>
    <xdr:to>
      <xdr:col>39</xdr:col>
      <xdr:colOff>217466</xdr:colOff>
      <xdr:row>0</xdr:row>
      <xdr:rowOff>95250</xdr:rowOff>
    </xdr:to>
    <xdr:pic>
      <xdr:nvPicPr>
        <xdr:cNvPr id="47" name="0 Imagen" descr="Logo DCP2.PNG">
          <a:extLst>
            <a:ext uri="{FF2B5EF4-FFF2-40B4-BE49-F238E27FC236}">
              <a16:creationId xmlns:a16="http://schemas.microsoft.com/office/drawing/2014/main" id="{35819696-6FC0-4B41-95B4-1F0E16B961B9}"/>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4960560" y="407670"/>
          <a:ext cx="712766" cy="0"/>
        </a:xfrm>
        <a:prstGeom prst="rect">
          <a:avLst/>
        </a:prstGeom>
        <a:noFill/>
        <a:ln w="9525">
          <a:noFill/>
          <a:miter lim="800000"/>
          <a:headEnd/>
          <a:tailEnd/>
        </a:ln>
      </xdr:spPr>
    </xdr:pic>
    <xdr:clientData/>
  </xdr:twoCellAnchor>
  <xdr:twoCellAnchor editAs="oneCell">
    <xdr:from>
      <xdr:col>30</xdr:col>
      <xdr:colOff>0</xdr:colOff>
      <xdr:row>0</xdr:row>
      <xdr:rowOff>57150</xdr:rowOff>
    </xdr:from>
    <xdr:to>
      <xdr:col>32</xdr:col>
      <xdr:colOff>123038</xdr:colOff>
      <xdr:row>0</xdr:row>
      <xdr:rowOff>57150</xdr:rowOff>
    </xdr:to>
    <xdr:pic>
      <xdr:nvPicPr>
        <xdr:cNvPr id="48" name="0 Imagen" descr="Logo DCP2.PNG">
          <a:extLst>
            <a:ext uri="{FF2B5EF4-FFF2-40B4-BE49-F238E27FC236}">
              <a16:creationId xmlns:a16="http://schemas.microsoft.com/office/drawing/2014/main" id="{4234CEA2-22C8-40D5-827E-CDA39F413FC6}"/>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0426660" y="369570"/>
          <a:ext cx="1220319" cy="0"/>
        </a:xfrm>
        <a:prstGeom prst="rect">
          <a:avLst/>
        </a:prstGeom>
        <a:noFill/>
        <a:ln w="9525">
          <a:noFill/>
          <a:miter lim="800000"/>
          <a:headEnd/>
          <a:tailEnd/>
        </a:ln>
      </xdr:spPr>
    </xdr:pic>
    <xdr:clientData/>
  </xdr:twoCellAnchor>
  <xdr:twoCellAnchor editAs="oneCell">
    <xdr:from>
      <xdr:col>0</xdr:col>
      <xdr:colOff>47625</xdr:colOff>
      <xdr:row>0</xdr:row>
      <xdr:rowOff>38100</xdr:rowOff>
    </xdr:from>
    <xdr:to>
      <xdr:col>0</xdr:col>
      <xdr:colOff>1543896</xdr:colOff>
      <xdr:row>0</xdr:row>
      <xdr:rowOff>38100</xdr:rowOff>
    </xdr:to>
    <xdr:pic>
      <xdr:nvPicPr>
        <xdr:cNvPr id="49" name="Picture 4011" descr="C:\Documents and Settings\acunaaw\Configuración local\Temp\Dibujo.GIF">
          <a:extLst>
            <a:ext uri="{FF2B5EF4-FFF2-40B4-BE49-F238E27FC236}">
              <a16:creationId xmlns:a16="http://schemas.microsoft.com/office/drawing/2014/main" id="{45771F10-8876-4D8E-B4AB-CF5DCC919CFC}"/>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7625" y="350520"/>
          <a:ext cx="1501351" cy="0"/>
        </a:xfrm>
        <a:prstGeom prst="rect">
          <a:avLst/>
        </a:prstGeom>
        <a:noFill/>
        <a:ln w="9525">
          <a:noFill/>
          <a:miter lim="800000"/>
          <a:headEnd/>
          <a:tailEnd/>
        </a:ln>
      </xdr:spPr>
    </xdr:pic>
    <xdr:clientData/>
  </xdr:twoCellAnchor>
  <xdr:twoCellAnchor editAs="oneCell">
    <xdr:from>
      <xdr:col>30</xdr:col>
      <xdr:colOff>0</xdr:colOff>
      <xdr:row>0</xdr:row>
      <xdr:rowOff>95250</xdr:rowOff>
    </xdr:from>
    <xdr:to>
      <xdr:col>32</xdr:col>
      <xdr:colOff>772</xdr:colOff>
      <xdr:row>0</xdr:row>
      <xdr:rowOff>95250</xdr:rowOff>
    </xdr:to>
    <xdr:pic>
      <xdr:nvPicPr>
        <xdr:cNvPr id="50" name="0 Imagen" descr="Logo DCP2.PNG">
          <a:extLst>
            <a:ext uri="{FF2B5EF4-FFF2-40B4-BE49-F238E27FC236}">
              <a16:creationId xmlns:a16="http://schemas.microsoft.com/office/drawing/2014/main" id="{7D27E2B2-064A-4DE2-B064-D1276D09AF3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0426660" y="407670"/>
          <a:ext cx="1086969" cy="0"/>
        </a:xfrm>
        <a:prstGeom prst="rect">
          <a:avLst/>
        </a:prstGeom>
        <a:noFill/>
        <a:ln w="9525">
          <a:noFill/>
          <a:miter lim="800000"/>
          <a:headEnd/>
          <a:tailEnd/>
        </a:ln>
      </xdr:spPr>
    </xdr:pic>
    <xdr:clientData/>
  </xdr:twoCellAnchor>
  <xdr:twoCellAnchor editAs="oneCell">
    <xdr:from>
      <xdr:col>0</xdr:col>
      <xdr:colOff>711200</xdr:colOff>
      <xdr:row>0</xdr:row>
      <xdr:rowOff>190499</xdr:rowOff>
    </xdr:from>
    <xdr:to>
      <xdr:col>1</xdr:col>
      <xdr:colOff>5257800</xdr:colOff>
      <xdr:row>3</xdr:row>
      <xdr:rowOff>190152</xdr:rowOff>
    </xdr:to>
    <xdr:pic>
      <xdr:nvPicPr>
        <xdr:cNvPr id="5" name="Imagen 4">
          <a:extLst>
            <a:ext uri="{FF2B5EF4-FFF2-40B4-BE49-F238E27FC236}">
              <a16:creationId xmlns:a16="http://schemas.microsoft.com/office/drawing/2014/main" id="{2BA4D19F-B099-4458-BA8D-5BFE327D5E3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1200" y="190499"/>
          <a:ext cx="6223000" cy="952153"/>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47</xdr:col>
      <xdr:colOff>571500</xdr:colOff>
      <xdr:row>1</xdr:row>
      <xdr:rowOff>38100</xdr:rowOff>
    </xdr:from>
    <xdr:to>
      <xdr:col>48</xdr:col>
      <xdr:colOff>741399</xdr:colOff>
      <xdr:row>3</xdr:row>
      <xdr:rowOff>276081</xdr:rowOff>
    </xdr:to>
    <xdr:pic>
      <xdr:nvPicPr>
        <xdr:cNvPr id="7" name="WordPictureWatermark90971338">
          <a:extLst>
            <a:ext uri="{FF2B5EF4-FFF2-40B4-BE49-F238E27FC236}">
              <a16:creationId xmlns:a16="http://schemas.microsoft.com/office/drawing/2014/main" id="{F8FB8BB4-7BFB-45F8-BC5C-A4B0CF085E67}"/>
            </a:ext>
          </a:extLst>
        </xdr:cNvPr>
        <xdr:cNvPicPr>
          <a:picLocks noChangeAspect="1" noChangeArrowheads="1"/>
        </xdr:cNvPicPr>
      </xdr:nvPicPr>
      <xdr:blipFill>
        <a:blip xmlns:r="http://schemas.openxmlformats.org/officeDocument/2006/relationships" r:embed="rId4"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47447200" y="355600"/>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19051</xdr:rowOff>
    </xdr:from>
    <xdr:to>
      <xdr:col>2</xdr:col>
      <xdr:colOff>542925</xdr:colOff>
      <xdr:row>3</xdr:row>
      <xdr:rowOff>180195</xdr:rowOff>
    </xdr:to>
    <xdr:pic>
      <xdr:nvPicPr>
        <xdr:cNvPr id="2" name="Imagen 1">
          <a:extLst>
            <a:ext uri="{FF2B5EF4-FFF2-40B4-BE49-F238E27FC236}">
              <a16:creationId xmlns:a16="http://schemas.microsoft.com/office/drawing/2014/main" id="{690583EB-4522-47BC-8E51-DF427D2BAE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42901"/>
          <a:ext cx="5286375" cy="808844"/>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15</xdr:col>
      <xdr:colOff>714375</xdr:colOff>
      <xdr:row>1</xdr:row>
      <xdr:rowOff>0</xdr:rowOff>
    </xdr:from>
    <xdr:to>
      <xdr:col>16</xdr:col>
      <xdr:colOff>814424</xdr:colOff>
      <xdr:row>3</xdr:row>
      <xdr:rowOff>225281</xdr:rowOff>
    </xdr:to>
    <xdr:pic>
      <xdr:nvPicPr>
        <xdr:cNvPr id="5" name="WordPictureWatermark90971338">
          <a:extLst>
            <a:ext uri="{FF2B5EF4-FFF2-40B4-BE49-F238E27FC236}">
              <a16:creationId xmlns:a16="http://schemas.microsoft.com/office/drawing/2014/main" id="{29D0D1F8-3CBD-4285-B192-FB2E2DCCA8DC}"/>
            </a:ext>
          </a:extLst>
        </xdr:cNvPr>
        <xdr:cNvPicPr>
          <a:picLocks noChangeAspect="1" noChangeArrowheads="1"/>
        </xdr:cNvPicPr>
      </xdr:nvPicPr>
      <xdr:blipFill>
        <a:blip xmlns:r="http://schemas.openxmlformats.org/officeDocument/2006/relationships" r:embed="rId2"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19145250" y="323850"/>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338666</xdr:colOff>
      <xdr:row>1</xdr:row>
      <xdr:rowOff>220133</xdr:rowOff>
    </xdr:from>
    <xdr:to>
      <xdr:col>2</xdr:col>
      <xdr:colOff>672041</xdr:colOff>
      <xdr:row>4</xdr:row>
      <xdr:rowOff>123044</xdr:rowOff>
    </xdr:to>
    <xdr:pic>
      <xdr:nvPicPr>
        <xdr:cNvPr id="2" name="Imagen 1">
          <a:extLst>
            <a:ext uri="{FF2B5EF4-FFF2-40B4-BE49-F238E27FC236}">
              <a16:creationId xmlns:a16="http://schemas.microsoft.com/office/drawing/2014/main" id="{1357F0DC-16FC-452B-8050-5C8F1F238A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66" y="372533"/>
          <a:ext cx="5286375" cy="808844"/>
        </a:xfrm>
        <a:prstGeom prst="rect">
          <a:avLst/>
        </a:prstGeom>
        <a:effectLst>
          <a:outerShdw blurRad="50800" dist="50800" dir="6660000" algn="ctr" rotWithShape="0">
            <a:srgbClr val="000000">
              <a:alpha val="19000"/>
            </a:srgbClr>
          </a:outerShdw>
          <a:reflection blurRad="812800" stA="20000" endPos="65000" dist="787400" dir="5400000" sy="-100000" algn="bl" rotWithShape="0"/>
        </a:effectLst>
      </xdr:spPr>
    </xdr:pic>
    <xdr:clientData/>
  </xdr:twoCellAnchor>
  <xdr:twoCellAnchor>
    <xdr:from>
      <xdr:col>15</xdr:col>
      <xdr:colOff>101599</xdr:colOff>
      <xdr:row>2</xdr:row>
      <xdr:rowOff>8466</xdr:rowOff>
    </xdr:from>
    <xdr:to>
      <xdr:col>15</xdr:col>
      <xdr:colOff>1020798</xdr:colOff>
      <xdr:row>5</xdr:row>
      <xdr:rowOff>77114</xdr:rowOff>
    </xdr:to>
    <xdr:pic>
      <xdr:nvPicPr>
        <xdr:cNvPr id="6" name="WordPictureWatermark90971338">
          <a:extLst>
            <a:ext uri="{FF2B5EF4-FFF2-40B4-BE49-F238E27FC236}">
              <a16:creationId xmlns:a16="http://schemas.microsoft.com/office/drawing/2014/main" id="{89CD7682-4FA8-4242-8C3B-3A784A5E2E8B}"/>
            </a:ext>
          </a:extLst>
        </xdr:cNvPr>
        <xdr:cNvPicPr>
          <a:picLocks noChangeAspect="1" noChangeArrowheads="1"/>
        </xdr:cNvPicPr>
      </xdr:nvPicPr>
      <xdr:blipFill>
        <a:blip xmlns:r="http://schemas.openxmlformats.org/officeDocument/2006/relationships" r:embed="rId2" cstate="print">
          <a:lum bright="70000" contrast="-70000"/>
          <a:alphaModFix amt="57000"/>
          <a:extLst>
            <a:ext uri="{28A0092B-C50C-407E-A947-70E740481C1C}">
              <a14:useLocalDpi xmlns:a14="http://schemas.microsoft.com/office/drawing/2010/main" val="0"/>
            </a:ext>
          </a:extLst>
        </a:blip>
        <a:srcRect/>
        <a:stretch>
          <a:fillRect/>
        </a:stretch>
      </xdr:blipFill>
      <xdr:spPr bwMode="auto">
        <a:xfrm>
          <a:off x="26077332" y="516466"/>
          <a:ext cx="919199" cy="872981"/>
        </a:xfrm>
        <a:prstGeom prst="rect">
          <a:avLst/>
        </a:prstGeom>
        <a:noFill/>
        <a:effectLst>
          <a:outerShdw blurRad="50800" dist="50800" sx="1000" sy="1000" algn="ctr" rotWithShape="0">
            <a:srgbClr val="000000"/>
          </a:outerShdw>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C17AE-E2A0-4ABE-B94E-BC1B71D026DD}">
  <dimension ref="A5:N28"/>
  <sheetViews>
    <sheetView showGridLines="0" topLeftCell="A3" zoomScale="85" zoomScaleNormal="85" workbookViewId="0">
      <pane ySplit="25" topLeftCell="A28" activePane="bottomLeft" state="frozen"/>
      <selection activeCell="C3" sqref="C3"/>
      <selection pane="bottomLeft" activeCell="A5" sqref="A5:K7"/>
    </sheetView>
  </sheetViews>
  <sheetFormatPr baseColWidth="10" defaultColWidth="11.44140625" defaultRowHeight="13.2"/>
  <cols>
    <col min="1" max="1" width="11.88671875" style="3" customWidth="1"/>
    <col min="2" max="2" width="11.5546875" style="3" bestFit="1" customWidth="1"/>
    <col min="3" max="16384" width="11.44140625" style="3"/>
  </cols>
  <sheetData>
    <row r="5" spans="1:14" ht="26.4" customHeight="1">
      <c r="A5" s="2" t="s">
        <v>0</v>
      </c>
      <c r="B5" s="2"/>
      <c r="C5" s="2"/>
      <c r="D5" s="2"/>
      <c r="E5" s="2"/>
      <c r="F5" s="2"/>
      <c r="G5" s="2"/>
      <c r="H5" s="2"/>
      <c r="I5" s="2"/>
      <c r="J5" s="2"/>
      <c r="K5" s="2"/>
    </row>
    <row r="6" spans="1:14" ht="28.95" customHeight="1">
      <c r="A6" s="2"/>
      <c r="B6" s="2"/>
      <c r="C6" s="2"/>
      <c r="D6" s="2"/>
      <c r="E6" s="2"/>
      <c r="F6" s="2"/>
      <c r="G6" s="2"/>
      <c r="H6" s="2"/>
      <c r="I6" s="2"/>
      <c r="J6" s="2"/>
      <c r="K6" s="2"/>
    </row>
    <row r="7" spans="1:14" ht="28.2" customHeight="1">
      <c r="A7" s="2"/>
      <c r="B7" s="2"/>
      <c r="C7" s="2"/>
      <c r="D7" s="2"/>
      <c r="E7" s="2"/>
      <c r="F7" s="2"/>
      <c r="G7" s="2"/>
      <c r="H7" s="2"/>
      <c r="I7" s="2"/>
      <c r="J7" s="2"/>
      <c r="K7" s="2"/>
    </row>
    <row r="12" spans="1:14">
      <c r="B12" s="4" t="s">
        <v>1</v>
      </c>
      <c r="C12" s="7" t="s">
        <v>2</v>
      </c>
      <c r="D12" s="7"/>
      <c r="E12" s="7"/>
      <c r="F12" s="7"/>
      <c r="G12" s="7"/>
      <c r="H12" s="7"/>
      <c r="I12" s="7"/>
      <c r="J12" s="7"/>
      <c r="K12" s="7"/>
      <c r="L12" s="7"/>
      <c r="M12" s="7"/>
      <c r="N12" s="7"/>
    </row>
    <row r="13" spans="1:14">
      <c r="B13" s="4"/>
      <c r="C13" s="5"/>
      <c r="D13" s="5"/>
      <c r="E13" s="5"/>
      <c r="F13" s="5"/>
      <c r="G13" s="5"/>
      <c r="H13" s="5"/>
      <c r="I13" s="5"/>
      <c r="J13" s="5"/>
      <c r="K13" s="5"/>
      <c r="L13" s="5"/>
      <c r="M13" s="5"/>
      <c r="N13" s="5"/>
    </row>
    <row r="14" spans="1:14">
      <c r="B14" s="4" t="s">
        <v>3</v>
      </c>
      <c r="C14" s="7" t="s">
        <v>4</v>
      </c>
      <c r="D14" s="7"/>
      <c r="E14" s="7"/>
      <c r="F14" s="7"/>
      <c r="G14" s="7"/>
      <c r="H14" s="7"/>
      <c r="I14" s="7"/>
      <c r="J14" s="7"/>
      <c r="K14" s="7"/>
      <c r="L14" s="7"/>
      <c r="M14" s="7"/>
      <c r="N14" s="7"/>
    </row>
    <row r="15" spans="1:14">
      <c r="B15" s="4"/>
      <c r="C15" s="5"/>
      <c r="D15" s="5"/>
      <c r="E15" s="5"/>
      <c r="F15" s="5"/>
      <c r="G15" s="5"/>
      <c r="H15" s="5"/>
      <c r="I15" s="5"/>
      <c r="J15" s="5"/>
      <c r="K15" s="5"/>
      <c r="L15" s="5"/>
      <c r="M15" s="5"/>
      <c r="N15" s="5"/>
    </row>
    <row r="16" spans="1:14">
      <c r="B16" s="4" t="s">
        <v>5</v>
      </c>
      <c r="C16" s="7" t="s">
        <v>6</v>
      </c>
      <c r="D16" s="7"/>
      <c r="E16" s="7"/>
      <c r="F16" s="7"/>
      <c r="G16" s="7"/>
      <c r="H16" s="7"/>
      <c r="I16" s="7"/>
      <c r="J16" s="7"/>
      <c r="K16" s="7"/>
      <c r="L16" s="7"/>
      <c r="M16" s="7"/>
      <c r="N16" s="7"/>
    </row>
    <row r="17" spans="2:14">
      <c r="B17" s="4"/>
      <c r="C17" s="5"/>
      <c r="D17" s="5"/>
      <c r="E17" s="5"/>
      <c r="F17" s="5"/>
      <c r="G17" s="5"/>
      <c r="H17" s="5"/>
      <c r="I17" s="5"/>
      <c r="J17" s="5"/>
      <c r="K17" s="5"/>
      <c r="L17" s="5"/>
      <c r="M17" s="5"/>
      <c r="N17" s="5"/>
    </row>
    <row r="18" spans="2:14">
      <c r="B18" s="4" t="s">
        <v>7</v>
      </c>
      <c r="C18" s="7" t="s">
        <v>8</v>
      </c>
      <c r="D18" s="7"/>
      <c r="E18" s="7"/>
      <c r="F18" s="7"/>
      <c r="G18" s="7"/>
      <c r="H18" s="7"/>
      <c r="I18" s="7"/>
      <c r="J18" s="7"/>
      <c r="K18" s="7"/>
      <c r="L18" s="7"/>
      <c r="M18" s="7"/>
      <c r="N18" s="7"/>
    </row>
    <row r="19" spans="2:14">
      <c r="B19" s="4"/>
      <c r="C19" s="5"/>
      <c r="D19" s="5"/>
      <c r="E19" s="5"/>
      <c r="F19" s="5"/>
      <c r="G19" s="5"/>
      <c r="H19" s="5"/>
      <c r="I19" s="5"/>
      <c r="J19" s="5"/>
      <c r="K19" s="5"/>
      <c r="L19" s="5"/>
      <c r="M19" s="5"/>
      <c r="N19" s="5"/>
    </row>
    <row r="20" spans="2:14">
      <c r="B20" s="4" t="s">
        <v>9</v>
      </c>
      <c r="C20" s="7" t="s">
        <v>10</v>
      </c>
      <c r="D20" s="7"/>
      <c r="E20" s="7"/>
      <c r="F20" s="7"/>
      <c r="G20" s="7"/>
      <c r="H20" s="7"/>
      <c r="I20" s="7"/>
      <c r="J20" s="7"/>
      <c r="K20" s="7"/>
      <c r="L20" s="7"/>
      <c r="M20" s="7"/>
      <c r="N20" s="7"/>
    </row>
    <row r="21" spans="2:14">
      <c r="C21" s="5"/>
      <c r="D21" s="5"/>
      <c r="E21" s="5"/>
      <c r="F21" s="5"/>
      <c r="G21" s="5"/>
      <c r="H21" s="5"/>
      <c r="I21" s="5"/>
      <c r="J21" s="5"/>
      <c r="K21" s="5"/>
      <c r="L21" s="5"/>
      <c r="M21" s="5"/>
      <c r="N21" s="5"/>
    </row>
    <row r="22" spans="2:14">
      <c r="B22" s="4" t="s">
        <v>11</v>
      </c>
      <c r="C22" s="7" t="s">
        <v>12</v>
      </c>
      <c r="D22" s="7"/>
      <c r="E22" s="7"/>
      <c r="F22" s="7"/>
      <c r="G22" s="7"/>
      <c r="H22" s="7"/>
      <c r="I22" s="7"/>
      <c r="J22" s="7"/>
      <c r="K22" s="7"/>
      <c r="L22" s="7"/>
      <c r="M22" s="7"/>
      <c r="N22" s="7"/>
    </row>
    <row r="23" spans="2:14">
      <c r="C23" s="5"/>
      <c r="D23" s="5"/>
      <c r="E23" s="5"/>
      <c r="F23" s="5"/>
      <c r="G23" s="5"/>
      <c r="H23" s="5"/>
      <c r="I23" s="5"/>
      <c r="J23" s="5"/>
      <c r="K23" s="5"/>
      <c r="L23" s="5"/>
      <c r="M23" s="5"/>
      <c r="N23" s="5"/>
    </row>
    <row r="24" spans="2:14">
      <c r="B24" s="4" t="s">
        <v>13</v>
      </c>
      <c r="C24" s="7" t="s">
        <v>14</v>
      </c>
      <c r="D24" s="7"/>
      <c r="E24" s="7"/>
      <c r="F24" s="7"/>
      <c r="G24" s="7"/>
      <c r="H24" s="7"/>
      <c r="I24" s="7"/>
      <c r="J24" s="7"/>
      <c r="K24" s="7"/>
      <c r="L24" s="7"/>
      <c r="M24" s="7"/>
      <c r="N24" s="7"/>
    </row>
    <row r="25" spans="2:14">
      <c r="C25" s="5"/>
      <c r="D25" s="5"/>
      <c r="E25" s="5"/>
      <c r="F25" s="5"/>
      <c r="G25" s="5"/>
      <c r="H25" s="5"/>
      <c r="I25" s="5"/>
      <c r="J25" s="5"/>
      <c r="K25" s="5"/>
      <c r="L25" s="5"/>
      <c r="M25" s="5"/>
      <c r="N25" s="5"/>
    </row>
    <row r="26" spans="2:14">
      <c r="B26" s="4" t="s">
        <v>15</v>
      </c>
      <c r="C26" s="7" t="s">
        <v>16</v>
      </c>
      <c r="D26" s="7"/>
      <c r="E26" s="7"/>
      <c r="F26" s="7"/>
      <c r="G26" s="7"/>
      <c r="H26" s="7"/>
      <c r="I26" s="7"/>
      <c r="J26" s="7"/>
      <c r="K26" s="7"/>
      <c r="L26" s="7"/>
      <c r="M26" s="7"/>
      <c r="N26" s="7"/>
    </row>
    <row r="27" spans="2:14">
      <c r="C27" s="5"/>
      <c r="D27" s="5"/>
      <c r="E27" s="5"/>
      <c r="F27" s="5"/>
      <c r="G27" s="5"/>
      <c r="H27" s="5"/>
      <c r="I27" s="5"/>
      <c r="J27" s="5"/>
      <c r="K27" s="5"/>
      <c r="L27" s="5"/>
      <c r="M27" s="5"/>
      <c r="N27" s="5"/>
    </row>
    <row r="28" spans="2:14">
      <c r="B28" s="4"/>
      <c r="C28" s="6"/>
      <c r="D28" s="6"/>
      <c r="E28" s="6"/>
      <c r="F28" s="6"/>
      <c r="G28" s="6"/>
      <c r="H28" s="6"/>
      <c r="I28" s="6"/>
      <c r="J28" s="6"/>
      <c r="K28" s="6"/>
      <c r="L28" s="6"/>
      <c r="M28" s="6"/>
      <c r="N28" s="6"/>
    </row>
  </sheetData>
  <sheetProtection algorithmName="SHA-512" hashValue="EAsfbmLMXvAZOulN7ShvxYkclVu8Oxc+CxNXnGBXc59pdlvLVXzF91q1sZ5GQHQUznN+tb9BjZ1EcayZv4TSlA==" saltValue="yIqc/7VLmvL4h+6IHe9laQ==" spinCount="100000" sheet="1" objects="1" scenarios="1"/>
  <mergeCells count="10">
    <mergeCell ref="C22:N22"/>
    <mergeCell ref="C24:N24"/>
    <mergeCell ref="C26:N26"/>
    <mergeCell ref="C28:N28"/>
    <mergeCell ref="A5:K7"/>
    <mergeCell ref="C12:N12"/>
    <mergeCell ref="C14:N14"/>
    <mergeCell ref="C16:N16"/>
    <mergeCell ref="C18:N18"/>
    <mergeCell ref="C20:N20"/>
  </mergeCells>
  <hyperlinks>
    <hyperlink ref="C12" location="'Anexo 1'!Área_de_impresión" display="FECHAS IMPORTANTES ASOCIADAS A LOS CONTRATOS DE PRÉSTAMO DE INVERSIÓN EN EJECUCIÓN" xr:uid="{D737F6C1-0815-4365-BE42-B6C04ECCDE6A}"/>
    <hyperlink ref="C14" location="'Anexo 2'!Área_de_impresión" display="ESTADO FINANCIERO, FÍSICO Y DE PLAZOS ASOCIADOS A LOS CRÉDITOS DE INVERSIÓN EN EJECUCIÓN" xr:uid="{98353973-B0DE-4730-B71F-F2C81F6EA66A}"/>
    <hyperlink ref="C16" location="'Anexo 3'!Área_de_impresión" display="PROGRAMACIÓN DE DESEMBOLSOS DE LOS CRÉDITOS EXTERNOS DE INVERSIÓN EN EJECUCIÓN" xr:uid="{7D45EA03-9C8B-4660-AE63-E73E6A2ED78F}"/>
    <hyperlink ref="C18" location="'Anexo 4'!Área_de_impresión" display="ESTADO FINANCIERO DE LA CONTRAPARTIDA NACIONAL/INSTITUCIONAL Y DONACIÓN ASOCIADOS A LOS CRÉDITOS DE INVERSIÓN EN EJECUCIÓN" xr:uid="{B84FE683-8903-4CFB-A75B-453620B3115E}"/>
    <hyperlink ref="C20" location="'Anexo 5'!Área_de_impresión" display="DESEMBOLSOS, AVANCE FINANCIERO Y AVANCE FISICO 2013 - I SEM 2022 DE LOS CRÉDITOS DE INVERSIÓN EN EJECUCIÓN" xr:uid="{D6B4881C-266F-4FDE-8A98-AEACCE0BBE50}"/>
    <hyperlink ref="C24" location="'Anexo 6'!Área_de_impresión" display="GESTIÓN DEL VALOR PLANIFICADO DE LOS CRÉDITOS DE INVERSIÓN EN EJECUCIÓN" xr:uid="{2FDD7A6E-C1BB-4068-A338-1AD4F3F24DFF}"/>
    <hyperlink ref="C26" location="'Anexo 7'!Área_de_impresión" display="AJUSTES EN EL MONTO TOTAL DEL PLAN DE INVERSIÓN DE LOS PROGRAMAS/PROYECTOS EN EJECUCIÓN" xr:uid="{E59DA96D-0248-46AC-8902-2BE03920BFD6}"/>
    <hyperlink ref="C22:L22" location="'Anexo 5.1'!Área_de_impresión" display="CUADRO COMPARATIVO 2013 - I SEM 2022" xr:uid="{62B1220E-CC5D-44DE-9528-288E351604E4}"/>
  </hyperlinks>
  <pageMargins left="0.7" right="0.7" top="0.75" bottom="0.75" header="0.3" footer="0.3"/>
  <pageSetup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P70"/>
  <sheetViews>
    <sheetView showGridLines="0" showRuler="0" topLeftCell="A3" zoomScaleNormal="100" zoomScaleSheetLayoutView="55" zoomScalePageLayoutView="80" workbookViewId="0">
      <pane ySplit="4" topLeftCell="A7" activePane="bottomLeft" state="frozen"/>
      <selection pane="bottomLeft" activeCell="B9" sqref="B9"/>
    </sheetView>
  </sheetViews>
  <sheetFormatPr baseColWidth="10" defaultColWidth="11" defaultRowHeight="13.8"/>
  <cols>
    <col min="1" max="1" width="17.6640625" style="90" customWidth="1"/>
    <col min="2" max="2" width="68.6640625" style="90" customWidth="1"/>
    <col min="3" max="3" width="11.109375" style="9" customWidth="1"/>
    <col min="4" max="4" width="10.6640625" style="9" customWidth="1"/>
    <col min="5" max="5" width="32.21875" style="91" customWidth="1"/>
    <col min="6" max="7" width="11.6640625" style="9" customWidth="1"/>
    <col min="8" max="8" width="10.109375" style="9" customWidth="1"/>
    <col min="9" max="9" width="17.6640625" style="9" customWidth="1"/>
    <col min="10" max="10" width="19.109375" style="9" customWidth="1"/>
    <col min="11" max="11" width="21.6640625" style="9" customWidth="1"/>
    <col min="12" max="12" width="20.77734375" style="9" customWidth="1"/>
    <col min="13" max="13" width="16" style="9" customWidth="1"/>
    <col min="14" max="14" width="11" style="9" customWidth="1"/>
    <col min="15" max="16384" width="11" style="9"/>
  </cols>
  <sheetData>
    <row r="1" spans="1:16" ht="25.2" customHeight="1">
      <c r="A1" s="8"/>
      <c r="B1" s="8"/>
      <c r="C1" s="8"/>
      <c r="D1" s="8"/>
      <c r="E1" s="8"/>
      <c r="F1" s="8"/>
      <c r="G1" s="8"/>
      <c r="H1" s="8"/>
      <c r="I1" s="8"/>
      <c r="J1" s="8"/>
      <c r="K1" s="8"/>
      <c r="L1" s="8"/>
      <c r="M1" s="8"/>
    </row>
    <row r="2" spans="1:16" ht="25.2" customHeight="1">
      <c r="A2" s="10" t="s">
        <v>17</v>
      </c>
      <c r="B2" s="10"/>
      <c r="C2" s="10"/>
      <c r="D2" s="10"/>
      <c r="E2" s="10"/>
      <c r="F2" s="10"/>
      <c r="G2" s="10"/>
      <c r="H2" s="10"/>
      <c r="I2" s="10"/>
      <c r="J2" s="10"/>
      <c r="K2" s="10"/>
      <c r="L2" s="10"/>
      <c r="M2" s="10"/>
    </row>
    <row r="3" spans="1:16" ht="25.2" customHeight="1">
      <c r="A3" s="10" t="s">
        <v>2</v>
      </c>
      <c r="B3" s="10"/>
      <c r="C3" s="10"/>
      <c r="D3" s="10"/>
      <c r="E3" s="10"/>
      <c r="F3" s="10"/>
      <c r="G3" s="10"/>
      <c r="H3" s="10"/>
      <c r="I3" s="10"/>
      <c r="J3" s="10"/>
      <c r="K3" s="10"/>
      <c r="L3" s="10"/>
      <c r="M3" s="10"/>
    </row>
    <row r="4" spans="1:16" ht="25.2" customHeight="1">
      <c r="A4" s="11" t="s">
        <v>18</v>
      </c>
      <c r="B4" s="11"/>
      <c r="C4" s="11"/>
      <c r="D4" s="11"/>
      <c r="E4" s="11"/>
      <c r="F4" s="11"/>
      <c r="G4" s="11"/>
      <c r="H4" s="11"/>
      <c r="I4" s="11"/>
      <c r="J4" s="11"/>
      <c r="K4" s="11"/>
      <c r="L4" s="11"/>
      <c r="M4" s="11"/>
    </row>
    <row r="5" spans="1:16" ht="21.6" customHeight="1" thickBot="1">
      <c r="A5" s="12">
        <v>45107</v>
      </c>
      <c r="B5" s="12"/>
      <c r="C5" s="12"/>
      <c r="D5" s="12"/>
      <c r="E5" s="12"/>
      <c r="F5" s="12"/>
      <c r="G5" s="12"/>
      <c r="H5" s="12"/>
      <c r="I5" s="12"/>
      <c r="J5" s="12"/>
      <c r="K5" s="12"/>
      <c r="L5" s="12"/>
      <c r="M5" s="12"/>
    </row>
    <row r="6" spans="1:16" s="16" customFormat="1" ht="87.6" customHeight="1" thickBot="1">
      <c r="A6" s="13" t="s">
        <v>19</v>
      </c>
      <c r="B6" s="13" t="s">
        <v>20</v>
      </c>
      <c r="C6" s="13" t="s">
        <v>21</v>
      </c>
      <c r="D6" s="14" t="s">
        <v>22</v>
      </c>
      <c r="E6" s="15" t="s">
        <v>23</v>
      </c>
      <c r="F6" s="13" t="s">
        <v>24</v>
      </c>
      <c r="G6" s="13" t="s">
        <v>25</v>
      </c>
      <c r="H6" s="13" t="s">
        <v>26</v>
      </c>
      <c r="I6" s="13" t="s">
        <v>27</v>
      </c>
      <c r="J6" s="13" t="s">
        <v>28</v>
      </c>
      <c r="K6" s="13" t="s">
        <v>29</v>
      </c>
      <c r="L6" s="13" t="s">
        <v>30</v>
      </c>
      <c r="M6" s="13" t="s">
        <v>31</v>
      </c>
      <c r="P6" s="9"/>
    </row>
    <row r="7" spans="1:16">
      <c r="A7" s="17"/>
      <c r="B7" s="18"/>
      <c r="C7" s="19"/>
      <c r="D7" s="19"/>
      <c r="E7" s="20"/>
      <c r="F7" s="19"/>
      <c r="G7" s="19"/>
      <c r="H7" s="19"/>
      <c r="I7" s="19"/>
      <c r="J7" s="19"/>
      <c r="K7" s="18"/>
      <c r="L7" s="18"/>
      <c r="M7" s="21"/>
      <c r="N7" s="22"/>
    </row>
    <row r="8" spans="1:16">
      <c r="A8" s="23" t="s">
        <v>32</v>
      </c>
      <c r="B8" s="24"/>
      <c r="C8" s="25"/>
      <c r="D8" s="16"/>
      <c r="E8" s="26"/>
      <c r="F8" s="26"/>
      <c r="G8" s="26"/>
      <c r="H8" s="26"/>
      <c r="I8" s="26"/>
      <c r="J8" s="26"/>
      <c r="K8" s="27"/>
      <c r="L8" s="27"/>
      <c r="M8" s="28"/>
      <c r="N8" s="22"/>
    </row>
    <row r="9" spans="1:16" s="26" customFormat="1" ht="24" customHeight="1">
      <c r="A9" s="29">
        <v>1725</v>
      </c>
      <c r="B9" s="30" t="s">
        <v>33</v>
      </c>
      <c r="C9" s="31" t="s">
        <v>34</v>
      </c>
      <c r="D9" s="31" t="s">
        <v>35</v>
      </c>
      <c r="E9" s="32">
        <v>99453757</v>
      </c>
      <c r="F9" s="33">
        <v>39533</v>
      </c>
      <c r="G9" s="33" t="s">
        <v>36</v>
      </c>
      <c r="H9" s="34" t="s">
        <v>36</v>
      </c>
      <c r="I9" s="33">
        <v>39616</v>
      </c>
      <c r="J9" s="33">
        <v>42734</v>
      </c>
      <c r="K9" s="35">
        <v>44377</v>
      </c>
      <c r="L9" s="36">
        <v>3</v>
      </c>
      <c r="M9" s="37">
        <v>45008</v>
      </c>
      <c r="N9" s="38"/>
    </row>
    <row r="10" spans="1:16" ht="24" customHeight="1">
      <c r="A10" s="29">
        <v>2080</v>
      </c>
      <c r="B10" s="39" t="s">
        <v>37</v>
      </c>
      <c r="C10" s="31" t="s">
        <v>38</v>
      </c>
      <c r="D10" s="31" t="s">
        <v>38</v>
      </c>
      <c r="E10" s="32">
        <v>340000000</v>
      </c>
      <c r="F10" s="33">
        <v>41015</v>
      </c>
      <c r="G10" s="33" t="s">
        <v>36</v>
      </c>
      <c r="H10" s="34" t="s">
        <v>36</v>
      </c>
      <c r="I10" s="33">
        <v>41257</v>
      </c>
      <c r="J10" s="33">
        <v>42884</v>
      </c>
      <c r="K10" s="35">
        <v>44345</v>
      </c>
      <c r="L10" s="36">
        <v>1</v>
      </c>
      <c r="M10" s="37">
        <v>46493</v>
      </c>
      <c r="N10" s="38"/>
    </row>
    <row r="11" spans="1:16" ht="24" customHeight="1">
      <c r="A11" s="29" t="s">
        <v>39</v>
      </c>
      <c r="B11" s="39" t="s">
        <v>40</v>
      </c>
      <c r="C11" s="31" t="s">
        <v>41</v>
      </c>
      <c r="D11" s="31" t="s">
        <v>38</v>
      </c>
      <c r="E11" s="32">
        <v>90055000</v>
      </c>
      <c r="F11" s="33">
        <v>44151</v>
      </c>
      <c r="G11" s="33" t="s">
        <v>36</v>
      </c>
      <c r="H11" s="34" t="s">
        <v>36</v>
      </c>
      <c r="I11" s="40">
        <v>44560</v>
      </c>
      <c r="J11" s="40">
        <v>46506</v>
      </c>
      <c r="K11" s="35" t="s">
        <v>36</v>
      </c>
      <c r="L11" s="36">
        <v>0</v>
      </c>
      <c r="M11" s="37">
        <v>49629</v>
      </c>
      <c r="N11" s="38"/>
    </row>
    <row r="12" spans="1:16" ht="24" customHeight="1">
      <c r="A12" s="29">
        <v>2128</v>
      </c>
      <c r="B12" s="30" t="s">
        <v>42</v>
      </c>
      <c r="C12" s="31" t="s">
        <v>43</v>
      </c>
      <c r="D12" s="31" t="s">
        <v>43</v>
      </c>
      <c r="E12" s="32">
        <v>270000000</v>
      </c>
      <c r="F12" s="33">
        <v>41646</v>
      </c>
      <c r="G12" s="33" t="s">
        <v>36</v>
      </c>
      <c r="H12" s="34" t="s">
        <v>36</v>
      </c>
      <c r="I12" s="33">
        <v>41933</v>
      </c>
      <c r="J12" s="33">
        <v>43748</v>
      </c>
      <c r="K12" s="33">
        <v>45209</v>
      </c>
      <c r="L12" s="36">
        <v>2</v>
      </c>
      <c r="M12" s="37">
        <v>49227</v>
      </c>
      <c r="N12" s="38"/>
    </row>
    <row r="13" spans="1:16" ht="24" customHeight="1">
      <c r="A13" s="29">
        <v>2129</v>
      </c>
      <c r="B13" s="30" t="s">
        <v>44</v>
      </c>
      <c r="C13" s="31" t="s">
        <v>34</v>
      </c>
      <c r="D13" s="31" t="s">
        <v>35</v>
      </c>
      <c r="E13" s="32">
        <v>130000000</v>
      </c>
      <c r="F13" s="33">
        <v>42228</v>
      </c>
      <c r="G13" s="33" t="s">
        <v>36</v>
      </c>
      <c r="H13" s="34" t="s">
        <v>36</v>
      </c>
      <c r="I13" s="33">
        <v>42391</v>
      </c>
      <c r="J13" s="40">
        <v>45150</v>
      </c>
      <c r="K13" s="33">
        <v>45881</v>
      </c>
      <c r="L13" s="36">
        <v>1</v>
      </c>
      <c r="M13" s="37">
        <v>47707</v>
      </c>
      <c r="N13" s="38"/>
    </row>
    <row r="14" spans="1:16" ht="24" customHeight="1">
      <c r="A14" s="29">
        <v>2164</v>
      </c>
      <c r="B14" s="30" t="s">
        <v>45</v>
      </c>
      <c r="C14" s="31" t="s">
        <v>34</v>
      </c>
      <c r="D14" s="31" t="s">
        <v>35</v>
      </c>
      <c r="E14" s="32">
        <v>154562390.28999999</v>
      </c>
      <c r="F14" s="33">
        <v>43224</v>
      </c>
      <c r="G14" s="33" t="s">
        <v>36</v>
      </c>
      <c r="H14" s="34" t="s">
        <v>36</v>
      </c>
      <c r="I14" s="40">
        <v>43531</v>
      </c>
      <c r="J14" s="40">
        <v>45412</v>
      </c>
      <c r="K14" s="33" t="s">
        <v>36</v>
      </c>
      <c r="L14" s="36">
        <v>0</v>
      </c>
      <c r="M14" s="41">
        <v>50890</v>
      </c>
      <c r="N14" s="38"/>
    </row>
    <row r="15" spans="1:16" ht="24" customHeight="1">
      <c r="A15" s="29" t="s">
        <v>46</v>
      </c>
      <c r="B15" s="30" t="s">
        <v>47</v>
      </c>
      <c r="C15" s="31" t="s">
        <v>34</v>
      </c>
      <c r="D15" s="31" t="s">
        <v>48</v>
      </c>
      <c r="E15" s="32">
        <v>111128810</v>
      </c>
      <c r="F15" s="33">
        <v>43592</v>
      </c>
      <c r="G15" s="33" t="s">
        <v>36</v>
      </c>
      <c r="H15" s="34" t="s">
        <v>36</v>
      </c>
      <c r="I15" s="40">
        <v>43756</v>
      </c>
      <c r="J15" s="40">
        <v>46140</v>
      </c>
      <c r="K15" s="33" t="s">
        <v>36</v>
      </c>
      <c r="L15" s="36">
        <v>0</v>
      </c>
      <c r="M15" s="41">
        <v>55271</v>
      </c>
      <c r="N15" s="38"/>
    </row>
    <row r="16" spans="1:16" ht="24" customHeight="1">
      <c r="A16" s="29">
        <v>2198</v>
      </c>
      <c r="B16" s="30" t="s">
        <v>49</v>
      </c>
      <c r="C16" s="31" t="s">
        <v>50</v>
      </c>
      <c r="D16" s="31" t="s">
        <v>51</v>
      </c>
      <c r="E16" s="32">
        <v>55080000</v>
      </c>
      <c r="F16" s="33">
        <v>43472</v>
      </c>
      <c r="G16" s="33">
        <v>43643</v>
      </c>
      <c r="H16" s="34">
        <v>9690</v>
      </c>
      <c r="I16" s="40">
        <v>43796</v>
      </c>
      <c r="J16" s="40">
        <v>45103</v>
      </c>
      <c r="K16" s="33">
        <v>46199</v>
      </c>
      <c r="L16" s="36">
        <v>1</v>
      </c>
      <c r="M16" s="41">
        <v>51313</v>
      </c>
      <c r="N16" s="38"/>
    </row>
    <row r="17" spans="1:14" ht="24" customHeight="1">
      <c r="A17" s="29">
        <v>2270</v>
      </c>
      <c r="B17" s="30" t="s">
        <v>52</v>
      </c>
      <c r="C17" s="31" t="s">
        <v>53</v>
      </c>
      <c r="D17" s="31" t="s">
        <v>51</v>
      </c>
      <c r="E17" s="32">
        <v>80000000</v>
      </c>
      <c r="F17" s="33">
        <v>44337</v>
      </c>
      <c r="G17" s="33">
        <v>44470</v>
      </c>
      <c r="H17" s="34">
        <v>10056</v>
      </c>
      <c r="I17" s="40">
        <v>44547</v>
      </c>
      <c r="J17" s="42">
        <v>44910</v>
      </c>
      <c r="K17" s="33" t="s">
        <v>36</v>
      </c>
      <c r="L17" s="36">
        <v>0</v>
      </c>
      <c r="M17" s="41">
        <v>51667</v>
      </c>
      <c r="N17" s="38"/>
    </row>
    <row r="18" spans="1:14" ht="24" customHeight="1">
      <c r="A18" s="29">
        <v>2220</v>
      </c>
      <c r="B18" s="30" t="s">
        <v>54</v>
      </c>
      <c r="C18" s="31" t="s">
        <v>55</v>
      </c>
      <c r="D18" s="31" t="s">
        <v>51</v>
      </c>
      <c r="E18" s="32">
        <v>425000000</v>
      </c>
      <c r="F18" s="33">
        <v>44655</v>
      </c>
      <c r="G18" s="33">
        <v>44692</v>
      </c>
      <c r="H18" s="34">
        <v>10230</v>
      </c>
      <c r="I18" s="40">
        <v>44890</v>
      </c>
      <c r="J18" s="40" t="s">
        <v>56</v>
      </c>
      <c r="K18" s="33" t="s">
        <v>36</v>
      </c>
      <c r="L18" s="36">
        <v>0</v>
      </c>
      <c r="M18" s="41" t="s">
        <v>57</v>
      </c>
      <c r="N18" s="38"/>
    </row>
    <row r="19" spans="1:14" s="46" customFormat="1" ht="24" customHeight="1">
      <c r="A19" s="29"/>
      <c r="B19" s="1"/>
      <c r="C19" s="43"/>
      <c r="D19" s="44"/>
      <c r="E19" s="45">
        <f>SUM(E9:E18)</f>
        <v>1755279957.29</v>
      </c>
      <c r="F19" s="35"/>
      <c r="G19" s="35"/>
      <c r="H19" s="34"/>
      <c r="I19" s="35"/>
      <c r="J19" s="35"/>
      <c r="K19" s="33"/>
      <c r="L19" s="35"/>
      <c r="M19" s="37"/>
      <c r="N19" s="38"/>
    </row>
    <row r="20" spans="1:14" s="46" customFormat="1" ht="24" customHeight="1">
      <c r="A20" s="29"/>
      <c r="B20" s="1"/>
      <c r="C20" s="43"/>
      <c r="D20" s="44"/>
      <c r="E20" s="45"/>
      <c r="F20" s="35"/>
      <c r="G20" s="35"/>
      <c r="H20" s="34"/>
      <c r="I20" s="35"/>
      <c r="J20" s="35"/>
      <c r="K20" s="47"/>
      <c r="L20" s="35"/>
      <c r="M20" s="37"/>
      <c r="N20" s="38"/>
    </row>
    <row r="21" spans="1:14" ht="24" customHeight="1">
      <c r="A21" s="48" t="s">
        <v>58</v>
      </c>
      <c r="B21" s="30"/>
      <c r="C21" s="31"/>
      <c r="D21" s="49"/>
      <c r="E21" s="32"/>
      <c r="F21" s="35"/>
      <c r="G21" s="35"/>
      <c r="H21" s="34"/>
      <c r="I21" s="35"/>
      <c r="J21" s="50"/>
      <c r="K21" s="35"/>
      <c r="L21" s="35"/>
      <c r="M21" s="51"/>
      <c r="N21" s="38"/>
    </row>
    <row r="22" spans="1:14" ht="24" customHeight="1">
      <c r="A22" s="29" t="s">
        <v>59</v>
      </c>
      <c r="B22" s="52" t="s">
        <v>60</v>
      </c>
      <c r="C22" s="16" t="s">
        <v>34</v>
      </c>
      <c r="D22" s="31" t="s">
        <v>61</v>
      </c>
      <c r="E22" s="32">
        <v>73000000</v>
      </c>
      <c r="F22" s="35">
        <v>41178</v>
      </c>
      <c r="G22" s="35">
        <v>41541</v>
      </c>
      <c r="H22" s="36">
        <v>9167</v>
      </c>
      <c r="I22" s="35">
        <v>41843</v>
      </c>
      <c r="J22" s="53">
        <v>43732</v>
      </c>
      <c r="K22" s="53">
        <v>45497</v>
      </c>
      <c r="L22" s="36">
        <v>2</v>
      </c>
      <c r="M22" s="37">
        <v>50307</v>
      </c>
      <c r="N22" s="38"/>
    </row>
    <row r="23" spans="1:14" ht="24" customHeight="1">
      <c r="A23" s="54" t="s">
        <v>62</v>
      </c>
      <c r="B23" s="39" t="s">
        <v>63</v>
      </c>
      <c r="C23" s="55" t="s">
        <v>64</v>
      </c>
      <c r="D23" s="31" t="s">
        <v>51</v>
      </c>
      <c r="E23" s="32">
        <v>400000000</v>
      </c>
      <c r="F23" s="56">
        <v>41732</v>
      </c>
      <c r="G23" s="56">
        <v>41956</v>
      </c>
      <c r="H23" s="57">
        <v>9283</v>
      </c>
      <c r="I23" s="56">
        <v>42110</v>
      </c>
      <c r="J23" s="58">
        <v>44148</v>
      </c>
      <c r="K23" s="58">
        <v>45608</v>
      </c>
      <c r="L23" s="57">
        <v>2</v>
      </c>
      <c r="M23" s="59">
        <v>50498</v>
      </c>
      <c r="N23" s="38"/>
    </row>
    <row r="24" spans="1:14" ht="24" customHeight="1">
      <c r="A24" s="54" t="s">
        <v>65</v>
      </c>
      <c r="B24" s="39" t="s">
        <v>63</v>
      </c>
      <c r="C24" s="55"/>
      <c r="D24" s="31" t="s">
        <v>51</v>
      </c>
      <c r="E24" s="32">
        <v>50000000</v>
      </c>
      <c r="F24" s="56"/>
      <c r="G24" s="56"/>
      <c r="H24" s="57"/>
      <c r="I24" s="56"/>
      <c r="J24" s="58"/>
      <c r="K24" s="58"/>
      <c r="L24" s="57"/>
      <c r="M24" s="59"/>
      <c r="N24" s="38"/>
    </row>
    <row r="25" spans="1:14" ht="24" customHeight="1">
      <c r="A25" s="54" t="s">
        <v>66</v>
      </c>
      <c r="B25" s="39" t="s">
        <v>67</v>
      </c>
      <c r="C25" s="31" t="s">
        <v>68</v>
      </c>
      <c r="D25" s="31" t="s">
        <v>51</v>
      </c>
      <c r="E25" s="32">
        <v>100000000</v>
      </c>
      <c r="F25" s="35">
        <v>42355</v>
      </c>
      <c r="G25" s="35">
        <v>42886</v>
      </c>
      <c r="H25" s="36">
        <v>9451</v>
      </c>
      <c r="I25" s="35">
        <v>43083</v>
      </c>
      <c r="J25" s="53">
        <v>44712</v>
      </c>
      <c r="K25" s="53">
        <v>45443</v>
      </c>
      <c r="L25" s="36">
        <v>1</v>
      </c>
      <c r="M25" s="37">
        <v>52001</v>
      </c>
      <c r="N25" s="38"/>
    </row>
    <row r="26" spans="1:14" ht="24" customHeight="1">
      <c r="A26" s="54" t="s">
        <v>69</v>
      </c>
      <c r="B26" s="39" t="s">
        <v>70</v>
      </c>
      <c r="C26" s="31" t="s">
        <v>64</v>
      </c>
      <c r="D26" s="31" t="s">
        <v>51</v>
      </c>
      <c r="E26" s="32">
        <v>144036000</v>
      </c>
      <c r="F26" s="35">
        <v>43363</v>
      </c>
      <c r="G26" s="35">
        <v>40821</v>
      </c>
      <c r="H26" s="36">
        <v>8982</v>
      </c>
      <c r="I26" s="35">
        <v>43413</v>
      </c>
      <c r="J26" s="53">
        <v>45189</v>
      </c>
      <c r="K26" s="53">
        <v>45920</v>
      </c>
      <c r="L26" s="36">
        <v>1</v>
      </c>
      <c r="M26" s="37">
        <v>54189</v>
      </c>
      <c r="N26" s="38"/>
    </row>
    <row r="27" spans="1:14" ht="24" customHeight="1">
      <c r="A27" s="60" t="s">
        <v>71</v>
      </c>
      <c r="B27" s="61" t="s">
        <v>72</v>
      </c>
      <c r="C27" s="31" t="s">
        <v>73</v>
      </c>
      <c r="D27" s="31" t="s">
        <v>74</v>
      </c>
      <c r="E27" s="32">
        <v>134500000</v>
      </c>
      <c r="F27" s="62">
        <v>43503</v>
      </c>
      <c r="G27" s="62">
        <v>43285</v>
      </c>
      <c r="H27" s="36">
        <v>9573</v>
      </c>
      <c r="I27" s="40">
        <v>43373</v>
      </c>
      <c r="J27" s="62">
        <v>45329</v>
      </c>
      <c r="K27" s="53" t="s">
        <v>36</v>
      </c>
      <c r="L27" s="36">
        <v>0</v>
      </c>
      <c r="M27" s="37">
        <v>52634</v>
      </c>
      <c r="N27" s="38"/>
    </row>
    <row r="28" spans="1:14" ht="24" customHeight="1">
      <c r="A28" s="60" t="s">
        <v>75</v>
      </c>
      <c r="B28" s="61" t="s">
        <v>76</v>
      </c>
      <c r="C28" s="31" t="s">
        <v>64</v>
      </c>
      <c r="D28" s="31" t="s">
        <v>51</v>
      </c>
      <c r="E28" s="32">
        <v>125000000</v>
      </c>
      <c r="F28" s="62">
        <v>43908</v>
      </c>
      <c r="G28" s="62">
        <v>44103</v>
      </c>
      <c r="H28" s="36">
        <v>9899</v>
      </c>
      <c r="I28" s="40">
        <v>44148</v>
      </c>
      <c r="J28" s="62">
        <v>45929</v>
      </c>
      <c r="K28" s="53" t="s">
        <v>36</v>
      </c>
      <c r="L28" s="36">
        <v>0</v>
      </c>
      <c r="M28" s="37">
        <v>53404</v>
      </c>
      <c r="N28" s="38"/>
    </row>
    <row r="29" spans="1:14" ht="24" customHeight="1">
      <c r="A29" s="60" t="s">
        <v>77</v>
      </c>
      <c r="B29" s="61" t="s">
        <v>78</v>
      </c>
      <c r="C29" s="31" t="s">
        <v>79</v>
      </c>
      <c r="D29" s="31" t="s">
        <v>51</v>
      </c>
      <c r="E29" s="32">
        <v>100000000</v>
      </c>
      <c r="F29" s="62">
        <v>43907</v>
      </c>
      <c r="G29" s="62">
        <v>44272</v>
      </c>
      <c r="H29" s="36">
        <v>9968</v>
      </c>
      <c r="I29" s="40">
        <v>44470</v>
      </c>
      <c r="J29" s="62">
        <v>46098</v>
      </c>
      <c r="K29" s="53" t="s">
        <v>36</v>
      </c>
      <c r="L29" s="36">
        <v>0</v>
      </c>
      <c r="M29" s="37">
        <v>53036</v>
      </c>
      <c r="N29" s="38"/>
    </row>
    <row r="30" spans="1:14" s="46" customFormat="1" ht="24" customHeight="1">
      <c r="A30" s="29"/>
      <c r="B30" s="1"/>
      <c r="C30" s="43"/>
      <c r="D30" s="44"/>
      <c r="E30" s="45">
        <f>SUM(E22:E29)</f>
        <v>1126536000</v>
      </c>
      <c r="F30" s="35"/>
      <c r="G30" s="35"/>
      <c r="H30" s="63"/>
      <c r="I30" s="35"/>
      <c r="J30" s="35"/>
      <c r="K30" s="64"/>
      <c r="L30" s="65"/>
      <c r="M30" s="66"/>
      <c r="N30" s="67"/>
    </row>
    <row r="31" spans="1:14" ht="24" customHeight="1">
      <c r="A31" s="68"/>
      <c r="B31" s="30"/>
      <c r="C31" s="31"/>
      <c r="D31" s="49"/>
      <c r="E31" s="32"/>
      <c r="F31" s="35"/>
      <c r="G31" s="35"/>
      <c r="H31" s="36"/>
      <c r="I31" s="35"/>
      <c r="J31" s="35"/>
      <c r="K31" s="35"/>
      <c r="L31" s="35"/>
      <c r="M31" s="51"/>
      <c r="N31" s="22"/>
    </row>
    <row r="32" spans="1:14" ht="24" customHeight="1">
      <c r="A32" s="48" t="s">
        <v>80</v>
      </c>
      <c r="B32" s="30"/>
      <c r="C32" s="31"/>
      <c r="D32" s="49"/>
      <c r="E32" s="32"/>
      <c r="F32" s="35"/>
      <c r="G32" s="35"/>
      <c r="H32" s="36"/>
      <c r="I32" s="35"/>
      <c r="J32" s="35"/>
      <c r="K32" s="35"/>
      <c r="L32" s="35"/>
      <c r="M32" s="51"/>
      <c r="N32" s="22"/>
    </row>
    <row r="33" spans="1:14" s="46" customFormat="1" ht="24" customHeight="1">
      <c r="A33" s="29" t="s">
        <v>81</v>
      </c>
      <c r="B33" s="49" t="s">
        <v>82</v>
      </c>
      <c r="C33" s="31" t="s">
        <v>43</v>
      </c>
      <c r="D33" s="31" t="s">
        <v>51</v>
      </c>
      <c r="E33" s="32">
        <v>420000000</v>
      </c>
      <c r="F33" s="35">
        <v>42481</v>
      </c>
      <c r="G33" s="35">
        <v>42641</v>
      </c>
      <c r="H33" s="34">
        <v>9396</v>
      </c>
      <c r="I33" s="35">
        <v>42726</v>
      </c>
      <c r="J33" s="53">
        <v>44681</v>
      </c>
      <c r="K33" s="53">
        <v>45473</v>
      </c>
      <c r="L33" s="36">
        <v>1</v>
      </c>
      <c r="M33" s="37">
        <v>54650</v>
      </c>
      <c r="N33" s="67"/>
    </row>
    <row r="34" spans="1:14" s="46" customFormat="1" ht="24" customHeight="1">
      <c r="A34" s="29" t="s">
        <v>83</v>
      </c>
      <c r="B34" s="69" t="s">
        <v>84</v>
      </c>
      <c r="C34" s="31" t="s">
        <v>85</v>
      </c>
      <c r="D34" s="31" t="s">
        <v>51</v>
      </c>
      <c r="E34" s="32">
        <v>156640000</v>
      </c>
      <c r="F34" s="35">
        <v>43927</v>
      </c>
      <c r="G34" s="35">
        <v>44158</v>
      </c>
      <c r="H34" s="34" t="s">
        <v>86</v>
      </c>
      <c r="I34" s="40">
        <v>44272</v>
      </c>
      <c r="J34" s="53">
        <v>46234</v>
      </c>
      <c r="K34" s="53" t="s">
        <v>36</v>
      </c>
      <c r="L34" s="36">
        <v>0</v>
      </c>
      <c r="M34" s="37">
        <v>56019</v>
      </c>
      <c r="N34" s="67"/>
    </row>
    <row r="35" spans="1:14" s="46" customFormat="1" ht="24" customHeight="1">
      <c r="A35" s="29" t="s">
        <v>87</v>
      </c>
      <c r="B35" s="69" t="s">
        <v>88</v>
      </c>
      <c r="C35" s="31" t="s">
        <v>89</v>
      </c>
      <c r="D35" s="31" t="s">
        <v>51</v>
      </c>
      <c r="E35" s="32">
        <v>75100500</v>
      </c>
      <c r="F35" s="35">
        <v>44015</v>
      </c>
      <c r="G35" s="35">
        <v>44453</v>
      </c>
      <c r="H35" s="34">
        <v>10037</v>
      </c>
      <c r="I35" s="40">
        <v>44673</v>
      </c>
      <c r="J35" s="53">
        <v>46649</v>
      </c>
      <c r="K35" s="53" t="s">
        <v>36</v>
      </c>
      <c r="L35" s="36">
        <v>0</v>
      </c>
      <c r="M35" s="37">
        <v>56080</v>
      </c>
      <c r="N35" s="67"/>
    </row>
    <row r="36" spans="1:14" s="46" customFormat="1" ht="25.5" customHeight="1">
      <c r="A36" s="29"/>
      <c r="B36" s="49"/>
      <c r="C36" s="31"/>
      <c r="D36" s="49"/>
      <c r="E36" s="45">
        <f>SUM(E33:E35)</f>
        <v>651740500</v>
      </c>
      <c r="F36" s="35"/>
      <c r="G36" s="35"/>
      <c r="H36" s="63"/>
      <c r="I36" s="35"/>
      <c r="J36" s="35"/>
      <c r="K36" s="64"/>
      <c r="L36" s="36"/>
      <c r="M36" s="66"/>
      <c r="N36" s="67"/>
    </row>
    <row r="37" spans="1:14" ht="25.5" customHeight="1">
      <c r="A37" s="68"/>
      <c r="B37" s="30"/>
      <c r="C37" s="31"/>
      <c r="D37" s="49"/>
      <c r="E37" s="32"/>
      <c r="F37" s="35"/>
      <c r="G37" s="35"/>
      <c r="H37" s="36"/>
      <c r="I37" s="35"/>
      <c r="J37" s="35"/>
      <c r="K37" s="35"/>
      <c r="L37" s="36"/>
      <c r="M37" s="51"/>
      <c r="N37" s="22"/>
    </row>
    <row r="38" spans="1:14" ht="25.5" customHeight="1">
      <c r="A38" s="29" t="s">
        <v>90</v>
      </c>
      <c r="B38" s="30"/>
      <c r="C38" s="31"/>
      <c r="D38" s="49"/>
      <c r="E38" s="32"/>
      <c r="F38" s="35"/>
      <c r="G38" s="35"/>
      <c r="H38" s="36"/>
      <c r="I38" s="35"/>
      <c r="J38" s="35"/>
      <c r="K38" s="35"/>
      <c r="L38" s="36"/>
      <c r="M38" s="51"/>
      <c r="N38" s="22"/>
    </row>
    <row r="39" spans="1:14" ht="22.5" customHeight="1">
      <c r="A39" s="29" t="s">
        <v>91</v>
      </c>
      <c r="B39" s="30" t="s">
        <v>92</v>
      </c>
      <c r="C39" s="55" t="s">
        <v>38</v>
      </c>
      <c r="D39" s="31" t="s">
        <v>51</v>
      </c>
      <c r="E39" s="32">
        <v>90542773.120000005</v>
      </c>
      <c r="F39" s="56">
        <v>41428</v>
      </c>
      <c r="G39" s="56">
        <v>42128</v>
      </c>
      <c r="H39" s="70">
        <v>9293</v>
      </c>
      <c r="I39" s="56">
        <v>42354</v>
      </c>
      <c r="J39" s="71">
        <v>44172</v>
      </c>
      <c r="K39" s="35" t="s">
        <v>36</v>
      </c>
      <c r="L39" s="36">
        <v>0</v>
      </c>
      <c r="M39" s="37">
        <v>49939</v>
      </c>
      <c r="N39" s="22"/>
    </row>
    <row r="40" spans="1:14" ht="22.5" customHeight="1">
      <c r="A40" s="29" t="s">
        <v>93</v>
      </c>
      <c r="B40" s="30" t="s">
        <v>94</v>
      </c>
      <c r="C40" s="55"/>
      <c r="D40" s="31" t="s">
        <v>51</v>
      </c>
      <c r="E40" s="32">
        <v>296000000</v>
      </c>
      <c r="F40" s="56"/>
      <c r="G40" s="56"/>
      <c r="H40" s="70"/>
      <c r="I40" s="56"/>
      <c r="J40" s="71">
        <v>45026</v>
      </c>
      <c r="K40" s="35">
        <v>45392</v>
      </c>
      <c r="L40" s="36">
        <v>1</v>
      </c>
      <c r="M40" s="37">
        <v>50850</v>
      </c>
      <c r="N40" s="22"/>
    </row>
    <row r="41" spans="1:14" ht="22.5" customHeight="1">
      <c r="A41" s="29"/>
      <c r="B41" s="30"/>
      <c r="C41" s="31"/>
      <c r="D41" s="49"/>
      <c r="E41" s="45">
        <f>SUM(E39:E40)</f>
        <v>386542773.12</v>
      </c>
      <c r="F41" s="35"/>
      <c r="G41" s="35"/>
      <c r="H41" s="36"/>
      <c r="I41" s="35"/>
      <c r="J41" s="35"/>
      <c r="K41" s="35"/>
      <c r="L41" s="36"/>
      <c r="M41" s="51"/>
      <c r="N41" s="22"/>
    </row>
    <row r="42" spans="1:14" ht="22.5" customHeight="1">
      <c r="A42" s="68"/>
      <c r="B42" s="30"/>
      <c r="C42" s="31"/>
      <c r="D42" s="49"/>
      <c r="E42" s="32"/>
      <c r="F42" s="35"/>
      <c r="G42" s="35"/>
      <c r="H42" s="36"/>
      <c r="I42" s="35"/>
      <c r="J42" s="35"/>
      <c r="K42" s="35"/>
      <c r="L42" s="36"/>
      <c r="M42" s="51"/>
      <c r="N42" s="22"/>
    </row>
    <row r="43" spans="1:14" ht="22.5" customHeight="1">
      <c r="A43" s="48" t="s">
        <v>95</v>
      </c>
      <c r="B43" s="69"/>
      <c r="C43" s="31"/>
      <c r="D43" s="49"/>
      <c r="E43" s="32"/>
      <c r="F43" s="35"/>
      <c r="G43" s="35"/>
      <c r="H43" s="36"/>
      <c r="I43" s="35"/>
      <c r="J43" s="35"/>
      <c r="K43" s="35"/>
      <c r="L43" s="36"/>
      <c r="M43" s="51"/>
      <c r="N43" s="22"/>
    </row>
    <row r="44" spans="1:14" ht="22.5" customHeight="1">
      <c r="A44" s="29" t="s">
        <v>96</v>
      </c>
      <c r="B44" s="69" t="s">
        <v>97</v>
      </c>
      <c r="C44" s="16" t="s">
        <v>73</v>
      </c>
      <c r="D44" s="9" t="s">
        <v>74</v>
      </c>
      <c r="E44" s="32">
        <f>25991000000/'Anexo 5'!P84</f>
        <v>180018008.03435379</v>
      </c>
      <c r="F44" s="35">
        <v>42906</v>
      </c>
      <c r="G44" s="35">
        <v>41855</v>
      </c>
      <c r="H44" s="36">
        <v>9254</v>
      </c>
      <c r="I44" s="35">
        <v>43007</v>
      </c>
      <c r="J44" s="35">
        <v>46292</v>
      </c>
      <c r="K44" s="65" t="s">
        <v>36</v>
      </c>
      <c r="L44" s="36">
        <v>0</v>
      </c>
      <c r="M44" s="37">
        <v>57516</v>
      </c>
      <c r="N44" s="22"/>
    </row>
    <row r="45" spans="1:14" ht="22.5" customHeight="1">
      <c r="A45" s="29"/>
      <c r="B45" s="69"/>
      <c r="C45" s="31"/>
      <c r="D45" s="49"/>
      <c r="E45" s="45">
        <f>SUM(E44:E44)</f>
        <v>180018008.03435379</v>
      </c>
      <c r="F45" s="35"/>
      <c r="G45" s="35"/>
      <c r="H45" s="36"/>
      <c r="I45" s="35"/>
      <c r="J45" s="35"/>
      <c r="K45" s="47"/>
      <c r="L45" s="36"/>
      <c r="M45" s="51"/>
      <c r="N45" s="22"/>
    </row>
    <row r="46" spans="1:14" ht="22.5" customHeight="1">
      <c r="A46" s="29"/>
      <c r="B46" s="72"/>
      <c r="C46" s="31"/>
      <c r="D46" s="49"/>
      <c r="E46" s="32"/>
      <c r="F46" s="35"/>
      <c r="G46" s="35"/>
      <c r="H46" s="36"/>
      <c r="I46" s="35"/>
      <c r="J46" s="35"/>
      <c r="K46" s="64"/>
      <c r="L46" s="36"/>
      <c r="M46" s="51"/>
      <c r="N46" s="22"/>
    </row>
    <row r="47" spans="1:14" ht="22.5" customHeight="1">
      <c r="A47" s="29" t="s">
        <v>98</v>
      </c>
      <c r="B47" s="72"/>
      <c r="C47" s="31"/>
      <c r="D47" s="49"/>
      <c r="E47" s="32"/>
      <c r="F47" s="35"/>
      <c r="G47" s="35"/>
      <c r="H47" s="36"/>
      <c r="I47" s="35"/>
      <c r="J47" s="35"/>
      <c r="K47" s="64"/>
      <c r="L47" s="36"/>
      <c r="M47" s="51"/>
      <c r="N47" s="22"/>
    </row>
    <row r="48" spans="1:14" ht="22.5" customHeight="1">
      <c r="A48" s="29">
        <v>28568</v>
      </c>
      <c r="B48" s="69" t="s">
        <v>99</v>
      </c>
      <c r="C48" s="31" t="s">
        <v>34</v>
      </c>
      <c r="D48" s="31" t="s">
        <v>51</v>
      </c>
      <c r="E48" s="32">
        <f>79278591*'Anexo 5'!P83</f>
        <v>86580149.231100008</v>
      </c>
      <c r="F48" s="35">
        <v>43454</v>
      </c>
      <c r="G48" s="35">
        <v>43735</v>
      </c>
      <c r="H48" s="36">
        <v>9723</v>
      </c>
      <c r="I48" s="35">
        <v>43796</v>
      </c>
      <c r="J48" s="35">
        <v>45473</v>
      </c>
      <c r="K48" s="65" t="s">
        <v>36</v>
      </c>
      <c r="L48" s="36">
        <v>0</v>
      </c>
      <c r="M48" s="37">
        <v>50905</v>
      </c>
      <c r="N48" s="22"/>
    </row>
    <row r="49" spans="1:14">
      <c r="A49" s="29"/>
      <c r="B49" s="72"/>
      <c r="C49" s="49"/>
      <c r="D49" s="49"/>
      <c r="E49" s="45">
        <f>SUM(E48)</f>
        <v>86580149.231100008</v>
      </c>
      <c r="F49" s="35"/>
      <c r="G49" s="35"/>
      <c r="H49" s="36"/>
      <c r="I49" s="35"/>
      <c r="J49" s="35"/>
      <c r="K49" s="64"/>
      <c r="L49" s="36"/>
      <c r="M49" s="51"/>
      <c r="N49" s="22"/>
    </row>
    <row r="50" spans="1:14">
      <c r="A50" s="29"/>
      <c r="B50" s="72"/>
      <c r="C50" s="49"/>
      <c r="D50" s="49"/>
      <c r="E50" s="32"/>
      <c r="F50" s="35"/>
      <c r="G50" s="35"/>
      <c r="H50" s="36"/>
      <c r="I50" s="35"/>
      <c r="J50" s="35"/>
      <c r="K50" s="64"/>
      <c r="L50" s="36"/>
      <c r="M50" s="51"/>
      <c r="N50" s="22"/>
    </row>
    <row r="51" spans="1:14" s="46" customFormat="1" ht="20.399999999999999" customHeight="1">
      <c r="A51" s="29" t="s">
        <v>100</v>
      </c>
      <c r="B51" s="72"/>
      <c r="C51" s="73"/>
      <c r="D51" s="73" t="s">
        <v>34</v>
      </c>
      <c r="E51" s="45">
        <f>E19+E30+E36+E41+E45+E49</f>
        <v>4186697387.6754537</v>
      </c>
      <c r="F51" s="63"/>
      <c r="G51" s="63"/>
      <c r="H51" s="63"/>
      <c r="I51" s="63"/>
      <c r="J51" s="63"/>
      <c r="K51" s="64"/>
      <c r="L51" s="64"/>
      <c r="M51" s="66"/>
      <c r="N51" s="67"/>
    </row>
    <row r="52" spans="1:14" s="46" customFormat="1" ht="12" customHeight="1" thickBot="1">
      <c r="A52" s="74"/>
      <c r="B52" s="75"/>
      <c r="C52" s="76"/>
      <c r="D52" s="76"/>
      <c r="E52" s="77"/>
      <c r="F52" s="78"/>
      <c r="G52" s="78"/>
      <c r="H52" s="78"/>
      <c r="I52" s="78"/>
      <c r="J52" s="78"/>
      <c r="K52" s="79"/>
      <c r="L52" s="79"/>
      <c r="M52" s="80"/>
      <c r="N52" s="67"/>
    </row>
    <row r="53" spans="1:14">
      <c r="A53" s="46"/>
      <c r="B53" s="46"/>
      <c r="C53" s="46"/>
      <c r="D53" s="46"/>
      <c r="E53" s="81"/>
    </row>
    <row r="54" spans="1:14" ht="21" customHeight="1">
      <c r="A54" s="46" t="s">
        <v>101</v>
      </c>
      <c r="B54" s="46"/>
      <c r="C54" s="46"/>
      <c r="D54" s="46"/>
      <c r="E54" s="9"/>
    </row>
    <row r="55" spans="1:14" ht="30" customHeight="1">
      <c r="A55" s="82" t="s">
        <v>102</v>
      </c>
      <c r="B55" s="82"/>
      <c r="C55" s="26"/>
      <c r="D55" s="26"/>
      <c r="E55" s="26"/>
      <c r="F55" s="83"/>
      <c r="G55" s="26"/>
      <c r="H55" s="26"/>
      <c r="I55" s="26"/>
      <c r="J55" s="26"/>
      <c r="K55" s="26"/>
      <c r="L55" s="26"/>
      <c r="M55" s="26"/>
      <c r="N55" s="26"/>
    </row>
    <row r="56" spans="1:14" ht="30" customHeight="1">
      <c r="A56" s="84" t="s">
        <v>103</v>
      </c>
      <c r="B56" s="84"/>
      <c r="C56" s="85"/>
      <c r="D56" s="85"/>
      <c r="E56" s="85"/>
      <c r="F56" s="86"/>
      <c r="G56" s="85"/>
      <c r="H56" s="85"/>
      <c r="I56" s="85"/>
      <c r="J56" s="85"/>
      <c r="K56" s="85"/>
      <c r="L56" s="85"/>
      <c r="M56" s="85"/>
      <c r="N56" s="85"/>
    </row>
    <row r="57" spans="1:14" s="49" customFormat="1" ht="18" customHeight="1">
      <c r="A57" s="85" t="s">
        <v>104</v>
      </c>
      <c r="B57" s="39"/>
      <c r="E57" s="87"/>
      <c r="G57" s="88"/>
    </row>
    <row r="58" spans="1:14" s="49" customFormat="1" ht="18" customHeight="1">
      <c r="A58" s="85" t="s">
        <v>105</v>
      </c>
      <c r="B58" s="39"/>
      <c r="E58" s="87"/>
      <c r="G58" s="88"/>
    </row>
    <row r="59" spans="1:14" s="49" customFormat="1" ht="18" customHeight="1">
      <c r="A59" s="84" t="s">
        <v>106</v>
      </c>
      <c r="B59" s="39"/>
      <c r="C59" s="39"/>
      <c r="D59" s="39"/>
      <c r="E59" s="39"/>
      <c r="F59" s="39"/>
      <c r="G59" s="39"/>
      <c r="H59" s="39"/>
      <c r="I59" s="39"/>
      <c r="J59" s="88"/>
      <c r="K59" s="39"/>
      <c r="L59" s="85"/>
      <c r="M59" s="85"/>
      <c r="N59" s="85"/>
    </row>
    <row r="60" spans="1:14" s="49" customFormat="1" ht="18" customHeight="1">
      <c r="A60" s="85" t="s">
        <v>107</v>
      </c>
      <c r="B60" s="39"/>
      <c r="C60" s="39"/>
      <c r="D60" s="39"/>
      <c r="E60" s="39"/>
      <c r="F60" s="39"/>
      <c r="G60" s="39"/>
      <c r="H60" s="39"/>
      <c r="I60" s="39"/>
      <c r="K60" s="39"/>
      <c r="L60" s="39"/>
      <c r="M60" s="85"/>
      <c r="N60" s="85"/>
    </row>
    <row r="61" spans="1:14" s="49" customFormat="1" ht="18" customHeight="1">
      <c r="A61" s="89" t="s">
        <v>108</v>
      </c>
    </row>
    <row r="62" spans="1:14" ht="22.95" customHeight="1">
      <c r="A62" s="9"/>
      <c r="B62" s="49"/>
      <c r="C62" s="49"/>
      <c r="D62" s="49"/>
      <c r="E62" s="49"/>
      <c r="F62" s="49"/>
      <c r="G62" s="49"/>
      <c r="H62" s="49"/>
      <c r="I62" s="49"/>
      <c r="J62" s="49"/>
      <c r="K62" s="49"/>
      <c r="L62" s="49"/>
      <c r="M62" s="49"/>
      <c r="N62" s="49"/>
    </row>
    <row r="66" spans="1:14" ht="20.399999999999999" customHeight="1">
      <c r="A66" s="9"/>
    </row>
    <row r="67" spans="1:14" ht="25.95" customHeight="1"/>
    <row r="68" spans="1:14">
      <c r="A68" s="92"/>
    </row>
    <row r="69" spans="1:14">
      <c r="A69" s="93"/>
      <c r="B69" s="93"/>
      <c r="C69" s="93"/>
      <c r="D69" s="93"/>
      <c r="E69" s="93"/>
      <c r="F69" s="93"/>
      <c r="G69" s="93"/>
      <c r="H69" s="93"/>
      <c r="I69" s="93"/>
      <c r="J69" s="93"/>
      <c r="K69" s="93"/>
      <c r="L69" s="93"/>
      <c r="M69" s="93"/>
      <c r="N69" s="93"/>
    </row>
    <row r="70" spans="1:14">
      <c r="A70" s="92"/>
      <c r="B70" s="94"/>
      <c r="C70" s="95"/>
      <c r="D70" s="95"/>
      <c r="E70" s="95"/>
      <c r="F70" s="95"/>
      <c r="G70" s="95"/>
      <c r="H70" s="95"/>
      <c r="I70" s="95"/>
      <c r="J70" s="95"/>
      <c r="K70" s="95"/>
      <c r="L70" s="95"/>
      <c r="M70" s="95"/>
      <c r="N70" s="95"/>
    </row>
  </sheetData>
  <sheetProtection algorithmName="SHA-512" hashValue="Np4LG5pUkPi7x5lYg6beBfZnPCOtbPOra7Ea5QuTdQ2wWzY2khTtbEiWy05mnymD2goW2lHgLGlp+Lu2vec4xQ==" saltValue="J9onaXvajqeNzTJK8CBuwg==" spinCount="100000" sheet="1" objects="1" scenarios="1"/>
  <mergeCells count="20">
    <mergeCell ref="F39:F40"/>
    <mergeCell ref="G39:G40"/>
    <mergeCell ref="I39:I40"/>
    <mergeCell ref="A1:M1"/>
    <mergeCell ref="A69:N69"/>
    <mergeCell ref="A2:M2"/>
    <mergeCell ref="A3:M3"/>
    <mergeCell ref="A5:M5"/>
    <mergeCell ref="C23:C24"/>
    <mergeCell ref="C39:C40"/>
    <mergeCell ref="H23:H24"/>
    <mergeCell ref="F23:F24"/>
    <mergeCell ref="G23:G24"/>
    <mergeCell ref="I23:I24"/>
    <mergeCell ref="J23:J24"/>
    <mergeCell ref="K23:K24"/>
    <mergeCell ref="L23:L24"/>
    <mergeCell ref="M23:M24"/>
    <mergeCell ref="H39:H40"/>
    <mergeCell ref="A4:M4"/>
  </mergeCells>
  <printOptions horizontalCentered="1" verticalCentered="1"/>
  <pageMargins left="0.15748031496062992" right="0" top="0.15748031496062992" bottom="0.39370078740157483" header="0" footer="0.39370078740157483"/>
  <pageSetup scale="36" orientation="landscape" r:id="rId1"/>
  <headerFooter alignWithMargins="0"/>
  <ignoredErrors>
    <ignoredError sqref="I20:M20 I30:M32 I41:M43 I52:M52 I39 I21 K21:M21 I37:M38 K39:L39 I19:J19 L19:M19 I45:M46 F51:G51 J51:M51 I36:M36 A40 F36:G36 F45:G46 F19:G19 F37:G38 F21:G21 F52:G52 F41:G43 F30:G32 F20:G20 H34" numberStoredAsText="1"/>
    <ignoredError sqref="E46 E5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Hoja8"/>
  <dimension ref="A1:AA77"/>
  <sheetViews>
    <sheetView showGridLines="0" zoomScale="70" zoomScaleNormal="70" zoomScaleSheetLayoutView="55" workbookViewId="0">
      <selection activeCell="C10" sqref="C10"/>
    </sheetView>
  </sheetViews>
  <sheetFormatPr baseColWidth="10" defaultColWidth="11" defaultRowHeight="13.8"/>
  <cols>
    <col min="1" max="1" width="24.44140625" style="90" customWidth="1"/>
    <col min="2" max="2" width="45.21875" style="90" bestFit="1" customWidth="1"/>
    <col min="3" max="3" width="13.33203125" style="16" customWidth="1"/>
    <col min="4" max="4" width="21.109375" style="9" customWidth="1"/>
    <col min="5" max="5" width="20.44140625" style="81" customWidth="1"/>
    <col min="6" max="6" width="19.6640625" style="96" customWidth="1"/>
    <col min="7" max="7" width="20.6640625" style="96" hidden="1" customWidth="1"/>
    <col min="8" max="8" width="22.109375" style="81" customWidth="1"/>
    <col min="9" max="9" width="10.21875" style="9" bestFit="1" customWidth="1"/>
    <col min="10" max="10" width="11.44140625" style="91" customWidth="1"/>
    <col min="11" max="11" width="13.44140625" style="9" customWidth="1"/>
    <col min="12" max="12" width="10.21875" style="9" customWidth="1"/>
    <col min="13" max="13" width="11.77734375" style="9" customWidth="1"/>
    <col min="14" max="14" width="18.88671875" style="9" bestFit="1" customWidth="1"/>
    <col min="15" max="15" width="19" style="9" bestFit="1" customWidth="1"/>
    <col min="16" max="16384" width="11" style="9"/>
  </cols>
  <sheetData>
    <row r="1" spans="1:20" ht="25.2" customHeight="1"/>
    <row r="2" spans="1:20" ht="25.2" customHeight="1">
      <c r="A2" s="10" t="s">
        <v>109</v>
      </c>
      <c r="B2" s="10"/>
      <c r="C2" s="10"/>
      <c r="D2" s="10"/>
      <c r="E2" s="10"/>
      <c r="F2" s="10"/>
      <c r="G2" s="10"/>
      <c r="H2" s="10"/>
      <c r="I2" s="10"/>
      <c r="J2" s="10"/>
      <c r="K2" s="10"/>
      <c r="L2" s="10"/>
      <c r="M2" s="10"/>
      <c r="N2" s="10"/>
      <c r="O2" s="10"/>
    </row>
    <row r="3" spans="1:20" ht="25.2" customHeight="1">
      <c r="A3" s="10" t="s">
        <v>4</v>
      </c>
      <c r="B3" s="10"/>
      <c r="C3" s="10"/>
      <c r="D3" s="10"/>
      <c r="E3" s="10"/>
      <c r="F3" s="10"/>
      <c r="G3" s="10"/>
      <c r="H3" s="10"/>
      <c r="I3" s="10"/>
      <c r="J3" s="10"/>
      <c r="K3" s="10"/>
      <c r="L3" s="10"/>
      <c r="M3" s="10"/>
      <c r="N3" s="10"/>
      <c r="O3" s="10"/>
    </row>
    <row r="4" spans="1:20" ht="25.2" customHeight="1">
      <c r="A4" s="10" t="s">
        <v>18</v>
      </c>
      <c r="B4" s="10"/>
      <c r="C4" s="10"/>
      <c r="D4" s="10"/>
      <c r="E4" s="10"/>
      <c r="F4" s="10"/>
      <c r="G4" s="10"/>
      <c r="H4" s="10"/>
      <c r="I4" s="10"/>
      <c r="J4" s="10"/>
      <c r="K4" s="10"/>
      <c r="L4" s="10"/>
      <c r="M4" s="10"/>
      <c r="N4" s="10"/>
      <c r="O4" s="10"/>
    </row>
    <row r="5" spans="1:20" s="16" customFormat="1" ht="25.2" customHeight="1" thickBot="1">
      <c r="A5" s="97">
        <f>'Anexo 1'!A5:M5</f>
        <v>45107</v>
      </c>
      <c r="B5" s="97"/>
      <c r="C5" s="97"/>
      <c r="D5" s="97"/>
      <c r="E5" s="97"/>
      <c r="F5" s="97"/>
      <c r="G5" s="97"/>
      <c r="H5" s="97"/>
      <c r="I5" s="97"/>
      <c r="J5" s="97"/>
      <c r="K5" s="97"/>
      <c r="L5" s="97"/>
      <c r="M5" s="97"/>
      <c r="N5" s="97"/>
      <c r="O5" s="97"/>
    </row>
    <row r="6" spans="1:20" s="16" customFormat="1" ht="14.4" customHeight="1" thickBot="1">
      <c r="A6" s="98" t="s">
        <v>19</v>
      </c>
      <c r="B6" s="98" t="s">
        <v>20</v>
      </c>
      <c r="C6" s="98" t="s">
        <v>21</v>
      </c>
      <c r="D6" s="98" t="s">
        <v>110</v>
      </c>
      <c r="E6" s="98" t="s">
        <v>111</v>
      </c>
      <c r="F6" s="98" t="s">
        <v>112</v>
      </c>
      <c r="G6" s="98" t="s">
        <v>113</v>
      </c>
      <c r="H6" s="98" t="s">
        <v>114</v>
      </c>
      <c r="I6" s="99" t="s">
        <v>115</v>
      </c>
      <c r="J6" s="100"/>
      <c r="K6" s="101" t="s">
        <v>116</v>
      </c>
      <c r="L6" s="102"/>
      <c r="M6" s="103"/>
      <c r="N6" s="101" t="s">
        <v>117</v>
      </c>
      <c r="O6" s="103"/>
    </row>
    <row r="7" spans="1:20" s="16" customFormat="1" ht="105" customHeight="1" thickBot="1">
      <c r="A7" s="104"/>
      <c r="B7" s="104"/>
      <c r="C7" s="104"/>
      <c r="D7" s="104"/>
      <c r="E7" s="104"/>
      <c r="F7" s="104"/>
      <c r="G7" s="104"/>
      <c r="H7" s="104"/>
      <c r="I7" s="13" t="s">
        <v>118</v>
      </c>
      <c r="J7" s="13" t="s">
        <v>119</v>
      </c>
      <c r="K7" s="13" t="s">
        <v>120</v>
      </c>
      <c r="L7" s="13" t="s">
        <v>121</v>
      </c>
      <c r="M7" s="13" t="s">
        <v>122</v>
      </c>
      <c r="N7" s="13" t="s">
        <v>123</v>
      </c>
      <c r="O7" s="13" t="s">
        <v>124</v>
      </c>
    </row>
    <row r="8" spans="1:20" ht="16.5" customHeight="1">
      <c r="A8" s="23" t="s">
        <v>32</v>
      </c>
      <c r="B8" s="24"/>
      <c r="D8" s="81"/>
      <c r="E8" s="105"/>
      <c r="F8" s="105"/>
      <c r="G8" s="105"/>
      <c r="H8" s="105"/>
      <c r="I8" s="106"/>
      <c r="J8" s="107"/>
      <c r="K8" s="81"/>
      <c r="L8" s="81"/>
      <c r="M8" s="81"/>
      <c r="N8" s="81"/>
      <c r="O8" s="108"/>
    </row>
    <row r="9" spans="1:20" ht="43.2">
      <c r="A9" s="29">
        <v>1725</v>
      </c>
      <c r="B9" s="109" t="s">
        <v>125</v>
      </c>
      <c r="C9" s="31" t="s">
        <v>34</v>
      </c>
      <c r="D9" s="110">
        <f>'Anexo 1'!E9</f>
        <v>99453757</v>
      </c>
      <c r="E9" s="32">
        <v>99453757</v>
      </c>
      <c r="F9" s="32">
        <v>0</v>
      </c>
      <c r="G9" s="32"/>
      <c r="H9" s="32">
        <f t="shared" ref="H9:H18" si="0">D9-E9</f>
        <v>0</v>
      </c>
      <c r="I9" s="111">
        <f>E9/D9</f>
        <v>1</v>
      </c>
      <c r="J9" s="111">
        <v>0.92910000000000004</v>
      </c>
      <c r="K9" s="112">
        <v>9</v>
      </c>
      <c r="L9" s="112">
        <f>+('Anexo 1'!K9-'Anexo 1'!F9)/365</f>
        <v>13.271232876712329</v>
      </c>
      <c r="M9" s="110">
        <f>($A$5-'Anexo 1'!F9)/365</f>
        <v>15.271232876712329</v>
      </c>
      <c r="N9" s="112">
        <f>('Anexo 1'!K9-'Anexo 1'!I9)/365</f>
        <v>13.043835616438356</v>
      </c>
      <c r="O9" s="113">
        <f>($A$5-'Anexo 1'!I9)/365</f>
        <v>15.043835616438356</v>
      </c>
      <c r="S9" s="114"/>
      <c r="T9" s="114"/>
    </row>
    <row r="10" spans="1:20" ht="30" customHeight="1">
      <c r="A10" s="29">
        <v>2080</v>
      </c>
      <c r="B10" s="30" t="s">
        <v>126</v>
      </c>
      <c r="C10" s="31" t="s">
        <v>38</v>
      </c>
      <c r="D10" s="110">
        <f>'Anexo 1'!E10</f>
        <v>340000000</v>
      </c>
      <c r="E10" s="110">
        <v>340000000</v>
      </c>
      <c r="F10" s="110">
        <v>0</v>
      </c>
      <c r="G10" s="110"/>
      <c r="H10" s="32">
        <f t="shared" si="0"/>
        <v>0</v>
      </c>
      <c r="I10" s="111">
        <f t="shared" ref="I10:I18" si="1">E10/D10</f>
        <v>1</v>
      </c>
      <c r="J10" s="111">
        <v>1</v>
      </c>
      <c r="K10" s="112">
        <v>5</v>
      </c>
      <c r="L10" s="112">
        <f>+('Anexo 1'!K10-'Anexo 1'!F10)/365</f>
        <v>9.1232876712328768</v>
      </c>
      <c r="M10" s="110">
        <f>($A$5-'Anexo 1'!F10)/365</f>
        <v>11.210958904109589</v>
      </c>
      <c r="N10" s="112">
        <f>('Anexo 1'!K10-'Anexo 1'!I10)/365</f>
        <v>8.4602739726027405</v>
      </c>
      <c r="O10" s="113">
        <f>($A$5-'Anexo 1'!I10)/365</f>
        <v>10.547945205479452</v>
      </c>
      <c r="S10" s="114"/>
      <c r="T10" s="114"/>
    </row>
    <row r="11" spans="1:20" ht="85.95" customHeight="1">
      <c r="A11" s="29" t="s">
        <v>39</v>
      </c>
      <c r="B11" s="30" t="s">
        <v>127</v>
      </c>
      <c r="C11" s="31" t="s">
        <v>41</v>
      </c>
      <c r="D11" s="110">
        <f>'Anexo 1'!E11</f>
        <v>90055000</v>
      </c>
      <c r="E11" s="110">
        <v>67443845.230000004</v>
      </c>
      <c r="F11" s="110">
        <v>18543845.23</v>
      </c>
      <c r="G11" s="110"/>
      <c r="H11" s="32">
        <f t="shared" si="0"/>
        <v>22611154.769999996</v>
      </c>
      <c r="I11" s="111">
        <f t="shared" si="1"/>
        <v>0.74891838576425518</v>
      </c>
      <c r="J11" s="111">
        <v>0.57999999999999996</v>
      </c>
      <c r="K11" s="115">
        <v>5</v>
      </c>
      <c r="L11" s="112" t="s">
        <v>36</v>
      </c>
      <c r="M11" s="110">
        <f>($A$5-'Anexo 1'!F11)/365</f>
        <v>2.6191780821917807</v>
      </c>
      <c r="N11" s="112">
        <f>('Anexo 1'!J11-'Anexo 1'!I11)/365</f>
        <v>5.3315068493150681</v>
      </c>
      <c r="O11" s="113">
        <f>($A$5-'Anexo 1'!I11)/365</f>
        <v>1.4986301369863013</v>
      </c>
      <c r="S11" s="114"/>
      <c r="T11" s="114"/>
    </row>
    <row r="12" spans="1:20" ht="29.4">
      <c r="A12" s="29">
        <v>2128</v>
      </c>
      <c r="B12" s="30" t="s">
        <v>128</v>
      </c>
      <c r="C12" s="31" t="s">
        <v>43</v>
      </c>
      <c r="D12" s="110">
        <f>'Anexo 1'!E12</f>
        <v>270000000</v>
      </c>
      <c r="E12" s="110">
        <v>234538945.12</v>
      </c>
      <c r="F12" s="110">
        <v>20725112.390000001</v>
      </c>
      <c r="G12" s="110"/>
      <c r="H12" s="32">
        <f t="shared" si="0"/>
        <v>35461054.879999995</v>
      </c>
      <c r="I12" s="111">
        <f t="shared" si="1"/>
        <v>0.86866275970370377</v>
      </c>
      <c r="J12" s="111">
        <v>0.92659999999999998</v>
      </c>
      <c r="K12" s="112">
        <v>6</v>
      </c>
      <c r="L12" s="112">
        <f>+('Anexo 1'!K12-'Anexo 1'!F12)/365</f>
        <v>9.7616438356164377</v>
      </c>
      <c r="M12" s="110">
        <f>($A$5-'Anexo 1'!F12)/365</f>
        <v>9.4821917808219176</v>
      </c>
      <c r="N12" s="112">
        <f>('Anexo 1'!J12-'Anexo 1'!I12)/365</f>
        <v>4.9726027397260273</v>
      </c>
      <c r="O12" s="113">
        <f>($A$5-'Anexo 1'!I12)/365</f>
        <v>8.6958904109589046</v>
      </c>
      <c r="S12" s="114"/>
      <c r="T12" s="114"/>
    </row>
    <row r="13" spans="1:20" ht="41.4" customHeight="1">
      <c r="A13" s="29">
        <v>2129</v>
      </c>
      <c r="B13" s="30" t="s">
        <v>129</v>
      </c>
      <c r="C13" s="31" t="s">
        <v>34</v>
      </c>
      <c r="D13" s="110">
        <f>'Anexo 1'!E13</f>
        <v>130000000</v>
      </c>
      <c r="E13" s="110">
        <v>11200000</v>
      </c>
      <c r="F13" s="110">
        <v>0</v>
      </c>
      <c r="G13" s="110"/>
      <c r="H13" s="32">
        <f t="shared" si="0"/>
        <v>118800000</v>
      </c>
      <c r="I13" s="111">
        <f t="shared" si="1"/>
        <v>8.615384615384615E-2</v>
      </c>
      <c r="J13" s="111">
        <v>0.35310000000000002</v>
      </c>
      <c r="K13" s="112">
        <v>7</v>
      </c>
      <c r="L13" s="112" t="s">
        <v>36</v>
      </c>
      <c r="M13" s="110">
        <f>($A$5-'Anexo 1'!F13)/365</f>
        <v>7.8876712328767127</v>
      </c>
      <c r="N13" s="112">
        <f>('Anexo 1'!J13-'Anexo 1'!I13)/365</f>
        <v>7.558904109589041</v>
      </c>
      <c r="O13" s="113">
        <f>($A$5-'Anexo 1'!I13)/365</f>
        <v>7.441095890410959</v>
      </c>
      <c r="S13" s="114"/>
      <c r="T13" s="114"/>
    </row>
    <row r="14" spans="1:20" ht="60" customHeight="1">
      <c r="A14" s="29">
        <v>2164</v>
      </c>
      <c r="B14" s="30" t="s">
        <v>130</v>
      </c>
      <c r="C14" s="31" t="s">
        <v>34</v>
      </c>
      <c r="D14" s="110">
        <f>'Anexo 1'!E14</f>
        <v>154562390.28999999</v>
      </c>
      <c r="E14" s="110">
        <v>16854499.489999998</v>
      </c>
      <c r="F14" s="110">
        <v>0</v>
      </c>
      <c r="G14" s="110"/>
      <c r="H14" s="32">
        <f>D14-E14</f>
        <v>137707890.79999998</v>
      </c>
      <c r="I14" s="111">
        <f t="shared" si="1"/>
        <v>0.10904657632672794</v>
      </c>
      <c r="J14" s="111">
        <v>0.2344</v>
      </c>
      <c r="K14" s="112">
        <v>5</v>
      </c>
      <c r="L14" s="112" t="s">
        <v>36</v>
      </c>
      <c r="M14" s="110">
        <f>($A$5-'Anexo 1'!F14)/365</f>
        <v>5.1589041095890407</v>
      </c>
      <c r="N14" s="112">
        <f>('Anexo 1'!J14-'Anexo 1'!I14)/365</f>
        <v>5.1534246575342468</v>
      </c>
      <c r="O14" s="113">
        <f>($A$5-'Anexo 1'!I14)/365</f>
        <v>4.3178082191780822</v>
      </c>
      <c r="S14" s="114"/>
      <c r="T14" s="114"/>
    </row>
    <row r="15" spans="1:20" ht="47.4" customHeight="1">
      <c r="A15" s="29" t="s">
        <v>46</v>
      </c>
      <c r="B15" s="116" t="s">
        <v>131</v>
      </c>
      <c r="C15" s="31" t="str">
        <f>+'Anexo 1'!C15</f>
        <v>AyA</v>
      </c>
      <c r="D15" s="110">
        <f>'Anexo 1'!E15</f>
        <v>111128810</v>
      </c>
      <c r="E15" s="110">
        <v>2088000</v>
      </c>
      <c r="F15" s="110">
        <v>0</v>
      </c>
      <c r="G15" s="110"/>
      <c r="H15" s="32">
        <f t="shared" si="0"/>
        <v>109040810</v>
      </c>
      <c r="I15" s="111">
        <f t="shared" si="1"/>
        <v>1.8789007099059191E-2</v>
      </c>
      <c r="J15" s="111">
        <v>0.13139999999999999</v>
      </c>
      <c r="K15" s="115">
        <v>5</v>
      </c>
      <c r="L15" s="112" t="s">
        <v>36</v>
      </c>
      <c r="M15" s="110">
        <f>($A$5-'Anexo 1'!F15)/365</f>
        <v>4.1506849315068495</v>
      </c>
      <c r="N15" s="112">
        <f>('Anexo 1'!J15-'Anexo 1'!I15)/365</f>
        <v>6.5315068493150683</v>
      </c>
      <c r="O15" s="113">
        <f>($A$5-'Anexo 1'!I15)/365</f>
        <v>3.7013698630136984</v>
      </c>
      <c r="S15" s="114"/>
      <c r="T15" s="114"/>
    </row>
    <row r="16" spans="1:20" ht="27.6">
      <c r="A16" s="29">
        <v>2198</v>
      </c>
      <c r="B16" s="30" t="str">
        <f>+'Anexo 1'!B16</f>
        <v>Programa de Alcantarillado y Control de Inundaciones para Limón</v>
      </c>
      <c r="C16" s="31" t="str">
        <f>+'Anexo 1'!C16</f>
        <v>AyA/SENARA</v>
      </c>
      <c r="D16" s="110">
        <f>'Anexo 1'!E16</f>
        <v>55080000</v>
      </c>
      <c r="E16" s="110">
        <v>500000</v>
      </c>
      <c r="F16" s="110">
        <v>0</v>
      </c>
      <c r="G16" s="110"/>
      <c r="H16" s="32">
        <f t="shared" si="0"/>
        <v>54580000</v>
      </c>
      <c r="I16" s="111">
        <f t="shared" si="1"/>
        <v>9.0777051561365292E-3</v>
      </c>
      <c r="J16" s="111">
        <v>0.2341</v>
      </c>
      <c r="K16" s="115">
        <v>3</v>
      </c>
      <c r="L16" s="112" t="s">
        <v>36</v>
      </c>
      <c r="M16" s="110">
        <f>($A$5-'Anexo 1'!G16)/365</f>
        <v>4.0109589041095894</v>
      </c>
      <c r="N16" s="112">
        <f>('Anexo 1'!J16-'Anexo 1'!I16)/365</f>
        <v>3.580821917808219</v>
      </c>
      <c r="O16" s="113">
        <f>($A$5-'Anexo 1'!I16)/365</f>
        <v>3.591780821917808</v>
      </c>
      <c r="S16" s="114"/>
      <c r="T16" s="114"/>
    </row>
    <row r="17" spans="1:20" ht="15.6">
      <c r="A17" s="29">
        <v>2270</v>
      </c>
      <c r="B17" s="30" t="s">
        <v>132</v>
      </c>
      <c r="C17" s="31" t="str">
        <f>+'Anexo 1'!C17</f>
        <v>CNE</v>
      </c>
      <c r="D17" s="110">
        <f>'Anexo 1'!E17</f>
        <v>80000000</v>
      </c>
      <c r="E17" s="110">
        <v>80000000</v>
      </c>
      <c r="F17" s="110">
        <v>0</v>
      </c>
      <c r="G17" s="110"/>
      <c r="H17" s="32">
        <f t="shared" si="0"/>
        <v>0</v>
      </c>
      <c r="I17" s="111">
        <f t="shared" si="1"/>
        <v>1</v>
      </c>
      <c r="J17" s="111" t="s">
        <v>36</v>
      </c>
      <c r="K17" s="115">
        <v>1</v>
      </c>
      <c r="L17" s="112" t="s">
        <v>36</v>
      </c>
      <c r="M17" s="110">
        <f>($A$5-'Anexo 1'!G17)/365</f>
        <v>1.7452054794520548</v>
      </c>
      <c r="N17" s="112">
        <f>('Anexo 1'!J17-'Anexo 1'!I17)/365</f>
        <v>0.9945205479452055</v>
      </c>
      <c r="O17" s="113">
        <f>($A$5-'Anexo 1'!I17)/365</f>
        <v>1.5342465753424657</v>
      </c>
      <c r="S17" s="114"/>
      <c r="T17" s="114"/>
    </row>
    <row r="18" spans="1:20" ht="38.4" customHeight="1">
      <c r="A18" s="29">
        <v>2220</v>
      </c>
      <c r="B18" s="30" t="str">
        <f>+'Anexo 1'!B18</f>
        <v>Proyecto de Abastecimiento de Agua para la Cuenca Media del río Tempisque y Comunidades Costeras (PAACUME)</v>
      </c>
      <c r="C18" s="31" t="s">
        <v>55</v>
      </c>
      <c r="D18" s="110">
        <f>'Anexo 1'!E18</f>
        <v>425000000</v>
      </c>
      <c r="E18" s="110">
        <v>0</v>
      </c>
      <c r="F18" s="110">
        <v>0</v>
      </c>
      <c r="G18" s="110"/>
      <c r="H18" s="32">
        <f t="shared" si="0"/>
        <v>425000000</v>
      </c>
      <c r="I18" s="111">
        <f t="shared" si="1"/>
        <v>0</v>
      </c>
      <c r="J18" s="111">
        <v>0</v>
      </c>
      <c r="K18" s="115">
        <v>5</v>
      </c>
      <c r="L18" s="112" t="s">
        <v>36</v>
      </c>
      <c r="M18" s="110">
        <f>($A$5-'Anexo 1'!G18)/365</f>
        <v>1.1369863013698631</v>
      </c>
      <c r="N18" s="112" t="s">
        <v>133</v>
      </c>
      <c r="O18" s="113">
        <f>($A$5-'Anexo 1'!I18)/365</f>
        <v>0.59452054794520548</v>
      </c>
      <c r="S18" s="114"/>
      <c r="T18" s="114"/>
    </row>
    <row r="19" spans="1:20" s="46" customFormat="1">
      <c r="A19" s="29"/>
      <c r="B19" s="1"/>
      <c r="C19" s="43"/>
      <c r="D19" s="117">
        <f>SUM(D9:D18)</f>
        <v>1755279957.29</v>
      </c>
      <c r="E19" s="117">
        <f t="shared" ref="E19:G19" si="2">SUM(E9:E18)</f>
        <v>852079046.84000003</v>
      </c>
      <c r="F19" s="117">
        <f t="shared" si="2"/>
        <v>39268957.620000005</v>
      </c>
      <c r="G19" s="117">
        <f t="shared" si="2"/>
        <v>0</v>
      </c>
      <c r="H19" s="45">
        <f>SUM(H9:H18)</f>
        <v>903200910.44999993</v>
      </c>
      <c r="I19" s="111"/>
      <c r="J19" s="111"/>
      <c r="K19" s="118"/>
      <c r="L19" s="112"/>
      <c r="M19" s="117"/>
      <c r="N19" s="112"/>
      <c r="O19" s="113"/>
      <c r="S19" s="114"/>
      <c r="T19" s="114"/>
    </row>
    <row r="20" spans="1:20" s="46" customFormat="1">
      <c r="A20" s="29"/>
      <c r="B20" s="1"/>
      <c r="C20" s="43"/>
      <c r="D20" s="117"/>
      <c r="E20" s="117"/>
      <c r="F20" s="117"/>
      <c r="G20" s="117"/>
      <c r="H20" s="45"/>
      <c r="I20" s="111"/>
      <c r="J20" s="111"/>
      <c r="K20" s="118"/>
      <c r="L20" s="112"/>
      <c r="M20" s="117"/>
      <c r="N20" s="118"/>
      <c r="O20" s="113"/>
      <c r="S20" s="114"/>
      <c r="T20" s="114"/>
    </row>
    <row r="21" spans="1:20" ht="16.5" customHeight="1">
      <c r="A21" s="48" t="s">
        <v>58</v>
      </c>
      <c r="B21" s="30"/>
      <c r="C21" s="31"/>
      <c r="D21" s="110"/>
      <c r="E21" s="110"/>
      <c r="F21" s="110"/>
      <c r="G21" s="110"/>
      <c r="H21" s="32"/>
      <c r="I21" s="111"/>
      <c r="J21" s="111"/>
      <c r="K21" s="112"/>
      <c r="L21" s="112"/>
      <c r="M21" s="110"/>
      <c r="N21" s="112"/>
      <c r="O21" s="113"/>
      <c r="S21" s="114"/>
      <c r="T21" s="114"/>
    </row>
    <row r="22" spans="1:20">
      <c r="A22" s="29" t="s">
        <v>59</v>
      </c>
      <c r="B22" s="52" t="s">
        <v>134</v>
      </c>
      <c r="C22" s="31" t="s">
        <v>34</v>
      </c>
      <c r="D22" s="110">
        <f>'Anexo 1'!E22</f>
        <v>73000000</v>
      </c>
      <c r="E22" s="110">
        <v>69088690.840000004</v>
      </c>
      <c r="F22" s="110">
        <v>5630647.0600000005</v>
      </c>
      <c r="G22" s="110"/>
      <c r="H22" s="32">
        <f>D22-E22</f>
        <v>3911309.1599999964</v>
      </c>
      <c r="I22" s="111">
        <f t="shared" ref="I22:I28" si="3">E22/D22</f>
        <v>0.94642042246575342</v>
      </c>
      <c r="J22" s="111">
        <v>0.95289999999999997</v>
      </c>
      <c r="K22" s="112">
        <v>6</v>
      </c>
      <c r="L22" s="112">
        <f>+('Anexo 1'!K22-'Anexo 1'!G22)/365</f>
        <v>10.838356164383562</v>
      </c>
      <c r="M22" s="110">
        <f>($A$5-'Anexo 1'!G22)/365</f>
        <v>9.7698630136986306</v>
      </c>
      <c r="N22" s="112">
        <f>('Anexo 1'!K22-'Anexo 1'!I22)/365</f>
        <v>10.010958904109589</v>
      </c>
      <c r="O22" s="113">
        <f>($A$5-'Anexo 1'!I22)/365</f>
        <v>8.9424657534246581</v>
      </c>
      <c r="S22" s="114"/>
      <c r="T22" s="114"/>
    </row>
    <row r="23" spans="1:20">
      <c r="A23" s="54" t="s">
        <v>62</v>
      </c>
      <c r="B23" s="30" t="s">
        <v>63</v>
      </c>
      <c r="C23" s="55" t="s">
        <v>64</v>
      </c>
      <c r="D23" s="110">
        <f>'Anexo 1'!E23</f>
        <v>400000000</v>
      </c>
      <c r="E23" s="110">
        <v>280000000</v>
      </c>
      <c r="F23" s="110">
        <v>0</v>
      </c>
      <c r="G23" s="110"/>
      <c r="H23" s="32">
        <f t="shared" ref="H23:H29" si="4">D23-E23</f>
        <v>120000000</v>
      </c>
      <c r="I23" s="111">
        <f t="shared" si="3"/>
        <v>0.7</v>
      </c>
      <c r="J23" s="119">
        <v>0.63919999999999999</v>
      </c>
      <c r="K23" s="120">
        <v>6</v>
      </c>
      <c r="L23" s="120">
        <f>+('Anexo 1'!K23-'Anexo 1'!G23)/365</f>
        <v>10.005479452054795</v>
      </c>
      <c r="M23" s="121">
        <f>($A$5-'Anexo 1'!G23)/365</f>
        <v>8.632876712328768</v>
      </c>
      <c r="N23" s="120">
        <f>('Anexo 1'!K23-'Anexo 1'!I23)/365</f>
        <v>9.5835616438356173</v>
      </c>
      <c r="O23" s="122">
        <f>($A$5-'Anexo 1'!I23)/365</f>
        <v>8.2109589041095887</v>
      </c>
      <c r="S23" s="114"/>
      <c r="T23" s="114"/>
    </row>
    <row r="24" spans="1:20" ht="24.6" customHeight="1">
      <c r="A24" s="54" t="s">
        <v>65</v>
      </c>
      <c r="B24" s="30" t="s">
        <v>63</v>
      </c>
      <c r="C24" s="55"/>
      <c r="D24" s="110">
        <f>'Anexo 1'!E24</f>
        <v>50000000</v>
      </c>
      <c r="E24" s="110">
        <v>30000000</v>
      </c>
      <c r="F24" s="110">
        <v>0</v>
      </c>
      <c r="G24" s="110"/>
      <c r="H24" s="32">
        <f t="shared" si="4"/>
        <v>20000000</v>
      </c>
      <c r="I24" s="111">
        <f t="shared" si="3"/>
        <v>0.6</v>
      </c>
      <c r="J24" s="119"/>
      <c r="K24" s="120"/>
      <c r="L24" s="120"/>
      <c r="M24" s="121"/>
      <c r="N24" s="120"/>
      <c r="O24" s="122"/>
      <c r="S24" s="114"/>
      <c r="T24" s="114"/>
    </row>
    <row r="25" spans="1:20" ht="29.4" customHeight="1">
      <c r="A25" s="54" t="s">
        <v>66</v>
      </c>
      <c r="B25" s="30" t="s">
        <v>67</v>
      </c>
      <c r="C25" s="31" t="s">
        <v>68</v>
      </c>
      <c r="D25" s="110">
        <f>'Anexo 1'!E25</f>
        <v>100000000</v>
      </c>
      <c r="E25" s="32">
        <v>63364896.030000001</v>
      </c>
      <c r="F25" s="32">
        <v>10720767.050000001</v>
      </c>
      <c r="G25" s="32"/>
      <c r="H25" s="32">
        <f t="shared" si="4"/>
        <v>36635103.969999999</v>
      </c>
      <c r="I25" s="111">
        <f t="shared" si="3"/>
        <v>0.63364896030000006</v>
      </c>
      <c r="J25" s="111">
        <v>0.54079999999999995</v>
      </c>
      <c r="K25" s="112">
        <v>5</v>
      </c>
      <c r="L25" s="112">
        <f>+('Anexo 1'!K25-'Anexo 1'!G25)/365</f>
        <v>7.0054794520547947</v>
      </c>
      <c r="M25" s="110">
        <f>($A$5-'Anexo 1'!G25)/365</f>
        <v>6.0849315068493155</v>
      </c>
      <c r="N25" s="112">
        <f>('Anexo 1'!K25-'Anexo 1'!I25)/365</f>
        <v>6.4657534246575343</v>
      </c>
      <c r="O25" s="113">
        <f>($A$5-'Anexo 1'!I25)/365</f>
        <v>5.5452054794520551</v>
      </c>
      <c r="S25" s="114"/>
      <c r="T25" s="114"/>
    </row>
    <row r="26" spans="1:20" ht="15.6">
      <c r="A26" s="54" t="s">
        <v>69</v>
      </c>
      <c r="B26" s="30" t="s">
        <v>135</v>
      </c>
      <c r="C26" s="31" t="s">
        <v>64</v>
      </c>
      <c r="D26" s="110">
        <f>'Anexo 1'!E26</f>
        <v>144036000</v>
      </c>
      <c r="E26" s="110">
        <v>76989292.430000007</v>
      </c>
      <c r="F26" s="110">
        <v>15000000</v>
      </c>
      <c r="G26" s="110"/>
      <c r="H26" s="32">
        <f t="shared" si="4"/>
        <v>67046707.569999993</v>
      </c>
      <c r="I26" s="111">
        <f t="shared" si="3"/>
        <v>0.53451423553833766</v>
      </c>
      <c r="J26" s="111">
        <v>0.65</v>
      </c>
      <c r="K26" s="112">
        <v>5</v>
      </c>
      <c r="L26" s="112">
        <f>+('Anexo 1'!K26-'Anexo 1'!F26)/365</f>
        <v>7.0054794520547947</v>
      </c>
      <c r="M26" s="110">
        <f>($A$5-'Anexo 1'!F26)/365</f>
        <v>4.7780821917808218</v>
      </c>
      <c r="N26" s="112">
        <f>('Anexo 1'!J26-'Anexo 1'!I26)/365</f>
        <v>4.8657534246575347</v>
      </c>
      <c r="O26" s="113">
        <f>($A$5-'Anexo 1'!I26)/365</f>
        <v>4.6410958904109592</v>
      </c>
      <c r="S26" s="114"/>
      <c r="T26" s="114"/>
    </row>
    <row r="27" spans="1:20" ht="27.6">
      <c r="A27" s="54" t="str">
        <f>+'Anexo 1'!A27</f>
        <v>3589/OC-CR</v>
      </c>
      <c r="B27" s="30" t="s">
        <v>72</v>
      </c>
      <c r="C27" s="31" t="str">
        <f>+'Anexo 1'!C27</f>
        <v>ICE</v>
      </c>
      <c r="D27" s="110">
        <f>+'Anexo 1'!E27</f>
        <v>134500000</v>
      </c>
      <c r="E27" s="110">
        <v>81563456.840000004</v>
      </c>
      <c r="F27" s="110">
        <v>25000000</v>
      </c>
      <c r="G27" s="110"/>
      <c r="H27" s="32">
        <f t="shared" si="4"/>
        <v>52936543.159999996</v>
      </c>
      <c r="I27" s="111">
        <f t="shared" si="3"/>
        <v>0.60641975345724908</v>
      </c>
      <c r="J27" s="111">
        <v>0.62739999999999996</v>
      </c>
      <c r="K27" s="112">
        <v>5</v>
      </c>
      <c r="L27" s="112" t="s">
        <v>36</v>
      </c>
      <c r="M27" s="110">
        <f>($A$5-'Anexo 1'!F27)/365</f>
        <v>4.3945205479452056</v>
      </c>
      <c r="N27" s="112">
        <f>('Anexo 1'!J27-'Anexo 1'!I27)/365</f>
        <v>5.3589041095890408</v>
      </c>
      <c r="O27" s="113">
        <f>($A$5-'Anexo 1'!I27)/365</f>
        <v>4.7506849315068491</v>
      </c>
      <c r="S27" s="114"/>
      <c r="T27" s="114"/>
    </row>
    <row r="28" spans="1:20" ht="27.6">
      <c r="A28" s="54" t="str">
        <f>+'Anexo 1'!A28</f>
        <v>4864/OC-CR</v>
      </c>
      <c r="B28" s="30" t="str">
        <f>+'Anexo 1'!B28</f>
        <v xml:space="preserve">Programa de Infraestructura Vial y Promoción de Asociaciones Público-Privadas </v>
      </c>
      <c r="C28" s="31" t="str">
        <f>+'Anexo 1'!C28</f>
        <v>MOPT</v>
      </c>
      <c r="D28" s="110">
        <f>+'Anexo 1'!E28</f>
        <v>125000000</v>
      </c>
      <c r="E28" s="110">
        <v>20000000</v>
      </c>
      <c r="F28" s="110">
        <v>0</v>
      </c>
      <c r="G28" s="110"/>
      <c r="H28" s="32">
        <f t="shared" si="4"/>
        <v>105000000</v>
      </c>
      <c r="I28" s="111">
        <f t="shared" si="3"/>
        <v>0.16</v>
      </c>
      <c r="J28" s="111">
        <v>0.48259999999999997</v>
      </c>
      <c r="K28" s="112">
        <v>5</v>
      </c>
      <c r="L28" s="112" t="s">
        <v>36</v>
      </c>
      <c r="M28" s="110">
        <f>($A$5-'Anexo 1'!G28)/365</f>
        <v>2.7506849315068491</v>
      </c>
      <c r="N28" s="112">
        <f>('Anexo 1'!J28-'Anexo 1'!I28)/365</f>
        <v>4.8794520547945206</v>
      </c>
      <c r="O28" s="113">
        <f>($A$5-'Anexo 1'!I28)/365</f>
        <v>2.6273972602739728</v>
      </c>
      <c r="S28" s="114"/>
      <c r="T28" s="114"/>
    </row>
    <row r="29" spans="1:20">
      <c r="A29" s="54" t="str">
        <f>+'Anexo 1'!A29</f>
        <v>4871/OC-CR</v>
      </c>
      <c r="B29" s="30" t="str">
        <f>+'Anexo 1'!B29</f>
        <v>Programa de Seguridad Ciudadana y Prevención de Violencia</v>
      </c>
      <c r="C29" s="31" t="str">
        <f>+'Anexo 1'!C29</f>
        <v>MJP</v>
      </c>
      <c r="D29" s="110">
        <f>+'Anexo 1'!E29</f>
        <v>100000000</v>
      </c>
      <c r="E29" s="110">
        <v>5923616.7599999998</v>
      </c>
      <c r="F29" s="110">
        <v>0</v>
      </c>
      <c r="G29" s="110"/>
      <c r="H29" s="32">
        <f t="shared" si="4"/>
        <v>94076383.239999995</v>
      </c>
      <c r="I29" s="111">
        <f>E29/D29</f>
        <v>5.92361676E-2</v>
      </c>
      <c r="J29" s="111">
        <v>0.29160000000000003</v>
      </c>
      <c r="K29" s="112">
        <v>5</v>
      </c>
      <c r="L29" s="112" t="s">
        <v>36</v>
      </c>
      <c r="M29" s="110">
        <f>($A$5-'Anexo 1'!G29)/365</f>
        <v>2.2876712328767121</v>
      </c>
      <c r="N29" s="112">
        <f>('Anexo 1'!J29-'Anexo 1'!I29)/365</f>
        <v>4.4602739726027396</v>
      </c>
      <c r="O29" s="113">
        <f>($A$5-'Anexo 1'!I29)/365</f>
        <v>1.7452054794520548</v>
      </c>
      <c r="S29" s="114"/>
      <c r="T29" s="114"/>
    </row>
    <row r="30" spans="1:20" s="46" customFormat="1">
      <c r="A30" s="54"/>
      <c r="B30" s="1"/>
      <c r="C30" s="123"/>
      <c r="D30" s="124">
        <f>SUM(D22:D29)</f>
        <v>1126536000</v>
      </c>
      <c r="E30" s="124">
        <f>SUM(E22:E29)</f>
        <v>626929952.89999998</v>
      </c>
      <c r="F30" s="124">
        <f>SUM(F22:F29)</f>
        <v>56351414.109999999</v>
      </c>
      <c r="G30" s="124">
        <f>SUM(G22:G29)</f>
        <v>0</v>
      </c>
      <c r="H30" s="125">
        <f>SUM(H22:H29)</f>
        <v>499606047.10000002</v>
      </c>
      <c r="I30" s="126"/>
      <c r="J30" s="126"/>
      <c r="K30" s="118"/>
      <c r="L30" s="118"/>
      <c r="M30" s="110"/>
      <c r="N30" s="112"/>
      <c r="O30" s="127"/>
      <c r="S30" s="114"/>
      <c r="T30" s="114"/>
    </row>
    <row r="31" spans="1:20" ht="11.25" customHeight="1">
      <c r="A31" s="68"/>
      <c r="B31" s="30"/>
      <c r="C31" s="31"/>
      <c r="D31" s="110"/>
      <c r="E31" s="110"/>
      <c r="F31" s="110"/>
      <c r="G31" s="110"/>
      <c r="H31" s="32"/>
      <c r="I31" s="111"/>
      <c r="J31" s="111"/>
      <c r="K31" s="112"/>
      <c r="L31" s="112"/>
      <c r="M31" s="110"/>
      <c r="N31" s="112"/>
      <c r="O31" s="113"/>
      <c r="S31" s="114"/>
      <c r="T31" s="114"/>
    </row>
    <row r="32" spans="1:20" ht="16.5" customHeight="1">
      <c r="A32" s="48" t="s">
        <v>80</v>
      </c>
      <c r="B32" s="30"/>
      <c r="C32" s="31"/>
      <c r="D32" s="110"/>
      <c r="E32" s="110"/>
      <c r="F32" s="110"/>
      <c r="G32" s="110"/>
      <c r="H32" s="32"/>
      <c r="I32" s="111"/>
      <c r="J32" s="111"/>
      <c r="K32" s="112"/>
      <c r="L32" s="112"/>
      <c r="M32" s="110"/>
      <c r="N32" s="112"/>
      <c r="O32" s="113"/>
      <c r="S32" s="114"/>
      <c r="T32" s="114"/>
    </row>
    <row r="33" spans="1:20" s="46" customFormat="1" ht="29.4">
      <c r="A33" s="29" t="s">
        <v>81</v>
      </c>
      <c r="B33" s="69" t="s">
        <v>136</v>
      </c>
      <c r="C33" s="31" t="s">
        <v>43</v>
      </c>
      <c r="D33" s="110">
        <f>'Anexo 1'!E33</f>
        <v>420000000</v>
      </c>
      <c r="E33" s="110">
        <v>420000000</v>
      </c>
      <c r="F33" s="110">
        <v>30000000</v>
      </c>
      <c r="G33" s="110"/>
      <c r="H33" s="32">
        <f>D33-E33</f>
        <v>0</v>
      </c>
      <c r="I33" s="111">
        <f>E33/D33</f>
        <v>1</v>
      </c>
      <c r="J33" s="111">
        <v>0.98250000000000004</v>
      </c>
      <c r="K33" s="112">
        <v>6</v>
      </c>
      <c r="L33" s="112">
        <f>+('Anexo 1'!K33-'Anexo 1'!G33)/365</f>
        <v>7.7589041095890412</v>
      </c>
      <c r="M33" s="110">
        <f>($A$5-'Anexo 1'!G33)/365</f>
        <v>6.7561643835616438</v>
      </c>
      <c r="N33" s="112">
        <f>('Anexo 1'!K33-'Anexo 1'!I33)/365</f>
        <v>7.5260273972602736</v>
      </c>
      <c r="O33" s="113">
        <f>($A$5-'Anexo 1'!I33)/365</f>
        <v>6.5232876712328771</v>
      </c>
      <c r="S33" s="114"/>
      <c r="T33" s="114"/>
    </row>
    <row r="34" spans="1:20" s="46" customFormat="1" ht="28.2" customHeight="1">
      <c r="A34" s="54" t="str">
        <f>+'Anexo 1'!A34</f>
        <v>9075-CR</v>
      </c>
      <c r="B34" s="69" t="s">
        <v>84</v>
      </c>
      <c r="C34" s="31" t="s">
        <v>85</v>
      </c>
      <c r="D34" s="110">
        <f>'Anexo 1'!E34</f>
        <v>156640000</v>
      </c>
      <c r="E34" s="110">
        <v>8111109.1299999999</v>
      </c>
      <c r="F34" s="110">
        <v>2758359.13</v>
      </c>
      <c r="G34" s="110"/>
      <c r="H34" s="32">
        <f>D34-E34</f>
        <v>148528890.87</v>
      </c>
      <c r="I34" s="111">
        <f>E34/D34</f>
        <v>5.1781850932073541E-2</v>
      </c>
      <c r="J34" s="111">
        <v>5.91E-2</v>
      </c>
      <c r="K34" s="112">
        <v>6</v>
      </c>
      <c r="L34" s="112" t="s">
        <v>36</v>
      </c>
      <c r="M34" s="110">
        <f>($A$5-'Anexo 1'!G34)/365</f>
        <v>2.6</v>
      </c>
      <c r="N34" s="112">
        <f>('Anexo 1'!J34-'Anexo 1'!I34)/365</f>
        <v>5.375342465753425</v>
      </c>
      <c r="O34" s="113">
        <f>($A$5-'Anexo 1'!I34)/365</f>
        <v>2.2876712328767121</v>
      </c>
      <c r="S34" s="114"/>
      <c r="T34" s="114"/>
    </row>
    <row r="35" spans="1:20" s="46" customFormat="1" ht="27.6">
      <c r="A35" s="29" t="s">
        <v>87</v>
      </c>
      <c r="B35" s="69" t="s">
        <v>88</v>
      </c>
      <c r="C35" s="31" t="s">
        <v>89</v>
      </c>
      <c r="D35" s="110">
        <f>'Anexo 1'!E35</f>
        <v>75100500</v>
      </c>
      <c r="E35" s="110">
        <v>5187751.25</v>
      </c>
      <c r="F35" s="110">
        <v>0</v>
      </c>
      <c r="G35" s="110"/>
      <c r="H35" s="32">
        <f>D35-E35</f>
        <v>69912748.75</v>
      </c>
      <c r="I35" s="111">
        <f>E35/D35</f>
        <v>6.9077452879807724E-2</v>
      </c>
      <c r="J35" s="111">
        <v>0.13689999999999999</v>
      </c>
      <c r="K35" s="112">
        <v>6</v>
      </c>
      <c r="L35" s="112" t="s">
        <v>36</v>
      </c>
      <c r="M35" s="110">
        <f>($A$5-'Anexo 1'!G35)/365</f>
        <v>1.7917808219178082</v>
      </c>
      <c r="N35" s="112">
        <f>('Anexo 1'!J35-'Anexo 1'!I35)/365</f>
        <v>5.4136986301369863</v>
      </c>
      <c r="O35" s="113">
        <f>($A$5-'Anexo 1'!I35)/365</f>
        <v>1.189041095890411</v>
      </c>
      <c r="S35" s="114"/>
      <c r="T35" s="114"/>
    </row>
    <row r="36" spans="1:20" s="46" customFormat="1">
      <c r="A36" s="29"/>
      <c r="B36" s="69"/>
      <c r="C36" s="31"/>
      <c r="D36" s="117">
        <f>SUM(D33:D35)</f>
        <v>651740500</v>
      </c>
      <c r="E36" s="117">
        <f t="shared" ref="E36:H36" si="5">SUM(E33:E35)</f>
        <v>433298860.38</v>
      </c>
      <c r="F36" s="117">
        <f t="shared" si="5"/>
        <v>32758359.129999999</v>
      </c>
      <c r="G36" s="117">
        <f t="shared" si="5"/>
        <v>0</v>
      </c>
      <c r="H36" s="45">
        <f t="shared" si="5"/>
        <v>218441639.62</v>
      </c>
      <c r="I36" s="126"/>
      <c r="J36" s="126"/>
      <c r="K36" s="118"/>
      <c r="L36" s="118"/>
      <c r="M36" s="117"/>
      <c r="N36" s="118"/>
      <c r="O36" s="127"/>
      <c r="S36" s="114"/>
      <c r="T36" s="114"/>
    </row>
    <row r="37" spans="1:20" s="46" customFormat="1">
      <c r="A37" s="29"/>
      <c r="B37" s="69"/>
      <c r="C37" s="31"/>
      <c r="D37" s="117"/>
      <c r="E37" s="117"/>
      <c r="F37" s="117"/>
      <c r="G37" s="117"/>
      <c r="H37" s="45"/>
      <c r="I37" s="126"/>
      <c r="J37" s="126"/>
      <c r="K37" s="118"/>
      <c r="L37" s="118"/>
      <c r="M37" s="117"/>
      <c r="N37" s="118"/>
      <c r="O37" s="127"/>
      <c r="S37" s="114"/>
      <c r="T37" s="114"/>
    </row>
    <row r="38" spans="1:20" s="46" customFormat="1">
      <c r="A38" s="29" t="s">
        <v>90</v>
      </c>
      <c r="B38" s="30"/>
      <c r="C38" s="31"/>
      <c r="D38" s="110"/>
      <c r="E38" s="117"/>
      <c r="F38" s="117"/>
      <c r="G38" s="117"/>
      <c r="H38" s="45"/>
      <c r="I38" s="126"/>
      <c r="J38" s="126"/>
      <c r="K38" s="112"/>
      <c r="L38" s="112"/>
      <c r="M38" s="110"/>
      <c r="N38" s="112"/>
      <c r="O38" s="113"/>
      <c r="S38" s="114"/>
      <c r="T38" s="114"/>
    </row>
    <row r="39" spans="1:20" s="129" customFormat="1" ht="33" customHeight="1">
      <c r="A39" s="29" t="s">
        <v>91</v>
      </c>
      <c r="B39" s="30" t="s">
        <v>137</v>
      </c>
      <c r="C39" s="55" t="s">
        <v>38</v>
      </c>
      <c r="D39" s="110">
        <f>'Anexo 1'!E39</f>
        <v>90542773.120000005</v>
      </c>
      <c r="E39" s="110">
        <v>90542773.120000005</v>
      </c>
      <c r="F39" s="110">
        <v>0</v>
      </c>
      <c r="G39" s="110"/>
      <c r="H39" s="32">
        <f>D39-E39</f>
        <v>0</v>
      </c>
      <c r="I39" s="111">
        <f>E39/D39</f>
        <v>1</v>
      </c>
      <c r="J39" s="119">
        <v>0.82279999999999998</v>
      </c>
      <c r="K39" s="112">
        <v>4</v>
      </c>
      <c r="L39" s="112" t="s">
        <v>36</v>
      </c>
      <c r="M39" s="110">
        <f>+($Q39-P39)/365</f>
        <v>2.4356164383561643</v>
      </c>
      <c r="N39" s="112">
        <f>('Anexo 1'!J39-'Anexo 1'!I39)/365</f>
        <v>4.9808219178082194</v>
      </c>
      <c r="O39" s="113">
        <f>($A$5-'Anexo 1'!I39)/365</f>
        <v>7.5424657534246577</v>
      </c>
      <c r="P39" s="128">
        <v>42711</v>
      </c>
      <c r="Q39" s="128">
        <v>43600</v>
      </c>
      <c r="S39" s="114"/>
      <c r="T39" s="114"/>
    </row>
    <row r="40" spans="1:20" s="129" customFormat="1" ht="30.6" customHeight="1">
      <c r="A40" s="29" t="s">
        <v>93</v>
      </c>
      <c r="B40" s="30" t="s">
        <v>138</v>
      </c>
      <c r="C40" s="55"/>
      <c r="D40" s="110">
        <f>'Anexo 1'!E40</f>
        <v>296000000</v>
      </c>
      <c r="E40" s="110">
        <v>233280891.27999997</v>
      </c>
      <c r="F40" s="110">
        <v>41774383.329999998</v>
      </c>
      <c r="G40" s="110"/>
      <c r="H40" s="32">
        <f>D40-E40</f>
        <v>62719108.720000029</v>
      </c>
      <c r="I40" s="111">
        <f>E40/D40</f>
        <v>0.78811111918918908</v>
      </c>
      <c r="J40" s="119"/>
      <c r="K40" s="112">
        <v>4</v>
      </c>
      <c r="L40" s="112" t="s">
        <v>36</v>
      </c>
      <c r="M40" s="110">
        <f>+($A$5-P40)/365</f>
        <v>4.2246575342465755</v>
      </c>
      <c r="N40" s="112">
        <f>('Anexo 1'!J40-'Anexo 1'!I39)/365</f>
        <v>7.3205479452054796</v>
      </c>
      <c r="O40" s="113">
        <f>($A$5-'Anexo 1'!I39)/365</f>
        <v>7.5424657534246577</v>
      </c>
      <c r="P40" s="128">
        <v>43565</v>
      </c>
      <c r="Q40" s="130"/>
      <c r="S40" s="114"/>
      <c r="T40" s="114"/>
    </row>
    <row r="41" spans="1:20" s="46" customFormat="1">
      <c r="A41" s="29"/>
      <c r="B41" s="30"/>
      <c r="C41" s="31"/>
      <c r="D41" s="117">
        <f>SUM(D39:D40)</f>
        <v>386542773.12</v>
      </c>
      <c r="E41" s="117">
        <f t="shared" ref="E41:H41" si="6">SUM(E39:E40)</f>
        <v>323823664.39999998</v>
      </c>
      <c r="F41" s="117">
        <f t="shared" si="6"/>
        <v>41774383.329999998</v>
      </c>
      <c r="G41" s="117">
        <f t="shared" si="6"/>
        <v>0</v>
      </c>
      <c r="H41" s="45">
        <f t="shared" si="6"/>
        <v>62719108.720000029</v>
      </c>
      <c r="I41" s="126"/>
      <c r="J41" s="126"/>
      <c r="K41" s="118"/>
      <c r="L41" s="118"/>
      <c r="M41" s="117"/>
      <c r="N41" s="118"/>
      <c r="O41" s="127"/>
      <c r="S41" s="114"/>
      <c r="T41" s="114"/>
    </row>
    <row r="42" spans="1:20">
      <c r="A42" s="68"/>
      <c r="B42" s="30"/>
      <c r="C42" s="31"/>
      <c r="D42" s="110"/>
      <c r="E42" s="131"/>
      <c r="F42" s="110"/>
      <c r="G42" s="110"/>
      <c r="H42" s="32"/>
      <c r="I42" s="111"/>
      <c r="J42" s="111"/>
      <c r="K42" s="112"/>
      <c r="L42" s="112"/>
      <c r="M42" s="110"/>
      <c r="N42" s="112"/>
      <c r="O42" s="113"/>
      <c r="S42" s="114"/>
      <c r="T42" s="114"/>
    </row>
    <row r="43" spans="1:20" ht="16.5" customHeight="1">
      <c r="A43" s="48" t="s">
        <v>95</v>
      </c>
      <c r="B43" s="69"/>
      <c r="C43" s="31"/>
      <c r="D43" s="110"/>
      <c r="F43" s="110"/>
      <c r="G43" s="110"/>
      <c r="H43" s="32"/>
      <c r="I43" s="111"/>
      <c r="J43" s="111"/>
      <c r="K43" s="112"/>
      <c r="L43" s="112"/>
      <c r="M43" s="110"/>
      <c r="N43" s="112"/>
      <c r="O43" s="113"/>
      <c r="S43" s="114"/>
      <c r="T43" s="114"/>
    </row>
    <row r="44" spans="1:20" ht="15.6">
      <c r="A44" s="29" t="s">
        <v>96</v>
      </c>
      <c r="B44" s="69" t="s">
        <v>139</v>
      </c>
      <c r="C44" s="31" t="s">
        <v>73</v>
      </c>
      <c r="D44" s="110">
        <f>'Anexo 1'!E44</f>
        <v>180018008.03435379</v>
      </c>
      <c r="E44" s="110">
        <f>(4268511069+4751897+27218159+25378474)/'Anexo 5'!P84</f>
        <v>29961626.257099323</v>
      </c>
      <c r="F44" s="32">
        <f>25378474/'Anexo 5'!P84</f>
        <v>175775.55063028121</v>
      </c>
      <c r="G44" s="110"/>
      <c r="H44" s="32">
        <f>D44-E44</f>
        <v>150056381.77725446</v>
      </c>
      <c r="I44" s="111">
        <f>E44/D44</f>
        <v>0.16643682809434035</v>
      </c>
      <c r="J44" s="111">
        <v>0.31919999999999998</v>
      </c>
      <c r="K44" s="112">
        <v>9</v>
      </c>
      <c r="L44" s="112" t="s">
        <v>36</v>
      </c>
      <c r="M44" s="110">
        <f>($A$5-'Anexo 1'!F44)/365</f>
        <v>6.0301369863013701</v>
      </c>
      <c r="N44" s="112">
        <f>('Anexo 1'!J44-'Anexo 1'!I44)/365</f>
        <v>9</v>
      </c>
      <c r="O44" s="113">
        <f>($A$5-'Anexo 1'!I44)/365</f>
        <v>5.7534246575342465</v>
      </c>
      <c r="S44" s="114"/>
      <c r="T44" s="114"/>
    </row>
    <row r="45" spans="1:20">
      <c r="A45" s="29"/>
      <c r="B45" s="69"/>
      <c r="C45" s="31"/>
      <c r="D45" s="117">
        <f>SUM(D44:D44)</f>
        <v>180018008.03435379</v>
      </c>
      <c r="E45" s="117">
        <f t="shared" ref="E45:H45" si="7">SUM(E44:E44)</f>
        <v>29961626.257099323</v>
      </c>
      <c r="F45" s="117">
        <f t="shared" si="7"/>
        <v>175775.55063028121</v>
      </c>
      <c r="G45" s="117">
        <f t="shared" si="7"/>
        <v>0</v>
      </c>
      <c r="H45" s="45">
        <f t="shared" si="7"/>
        <v>150056381.77725446</v>
      </c>
      <c r="I45" s="111"/>
      <c r="J45" s="111"/>
      <c r="K45" s="112"/>
      <c r="L45" s="112"/>
      <c r="M45" s="112"/>
      <c r="N45" s="112"/>
      <c r="O45" s="113"/>
      <c r="S45" s="114"/>
      <c r="T45" s="114"/>
    </row>
    <row r="46" spans="1:20" s="46" customFormat="1">
      <c r="A46" s="29"/>
      <c r="B46" s="132"/>
      <c r="C46" s="31"/>
      <c r="D46" s="110"/>
      <c r="E46" s="117"/>
      <c r="F46" s="117"/>
      <c r="G46" s="117"/>
      <c r="H46" s="45"/>
      <c r="I46" s="45"/>
      <c r="J46" s="126"/>
      <c r="K46" s="118"/>
      <c r="L46" s="118"/>
      <c r="M46" s="118"/>
      <c r="N46" s="118"/>
      <c r="O46" s="127"/>
      <c r="S46" s="114"/>
      <c r="T46" s="114"/>
    </row>
    <row r="47" spans="1:20" s="46" customFormat="1">
      <c r="A47" s="29" t="s">
        <v>98</v>
      </c>
      <c r="B47" s="132"/>
      <c r="C47" s="31"/>
      <c r="D47" s="110"/>
      <c r="E47" s="117"/>
      <c r="F47" s="117"/>
      <c r="G47" s="117"/>
      <c r="H47" s="45"/>
      <c r="I47" s="45"/>
      <c r="J47" s="126"/>
      <c r="K47" s="118"/>
      <c r="L47" s="118"/>
      <c r="M47" s="118"/>
      <c r="N47" s="118"/>
      <c r="O47" s="127"/>
      <c r="S47" s="114"/>
      <c r="T47" s="114"/>
    </row>
    <row r="48" spans="1:20" s="46" customFormat="1" ht="20.25" customHeight="1">
      <c r="A48" s="29">
        <f>'Anexo 1'!A48</f>
        <v>28568</v>
      </c>
      <c r="B48" s="133" t="s">
        <v>140</v>
      </c>
      <c r="C48" s="31" t="str">
        <f>'Anexo 1'!C48</f>
        <v>AyA</v>
      </c>
      <c r="D48" s="110">
        <f>'Anexo 1'!E48</f>
        <v>86580149.231100008</v>
      </c>
      <c r="E48" s="32">
        <f>31065*'Anexo 5'!P83</f>
        <v>33926.086500000005</v>
      </c>
      <c r="F48" s="32">
        <f>31065*'Anexo 5'!P83</f>
        <v>33926.086500000005</v>
      </c>
      <c r="G48" s="32"/>
      <c r="H48" s="32">
        <f>D48-E48</f>
        <v>86546223.144600004</v>
      </c>
      <c r="I48" s="111">
        <f>E48/D48</f>
        <v>3.9184601552769778E-4</v>
      </c>
      <c r="J48" s="111">
        <v>0.2235</v>
      </c>
      <c r="K48" s="112">
        <v>5</v>
      </c>
      <c r="L48" s="112" t="s">
        <v>36</v>
      </c>
      <c r="M48" s="110">
        <f>($A$5-'Anexo 1'!G48)/365</f>
        <v>3.7589041095890412</v>
      </c>
      <c r="N48" s="112">
        <f>('Anexo 1'!J48-'Anexo 1'!I48)/365</f>
        <v>4.5945205479452058</v>
      </c>
      <c r="O48" s="113">
        <f>($A$5-'Anexo 1'!I48)/365</f>
        <v>3.591780821917808</v>
      </c>
      <c r="S48" s="114"/>
      <c r="T48" s="114"/>
    </row>
    <row r="49" spans="1:20" s="46" customFormat="1">
      <c r="A49" s="29"/>
      <c r="B49" s="132"/>
      <c r="C49" s="31"/>
      <c r="D49" s="117">
        <f>SUM(D48)</f>
        <v>86580149.231100008</v>
      </c>
      <c r="E49" s="117">
        <f t="shared" ref="E49:H49" si="8">SUM(E48)</f>
        <v>33926.086500000005</v>
      </c>
      <c r="F49" s="117">
        <f t="shared" si="8"/>
        <v>33926.086500000005</v>
      </c>
      <c r="G49" s="117">
        <f t="shared" si="8"/>
        <v>0</v>
      </c>
      <c r="H49" s="45">
        <f t="shared" si="8"/>
        <v>86546223.144600004</v>
      </c>
      <c r="I49" s="45"/>
      <c r="J49" s="45"/>
      <c r="K49" s="118"/>
      <c r="L49" s="118"/>
      <c r="M49" s="118"/>
      <c r="N49" s="118"/>
      <c r="O49" s="127"/>
      <c r="S49" s="114"/>
      <c r="T49" s="114"/>
    </row>
    <row r="50" spans="1:20" s="46" customFormat="1">
      <c r="A50" s="29"/>
      <c r="B50" s="132"/>
      <c r="C50" s="31"/>
      <c r="D50" s="110"/>
      <c r="E50" s="117"/>
      <c r="F50" s="117"/>
      <c r="G50" s="117"/>
      <c r="H50" s="45"/>
      <c r="I50" s="45"/>
      <c r="J50" s="45"/>
      <c r="K50" s="118"/>
      <c r="L50" s="118"/>
      <c r="M50" s="118"/>
      <c r="N50" s="118"/>
      <c r="O50" s="127"/>
      <c r="S50" s="114"/>
      <c r="T50" s="114"/>
    </row>
    <row r="51" spans="1:20" s="46" customFormat="1">
      <c r="A51" s="29" t="s">
        <v>100</v>
      </c>
      <c r="B51" s="132"/>
      <c r="C51" s="118"/>
      <c r="D51" s="117">
        <f>D19+D30+D36+D41+D45+D49</f>
        <v>4186697387.6754537</v>
      </c>
      <c r="E51" s="117">
        <f>E19+E30+E36+E41+E45+E49</f>
        <v>2266127076.8635993</v>
      </c>
      <c r="F51" s="117">
        <f>F19+F30+F36+F41+F45+F49</f>
        <v>170362815.82713026</v>
      </c>
      <c r="G51" s="117">
        <f>G19+G30+G36+G41+G45+G49</f>
        <v>0</v>
      </c>
      <c r="H51" s="45">
        <f>H19+H30+H36+H41+H45+H49</f>
        <v>1920570310.8118544</v>
      </c>
      <c r="I51" s="45"/>
      <c r="J51" s="45"/>
      <c r="K51" s="117"/>
      <c r="L51" s="117"/>
      <c r="M51" s="118"/>
      <c r="N51" s="117"/>
      <c r="O51" s="134"/>
      <c r="S51" s="114"/>
      <c r="T51" s="114"/>
    </row>
    <row r="52" spans="1:20" ht="14.4" thickBot="1">
      <c r="A52" s="74"/>
      <c r="B52" s="135"/>
      <c r="C52" s="78"/>
      <c r="D52" s="136"/>
      <c r="E52" s="77"/>
      <c r="F52" s="77"/>
      <c r="G52" s="77"/>
      <c r="H52" s="77"/>
      <c r="I52" s="136"/>
      <c r="J52" s="137"/>
      <c r="K52" s="138"/>
      <c r="L52" s="138"/>
      <c r="M52" s="139"/>
      <c r="N52" s="138"/>
      <c r="O52" s="140"/>
      <c r="S52" s="114"/>
      <c r="T52" s="114"/>
    </row>
    <row r="53" spans="1:20">
      <c r="A53" s="46"/>
      <c r="B53" s="46"/>
      <c r="C53" s="123"/>
      <c r="D53" s="81"/>
      <c r="E53" s="141"/>
      <c r="F53" s="141"/>
      <c r="G53" s="141"/>
      <c r="H53" s="141"/>
      <c r="J53" s="114"/>
    </row>
    <row r="54" spans="1:20">
      <c r="A54" s="46"/>
      <c r="B54" s="46"/>
      <c r="C54" s="123"/>
      <c r="E54" s="141"/>
      <c r="F54" s="141"/>
      <c r="G54" s="141"/>
      <c r="H54" s="141"/>
      <c r="J54" s="114"/>
    </row>
    <row r="55" spans="1:20" ht="27" customHeight="1">
      <c r="A55" s="46" t="s">
        <v>101</v>
      </c>
      <c r="B55" s="46"/>
      <c r="C55" s="123"/>
      <c r="E55" s="141"/>
      <c r="F55" s="141"/>
      <c r="G55" s="141"/>
      <c r="H55" s="141"/>
      <c r="J55" s="9"/>
    </row>
    <row r="56" spans="1:20" ht="12.75" customHeight="1">
      <c r="A56" s="9"/>
      <c r="B56" s="9"/>
      <c r="E56" s="141"/>
      <c r="F56" s="141"/>
      <c r="G56" s="141"/>
      <c r="H56" s="141"/>
      <c r="J56" s="9"/>
    </row>
    <row r="57" spans="1:20" s="49" customFormat="1" ht="27.6" customHeight="1">
      <c r="A57" s="142" t="s">
        <v>102</v>
      </c>
      <c r="B57" s="142"/>
      <c r="C57" s="31"/>
      <c r="D57" s="143"/>
      <c r="E57" s="144"/>
      <c r="F57" s="144"/>
      <c r="G57" s="144"/>
      <c r="H57" s="144"/>
    </row>
    <row r="58" spans="1:20" s="49" customFormat="1" ht="27.6" customHeight="1">
      <c r="A58" s="39" t="s">
        <v>141</v>
      </c>
      <c r="B58" s="142"/>
      <c r="C58" s="31"/>
      <c r="D58" s="143"/>
      <c r="E58" s="144"/>
      <c r="F58" s="144"/>
      <c r="G58" s="144"/>
      <c r="H58" s="144"/>
      <c r="M58" s="144"/>
    </row>
    <row r="59" spans="1:20" s="49" customFormat="1" ht="40.5" customHeight="1">
      <c r="A59" s="39" t="s">
        <v>142</v>
      </c>
      <c r="B59" s="142"/>
      <c r="C59" s="31"/>
      <c r="D59" s="143"/>
      <c r="E59" s="144"/>
      <c r="F59" s="144"/>
      <c r="G59" s="144"/>
      <c r="H59" s="144"/>
      <c r="M59" s="144"/>
    </row>
    <row r="60" spans="1:20" s="148" customFormat="1" ht="27.75" customHeight="1">
      <c r="A60" s="145" t="s">
        <v>143</v>
      </c>
      <c r="B60" s="146"/>
      <c r="C60" s="146"/>
      <c r="D60" s="146"/>
      <c r="E60" s="146"/>
      <c r="F60" s="146"/>
      <c r="G60" s="146"/>
      <c r="H60" s="147"/>
      <c r="I60" s="146"/>
      <c r="J60" s="146"/>
      <c r="K60" s="146"/>
      <c r="L60" s="146"/>
      <c r="M60" s="146"/>
      <c r="N60" s="146"/>
      <c r="O60" s="146"/>
    </row>
    <row r="61" spans="1:20" s="148" customFormat="1" ht="27.75" customHeight="1">
      <c r="A61" s="149" t="s">
        <v>144</v>
      </c>
      <c r="B61" s="146"/>
      <c r="C61" s="146"/>
      <c r="D61" s="146"/>
      <c r="E61" s="146"/>
      <c r="F61" s="146"/>
      <c r="G61" s="146"/>
      <c r="H61" s="147"/>
      <c r="I61" s="146"/>
      <c r="J61" s="146"/>
      <c r="K61" s="146"/>
      <c r="L61" s="146"/>
      <c r="M61" s="146"/>
      <c r="N61" s="146"/>
      <c r="O61" s="146"/>
    </row>
    <row r="62" spans="1:20" s="148" customFormat="1" ht="27.75" customHeight="1">
      <c r="A62" s="145" t="s">
        <v>145</v>
      </c>
      <c r="B62" s="150"/>
      <c r="C62" s="36"/>
      <c r="D62" s="151"/>
      <c r="E62" s="152"/>
      <c r="F62" s="152"/>
      <c r="G62" s="152"/>
      <c r="H62" s="153"/>
      <c r="M62" s="152"/>
    </row>
    <row r="63" spans="1:20" s="148" customFormat="1" ht="27.75" customHeight="1">
      <c r="A63" s="148" t="s">
        <v>146</v>
      </c>
      <c r="B63" s="150"/>
      <c r="C63" s="36"/>
      <c r="D63" s="151"/>
      <c r="E63" s="152"/>
      <c r="F63" s="152"/>
      <c r="G63" s="152"/>
      <c r="H63" s="152"/>
      <c r="M63" s="152"/>
    </row>
    <row r="64" spans="1:20" s="148" customFormat="1" ht="27.75" customHeight="1">
      <c r="A64" s="154" t="s">
        <v>147</v>
      </c>
      <c r="B64" s="154"/>
      <c r="C64" s="154"/>
      <c r="D64" s="154"/>
      <c r="E64" s="154"/>
      <c r="F64" s="154"/>
      <c r="G64" s="154"/>
      <c r="H64" s="154"/>
      <c r="I64" s="154"/>
      <c r="J64" s="154"/>
      <c r="K64" s="154"/>
      <c r="L64" s="154"/>
      <c r="M64" s="154"/>
    </row>
    <row r="65" spans="1:27" s="148" customFormat="1" ht="27.75" customHeight="1">
      <c r="A65" s="155" t="s">
        <v>148</v>
      </c>
      <c r="B65" s="84"/>
      <c r="C65" s="36"/>
      <c r="E65" s="152"/>
      <c r="F65" s="152"/>
      <c r="G65" s="152"/>
      <c r="H65" s="152"/>
    </row>
    <row r="66" spans="1:27" s="148" customFormat="1" ht="27.75" customHeight="1">
      <c r="A66" s="148" t="s">
        <v>149</v>
      </c>
      <c r="N66" s="156"/>
      <c r="O66" s="156"/>
    </row>
    <row r="67" spans="1:27" s="148" customFormat="1" ht="27.75" customHeight="1">
      <c r="B67" s="156"/>
      <c r="C67" s="156"/>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row>
    <row r="68" spans="1:27" s="26" customFormat="1" ht="27.75" customHeight="1">
      <c r="B68" s="156"/>
      <c r="C68" s="156"/>
      <c r="D68" s="156"/>
      <c r="E68" s="156"/>
      <c r="F68" s="156"/>
      <c r="G68" s="156"/>
      <c r="H68" s="156"/>
      <c r="I68" s="156"/>
      <c r="J68" s="156"/>
      <c r="K68" s="156"/>
      <c r="L68" s="157" t="s">
        <v>150</v>
      </c>
      <c r="M68" s="156"/>
      <c r="N68" s="156"/>
      <c r="O68" s="156"/>
    </row>
    <row r="69" spans="1:27" s="26" customFormat="1" ht="16.5" customHeight="1">
      <c r="C69" s="158"/>
      <c r="F69" s="159"/>
      <c r="G69" s="159"/>
      <c r="J69" s="159"/>
    </row>
    <row r="70" spans="1:27" s="26" customFormat="1">
      <c r="A70" s="160"/>
      <c r="B70" s="160"/>
      <c r="C70" s="158"/>
      <c r="E70" s="161"/>
      <c r="F70" s="162"/>
      <c r="G70" s="162"/>
      <c r="H70" s="161"/>
      <c r="J70" s="159"/>
    </row>
    <row r="71" spans="1:27">
      <c r="A71" s="163"/>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row>
    <row r="74" spans="1:27">
      <c r="A74" s="164"/>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row>
    <row r="75" spans="1:27">
      <c r="A75" s="165"/>
      <c r="B75" s="166"/>
      <c r="C75" s="25"/>
      <c r="D75" s="166"/>
      <c r="E75" s="166"/>
      <c r="F75" s="167"/>
      <c r="G75" s="167"/>
      <c r="H75" s="166"/>
      <c r="I75" s="166"/>
      <c r="J75" s="167"/>
      <c r="K75" s="166"/>
      <c r="L75" s="166"/>
      <c r="M75" s="166"/>
      <c r="N75" s="166"/>
      <c r="O75" s="166"/>
    </row>
    <row r="76" spans="1:27">
      <c r="A76" s="9"/>
    </row>
    <row r="77" spans="1:27">
      <c r="A77" s="9"/>
    </row>
  </sheetData>
  <sheetProtection algorithmName="SHA-512" hashValue="F/7WaOkW9qpxf9+cyN3CopTdC4jvzf8l5W+PIPpeuDjUwwqrtO0Uh1oMTrr0t6cP7zC5Wy3YoNYIQsOc5/Yfvw==" saltValue="btUNnml/ZxI9iIMBf9H6vg==" spinCount="100000" sheet="1" objects="1" scenarios="1"/>
  <mergeCells count="26">
    <mergeCell ref="L23:L24"/>
    <mergeCell ref="A71:AA71"/>
    <mergeCell ref="C39:C40"/>
    <mergeCell ref="K23:K24"/>
    <mergeCell ref="M23:M24"/>
    <mergeCell ref="J39:J40"/>
    <mergeCell ref="J23:J24"/>
    <mergeCell ref="O23:O24"/>
    <mergeCell ref="N23:N24"/>
    <mergeCell ref="A64:M64"/>
    <mergeCell ref="K6:M6"/>
    <mergeCell ref="C23:C24"/>
    <mergeCell ref="A5:O5"/>
    <mergeCell ref="A2:O2"/>
    <mergeCell ref="A3:O3"/>
    <mergeCell ref="A4:O4"/>
    <mergeCell ref="A6:A7"/>
    <mergeCell ref="B6:B7"/>
    <mergeCell ref="I6:J6"/>
    <mergeCell ref="C6:C7"/>
    <mergeCell ref="D6:D7"/>
    <mergeCell ref="E6:E7"/>
    <mergeCell ref="F6:F7"/>
    <mergeCell ref="H6:H7"/>
    <mergeCell ref="N6:O6"/>
    <mergeCell ref="G6:G7"/>
  </mergeCells>
  <phoneticPr fontId="0" type="noConversion"/>
  <printOptions horizontalCentered="1" verticalCentered="1"/>
  <pageMargins left="0.15748031496062992" right="0" top="0.15748031496062992" bottom="0.39370078740157483" header="0" footer="0.39370078740157483"/>
  <pageSetup scale="27" orientation="landscape" r:id="rId1"/>
  <headerFooter alignWithMargins="0"/>
  <ignoredErrors>
    <ignoredError sqref="P42:R43 P44:R46 H54:H55 I52 C52:F52 H52 A53:C53 A52:B52 U42:V43 U30:V32 U19:V19 U21:V21 U36:V36 U44:V46 H53:O53 K52:O52 E53 K44:O44 D44:D46 C44:C45 K50:O50 K48:O48 K46:O47 K41:O41 K45:O45 K42:O43 K51:O51 K49:O49 I50 A44 A45:B45 A41:B41 A50:B50 A46:B46 A42:B43 A47:B47 A51:B51 A49:B49 A48 D51 H42:H43 D41:D43 C48 C50:D50 D48 C41:C43 I48 C47:D47 I46:I47 I41 C46 I45 F42 I42:I43 C51 I51 C49:D49 I49 J51 F43 D35 C17:D17 H46:H48 H50 H44 G46:G47 G50 H17:H18 H35 H9 D18 E51:H51 H22 H14 E46:F46 E47:F47 E50:F50 E44:F45 E48:F49" unlockedFormula="1"/>
    <ignoredError sqref="I22 H29 A9:C10 I20:I21 H8:O8 D20:F21 A22:C22 D9:D14 A13:C14 A19:C21 H1:O5 A16:D16 A30:D30 K37:O39 D38:F38 C31:F32 C37:F37 I38 C38:C40 H38:H40 A34 A31:B32 A37:B38 H37:I37 I27:I28 H20:H21 I36 P21:R21 P30:R32 A11 C11:C12 A6:C6 J6:O6 H7 N7:O7 I19 A7:F7 A8:F8 A1:F2 A36:C36 D22 A28:D29 C33:D34 D40 K22:O22 K30:O32 K20:O21 H10:I13 K10:O10 K27:O28 K36:R36 K19:R19 A25:C25 A33 A40:B40 A39 K7:L7 A27 C27:D27 K29:M29 A26 C26 L34:O34 K9 O9 D39 K13:O16 L11:M11 A4:F5 B3:F3 H31:I34 I30 K12 M12:O12 K26 K25 M25 K33 M33 K24:M24 O24 A15 C15:D15 B23:C23 B24:C24 I23:I26 D23:D26 H23:H28 K23:M23 H15:I16 I14 O23 O25 O33 M26:O26 K40 M40:O40" numberStoredAsText="1" unlockedFormula="1"/>
    <ignoredError sqref="P1:R8 P29:R29 P22:R22 P28:R28 P37:R37 P38:R38 P33:R33 P40:R40 P39:R39 P34:R34 P9:R10 P20:R20 P11:R14 P15:R16 P27:R27 P23:R26"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2:W68"/>
  <sheetViews>
    <sheetView showGridLines="0" topLeftCell="B4" zoomScale="85" zoomScaleNormal="85" zoomScaleSheetLayoutView="40" workbookViewId="0">
      <selection activeCell="M14" sqref="M14"/>
    </sheetView>
  </sheetViews>
  <sheetFormatPr baseColWidth="10" defaultColWidth="9" defaultRowHeight="13.8"/>
  <cols>
    <col min="1" max="1" width="18.33203125" style="90" customWidth="1"/>
    <col min="2" max="2" width="52.33203125" style="90" customWidth="1"/>
    <col min="3" max="3" width="10.109375" style="9" customWidth="1"/>
    <col min="4" max="4" width="21" style="9" customWidth="1"/>
    <col min="5" max="7" width="23" style="9" customWidth="1"/>
    <col min="8" max="8" width="22.21875" style="9" customWidth="1"/>
    <col min="9" max="9" width="0.21875" style="210" hidden="1" customWidth="1"/>
    <col min="10" max="10" width="13.44140625" style="9" hidden="1" customWidth="1"/>
    <col min="11" max="11" width="18.88671875" style="9" customWidth="1"/>
    <col min="12" max="12" width="19.77734375" style="9" customWidth="1"/>
    <col min="13" max="13" width="19.21875" style="9" customWidth="1"/>
    <col min="14" max="14" width="18.88671875" style="9" customWidth="1"/>
    <col min="15" max="15" width="21.77734375" style="9" customWidth="1"/>
    <col min="16" max="16" width="21" style="31" customWidth="1"/>
    <col min="17" max="17" width="18.44140625" style="31" customWidth="1"/>
    <col min="18" max="18" width="13.88671875" style="9" bestFit="1" customWidth="1"/>
    <col min="19" max="19" width="15.21875" style="9" bestFit="1" customWidth="1"/>
    <col min="20" max="20" width="13.21875" style="9" bestFit="1" customWidth="1"/>
    <col min="21" max="21" width="12.109375" style="9" bestFit="1" customWidth="1"/>
    <col min="22" max="22" width="11" style="9"/>
    <col min="23" max="16384" width="9" style="9"/>
  </cols>
  <sheetData>
    <row r="2" spans="1:23">
      <c r="A2" s="168" t="s">
        <v>151</v>
      </c>
      <c r="B2" s="168"/>
      <c r="C2" s="168"/>
      <c r="D2" s="168"/>
      <c r="E2" s="168"/>
      <c r="F2" s="168"/>
      <c r="G2" s="168"/>
      <c r="H2" s="168"/>
      <c r="I2" s="168"/>
      <c r="J2" s="168"/>
      <c r="K2" s="168"/>
      <c r="L2" s="168"/>
      <c r="M2" s="168"/>
      <c r="N2" s="168"/>
      <c r="O2" s="168"/>
      <c r="P2" s="168"/>
      <c r="Q2" s="123"/>
    </row>
    <row r="3" spans="1:23">
      <c r="A3" s="168" t="s">
        <v>6</v>
      </c>
      <c r="B3" s="168"/>
      <c r="C3" s="168"/>
      <c r="D3" s="168"/>
      <c r="E3" s="168"/>
      <c r="F3" s="168"/>
      <c r="G3" s="168"/>
      <c r="H3" s="168"/>
      <c r="I3" s="168"/>
      <c r="J3" s="168"/>
      <c r="K3" s="168"/>
      <c r="L3" s="168"/>
      <c r="M3" s="168"/>
      <c r="N3" s="168"/>
      <c r="O3" s="168"/>
      <c r="P3" s="168"/>
      <c r="Q3" s="123"/>
    </row>
    <row r="4" spans="1:23">
      <c r="A4" s="168" t="s">
        <v>18</v>
      </c>
      <c r="B4" s="168"/>
      <c r="C4" s="168"/>
      <c r="D4" s="168"/>
      <c r="E4" s="168"/>
      <c r="F4" s="168"/>
      <c r="G4" s="168"/>
      <c r="H4" s="168"/>
      <c r="I4" s="168"/>
      <c r="J4" s="168"/>
      <c r="K4" s="168"/>
      <c r="L4" s="168"/>
      <c r="M4" s="168"/>
      <c r="N4" s="168"/>
      <c r="O4" s="168"/>
      <c r="P4" s="168"/>
      <c r="Q4" s="123"/>
    </row>
    <row r="5" spans="1:23" s="16" customFormat="1" ht="14.4" thickBot="1">
      <c r="A5" s="169">
        <f>+'Anexo 1'!A5:M5</f>
        <v>45107</v>
      </c>
      <c r="B5" s="169"/>
      <c r="C5" s="169"/>
      <c r="D5" s="169"/>
      <c r="E5" s="169"/>
      <c r="F5" s="169"/>
      <c r="G5" s="169"/>
      <c r="H5" s="169"/>
      <c r="I5" s="169"/>
      <c r="J5" s="170"/>
      <c r="K5" s="170"/>
      <c r="L5" s="170"/>
      <c r="M5" s="170"/>
      <c r="N5" s="170"/>
      <c r="O5" s="170"/>
      <c r="P5" s="170"/>
      <c r="Q5" s="171"/>
    </row>
    <row r="6" spans="1:23" s="16" customFormat="1" ht="14.4" thickBot="1">
      <c r="A6" s="98" t="s">
        <v>19</v>
      </c>
      <c r="B6" s="98" t="s">
        <v>20</v>
      </c>
      <c r="C6" s="98" t="s">
        <v>152</v>
      </c>
      <c r="D6" s="98" t="s">
        <v>153</v>
      </c>
      <c r="E6" s="98" t="s">
        <v>114</v>
      </c>
      <c r="F6" s="172" t="s">
        <v>154</v>
      </c>
      <c r="G6" s="173"/>
      <c r="H6" s="174"/>
      <c r="I6" s="175" t="s">
        <v>155</v>
      </c>
      <c r="J6" s="176"/>
      <c r="K6" s="102" t="s">
        <v>155</v>
      </c>
      <c r="L6" s="102"/>
      <c r="M6" s="102"/>
      <c r="N6" s="102"/>
      <c r="O6" s="102"/>
      <c r="P6" s="102"/>
      <c r="Q6" s="103"/>
    </row>
    <row r="7" spans="1:23" s="16" customFormat="1" ht="193.8" thickBot="1">
      <c r="A7" s="104"/>
      <c r="B7" s="104"/>
      <c r="C7" s="104"/>
      <c r="D7" s="104"/>
      <c r="E7" s="104"/>
      <c r="F7" s="177" t="s">
        <v>155</v>
      </c>
      <c r="G7" s="177" t="s">
        <v>156</v>
      </c>
      <c r="H7" s="178" t="s">
        <v>157</v>
      </c>
      <c r="I7" s="179" t="s">
        <v>158</v>
      </c>
      <c r="J7" s="179" t="s">
        <v>159</v>
      </c>
      <c r="K7" s="178" t="s">
        <v>160</v>
      </c>
      <c r="L7" s="178" t="s">
        <v>161</v>
      </c>
      <c r="M7" s="180">
        <v>2024</v>
      </c>
      <c r="N7" s="180">
        <v>2025</v>
      </c>
      <c r="O7" s="181">
        <v>2026</v>
      </c>
      <c r="P7" s="181">
        <v>2027</v>
      </c>
      <c r="Q7" s="181">
        <v>2028</v>
      </c>
    </row>
    <row r="8" spans="1:23">
      <c r="A8" s="17"/>
      <c r="B8" s="18"/>
      <c r="C8" s="19"/>
      <c r="D8" s="19"/>
      <c r="E8" s="19"/>
      <c r="F8" s="19"/>
      <c r="G8" s="19"/>
      <c r="H8" s="19"/>
      <c r="I8" s="182"/>
      <c r="J8" s="19"/>
      <c r="K8" s="19"/>
      <c r="L8" s="19"/>
      <c r="M8" s="19"/>
      <c r="N8" s="19"/>
      <c r="P8" s="9"/>
      <c r="Q8" s="28"/>
    </row>
    <row r="9" spans="1:23">
      <c r="A9" s="23" t="s">
        <v>32</v>
      </c>
      <c r="B9" s="24"/>
      <c r="C9" s="39"/>
      <c r="I9" s="183"/>
      <c r="P9" s="9"/>
      <c r="Q9" s="28"/>
    </row>
    <row r="10" spans="1:23" ht="43.2">
      <c r="A10" s="29">
        <v>1725</v>
      </c>
      <c r="B10" s="30" t="s">
        <v>33</v>
      </c>
      <c r="C10" s="39" t="s">
        <v>34</v>
      </c>
      <c r="D10" s="110">
        <f>'Anexo 1'!E9</f>
        <v>99453757</v>
      </c>
      <c r="E10" s="32" t="s">
        <v>36</v>
      </c>
      <c r="F10" s="32" t="s">
        <v>36</v>
      </c>
      <c r="G10" s="32" t="s">
        <v>36</v>
      </c>
      <c r="H10" s="111" t="s">
        <v>36</v>
      </c>
      <c r="I10" s="131"/>
      <c r="J10" s="131"/>
      <c r="K10" s="32" t="s">
        <v>36</v>
      </c>
      <c r="L10" s="32" t="s">
        <v>36</v>
      </c>
      <c r="M10" s="32" t="s">
        <v>36</v>
      </c>
      <c r="N10" s="32" t="s">
        <v>36</v>
      </c>
      <c r="O10" s="32" t="s">
        <v>36</v>
      </c>
      <c r="P10" s="32" t="s">
        <v>36</v>
      </c>
      <c r="Q10" s="184" t="s">
        <v>36</v>
      </c>
      <c r="R10" s="185"/>
      <c r="S10" s="186"/>
      <c r="T10" s="81"/>
      <c r="U10" s="187"/>
      <c r="V10" s="81"/>
      <c r="W10" s="81"/>
    </row>
    <row r="11" spans="1:23">
      <c r="A11" s="29">
        <v>2080</v>
      </c>
      <c r="B11" s="30" t="s">
        <v>162</v>
      </c>
      <c r="C11" s="39" t="s">
        <v>38</v>
      </c>
      <c r="D11" s="110">
        <f>'Anexo 1'!E10</f>
        <v>340000000</v>
      </c>
      <c r="E11" s="110">
        <f>'Anexo 2'!H10</f>
        <v>0</v>
      </c>
      <c r="F11" s="110">
        <v>0</v>
      </c>
      <c r="G11" s="110">
        <f>+'Anexo 2'!F10+'Anexo 2'!G10</f>
        <v>0</v>
      </c>
      <c r="H11" s="111" t="s">
        <v>36</v>
      </c>
      <c r="I11" s="131"/>
      <c r="J11" s="131"/>
      <c r="K11" s="131" t="s">
        <v>36</v>
      </c>
      <c r="L11" s="131" t="s">
        <v>36</v>
      </c>
      <c r="M11" s="131" t="s">
        <v>36</v>
      </c>
      <c r="N11" s="131" t="s">
        <v>36</v>
      </c>
      <c r="O11" s="131" t="s">
        <v>36</v>
      </c>
      <c r="P11" s="131" t="s">
        <v>36</v>
      </c>
      <c r="Q11" s="188" t="s">
        <v>36</v>
      </c>
      <c r="R11" s="185"/>
      <c r="S11" s="186"/>
      <c r="T11" s="81"/>
      <c r="U11" s="187"/>
      <c r="V11" s="81"/>
      <c r="W11" s="81"/>
    </row>
    <row r="12" spans="1:23">
      <c r="A12" s="29" t="s">
        <v>39</v>
      </c>
      <c r="B12" s="30" t="s">
        <v>40</v>
      </c>
      <c r="C12" s="39" t="s">
        <v>38</v>
      </c>
      <c r="D12" s="110">
        <f>'Anexo 1'!E11</f>
        <v>90055000</v>
      </c>
      <c r="E12" s="110">
        <f>'Anexo 2'!H11</f>
        <v>22611154.769999996</v>
      </c>
      <c r="F12" s="110">
        <v>19894718.550000001</v>
      </c>
      <c r="G12" s="110">
        <f>+'Anexo 2'!F11+'Anexo 2'!G11</f>
        <v>18543845.23</v>
      </c>
      <c r="H12" s="111">
        <f t="shared" ref="H12:H17" si="0">+G12/F12</f>
        <v>0.9320988976745288</v>
      </c>
      <c r="I12" s="110"/>
      <c r="J12" s="110"/>
      <c r="K12" s="110">
        <v>16500000</v>
      </c>
      <c r="L12" s="110">
        <v>0</v>
      </c>
      <c r="M12" s="110">
        <v>6111154.7699999958</v>
      </c>
      <c r="N12" s="131" t="s">
        <v>36</v>
      </c>
      <c r="O12" s="131" t="s">
        <v>36</v>
      </c>
      <c r="P12" s="131" t="s">
        <v>36</v>
      </c>
      <c r="Q12" s="188" t="s">
        <v>36</v>
      </c>
      <c r="R12" s="185"/>
      <c r="S12" s="186"/>
      <c r="T12" s="81"/>
      <c r="U12" s="187"/>
      <c r="V12" s="81"/>
      <c r="W12" s="81"/>
    </row>
    <row r="13" spans="1:23" ht="27.6">
      <c r="A13" s="29">
        <v>2128</v>
      </c>
      <c r="B13" s="30" t="s">
        <v>163</v>
      </c>
      <c r="C13" s="39" t="s">
        <v>43</v>
      </c>
      <c r="D13" s="110">
        <f>'Anexo 1'!E12</f>
        <v>270000000</v>
      </c>
      <c r="E13" s="110">
        <f>'Anexo 2'!H12</f>
        <v>35461054.879999995</v>
      </c>
      <c r="F13" s="110">
        <v>43334204.060000002</v>
      </c>
      <c r="G13" s="110">
        <f>+'Anexo 2'!F12+'Anexo 2'!G12</f>
        <v>20725112.390000001</v>
      </c>
      <c r="H13" s="111">
        <f t="shared" si="0"/>
        <v>0.47826221433083821</v>
      </c>
      <c r="I13" s="110"/>
      <c r="J13" s="110"/>
      <c r="K13" s="110">
        <v>35461054.879999995</v>
      </c>
      <c r="L13" s="131" t="s">
        <v>36</v>
      </c>
      <c r="M13" s="131" t="s">
        <v>36</v>
      </c>
      <c r="N13" s="131" t="s">
        <v>36</v>
      </c>
      <c r="O13" s="131" t="s">
        <v>36</v>
      </c>
      <c r="P13" s="131" t="s">
        <v>36</v>
      </c>
      <c r="Q13" s="188" t="s">
        <v>36</v>
      </c>
      <c r="R13" s="185"/>
      <c r="S13" s="186"/>
      <c r="T13" s="81"/>
      <c r="U13" s="187"/>
      <c r="V13" s="81"/>
      <c r="W13" s="81"/>
    </row>
    <row r="14" spans="1:23" ht="27.6">
      <c r="A14" s="29">
        <v>2129</v>
      </c>
      <c r="B14" s="30" t="s">
        <v>164</v>
      </c>
      <c r="C14" s="39" t="s">
        <v>34</v>
      </c>
      <c r="D14" s="110">
        <f>'Anexo 1'!E13</f>
        <v>130000000</v>
      </c>
      <c r="E14" s="110">
        <f>'Anexo 2'!H13</f>
        <v>118800000</v>
      </c>
      <c r="F14" s="110">
        <v>3376146</v>
      </c>
      <c r="G14" s="110">
        <f>+'Anexo 2'!F13+'Anexo 2'!G13</f>
        <v>0</v>
      </c>
      <c r="H14" s="111">
        <f t="shared" si="0"/>
        <v>0</v>
      </c>
      <c r="I14" s="110"/>
      <c r="J14" s="110"/>
      <c r="K14" s="110">
        <v>1879951.3099974729</v>
      </c>
      <c r="L14" s="110">
        <v>1920048.4799974733</v>
      </c>
      <c r="M14" s="110">
        <v>17000000.210005131</v>
      </c>
      <c r="N14" s="110">
        <v>59999999.999999993</v>
      </c>
      <c r="O14" s="110">
        <v>38000000</v>
      </c>
      <c r="P14" s="110" t="s">
        <v>36</v>
      </c>
      <c r="Q14" s="189" t="s">
        <v>36</v>
      </c>
      <c r="R14" s="185"/>
      <c r="S14" s="186"/>
      <c r="T14" s="81"/>
      <c r="U14" s="187"/>
      <c r="V14" s="81"/>
      <c r="W14" s="81"/>
    </row>
    <row r="15" spans="1:23" ht="41.4">
      <c r="A15" s="29">
        <v>2164</v>
      </c>
      <c r="B15" s="30" t="s">
        <v>165</v>
      </c>
      <c r="C15" s="39" t="s">
        <v>34</v>
      </c>
      <c r="D15" s="110">
        <f>'Anexo 1'!E14</f>
        <v>154562390.28999999</v>
      </c>
      <c r="E15" s="110">
        <f>'Anexo 2'!H14</f>
        <v>137707890.79999998</v>
      </c>
      <c r="F15" s="110">
        <v>4625656</v>
      </c>
      <c r="G15" s="110">
        <f>+'Anexo 2'!F14+'Anexo 2'!G14</f>
        <v>0</v>
      </c>
      <c r="H15" s="111">
        <f t="shared" si="0"/>
        <v>0</v>
      </c>
      <c r="I15" s="110"/>
      <c r="J15" s="110"/>
      <c r="K15" s="110">
        <v>0</v>
      </c>
      <c r="L15" s="110">
        <v>3412029</v>
      </c>
      <c r="M15" s="110">
        <v>134295860</v>
      </c>
      <c r="N15" s="131" t="s">
        <v>36</v>
      </c>
      <c r="O15" s="131" t="s">
        <v>36</v>
      </c>
      <c r="P15" s="131" t="s">
        <v>36</v>
      </c>
      <c r="Q15" s="188" t="s">
        <v>36</v>
      </c>
      <c r="R15" s="185"/>
      <c r="S15" s="186"/>
      <c r="T15" s="81"/>
      <c r="U15" s="187"/>
      <c r="V15" s="81"/>
      <c r="W15" s="81"/>
    </row>
    <row r="16" spans="1:23" ht="30.6">
      <c r="A16" s="29" t="s">
        <v>46</v>
      </c>
      <c r="B16" s="116" t="s">
        <v>166</v>
      </c>
      <c r="C16" s="39" t="str">
        <f>+'Anexo 1'!C15</f>
        <v>AyA</v>
      </c>
      <c r="D16" s="110">
        <f>'Anexo 1'!E15</f>
        <v>111128810</v>
      </c>
      <c r="E16" s="110">
        <f>'Anexo 2'!H15</f>
        <v>109040810</v>
      </c>
      <c r="F16" s="110">
        <v>1300000</v>
      </c>
      <c r="G16" s="110">
        <f>+'Anexo 2'!F15+'Anexo 2'!G15</f>
        <v>0</v>
      </c>
      <c r="H16" s="111">
        <f t="shared" si="0"/>
        <v>0</v>
      </c>
      <c r="I16" s="110"/>
      <c r="J16" s="110"/>
      <c r="K16" s="190">
        <v>500000</v>
      </c>
      <c r="L16" s="190">
        <v>1400000</v>
      </c>
      <c r="M16" s="190">
        <v>9517150</v>
      </c>
      <c r="N16" s="190">
        <v>18000000</v>
      </c>
      <c r="O16" s="190">
        <v>30775000</v>
      </c>
      <c r="P16" s="110">
        <v>48848660</v>
      </c>
      <c r="Q16" s="189" t="s">
        <v>36</v>
      </c>
      <c r="R16" s="185"/>
      <c r="S16" s="186"/>
      <c r="T16" s="81"/>
      <c r="U16" s="187"/>
      <c r="V16" s="81"/>
      <c r="W16" s="81"/>
    </row>
    <row r="17" spans="1:23">
      <c r="A17" s="29">
        <v>2198</v>
      </c>
      <c r="B17" s="30" t="s">
        <v>167</v>
      </c>
      <c r="C17" s="39" t="str">
        <f>+'Anexo 1'!C16</f>
        <v>AyA/SENARA</v>
      </c>
      <c r="D17" s="110">
        <f>'Anexo 1'!E16</f>
        <v>55080000</v>
      </c>
      <c r="E17" s="110">
        <f>'Anexo 2'!H16</f>
        <v>54580000</v>
      </c>
      <c r="F17" s="110">
        <v>25000</v>
      </c>
      <c r="G17" s="110">
        <f>+'Anexo 2'!F16+'Anexo 2'!G16</f>
        <v>0</v>
      </c>
      <c r="H17" s="111">
        <f t="shared" si="0"/>
        <v>0</v>
      </c>
      <c r="I17" s="110"/>
      <c r="J17" s="110"/>
      <c r="K17" s="110">
        <v>5943631.7000000002</v>
      </c>
      <c r="L17" s="110">
        <v>2655000</v>
      </c>
      <c r="M17" s="110">
        <v>12755750</v>
      </c>
      <c r="N17" s="110">
        <v>19967520.300000001</v>
      </c>
      <c r="O17" s="191">
        <v>13049506</v>
      </c>
      <c r="P17" s="191">
        <v>208592</v>
      </c>
      <c r="Q17" s="188" t="s">
        <v>36</v>
      </c>
      <c r="R17" s="185"/>
      <c r="S17" s="186"/>
      <c r="T17" s="81"/>
      <c r="U17" s="187"/>
      <c r="V17" s="81"/>
      <c r="W17" s="81"/>
    </row>
    <row r="18" spans="1:23">
      <c r="A18" s="29">
        <v>2270</v>
      </c>
      <c r="B18" s="30" t="str">
        <f>+'Anexo 1'!B17</f>
        <v>Adquisición y Aplicación de Vacunas COVID-19</v>
      </c>
      <c r="C18" s="39" t="str">
        <f>+'Anexo 1'!C17</f>
        <v>CNE</v>
      </c>
      <c r="D18" s="110">
        <f>'Anexo 1'!E17</f>
        <v>80000000</v>
      </c>
      <c r="E18" s="110">
        <f>'Anexo 2'!H17</f>
        <v>0</v>
      </c>
      <c r="F18" s="110">
        <v>0</v>
      </c>
      <c r="G18" s="110">
        <f>+'Anexo 2'!F17+'Anexo 2'!G17</f>
        <v>0</v>
      </c>
      <c r="H18" s="111" t="s">
        <v>36</v>
      </c>
      <c r="I18" s="110"/>
      <c r="J18" s="110"/>
      <c r="K18" s="110" t="s">
        <v>36</v>
      </c>
      <c r="L18" s="110" t="s">
        <v>36</v>
      </c>
      <c r="M18" s="110" t="s">
        <v>36</v>
      </c>
      <c r="N18" s="110" t="s">
        <v>36</v>
      </c>
      <c r="O18" s="110" t="s">
        <v>36</v>
      </c>
      <c r="P18" s="110" t="s">
        <v>36</v>
      </c>
      <c r="Q18" s="189" t="s">
        <v>36</v>
      </c>
      <c r="R18" s="185"/>
      <c r="S18" s="186"/>
      <c r="T18" s="81"/>
      <c r="U18" s="187"/>
      <c r="V18" s="81"/>
      <c r="W18" s="81"/>
    </row>
    <row r="19" spans="1:23" ht="27.6">
      <c r="A19" s="29">
        <v>2220</v>
      </c>
      <c r="B19" s="30" t="str">
        <f>+'Anexo 1'!B18</f>
        <v>Proyecto de Abastecimiento de Agua para la Cuenca Media del río Tempisque y Comunidades Costeras (PAACUME)</v>
      </c>
      <c r="C19" s="39" t="str">
        <f>+'Anexo 1'!C18</f>
        <v xml:space="preserve">SENARA </v>
      </c>
      <c r="D19" s="110">
        <f>'Anexo 1'!E18</f>
        <v>425000000</v>
      </c>
      <c r="E19" s="110">
        <f>'Anexo 2'!H18</f>
        <v>425000000</v>
      </c>
      <c r="F19" s="110">
        <v>0</v>
      </c>
      <c r="G19" s="110">
        <f>+'Anexo 2'!F18+'Anexo 2'!G18</f>
        <v>0</v>
      </c>
      <c r="H19" s="111" t="s">
        <v>36</v>
      </c>
      <c r="I19" s="110"/>
      <c r="J19" s="110"/>
      <c r="K19" s="110">
        <v>0</v>
      </c>
      <c r="L19" s="110">
        <v>0</v>
      </c>
      <c r="M19" s="110">
        <v>7370746</v>
      </c>
      <c r="N19" s="110">
        <v>52036825</v>
      </c>
      <c r="O19" s="110">
        <v>161922681</v>
      </c>
      <c r="P19" s="110">
        <v>117079256</v>
      </c>
      <c r="Q19" s="189">
        <v>86590492</v>
      </c>
      <c r="R19" s="185"/>
      <c r="S19" s="186"/>
      <c r="T19" s="81"/>
      <c r="U19" s="187"/>
      <c r="V19" s="81"/>
      <c r="W19" s="81"/>
    </row>
    <row r="20" spans="1:23" s="46" customFormat="1">
      <c r="A20" s="29"/>
      <c r="B20" s="1"/>
      <c r="C20" s="192"/>
      <c r="D20" s="117">
        <f>SUM(D10:D19)</f>
        <v>1755279957.29</v>
      </c>
      <c r="E20" s="117">
        <f t="shared" ref="E20:G20" si="1">SUM(E10:E19)</f>
        <v>903200910.44999993</v>
      </c>
      <c r="F20" s="117">
        <f t="shared" si="1"/>
        <v>72555724.609999999</v>
      </c>
      <c r="G20" s="117">
        <f t="shared" si="1"/>
        <v>39268957.620000005</v>
      </c>
      <c r="H20" s="45"/>
      <c r="I20" s="117">
        <f>SUM(I10:I18)</f>
        <v>0</v>
      </c>
      <c r="J20" s="117">
        <f t="shared" ref="J20" si="2">SUM(J10:J18)</f>
        <v>0</v>
      </c>
      <c r="K20" s="117">
        <f>SUM(K10:K19)</f>
        <v>60284637.889997467</v>
      </c>
      <c r="L20" s="117">
        <f t="shared" ref="L20:Q20" si="3">SUM(L10:L19)</f>
        <v>9387077.4799974728</v>
      </c>
      <c r="M20" s="117">
        <f t="shared" si="3"/>
        <v>187050660.98000512</v>
      </c>
      <c r="N20" s="117">
        <f t="shared" si="3"/>
        <v>150004345.30000001</v>
      </c>
      <c r="O20" s="117">
        <f t="shared" si="3"/>
        <v>243747187</v>
      </c>
      <c r="P20" s="117">
        <f t="shared" si="3"/>
        <v>166136508</v>
      </c>
      <c r="Q20" s="134">
        <f t="shared" si="3"/>
        <v>86590492</v>
      </c>
      <c r="R20" s="185"/>
      <c r="S20" s="186"/>
      <c r="T20" s="81"/>
      <c r="U20" s="187"/>
      <c r="V20" s="81"/>
      <c r="W20" s="81"/>
    </row>
    <row r="21" spans="1:23" s="46" customFormat="1">
      <c r="A21" s="29"/>
      <c r="B21" s="1"/>
      <c r="C21" s="192"/>
      <c r="D21" s="117"/>
      <c r="E21" s="117"/>
      <c r="F21" s="117"/>
      <c r="G21" s="117"/>
      <c r="H21" s="45"/>
      <c r="I21" s="193"/>
      <c r="J21" s="117"/>
      <c r="K21" s="117"/>
      <c r="L21" s="117"/>
      <c r="M21" s="117"/>
      <c r="N21" s="117"/>
      <c r="O21" s="117"/>
      <c r="P21" s="117"/>
      <c r="Q21" s="134"/>
      <c r="R21" s="185"/>
      <c r="S21" s="186"/>
      <c r="T21" s="81"/>
      <c r="U21" s="187"/>
      <c r="V21" s="81"/>
      <c r="W21" s="81"/>
    </row>
    <row r="22" spans="1:23">
      <c r="A22" s="48" t="s">
        <v>58</v>
      </c>
      <c r="B22" s="30"/>
      <c r="C22" s="39"/>
      <c r="D22" s="110"/>
      <c r="E22" s="110"/>
      <c r="F22" s="110"/>
      <c r="G22" s="110"/>
      <c r="H22" s="32"/>
      <c r="I22" s="131"/>
      <c r="J22" s="110"/>
      <c r="K22" s="110"/>
      <c r="L22" s="110"/>
      <c r="M22" s="110"/>
      <c r="N22" s="110"/>
      <c r="O22" s="110"/>
      <c r="P22" s="110"/>
      <c r="Q22" s="189"/>
      <c r="R22" s="185"/>
      <c r="S22" s="186"/>
      <c r="T22" s="81"/>
      <c r="U22" s="187"/>
      <c r="V22" s="81"/>
      <c r="W22" s="81"/>
    </row>
    <row r="23" spans="1:23">
      <c r="A23" s="29" t="s">
        <v>59</v>
      </c>
      <c r="B23" s="52" t="s">
        <v>134</v>
      </c>
      <c r="C23" s="39" t="s">
        <v>34</v>
      </c>
      <c r="D23" s="110">
        <f>'Anexo 1'!E22</f>
        <v>73000000</v>
      </c>
      <c r="E23" s="110">
        <f>'Anexo 2'!H22</f>
        <v>3911309.1599999964</v>
      </c>
      <c r="F23" s="110">
        <v>5000000</v>
      </c>
      <c r="G23" s="110">
        <f>+'Anexo 2'!F22+'Anexo 2'!G22</f>
        <v>5630647.0600000005</v>
      </c>
      <c r="H23" s="111">
        <f t="shared" ref="H23:H35" si="4">+G23/F23</f>
        <v>1.1261294120000001</v>
      </c>
      <c r="I23" s="194"/>
      <c r="J23" s="194"/>
      <c r="K23" s="194">
        <v>1256000</v>
      </c>
      <c r="L23" s="110">
        <v>0</v>
      </c>
      <c r="M23" s="194">
        <v>2655309.16</v>
      </c>
      <c r="N23" s="131" t="s">
        <v>36</v>
      </c>
      <c r="O23" s="131" t="s">
        <v>36</v>
      </c>
      <c r="P23" s="131" t="s">
        <v>36</v>
      </c>
      <c r="Q23" s="188" t="s">
        <v>36</v>
      </c>
      <c r="R23" s="185"/>
      <c r="S23" s="186"/>
      <c r="T23" s="81"/>
      <c r="U23" s="187"/>
      <c r="V23" s="81"/>
      <c r="W23" s="81"/>
    </row>
    <row r="24" spans="1:23">
      <c r="A24" s="54" t="s">
        <v>62</v>
      </c>
      <c r="B24" s="116" t="s">
        <v>63</v>
      </c>
      <c r="C24" s="195" t="s">
        <v>64</v>
      </c>
      <c r="D24" s="110">
        <f>'Anexo 1'!E23</f>
        <v>400000000</v>
      </c>
      <c r="E24" s="110">
        <f>'Anexo 2'!H23</f>
        <v>120000000</v>
      </c>
      <c r="F24" s="110">
        <v>30000000</v>
      </c>
      <c r="G24" s="110">
        <f>+'Anexo 2'!F23+'Anexo 2'!G23</f>
        <v>0</v>
      </c>
      <c r="H24" s="111">
        <f t="shared" si="4"/>
        <v>0</v>
      </c>
      <c r="I24" s="110"/>
      <c r="J24" s="110"/>
      <c r="K24" s="110">
        <v>15000000.000000002</v>
      </c>
      <c r="L24" s="110">
        <v>0</v>
      </c>
      <c r="M24" s="110">
        <v>104999999.99999999</v>
      </c>
      <c r="N24" s="131" t="s">
        <v>36</v>
      </c>
      <c r="O24" s="131" t="s">
        <v>36</v>
      </c>
      <c r="P24" s="131" t="s">
        <v>36</v>
      </c>
      <c r="Q24" s="188" t="s">
        <v>36</v>
      </c>
      <c r="R24" s="185"/>
      <c r="S24" s="186"/>
      <c r="T24" s="81"/>
      <c r="U24" s="187"/>
      <c r="V24" s="81"/>
      <c r="W24" s="81"/>
    </row>
    <row r="25" spans="1:23">
      <c r="A25" s="54" t="s">
        <v>65</v>
      </c>
      <c r="B25" s="30" t="s">
        <v>63</v>
      </c>
      <c r="C25" s="195"/>
      <c r="D25" s="110">
        <f>'Anexo 1'!E24</f>
        <v>50000000</v>
      </c>
      <c r="E25" s="110">
        <f>'Anexo 2'!H24</f>
        <v>20000000</v>
      </c>
      <c r="F25" s="110">
        <v>0</v>
      </c>
      <c r="G25" s="110">
        <f>+'Anexo 2'!F24+'Anexo 2'!G24</f>
        <v>0</v>
      </c>
      <c r="H25" s="111" t="s">
        <v>36</v>
      </c>
      <c r="I25" s="110"/>
      <c r="J25" s="110"/>
      <c r="K25" s="110">
        <v>0</v>
      </c>
      <c r="L25" s="110">
        <v>0</v>
      </c>
      <c r="M25" s="110">
        <v>20000000</v>
      </c>
      <c r="N25" s="131" t="s">
        <v>36</v>
      </c>
      <c r="O25" s="131" t="s">
        <v>36</v>
      </c>
      <c r="P25" s="131" t="s">
        <v>36</v>
      </c>
      <c r="Q25" s="188" t="s">
        <v>36</v>
      </c>
      <c r="R25" s="185"/>
      <c r="S25" s="186"/>
      <c r="T25" s="81"/>
      <c r="U25" s="187"/>
      <c r="V25" s="81"/>
      <c r="W25" s="81"/>
    </row>
    <row r="26" spans="1:23" s="46" customFormat="1">
      <c r="A26" s="54" t="s">
        <v>66</v>
      </c>
      <c r="B26" s="30" t="s">
        <v>67</v>
      </c>
      <c r="C26" s="39" t="s">
        <v>68</v>
      </c>
      <c r="D26" s="110">
        <f>'Anexo 1'!E25</f>
        <v>100000000</v>
      </c>
      <c r="E26" s="110">
        <f>'Anexo 2'!H25</f>
        <v>36635103.969999999</v>
      </c>
      <c r="F26" s="32">
        <v>10783884.470000001</v>
      </c>
      <c r="G26" s="32">
        <f>+'Anexo 2'!F25+'Anexo 2'!G25</f>
        <v>10720767.050000001</v>
      </c>
      <c r="H26" s="111">
        <f t="shared" si="4"/>
        <v>0.99414706081323589</v>
      </c>
      <c r="I26" s="32"/>
      <c r="J26" s="196"/>
      <c r="K26" s="196">
        <v>0</v>
      </c>
      <c r="L26" s="32">
        <v>27979232.949999999</v>
      </c>
      <c r="M26" s="32">
        <v>8655871.0199999996</v>
      </c>
      <c r="N26" s="111" t="s">
        <v>36</v>
      </c>
      <c r="O26" s="111" t="s">
        <v>36</v>
      </c>
      <c r="P26" s="111" t="s">
        <v>36</v>
      </c>
      <c r="Q26" s="184" t="s">
        <v>36</v>
      </c>
      <c r="R26" s="197"/>
      <c r="S26" s="186"/>
      <c r="T26" s="81"/>
      <c r="U26" s="187"/>
      <c r="V26" s="81"/>
      <c r="W26" s="81"/>
    </row>
    <row r="27" spans="1:23" s="46" customFormat="1">
      <c r="A27" s="54" t="s">
        <v>69</v>
      </c>
      <c r="B27" s="30" t="s">
        <v>70</v>
      </c>
      <c r="C27" s="39" t="s">
        <v>64</v>
      </c>
      <c r="D27" s="110">
        <f>'Anexo 1'!E26</f>
        <v>144036000</v>
      </c>
      <c r="E27" s="110">
        <f>'Anexo 2'!H26</f>
        <v>67046707.569999993</v>
      </c>
      <c r="F27" s="32">
        <v>15000000</v>
      </c>
      <c r="G27" s="32">
        <f>+'Anexo 2'!F26+'Anexo 2'!G26</f>
        <v>15000000</v>
      </c>
      <c r="H27" s="111">
        <f t="shared" si="4"/>
        <v>1</v>
      </c>
      <c r="I27" s="32"/>
      <c r="J27" s="32"/>
      <c r="K27" s="32">
        <v>0</v>
      </c>
      <c r="L27" s="32">
        <v>15000000</v>
      </c>
      <c r="M27" s="32">
        <v>27038559.23</v>
      </c>
      <c r="N27" s="32">
        <v>25008148.34</v>
      </c>
      <c r="O27" s="111" t="s">
        <v>36</v>
      </c>
      <c r="P27" s="111" t="s">
        <v>36</v>
      </c>
      <c r="Q27" s="184" t="s">
        <v>36</v>
      </c>
      <c r="R27" s="197"/>
      <c r="S27" s="186"/>
      <c r="T27" s="81"/>
      <c r="U27" s="187"/>
      <c r="V27" s="81"/>
      <c r="W27" s="81"/>
    </row>
    <row r="28" spans="1:23" s="46" customFormat="1" ht="27.6">
      <c r="A28" s="54" t="str">
        <f>+'Anexo 1'!A27</f>
        <v>3589/OC-CR</v>
      </c>
      <c r="B28" s="30" t="s">
        <v>72</v>
      </c>
      <c r="C28" s="39" t="str">
        <f>+'Anexo 1'!C27</f>
        <v>ICE</v>
      </c>
      <c r="D28" s="110">
        <f>+'Anexo 1'!E27</f>
        <v>134500000</v>
      </c>
      <c r="E28" s="110">
        <f>'Anexo 2'!H27</f>
        <v>52936543.159999996</v>
      </c>
      <c r="F28" s="32">
        <v>1056919.08</v>
      </c>
      <c r="G28" s="32">
        <f>+'Anexo 2'!F27+'Anexo 2'!G27</f>
        <v>25000000</v>
      </c>
      <c r="H28" s="111">
        <f t="shared" si="4"/>
        <v>23.65365568005452</v>
      </c>
      <c r="I28" s="32"/>
      <c r="J28" s="32"/>
      <c r="K28" s="32">
        <v>0</v>
      </c>
      <c r="L28" s="32">
        <v>0</v>
      </c>
      <c r="M28" s="32">
        <v>52936543.159999996</v>
      </c>
      <c r="N28" s="32" t="s">
        <v>36</v>
      </c>
      <c r="O28" s="32" t="s">
        <v>36</v>
      </c>
      <c r="P28" s="32" t="s">
        <v>36</v>
      </c>
      <c r="Q28" s="198" t="s">
        <v>36</v>
      </c>
      <c r="R28" s="197"/>
      <c r="S28" s="186"/>
      <c r="T28" s="81"/>
      <c r="U28" s="187"/>
      <c r="V28" s="81"/>
      <c r="W28" s="81"/>
    </row>
    <row r="29" spans="1:23" s="46" customFormat="1" ht="27.6">
      <c r="A29" s="54" t="str">
        <f>+'Anexo 1'!A28</f>
        <v>4864/OC-CR</v>
      </c>
      <c r="B29" s="30" t="s">
        <v>76</v>
      </c>
      <c r="C29" s="39" t="str">
        <f>+'Anexo 1'!C28</f>
        <v>MOPT</v>
      </c>
      <c r="D29" s="110">
        <f>+'Anexo 1'!E28</f>
        <v>125000000</v>
      </c>
      <c r="E29" s="110">
        <f>'Anexo 2'!H28</f>
        <v>105000000</v>
      </c>
      <c r="F29" s="32">
        <v>50000000</v>
      </c>
      <c r="G29" s="32">
        <f>+'Anexo 2'!F28+'Anexo 2'!G28</f>
        <v>0</v>
      </c>
      <c r="H29" s="111">
        <f t="shared" si="4"/>
        <v>0</v>
      </c>
      <c r="I29" s="32"/>
      <c r="J29" s="32"/>
      <c r="K29" s="32">
        <v>10000000</v>
      </c>
      <c r="L29" s="32">
        <v>10000000</v>
      </c>
      <c r="M29" s="32">
        <v>38210000</v>
      </c>
      <c r="N29" s="32">
        <v>46790000.000000007</v>
      </c>
      <c r="O29" s="32" t="s">
        <v>36</v>
      </c>
      <c r="P29" s="32" t="s">
        <v>36</v>
      </c>
      <c r="Q29" s="198" t="s">
        <v>36</v>
      </c>
      <c r="R29" s="197"/>
      <c r="S29" s="186"/>
      <c r="T29" s="81"/>
      <c r="U29" s="187"/>
      <c r="V29" s="81"/>
      <c r="W29" s="81"/>
    </row>
    <row r="30" spans="1:23" s="46" customFormat="1">
      <c r="A30" s="54" t="str">
        <f>+'Anexo 1'!A29</f>
        <v>4871/OC-CR</v>
      </c>
      <c r="B30" s="30" t="s">
        <v>78</v>
      </c>
      <c r="C30" s="39" t="str">
        <f>+'Anexo 1'!C29</f>
        <v>MJP</v>
      </c>
      <c r="D30" s="110">
        <f>+'Anexo 1'!E29</f>
        <v>100000000</v>
      </c>
      <c r="E30" s="110">
        <f>'Anexo 2'!H29</f>
        <v>94076383.239999995</v>
      </c>
      <c r="F30" s="32">
        <v>5500000</v>
      </c>
      <c r="G30" s="32">
        <f>+'Anexo 2'!F29+'Anexo 2'!G29</f>
        <v>0</v>
      </c>
      <c r="H30" s="111">
        <f t="shared" si="4"/>
        <v>0</v>
      </c>
      <c r="I30" s="32"/>
      <c r="J30" s="32"/>
      <c r="K30" s="32">
        <v>12500000</v>
      </c>
      <c r="L30" s="32">
        <v>0</v>
      </c>
      <c r="M30" s="32">
        <v>59000000</v>
      </c>
      <c r="N30" s="32">
        <v>22576383.239999998</v>
      </c>
      <c r="O30" s="32">
        <v>0</v>
      </c>
      <c r="P30" s="32" t="s">
        <v>36</v>
      </c>
      <c r="Q30" s="198" t="s">
        <v>36</v>
      </c>
      <c r="R30" s="197"/>
      <c r="S30" s="186"/>
      <c r="T30" s="81"/>
      <c r="U30" s="187"/>
      <c r="V30" s="81"/>
      <c r="W30" s="81"/>
    </row>
    <row r="31" spans="1:23">
      <c r="A31" s="29"/>
      <c r="B31" s="1"/>
      <c r="C31" s="192"/>
      <c r="D31" s="117">
        <f>SUM(D23:D30)</f>
        <v>1126536000</v>
      </c>
      <c r="E31" s="117">
        <f>SUM(E23:E30)</f>
        <v>499606047.10000002</v>
      </c>
      <c r="F31" s="45">
        <f>SUM(F23:F30)</f>
        <v>117340803.55</v>
      </c>
      <c r="G31" s="45">
        <f>SUM(G23:G30)</f>
        <v>56351414.109999999</v>
      </c>
      <c r="H31" s="111"/>
      <c r="I31" s="45">
        <f t="shared" ref="I31:Q31" si="5">SUM(I23:I30)</f>
        <v>0</v>
      </c>
      <c r="J31" s="45">
        <f t="shared" si="5"/>
        <v>0</v>
      </c>
      <c r="K31" s="45">
        <f t="shared" si="5"/>
        <v>38756000</v>
      </c>
      <c r="L31" s="45">
        <f t="shared" si="5"/>
        <v>52979232.950000003</v>
      </c>
      <c r="M31" s="45">
        <f t="shared" si="5"/>
        <v>313496282.56999993</v>
      </c>
      <c r="N31" s="45">
        <f t="shared" si="5"/>
        <v>94374531.579999998</v>
      </c>
      <c r="O31" s="45">
        <f t="shared" si="5"/>
        <v>0</v>
      </c>
      <c r="P31" s="45">
        <f t="shared" si="5"/>
        <v>0</v>
      </c>
      <c r="Q31" s="199">
        <f t="shared" si="5"/>
        <v>0</v>
      </c>
      <c r="R31" s="197"/>
      <c r="S31" s="186"/>
      <c r="T31" s="81"/>
      <c r="U31" s="187"/>
      <c r="V31" s="81"/>
      <c r="W31" s="81"/>
    </row>
    <row r="32" spans="1:23">
      <c r="A32" s="68"/>
      <c r="B32" s="30"/>
      <c r="C32" s="39"/>
      <c r="D32" s="110"/>
      <c r="E32" s="110"/>
      <c r="F32" s="32"/>
      <c r="G32" s="32"/>
      <c r="H32" s="111"/>
      <c r="I32" s="111"/>
      <c r="J32" s="32"/>
      <c r="K32" s="32"/>
      <c r="L32" s="32"/>
      <c r="M32" s="32"/>
      <c r="N32" s="32"/>
      <c r="O32" s="32"/>
      <c r="P32" s="32"/>
      <c r="Q32" s="198"/>
      <c r="R32" s="197"/>
      <c r="S32" s="186"/>
      <c r="T32" s="81"/>
      <c r="U32" s="187"/>
      <c r="V32" s="81"/>
      <c r="W32" s="81"/>
    </row>
    <row r="33" spans="1:23" s="46" customFormat="1">
      <c r="A33" s="48" t="s">
        <v>80</v>
      </c>
      <c r="B33" s="30"/>
      <c r="C33" s="39"/>
      <c r="D33" s="110"/>
      <c r="E33" s="110"/>
      <c r="F33" s="32"/>
      <c r="G33" s="32"/>
      <c r="H33" s="111"/>
      <c r="I33" s="111"/>
      <c r="J33" s="32"/>
      <c r="K33" s="32"/>
      <c r="L33" s="32"/>
      <c r="M33" s="32"/>
      <c r="N33" s="32"/>
      <c r="O33" s="32"/>
      <c r="P33" s="32"/>
      <c r="Q33" s="198"/>
      <c r="R33" s="197"/>
      <c r="S33" s="186"/>
      <c r="T33" s="81"/>
      <c r="U33" s="187"/>
      <c r="V33" s="81"/>
      <c r="W33" s="81"/>
    </row>
    <row r="34" spans="1:23" ht="27.6">
      <c r="A34" s="29" t="s">
        <v>81</v>
      </c>
      <c r="B34" s="69" t="s">
        <v>82</v>
      </c>
      <c r="C34" s="39" t="s">
        <v>43</v>
      </c>
      <c r="D34" s="110">
        <f>'Anexo 1'!E33</f>
        <v>420000000</v>
      </c>
      <c r="E34" s="110">
        <f>'Anexo 2'!H33</f>
        <v>0</v>
      </c>
      <c r="F34" s="32">
        <v>0</v>
      </c>
      <c r="G34" s="32">
        <f>+'Anexo 2'!F33+'Anexo 2'!G33</f>
        <v>30000000</v>
      </c>
      <c r="H34" s="111" t="s">
        <v>36</v>
      </c>
      <c r="I34" s="32"/>
      <c r="J34" s="32"/>
      <c r="K34" s="32" t="s">
        <v>36</v>
      </c>
      <c r="L34" s="32" t="s">
        <v>36</v>
      </c>
      <c r="M34" s="32" t="s">
        <v>36</v>
      </c>
      <c r="N34" s="32" t="s">
        <v>36</v>
      </c>
      <c r="O34" s="32" t="s">
        <v>36</v>
      </c>
      <c r="P34" s="32" t="s">
        <v>36</v>
      </c>
      <c r="Q34" s="198" t="s">
        <v>36</v>
      </c>
      <c r="R34" s="197"/>
      <c r="S34" s="186"/>
      <c r="T34" s="81"/>
      <c r="U34" s="187"/>
      <c r="V34" s="81"/>
      <c r="W34" s="81"/>
    </row>
    <row r="35" spans="1:23">
      <c r="A35" s="54" t="str">
        <f>+'Anexo 1'!A34</f>
        <v>9075-CR</v>
      </c>
      <c r="B35" s="69" t="s">
        <v>84</v>
      </c>
      <c r="C35" s="39" t="s">
        <v>85</v>
      </c>
      <c r="D35" s="110">
        <f>'Anexo 1'!E34</f>
        <v>156640000</v>
      </c>
      <c r="E35" s="110">
        <f>'Anexo 2'!H34</f>
        <v>148528890.87</v>
      </c>
      <c r="F35" s="32">
        <v>2343964</v>
      </c>
      <c r="G35" s="32">
        <f>+'Anexo 2'!F34+'Anexo 2'!G34</f>
        <v>2758359.13</v>
      </c>
      <c r="H35" s="111">
        <f t="shared" si="4"/>
        <v>1.1767924464710209</v>
      </c>
      <c r="I35" s="32"/>
      <c r="J35" s="32"/>
      <c r="K35" s="200">
        <v>2313690</v>
      </c>
      <c r="L35" s="200">
        <v>24454191</v>
      </c>
      <c r="M35" s="200">
        <v>72079693</v>
      </c>
      <c r="N35" s="200">
        <v>32691881</v>
      </c>
      <c r="O35" s="200">
        <v>16989435.870000001</v>
      </c>
      <c r="P35" s="32" t="s">
        <v>36</v>
      </c>
      <c r="Q35" s="198" t="s">
        <v>36</v>
      </c>
      <c r="R35" s="197"/>
      <c r="S35" s="186"/>
      <c r="T35" s="81"/>
      <c r="U35" s="187"/>
      <c r="V35" s="81"/>
      <c r="W35" s="81"/>
    </row>
    <row r="36" spans="1:23" ht="27.6">
      <c r="A36" s="54" t="s">
        <v>87</v>
      </c>
      <c r="B36" s="69" t="s">
        <v>88</v>
      </c>
      <c r="C36" s="39" t="s">
        <v>89</v>
      </c>
      <c r="D36" s="110">
        <f>'Anexo 1'!E35</f>
        <v>75100500</v>
      </c>
      <c r="E36" s="110">
        <f>'Anexo 2'!H35</f>
        <v>69912748.75</v>
      </c>
      <c r="F36" s="32">
        <v>0</v>
      </c>
      <c r="G36" s="32">
        <f>+'Anexo 2'!F35+'Anexo 2'!G35</f>
        <v>0</v>
      </c>
      <c r="H36" s="111" t="s">
        <v>36</v>
      </c>
      <c r="I36" s="32"/>
      <c r="J36" s="32"/>
      <c r="K36" s="32">
        <v>0</v>
      </c>
      <c r="L36" s="32">
        <v>0</v>
      </c>
      <c r="M36" s="32">
        <v>17480687</v>
      </c>
      <c r="N36" s="32">
        <v>17475687</v>
      </c>
      <c r="O36" s="32">
        <v>17480687</v>
      </c>
      <c r="P36" s="32">
        <v>17475687</v>
      </c>
      <c r="Q36" s="198" t="s">
        <v>36</v>
      </c>
      <c r="R36" s="197"/>
      <c r="S36" s="186"/>
      <c r="T36" s="81"/>
      <c r="U36" s="187"/>
      <c r="V36" s="81"/>
      <c r="W36" s="81"/>
    </row>
    <row r="37" spans="1:23">
      <c r="A37" s="29"/>
      <c r="B37" s="69"/>
      <c r="C37" s="39"/>
      <c r="D37" s="117">
        <f>SUM(D34:D36)</f>
        <v>651740500</v>
      </c>
      <c r="E37" s="117">
        <f t="shared" ref="E37:F37" si="6">SUM(E34:E36)</f>
        <v>218441639.62</v>
      </c>
      <c r="F37" s="45">
        <f t="shared" si="6"/>
        <v>2343964</v>
      </c>
      <c r="G37" s="45">
        <f>SUM(G34:G36)</f>
        <v>32758359.129999999</v>
      </c>
      <c r="H37" s="45"/>
      <c r="I37" s="45">
        <f t="shared" ref="I37:Q37" si="7">SUM(I34:I36)</f>
        <v>0</v>
      </c>
      <c r="J37" s="45">
        <f t="shared" si="7"/>
        <v>0</v>
      </c>
      <c r="K37" s="45">
        <f t="shared" si="7"/>
        <v>2313690</v>
      </c>
      <c r="L37" s="45">
        <f t="shared" si="7"/>
        <v>24454191</v>
      </c>
      <c r="M37" s="45">
        <f t="shared" si="7"/>
        <v>89560380</v>
      </c>
      <c r="N37" s="45">
        <f t="shared" si="7"/>
        <v>50167568</v>
      </c>
      <c r="O37" s="45">
        <f t="shared" si="7"/>
        <v>34470122.870000005</v>
      </c>
      <c r="P37" s="45">
        <f t="shared" si="7"/>
        <v>17475687</v>
      </c>
      <c r="Q37" s="199">
        <f t="shared" si="7"/>
        <v>0</v>
      </c>
      <c r="R37" s="197"/>
      <c r="S37" s="186"/>
      <c r="T37" s="81"/>
      <c r="U37" s="187"/>
      <c r="V37" s="81"/>
      <c r="W37" s="81"/>
    </row>
    <row r="38" spans="1:23">
      <c r="A38" s="29"/>
      <c r="B38" s="69"/>
      <c r="C38" s="39"/>
      <c r="D38" s="117"/>
      <c r="E38" s="117"/>
      <c r="F38" s="45"/>
      <c r="G38" s="45"/>
      <c r="H38" s="45"/>
      <c r="I38" s="126"/>
      <c r="J38" s="45"/>
      <c r="K38" s="45"/>
      <c r="L38" s="45"/>
      <c r="M38" s="45"/>
      <c r="N38" s="32"/>
      <c r="O38" s="32"/>
      <c r="P38" s="32"/>
      <c r="Q38" s="198"/>
      <c r="R38" s="197"/>
      <c r="S38" s="186"/>
      <c r="T38" s="81"/>
      <c r="U38" s="187"/>
      <c r="V38" s="81"/>
      <c r="W38" s="81"/>
    </row>
    <row r="39" spans="1:23">
      <c r="A39" s="29"/>
      <c r="B39" s="69"/>
      <c r="C39" s="39"/>
      <c r="D39" s="117"/>
      <c r="E39" s="117"/>
      <c r="F39" s="45"/>
      <c r="G39" s="45"/>
      <c r="H39" s="45"/>
      <c r="I39" s="126"/>
      <c r="J39" s="45"/>
      <c r="K39" s="45"/>
      <c r="L39" s="45"/>
      <c r="M39" s="45"/>
      <c r="N39" s="32"/>
      <c r="O39" s="32"/>
      <c r="P39" s="32"/>
      <c r="Q39" s="198"/>
      <c r="R39" s="197"/>
      <c r="S39" s="186"/>
      <c r="T39" s="81"/>
      <c r="U39" s="187"/>
      <c r="V39" s="81"/>
      <c r="W39" s="81"/>
    </row>
    <row r="40" spans="1:23">
      <c r="A40" s="29" t="s">
        <v>90</v>
      </c>
      <c r="B40" s="30"/>
      <c r="C40" s="39"/>
      <c r="D40" s="110"/>
      <c r="E40" s="110"/>
      <c r="F40" s="32"/>
      <c r="G40" s="32"/>
      <c r="H40" s="32"/>
      <c r="I40" s="111"/>
      <c r="J40" s="32"/>
      <c r="K40" s="32"/>
      <c r="L40" s="32"/>
      <c r="M40" s="32"/>
      <c r="N40" s="32"/>
      <c r="O40" s="32"/>
      <c r="P40" s="32"/>
      <c r="Q40" s="198"/>
      <c r="R40" s="197"/>
      <c r="S40" s="186"/>
      <c r="T40" s="81"/>
      <c r="U40" s="187"/>
      <c r="V40" s="81"/>
      <c r="W40" s="81"/>
    </row>
    <row r="41" spans="1:23" ht="15.6">
      <c r="A41" s="29" t="s">
        <v>91</v>
      </c>
      <c r="B41" s="116" t="s">
        <v>168</v>
      </c>
      <c r="C41" s="195" t="s">
        <v>38</v>
      </c>
      <c r="D41" s="110">
        <f>'Anexo 1'!E39</f>
        <v>90542773.120000005</v>
      </c>
      <c r="E41" s="110">
        <f>'Anexo 2'!H39</f>
        <v>0</v>
      </c>
      <c r="F41" s="32" t="s">
        <v>169</v>
      </c>
      <c r="G41" s="32" t="s">
        <v>36</v>
      </c>
      <c r="H41" s="32" t="s">
        <v>36</v>
      </c>
      <c r="I41" s="32"/>
      <c r="J41" s="32"/>
      <c r="K41" s="32" t="s">
        <v>36</v>
      </c>
      <c r="L41" s="32" t="s">
        <v>36</v>
      </c>
      <c r="M41" s="32" t="s">
        <v>36</v>
      </c>
      <c r="N41" s="32" t="s">
        <v>36</v>
      </c>
      <c r="O41" s="32" t="s">
        <v>36</v>
      </c>
      <c r="P41" s="32" t="s">
        <v>36</v>
      </c>
      <c r="Q41" s="198" t="s">
        <v>36</v>
      </c>
      <c r="R41" s="197"/>
      <c r="S41" s="186"/>
      <c r="T41" s="81"/>
      <c r="U41" s="187"/>
      <c r="V41" s="81"/>
      <c r="W41" s="81"/>
    </row>
    <row r="42" spans="1:23">
      <c r="A42" s="29" t="s">
        <v>93</v>
      </c>
      <c r="B42" s="30" t="s">
        <v>170</v>
      </c>
      <c r="C42" s="195"/>
      <c r="D42" s="110">
        <f>'Anexo 1'!E40</f>
        <v>296000000</v>
      </c>
      <c r="E42" s="110">
        <f>'Anexo 2'!H40</f>
        <v>62719108.720000029</v>
      </c>
      <c r="F42" s="32">
        <v>52952163</v>
      </c>
      <c r="G42" s="32">
        <f>'Anexo 2'!F40+'Anexo 2'!G40</f>
        <v>41774383.329999998</v>
      </c>
      <c r="H42" s="111">
        <f t="shared" ref="H42" si="8">+G42/F42</f>
        <v>0.78890796831094512</v>
      </c>
      <c r="I42" s="32"/>
      <c r="J42" s="32"/>
      <c r="K42" s="200">
        <v>15863057.73</v>
      </c>
      <c r="L42" s="200">
        <v>18742420.359999999</v>
      </c>
      <c r="M42" s="200">
        <v>28113630.530000001</v>
      </c>
      <c r="N42" s="32" t="s">
        <v>36</v>
      </c>
      <c r="O42" s="32" t="s">
        <v>36</v>
      </c>
      <c r="P42" s="32" t="s">
        <v>36</v>
      </c>
      <c r="Q42" s="198" t="s">
        <v>36</v>
      </c>
      <c r="R42" s="197"/>
      <c r="S42" s="186"/>
      <c r="T42" s="81"/>
      <c r="U42" s="187"/>
      <c r="V42" s="81"/>
      <c r="W42" s="81"/>
    </row>
    <row r="43" spans="1:23">
      <c r="A43" s="29"/>
      <c r="B43" s="30"/>
      <c r="C43" s="39"/>
      <c r="D43" s="117">
        <f>SUM(D41:D42)</f>
        <v>386542773.12</v>
      </c>
      <c r="E43" s="117">
        <f t="shared" ref="E43:G43" si="9">SUM(E41:E42)</f>
        <v>62719108.720000029</v>
      </c>
      <c r="F43" s="45">
        <f>SUM(F41:F42)</f>
        <v>52952163</v>
      </c>
      <c r="G43" s="45">
        <f t="shared" si="9"/>
        <v>41774383.329999998</v>
      </c>
      <c r="H43" s="45"/>
      <c r="I43" s="45">
        <f t="shared" ref="I43:Q43" si="10">SUM(I41:I42)</f>
        <v>0</v>
      </c>
      <c r="J43" s="45">
        <f t="shared" si="10"/>
        <v>0</v>
      </c>
      <c r="K43" s="45">
        <f t="shared" si="10"/>
        <v>15863057.73</v>
      </c>
      <c r="L43" s="45">
        <f t="shared" si="10"/>
        <v>18742420.359999999</v>
      </c>
      <c r="M43" s="45">
        <f t="shared" si="10"/>
        <v>28113630.530000001</v>
      </c>
      <c r="N43" s="45">
        <f t="shared" si="10"/>
        <v>0</v>
      </c>
      <c r="O43" s="45">
        <f t="shared" si="10"/>
        <v>0</v>
      </c>
      <c r="P43" s="45">
        <f t="shared" si="10"/>
        <v>0</v>
      </c>
      <c r="Q43" s="199">
        <f t="shared" si="10"/>
        <v>0</v>
      </c>
      <c r="R43" s="197"/>
      <c r="S43" s="186"/>
      <c r="T43" s="81"/>
      <c r="U43" s="187"/>
      <c r="V43" s="81"/>
      <c r="W43" s="81"/>
    </row>
    <row r="44" spans="1:23">
      <c r="A44" s="68"/>
      <c r="B44" s="30"/>
      <c r="C44" s="39"/>
      <c r="D44" s="110"/>
      <c r="E44" s="110"/>
      <c r="F44" s="32"/>
      <c r="G44" s="32"/>
      <c r="H44" s="32"/>
      <c r="I44" s="111"/>
      <c r="J44" s="32"/>
      <c r="K44" s="32"/>
      <c r="L44" s="32"/>
      <c r="M44" s="32"/>
      <c r="N44" s="32"/>
      <c r="O44" s="32"/>
      <c r="P44" s="32"/>
      <c r="Q44" s="198"/>
      <c r="R44" s="197"/>
      <c r="S44" s="186"/>
      <c r="T44" s="81"/>
      <c r="U44" s="187"/>
      <c r="V44" s="81"/>
      <c r="W44" s="81"/>
    </row>
    <row r="45" spans="1:23">
      <c r="A45" s="48" t="s">
        <v>95</v>
      </c>
      <c r="B45" s="69"/>
      <c r="C45" s="39"/>
      <c r="D45" s="110"/>
      <c r="E45" s="110"/>
      <c r="F45" s="110"/>
      <c r="G45" s="110"/>
      <c r="H45" s="110"/>
      <c r="I45" s="110"/>
      <c r="J45" s="110"/>
      <c r="K45" s="110"/>
      <c r="L45" s="110"/>
      <c r="M45" s="110"/>
      <c r="N45" s="110"/>
      <c r="O45" s="110"/>
      <c r="P45" s="110"/>
      <c r="Q45" s="189"/>
      <c r="R45" s="185"/>
      <c r="S45" s="186"/>
      <c r="T45" s="81"/>
      <c r="U45" s="187"/>
      <c r="V45" s="81"/>
      <c r="W45" s="81"/>
    </row>
    <row r="46" spans="1:23" ht="15.6">
      <c r="A46" s="29" t="s">
        <v>96</v>
      </c>
      <c r="B46" s="69" t="s">
        <v>171</v>
      </c>
      <c r="C46" s="39" t="s">
        <v>73</v>
      </c>
      <c r="D46" s="110">
        <f>'Anexo 1'!E44</f>
        <v>180018008.03435379</v>
      </c>
      <c r="E46" s="110">
        <f>'Anexo 2'!H44</f>
        <v>150056381.77725446</v>
      </c>
      <c r="F46" s="110">
        <f>472531415/'Anexo 5'!P84</f>
        <v>3272831.5209862865</v>
      </c>
      <c r="G46" s="110">
        <f>+'Anexo 2'!F45+'Anexo 2'!G45</f>
        <v>175775.55063028121</v>
      </c>
      <c r="H46" s="111">
        <f>+G46/F46</f>
        <v>5.3707485247303607E-2</v>
      </c>
      <c r="I46" s="110"/>
      <c r="J46" s="110"/>
      <c r="K46" s="110">
        <f>942095229/144.38</f>
        <v>6525108.9416816738</v>
      </c>
      <c r="L46" s="110">
        <f>27016547/144.38</f>
        <v>187121.11788336336</v>
      </c>
      <c r="M46" s="110">
        <f>2895795934/144.38</f>
        <v>20056766.408089764</v>
      </c>
      <c r="N46" s="110">
        <f>2054634366/144.38</f>
        <v>14230740.86438565</v>
      </c>
      <c r="O46" s="110">
        <f>7115913219/144.38</f>
        <v>49286003.733204044</v>
      </c>
      <c r="P46" s="110">
        <f>8629685106/144.38</f>
        <v>59770640.712009974</v>
      </c>
      <c r="Q46" s="189" t="s">
        <v>36</v>
      </c>
      <c r="R46" s="185"/>
      <c r="S46" s="186"/>
      <c r="T46" s="81"/>
      <c r="U46" s="187"/>
      <c r="V46" s="81"/>
      <c r="W46" s="81"/>
    </row>
    <row r="47" spans="1:23">
      <c r="A47" s="29"/>
      <c r="B47" s="69"/>
      <c r="C47" s="39"/>
      <c r="D47" s="117">
        <f>SUM(D46:D46)</f>
        <v>180018008.03435379</v>
      </c>
      <c r="E47" s="117">
        <f t="shared" ref="E47:G47" si="11">SUM(E46:E46)</f>
        <v>150056381.77725446</v>
      </c>
      <c r="F47" s="117">
        <f t="shared" si="11"/>
        <v>3272831.5209862865</v>
      </c>
      <c r="G47" s="117">
        <f t="shared" si="11"/>
        <v>175775.55063028121</v>
      </c>
      <c r="H47" s="117"/>
      <c r="I47" s="117">
        <f t="shared" ref="I47:Q47" si="12">SUM(I46:I46)</f>
        <v>0</v>
      </c>
      <c r="J47" s="117">
        <f t="shared" si="12"/>
        <v>0</v>
      </c>
      <c r="K47" s="117">
        <f t="shared" si="12"/>
        <v>6525108.9416816738</v>
      </c>
      <c r="L47" s="117">
        <f t="shared" si="12"/>
        <v>187121.11788336336</v>
      </c>
      <c r="M47" s="117">
        <f t="shared" si="12"/>
        <v>20056766.408089764</v>
      </c>
      <c r="N47" s="117">
        <f t="shared" si="12"/>
        <v>14230740.86438565</v>
      </c>
      <c r="O47" s="117">
        <f t="shared" si="12"/>
        <v>49286003.733204044</v>
      </c>
      <c r="P47" s="117">
        <f t="shared" si="12"/>
        <v>59770640.712009974</v>
      </c>
      <c r="Q47" s="134">
        <f t="shared" si="12"/>
        <v>0</v>
      </c>
      <c r="R47" s="185"/>
      <c r="S47" s="186"/>
      <c r="T47" s="81"/>
      <c r="U47" s="187"/>
      <c r="V47" s="81"/>
      <c r="W47" s="81"/>
    </row>
    <row r="48" spans="1:23">
      <c r="A48" s="29"/>
      <c r="B48" s="69"/>
      <c r="C48" s="39"/>
      <c r="D48" s="117"/>
      <c r="E48" s="117"/>
      <c r="F48" s="117"/>
      <c r="G48" s="117"/>
      <c r="H48" s="117"/>
      <c r="I48" s="193"/>
      <c r="J48" s="117"/>
      <c r="K48" s="117"/>
      <c r="L48" s="117"/>
      <c r="M48" s="117"/>
      <c r="N48" s="117"/>
      <c r="O48" s="117"/>
      <c r="P48" s="117"/>
      <c r="Q48" s="134"/>
      <c r="R48" s="185"/>
      <c r="S48" s="186"/>
      <c r="T48" s="81"/>
      <c r="U48" s="187"/>
      <c r="V48" s="81"/>
      <c r="W48" s="81"/>
    </row>
    <row r="49" spans="1:23">
      <c r="A49" s="29" t="s">
        <v>98</v>
      </c>
      <c r="B49" s="69"/>
      <c r="C49" s="39"/>
      <c r="D49" s="117"/>
      <c r="E49" s="117"/>
      <c r="F49" s="117"/>
      <c r="G49" s="117"/>
      <c r="H49" s="117"/>
      <c r="I49" s="193"/>
      <c r="J49" s="117"/>
      <c r="K49" s="117"/>
      <c r="L49" s="117"/>
      <c r="M49" s="117"/>
      <c r="N49" s="117"/>
      <c r="O49" s="117"/>
      <c r="P49" s="117"/>
      <c r="Q49" s="134"/>
      <c r="R49" s="185"/>
      <c r="S49" s="186"/>
      <c r="T49" s="81"/>
      <c r="U49" s="187"/>
      <c r="V49" s="81"/>
      <c r="W49" s="81"/>
    </row>
    <row r="50" spans="1:23" ht="15.6">
      <c r="A50" s="29">
        <f>'Anexo 2'!A48</f>
        <v>28568</v>
      </c>
      <c r="B50" s="69" t="s">
        <v>172</v>
      </c>
      <c r="C50" s="39" t="str">
        <f>'Anexo 2'!C48</f>
        <v>AyA</v>
      </c>
      <c r="D50" s="110">
        <f>'Anexo 1'!E48</f>
        <v>86580149.231100008</v>
      </c>
      <c r="E50" s="110">
        <f>'Anexo 2'!H48</f>
        <v>86546223.144600004</v>
      </c>
      <c r="F50" s="110">
        <f>1487102.01*'Anexo 5'!P83</f>
        <v>1624064.1051210002</v>
      </c>
      <c r="G50" s="110">
        <f>+'Anexo 2'!F49+'Anexo 2'!G49</f>
        <v>33926.086500000005</v>
      </c>
      <c r="H50" s="131">
        <f t="shared" ref="H50" si="13">+G50/F50</f>
        <v>2.0889622763673087E-2</v>
      </c>
      <c r="I50" s="32"/>
      <c r="J50" s="32"/>
      <c r="K50" s="200">
        <f>1176300*'Anexo 5'!P83</f>
        <v>1284637.23</v>
      </c>
      <c r="L50" s="200">
        <f>715530*'Anexo 5'!P83</f>
        <v>781430.31300000008</v>
      </c>
      <c r="M50" s="200">
        <f>11476970*'Anexo 5'!P83</f>
        <v>12533998.937000001</v>
      </c>
      <c r="N50" s="200">
        <f>19269032.5*'Anexo 5'!P83</f>
        <v>21043710.39325</v>
      </c>
      <c r="O50" s="200">
        <f>37106102.5*'Anexo 5'!P83</f>
        <v>40523574.540250003</v>
      </c>
      <c r="P50" s="200">
        <f>9503591*'Anexo 5'!P83</f>
        <v>10378871.7311</v>
      </c>
      <c r="Q50" s="201" t="s">
        <v>36</v>
      </c>
      <c r="R50" s="185"/>
      <c r="S50" s="186"/>
      <c r="T50" s="81"/>
      <c r="U50" s="187"/>
      <c r="V50" s="81"/>
      <c r="W50" s="81"/>
    </row>
    <row r="51" spans="1:23">
      <c r="A51" s="29"/>
      <c r="B51" s="69"/>
      <c r="C51" s="39"/>
      <c r="D51" s="117">
        <f>SUM(D50)</f>
        <v>86580149.231100008</v>
      </c>
      <c r="E51" s="117">
        <f t="shared" ref="E51:G51" si="14">SUM(E50)</f>
        <v>86546223.144600004</v>
      </c>
      <c r="F51" s="117">
        <f t="shared" si="14"/>
        <v>1624064.1051210002</v>
      </c>
      <c r="G51" s="117">
        <f t="shared" si="14"/>
        <v>33926.086500000005</v>
      </c>
      <c r="H51" s="117"/>
      <c r="I51" s="117">
        <f t="shared" ref="I51:Q51" si="15">SUM(I50)</f>
        <v>0</v>
      </c>
      <c r="J51" s="117">
        <f t="shared" si="15"/>
        <v>0</v>
      </c>
      <c r="K51" s="117">
        <f t="shared" si="15"/>
        <v>1284637.23</v>
      </c>
      <c r="L51" s="117">
        <f t="shared" si="15"/>
        <v>781430.31300000008</v>
      </c>
      <c r="M51" s="117">
        <f t="shared" si="15"/>
        <v>12533998.937000001</v>
      </c>
      <c r="N51" s="117">
        <f t="shared" si="15"/>
        <v>21043710.39325</v>
      </c>
      <c r="O51" s="117">
        <f t="shared" si="15"/>
        <v>40523574.540250003</v>
      </c>
      <c r="P51" s="117">
        <f t="shared" si="15"/>
        <v>10378871.7311</v>
      </c>
      <c r="Q51" s="134">
        <f t="shared" si="15"/>
        <v>0</v>
      </c>
      <c r="R51" s="185"/>
      <c r="S51" s="186"/>
      <c r="T51" s="81"/>
      <c r="U51" s="187"/>
      <c r="V51" s="81"/>
      <c r="W51" s="81"/>
    </row>
    <row r="52" spans="1:23">
      <c r="A52" s="29"/>
      <c r="B52" s="69"/>
      <c r="C52" s="39"/>
      <c r="D52" s="117"/>
      <c r="E52" s="117"/>
      <c r="F52" s="117"/>
      <c r="G52" s="117"/>
      <c r="H52" s="117"/>
      <c r="I52" s="193"/>
      <c r="J52" s="117"/>
      <c r="K52" s="117"/>
      <c r="L52" s="117"/>
      <c r="M52" s="117"/>
      <c r="N52" s="117"/>
      <c r="O52" s="117"/>
      <c r="P52" s="117"/>
      <c r="Q52" s="134"/>
      <c r="R52" s="185"/>
      <c r="S52" s="186"/>
      <c r="T52" s="81"/>
      <c r="U52" s="187"/>
      <c r="V52" s="81"/>
      <c r="W52" s="81"/>
    </row>
    <row r="53" spans="1:23">
      <c r="A53" s="29"/>
      <c r="B53" s="69"/>
      <c r="C53" s="39"/>
      <c r="D53" s="117"/>
      <c r="E53" s="117"/>
      <c r="F53" s="117"/>
      <c r="G53" s="117"/>
      <c r="H53" s="117"/>
      <c r="I53" s="193"/>
      <c r="J53" s="117"/>
      <c r="K53" s="117"/>
      <c r="L53" s="117"/>
      <c r="M53" s="117"/>
      <c r="N53" s="117"/>
      <c r="O53" s="117"/>
      <c r="P53" s="117"/>
      <c r="Q53" s="134"/>
      <c r="R53" s="185"/>
      <c r="S53" s="186"/>
      <c r="T53" s="81"/>
      <c r="U53" s="187"/>
      <c r="V53" s="81"/>
      <c r="W53" s="81"/>
    </row>
    <row r="54" spans="1:23">
      <c r="A54" s="29"/>
      <c r="B54" s="132"/>
      <c r="C54" s="39"/>
      <c r="D54" s="110"/>
      <c r="E54" s="110"/>
      <c r="F54" s="110"/>
      <c r="G54" s="110"/>
      <c r="H54" s="110"/>
      <c r="I54" s="131"/>
      <c r="J54" s="110"/>
      <c r="K54" s="110"/>
      <c r="L54" s="110"/>
      <c r="M54" s="110"/>
      <c r="N54" s="110"/>
      <c r="O54" s="110"/>
      <c r="P54" s="110"/>
      <c r="Q54" s="189"/>
      <c r="R54" s="185"/>
      <c r="S54" s="186"/>
      <c r="T54" s="81"/>
      <c r="U54" s="187"/>
      <c r="V54" s="81"/>
      <c r="W54" s="81"/>
    </row>
    <row r="55" spans="1:23">
      <c r="A55" s="29" t="s">
        <v>100</v>
      </c>
      <c r="B55" s="132"/>
      <c r="C55" s="202"/>
      <c r="D55" s="117">
        <f>D20+D31+D37+D43+D47+D51</f>
        <v>4186697387.6754537</v>
      </c>
      <c r="E55" s="117">
        <f>E20+E31+E37+E43+E47+E51</f>
        <v>1920570310.8118544</v>
      </c>
      <c r="F55" s="117">
        <f>F20+F31+F37+F43+F47+F51</f>
        <v>250089550.78610727</v>
      </c>
      <c r="G55" s="117">
        <f>G20+G31+G37+G43+G47+G51</f>
        <v>170362815.82713026</v>
      </c>
      <c r="H55" s="193"/>
      <c r="I55" s="117">
        <f t="shared" ref="I55:Q55" si="16">I20+I31+I37+I43+I47+I51</f>
        <v>0</v>
      </c>
      <c r="J55" s="117">
        <f t="shared" si="16"/>
        <v>0</v>
      </c>
      <c r="K55" s="117">
        <f t="shared" si="16"/>
        <v>125027131.79167914</v>
      </c>
      <c r="L55" s="117">
        <f t="shared" si="16"/>
        <v>106531473.22088084</v>
      </c>
      <c r="M55" s="117">
        <f t="shared" si="16"/>
        <v>650811719.42509484</v>
      </c>
      <c r="N55" s="117">
        <f t="shared" si="16"/>
        <v>329820896.13763565</v>
      </c>
      <c r="O55" s="117">
        <f t="shared" si="16"/>
        <v>368026888.14345407</v>
      </c>
      <c r="P55" s="117">
        <f t="shared" si="16"/>
        <v>253761707.44310996</v>
      </c>
      <c r="Q55" s="134">
        <f t="shared" si="16"/>
        <v>86590492</v>
      </c>
      <c r="R55" s="185"/>
      <c r="S55" s="186"/>
      <c r="T55" s="81"/>
      <c r="U55" s="187"/>
    </row>
    <row r="56" spans="1:23" ht="14.4" thickBot="1">
      <c r="A56" s="74"/>
      <c r="B56" s="75"/>
      <c r="C56" s="75"/>
      <c r="D56" s="77"/>
      <c r="E56" s="203"/>
      <c r="F56" s="203"/>
      <c r="G56" s="203"/>
      <c r="H56" s="203"/>
      <c r="I56" s="204"/>
      <c r="J56" s="203"/>
      <c r="K56" s="203"/>
      <c r="L56" s="203"/>
      <c r="M56" s="203"/>
      <c r="N56" s="203"/>
      <c r="O56" s="77"/>
      <c r="P56" s="77"/>
      <c r="Q56" s="205"/>
      <c r="R56" s="185"/>
      <c r="S56" s="186"/>
    </row>
    <row r="57" spans="1:23">
      <c r="A57" s="206"/>
      <c r="B57" s="72"/>
      <c r="D57" s="118"/>
      <c r="E57" s="118"/>
      <c r="F57" s="118"/>
      <c r="G57" s="118"/>
      <c r="H57" s="118"/>
      <c r="I57" s="207"/>
      <c r="J57" s="32"/>
      <c r="K57" s="32"/>
      <c r="L57" s="32"/>
      <c r="M57" s="32"/>
      <c r="N57" s="32"/>
      <c r="O57" s="32"/>
      <c r="P57" s="32"/>
      <c r="Q57" s="32"/>
    </row>
    <row r="58" spans="1:23">
      <c r="A58" s="46" t="s">
        <v>173</v>
      </c>
      <c r="B58" s="46"/>
      <c r="C58" s="46"/>
      <c r="D58" s="81"/>
      <c r="E58" s="208">
        <f>+E55-'Anexo 2'!H51</f>
        <v>0</v>
      </c>
      <c r="F58" s="209"/>
      <c r="G58" s="209"/>
      <c r="H58" s="209"/>
    </row>
    <row r="59" spans="1:23">
      <c r="A59" s="9"/>
      <c r="B59" s="9"/>
      <c r="J59" s="81"/>
      <c r="K59" s="81"/>
      <c r="L59" s="81"/>
      <c r="M59" s="81"/>
      <c r="N59" s="81"/>
      <c r="O59" s="81"/>
    </row>
    <row r="60" spans="1:23" s="49" customFormat="1">
      <c r="A60" s="142" t="s">
        <v>102</v>
      </c>
      <c r="B60" s="142"/>
      <c r="I60" s="211"/>
      <c r="P60" s="31"/>
      <c r="Q60" s="31"/>
    </row>
    <row r="61" spans="1:23" s="49" customFormat="1">
      <c r="A61" s="44" t="s">
        <v>174</v>
      </c>
      <c r="B61" s="44"/>
      <c r="I61" s="211"/>
      <c r="P61" s="31"/>
      <c r="Q61" s="31"/>
    </row>
    <row r="62" spans="1:23" s="148" customFormat="1">
      <c r="A62" s="148" t="s">
        <v>175</v>
      </c>
      <c r="B62" s="145"/>
      <c r="I62" s="212"/>
      <c r="P62" s="36"/>
      <c r="Q62" s="36"/>
    </row>
    <row r="63" spans="1:23" s="148" customFormat="1">
      <c r="A63" s="149" t="s">
        <v>176</v>
      </c>
      <c r="B63" s="145"/>
      <c r="I63" s="212"/>
      <c r="P63" s="36"/>
      <c r="Q63" s="36"/>
    </row>
    <row r="64" spans="1:23" s="148" customFormat="1">
      <c r="A64" s="154" t="s">
        <v>177</v>
      </c>
      <c r="B64" s="154"/>
      <c r="C64" s="154"/>
      <c r="D64" s="154"/>
      <c r="E64" s="154"/>
      <c r="F64" s="154"/>
      <c r="G64" s="154"/>
      <c r="H64" s="154"/>
      <c r="I64" s="154"/>
      <c r="J64" s="154"/>
      <c r="K64" s="154"/>
      <c r="L64" s="154"/>
      <c r="M64" s="154"/>
      <c r="N64" s="154"/>
      <c r="O64" s="154"/>
      <c r="P64" s="154"/>
      <c r="Q64" s="213"/>
    </row>
    <row r="65" spans="1:17" s="148" customFormat="1">
      <c r="A65" s="155" t="s">
        <v>178</v>
      </c>
      <c r="B65" s="145"/>
      <c r="I65" s="212"/>
      <c r="P65" s="36"/>
      <c r="Q65" s="36"/>
    </row>
    <row r="66" spans="1:17" s="148" customFormat="1">
      <c r="A66" s="85" t="s">
        <v>179</v>
      </c>
      <c r="B66" s="145"/>
      <c r="I66" s="212"/>
      <c r="P66" s="36"/>
      <c r="Q66" s="36"/>
    </row>
    <row r="67" spans="1:17" s="26" customFormat="1">
      <c r="B67" s="160"/>
      <c r="I67" s="214"/>
      <c r="O67" s="157"/>
      <c r="P67" s="36"/>
      <c r="Q67" s="36"/>
    </row>
    <row r="68" spans="1:17" s="26" customFormat="1">
      <c r="A68" s="160"/>
      <c r="B68" s="160"/>
      <c r="I68" s="214"/>
      <c r="P68" s="36"/>
      <c r="Q68" s="36"/>
    </row>
  </sheetData>
  <sheetProtection algorithmName="SHA-512" hashValue="ceJLYh+BBY6bw7yO2ny4HL+ea4cN5wK+/j1PEiF95dydAYu5qIkrkrp8vDHew1wAb2pg6DfjYfY6ocLGPfRDMw==" saltValue="kjYUUk/OdOWH2vaiSPzhZQ==" spinCount="100000" sheet="1" objects="1" scenarios="1"/>
  <mergeCells count="14">
    <mergeCell ref="A2:P2"/>
    <mergeCell ref="A3:P3"/>
    <mergeCell ref="A4:P4"/>
    <mergeCell ref="A5:P5"/>
    <mergeCell ref="E6:E7"/>
    <mergeCell ref="C24:C25"/>
    <mergeCell ref="A64:P64"/>
    <mergeCell ref="F6:H6"/>
    <mergeCell ref="C41:C42"/>
    <mergeCell ref="A6:A7"/>
    <mergeCell ref="B6:B7"/>
    <mergeCell ref="C6:C7"/>
    <mergeCell ref="D6:D7"/>
    <mergeCell ref="K6:Q6"/>
  </mergeCells>
  <printOptions horizontalCentered="1" verticalCentered="1"/>
  <pageMargins left="0.15748031496062992" right="0.15748031496062992" top="0.15748031496062992" bottom="0.39370078740157483" header="0" footer="0.39370078740157483"/>
  <pageSetup scale="29" orientation="landscape" r:id="rId1"/>
  <headerFooter alignWithMargins="0"/>
  <ignoredErrors>
    <ignoredError sqref="K59:P61 K65 M65:P65 A69:E71 B65:E65 G56:H56 A56:E57 D37 F8:H9 F2:H5 A18:E18 A36:E36 I8 F32:F33 F21:F22 I31:I33 I2:I5 A52:H54 I51:I55 K52:P54 C19:E19 K9:P9 I20:J20 K48:P49 K44:P45 K37 A43:D43 A48:E49 A47:D47 H50:H51 A51:D51 K43 K47 K51 K56:P56 K55:Q55 A59:E61 A58:D58 A44:F45 A46 C46:E46 K70:P71 K1:P1 A50 C50:E50 G7:H7 F47:F49 E11 H41:H42 I21:I22 F38:I40 G11:G36 G42:G50 A55:G55 H12:H17 H26:H33 E15 H19:H24 H35 A1:J1 J69:J71 H37:J37 H43:J45 H47:J49 I9:J9 J6 J51:J56 J65 J59:J61 K69 M69:P69" unlockedFormula="1"/>
    <ignoredError sqref="D41:E42 A41:A42 A37:C37 B42:C42 K38:P40 C41 A38:E40 C10 A11:C15 D10:D15 E12:E14 A16:A17 D31 A2:E2 D7 C35:E35 D30:E30 K21:P22 K32:P33 A35 A32:E34 A29:E29 A8:E9 A6 A7:C7 K2:P5 B6:D6 A20:C23 A10 A30:C31 A26:C28 K8:P8 K31 A4:E5 B3:E3 C24 A24:A25 C25 D21:E28 C16:E17 J2:J5 J8 J31:J33 J21:J22 J38:J40" numberStoredAsText="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A1:O98"/>
  <sheetViews>
    <sheetView showGridLines="0" zoomScaleNormal="100" zoomScaleSheetLayoutView="55" workbookViewId="0">
      <pane ySplit="7" topLeftCell="A8" activePane="bottomLeft" state="frozen"/>
      <selection pane="bottomLeft" activeCell="E13" sqref="E13"/>
    </sheetView>
  </sheetViews>
  <sheetFormatPr baseColWidth="10" defaultColWidth="11" defaultRowHeight="13.8"/>
  <cols>
    <col min="1" max="1" width="18.88671875" style="240" customWidth="1"/>
    <col min="2" max="2" width="67.6640625" style="240" bestFit="1" customWidth="1"/>
    <col min="3" max="3" width="11.21875" style="241" customWidth="1"/>
    <col min="4" max="4" width="23.109375" style="215" customWidth="1"/>
    <col min="5" max="5" width="18" style="215" bestFit="1" customWidth="1"/>
    <col min="6" max="6" width="18.88671875" style="242" customWidth="1"/>
    <col min="7" max="7" width="18.77734375" style="215" customWidth="1"/>
    <col min="8" max="8" width="18.109375" style="215" customWidth="1"/>
    <col min="9" max="9" width="18.6640625" style="215" customWidth="1"/>
    <col min="10" max="10" width="17.109375" style="215" customWidth="1"/>
    <col min="11" max="11" width="17.44140625" style="215" customWidth="1"/>
    <col min="12" max="12" width="16.33203125" style="215" customWidth="1"/>
    <col min="13" max="13" width="16.88671875" style="215" customWidth="1"/>
    <col min="14" max="16384" width="11" style="215"/>
  </cols>
  <sheetData>
    <row r="1" spans="1:14" ht="25.2" customHeight="1">
      <c r="A1" s="90"/>
      <c r="B1" s="90"/>
      <c r="C1" s="31"/>
      <c r="D1" s="9"/>
      <c r="E1" s="9"/>
      <c r="F1" s="91"/>
      <c r="G1" s="9"/>
      <c r="H1" s="9"/>
      <c r="I1" s="9"/>
      <c r="J1" s="9"/>
      <c r="K1" s="9"/>
      <c r="L1" s="9"/>
    </row>
    <row r="2" spans="1:14" ht="25.2" customHeight="1">
      <c r="A2" s="216" t="s">
        <v>180</v>
      </c>
      <c r="B2" s="216"/>
      <c r="C2" s="216"/>
      <c r="D2" s="216"/>
      <c r="E2" s="216"/>
      <c r="F2" s="216"/>
      <c r="G2" s="216"/>
      <c r="H2" s="216"/>
      <c r="I2" s="216"/>
      <c r="J2" s="216"/>
      <c r="K2" s="216"/>
      <c r="L2" s="216"/>
      <c r="M2" s="216"/>
      <c r="N2" s="9"/>
    </row>
    <row r="3" spans="1:14" ht="25.2" customHeight="1">
      <c r="A3" s="216" t="s">
        <v>8</v>
      </c>
      <c r="B3" s="216"/>
      <c r="C3" s="216"/>
      <c r="D3" s="216"/>
      <c r="E3" s="216"/>
      <c r="F3" s="216"/>
      <c r="G3" s="216"/>
      <c r="H3" s="216"/>
      <c r="I3" s="216"/>
      <c r="J3" s="216"/>
      <c r="K3" s="216"/>
      <c r="L3" s="216"/>
      <c r="M3" s="216"/>
      <c r="N3" s="9"/>
    </row>
    <row r="4" spans="1:14" ht="25.2" customHeight="1">
      <c r="A4" s="217" t="s">
        <v>18</v>
      </c>
      <c r="B4" s="217"/>
      <c r="C4" s="217"/>
      <c r="D4" s="217"/>
      <c r="E4" s="217"/>
      <c r="F4" s="217"/>
      <c r="G4" s="217"/>
      <c r="H4" s="217"/>
      <c r="I4" s="217"/>
      <c r="J4" s="217"/>
      <c r="K4" s="217"/>
      <c r="L4" s="217"/>
      <c r="M4" s="217"/>
    </row>
    <row r="5" spans="1:14" ht="25.2" customHeight="1" thickBot="1">
      <c r="A5" s="218">
        <f>+'Anexo 1'!A5:M5</f>
        <v>45107</v>
      </c>
      <c r="B5" s="218"/>
      <c r="C5" s="218"/>
      <c r="D5" s="218"/>
      <c r="E5" s="218"/>
      <c r="F5" s="218"/>
      <c r="G5" s="218"/>
      <c r="H5" s="218"/>
      <c r="I5" s="218"/>
      <c r="J5" s="218"/>
      <c r="K5" s="218"/>
      <c r="L5" s="218"/>
      <c r="M5" s="218"/>
    </row>
    <row r="6" spans="1:14" s="219" customFormat="1" ht="14.4" thickBot="1">
      <c r="A6" s="98" t="s">
        <v>19</v>
      </c>
      <c r="B6" s="98" t="s">
        <v>20</v>
      </c>
      <c r="C6" s="98" t="s">
        <v>152</v>
      </c>
      <c r="D6" s="98" t="s">
        <v>181</v>
      </c>
      <c r="E6" s="101" t="s">
        <v>182</v>
      </c>
      <c r="F6" s="102"/>
      <c r="G6" s="102"/>
      <c r="H6" s="102"/>
      <c r="I6" s="103"/>
      <c r="J6" s="101" t="s">
        <v>183</v>
      </c>
      <c r="K6" s="102"/>
      <c r="L6" s="102"/>
      <c r="M6" s="103"/>
    </row>
    <row r="7" spans="1:14" s="219" customFormat="1" ht="54" customHeight="1">
      <c r="A7" s="220"/>
      <c r="B7" s="220"/>
      <c r="C7" s="220"/>
      <c r="D7" s="220"/>
      <c r="E7" s="221" t="s">
        <v>184</v>
      </c>
      <c r="F7" s="221" t="s">
        <v>185</v>
      </c>
      <c r="G7" s="221" t="s">
        <v>186</v>
      </c>
      <c r="H7" s="221" t="s">
        <v>187</v>
      </c>
      <c r="I7" s="221" t="s">
        <v>188</v>
      </c>
      <c r="J7" s="221" t="s">
        <v>189</v>
      </c>
      <c r="K7" s="221" t="s">
        <v>190</v>
      </c>
      <c r="L7" s="221" t="s">
        <v>191</v>
      </c>
      <c r="M7" s="221" t="s">
        <v>188</v>
      </c>
    </row>
    <row r="8" spans="1:14" s="9" customFormat="1">
      <c r="A8" s="17"/>
      <c r="B8" s="18"/>
      <c r="C8" s="222"/>
      <c r="D8" s="19"/>
      <c r="E8" s="19"/>
      <c r="F8" s="223"/>
      <c r="G8" s="18"/>
      <c r="H8" s="18"/>
      <c r="I8" s="18"/>
      <c r="J8" s="18"/>
      <c r="K8" s="18"/>
      <c r="L8" s="18"/>
      <c r="M8" s="21"/>
    </row>
    <row r="9" spans="1:14" s="9" customFormat="1">
      <c r="A9" s="224" t="s">
        <v>32</v>
      </c>
      <c r="B9" s="24"/>
      <c r="C9" s="31"/>
      <c r="F9" s="225"/>
      <c r="G9" s="226"/>
      <c r="H9" s="226"/>
      <c r="I9" s="226"/>
      <c r="J9" s="226"/>
      <c r="K9" s="226"/>
      <c r="L9" s="226"/>
      <c r="M9" s="28"/>
    </row>
    <row r="10" spans="1:14" s="9" customFormat="1" ht="27.6">
      <c r="A10" s="29">
        <v>1725</v>
      </c>
      <c r="B10" s="30" t="s">
        <v>192</v>
      </c>
      <c r="C10" s="31" t="s">
        <v>34</v>
      </c>
      <c r="D10" s="110">
        <f>'Anexo 1'!E9</f>
        <v>99453757</v>
      </c>
      <c r="E10" s="32">
        <v>69810000.189999998</v>
      </c>
      <c r="F10" s="32">
        <v>73208236.189999998</v>
      </c>
      <c r="G10" s="32">
        <v>73173032.150000006</v>
      </c>
      <c r="H10" s="32">
        <f t="shared" ref="H10:H19" si="0">F10-G10</f>
        <v>35204.039999991655</v>
      </c>
      <c r="I10" s="32">
        <v>3585950.1751464056</v>
      </c>
      <c r="J10" s="32" t="s">
        <v>36</v>
      </c>
      <c r="K10" s="32" t="s">
        <v>36</v>
      </c>
      <c r="L10" s="110" t="s">
        <v>36</v>
      </c>
      <c r="M10" s="189" t="s">
        <v>36</v>
      </c>
    </row>
    <row r="11" spans="1:14" s="9" customFormat="1">
      <c r="A11" s="206">
        <v>2080</v>
      </c>
      <c r="B11" s="39" t="s">
        <v>162</v>
      </c>
      <c r="C11" s="31" t="s">
        <v>38</v>
      </c>
      <c r="D11" s="110">
        <f>'Anexo 1'!E10</f>
        <v>340000000</v>
      </c>
      <c r="E11" s="32">
        <v>30540000</v>
      </c>
      <c r="F11" s="32">
        <v>144860000</v>
      </c>
      <c r="G11" s="110">
        <v>120540039.59</v>
      </c>
      <c r="H11" s="110">
        <f t="shared" si="0"/>
        <v>24319960.409999996</v>
      </c>
      <c r="I11" s="110">
        <v>16300000</v>
      </c>
      <c r="J11" s="110" t="s">
        <v>36</v>
      </c>
      <c r="K11" s="110" t="s">
        <v>36</v>
      </c>
      <c r="L11" s="110" t="s">
        <v>36</v>
      </c>
      <c r="M11" s="189" t="s">
        <v>36</v>
      </c>
    </row>
    <row r="12" spans="1:14" s="9" customFormat="1">
      <c r="A12" s="206" t="s">
        <v>39</v>
      </c>
      <c r="B12" s="39" t="s">
        <v>40</v>
      </c>
      <c r="C12" s="31" t="s">
        <v>38</v>
      </c>
      <c r="D12" s="110">
        <f>'Anexo 1'!E11</f>
        <v>90055000</v>
      </c>
      <c r="E12" s="32">
        <v>2673000</v>
      </c>
      <c r="F12" s="32">
        <v>2673000</v>
      </c>
      <c r="G12" s="110">
        <v>0</v>
      </c>
      <c r="H12" s="110">
        <f t="shared" si="0"/>
        <v>2673000</v>
      </c>
      <c r="I12" s="110">
        <v>2673000</v>
      </c>
      <c r="J12" s="110"/>
      <c r="K12" s="110"/>
      <c r="L12" s="110"/>
      <c r="M12" s="189"/>
    </row>
    <row r="13" spans="1:14" s="9" customFormat="1">
      <c r="A13" s="29">
        <v>2128</v>
      </c>
      <c r="B13" s="30" t="s">
        <v>163</v>
      </c>
      <c r="C13" s="31" t="s">
        <v>43</v>
      </c>
      <c r="D13" s="110">
        <f>'Anexo 1'!E12</f>
        <v>270000000</v>
      </c>
      <c r="E13" s="32">
        <v>82880641</v>
      </c>
      <c r="F13" s="32">
        <v>82880641.579999998</v>
      </c>
      <c r="G13" s="110">
        <v>58985434.020000003</v>
      </c>
      <c r="H13" s="110">
        <f>F13-G13</f>
        <v>23895207.559999995</v>
      </c>
      <c r="I13" s="110">
        <v>14830883.960000001</v>
      </c>
      <c r="J13" s="110" t="s">
        <v>36</v>
      </c>
      <c r="K13" s="110" t="s">
        <v>36</v>
      </c>
      <c r="L13" s="110" t="s">
        <v>36</v>
      </c>
      <c r="M13" s="189" t="s">
        <v>36</v>
      </c>
    </row>
    <row r="14" spans="1:14" s="9" customFormat="1" ht="27.6">
      <c r="A14" s="29">
        <v>2129</v>
      </c>
      <c r="B14" s="30" t="s">
        <v>44</v>
      </c>
      <c r="C14" s="31" t="s">
        <v>34</v>
      </c>
      <c r="D14" s="110">
        <f>'Anexo 1'!E13</f>
        <v>130000000</v>
      </c>
      <c r="E14" s="32">
        <v>30196728</v>
      </c>
      <c r="F14" s="32">
        <v>46931372</v>
      </c>
      <c r="G14" s="110">
        <v>2627599</v>
      </c>
      <c r="H14" s="110">
        <f t="shared" si="0"/>
        <v>44303773</v>
      </c>
      <c r="I14" s="110">
        <v>1422720</v>
      </c>
      <c r="J14" s="110">
        <f>1700000*'Anexo 5'!P83</f>
        <v>1856570.0000000002</v>
      </c>
      <c r="K14" s="110">
        <v>1041914.97</v>
      </c>
      <c r="L14" s="110">
        <f>J14-K14</f>
        <v>814655.03000000026</v>
      </c>
      <c r="M14" s="189">
        <f>352682*'Anexo 5'!P83</f>
        <v>385164.0122</v>
      </c>
    </row>
    <row r="15" spans="1:14" s="9" customFormat="1" ht="27.6">
      <c r="A15" s="29">
        <v>2164</v>
      </c>
      <c r="B15" s="30" t="s">
        <v>165</v>
      </c>
      <c r="C15" s="31" t="s">
        <v>34</v>
      </c>
      <c r="D15" s="110">
        <f>'Anexo 1'!E14</f>
        <v>154562390.28999999</v>
      </c>
      <c r="E15" s="32">
        <v>31304300</v>
      </c>
      <c r="F15" s="110">
        <v>31304243.059999999</v>
      </c>
      <c r="G15" s="110">
        <v>5228507.58</v>
      </c>
      <c r="H15" s="110">
        <f>F15-G15</f>
        <v>26075735.479999997</v>
      </c>
      <c r="I15" s="110">
        <v>1606556.6315140845</v>
      </c>
      <c r="J15" s="110" t="s">
        <v>36</v>
      </c>
      <c r="K15" s="110" t="s">
        <v>36</v>
      </c>
      <c r="L15" s="110" t="s">
        <v>36</v>
      </c>
      <c r="M15" s="189" t="s">
        <v>36</v>
      </c>
    </row>
    <row r="16" spans="1:14" s="9" customFormat="1" ht="27.6">
      <c r="A16" s="29" t="s">
        <v>46</v>
      </c>
      <c r="B16" s="30" t="s">
        <v>193</v>
      </c>
      <c r="C16" s="227" t="str">
        <f>+'Anexo 1'!C15</f>
        <v>AyA</v>
      </c>
      <c r="D16" s="110">
        <f>'Anexo 1'!E15</f>
        <v>111128810</v>
      </c>
      <c r="E16" s="32">
        <v>28734720</v>
      </c>
      <c r="F16" s="110">
        <v>28734720</v>
      </c>
      <c r="G16" s="110">
        <v>1813341.78</v>
      </c>
      <c r="H16" s="110">
        <f t="shared" si="0"/>
        <v>26921378.219999999</v>
      </c>
      <c r="I16" s="110">
        <v>849397.00704225351</v>
      </c>
      <c r="J16" s="110" t="s">
        <v>36</v>
      </c>
      <c r="K16" s="110" t="s">
        <v>36</v>
      </c>
      <c r="L16" s="110" t="s">
        <v>36</v>
      </c>
      <c r="M16" s="189" t="s">
        <v>36</v>
      </c>
    </row>
    <row r="17" spans="1:14" s="9" customFormat="1">
      <c r="A17" s="29">
        <v>2198</v>
      </c>
      <c r="B17" s="30" t="str">
        <f>+'Anexo 1'!B16</f>
        <v>Programa de Alcantarillado y Control de Inundaciones para Limón</v>
      </c>
      <c r="C17" s="227" t="str">
        <f>+'Anexo 1'!C16</f>
        <v>AyA/SENARA</v>
      </c>
      <c r="D17" s="110">
        <f>'Anexo 1'!E16</f>
        <v>55080000</v>
      </c>
      <c r="E17" s="32">
        <v>1610800</v>
      </c>
      <c r="F17" s="110">
        <v>2104700</v>
      </c>
      <c r="G17" s="110">
        <v>1341835.8700000001</v>
      </c>
      <c r="H17" s="110">
        <f t="shared" si="0"/>
        <v>762864.12999999989</v>
      </c>
      <c r="I17" s="110">
        <v>561023.49297289108</v>
      </c>
      <c r="J17" s="110" t="s">
        <v>36</v>
      </c>
      <c r="K17" s="110" t="s">
        <v>36</v>
      </c>
      <c r="L17" s="110" t="s">
        <v>36</v>
      </c>
      <c r="M17" s="189" t="s">
        <v>36</v>
      </c>
    </row>
    <row r="18" spans="1:14" s="9" customFormat="1">
      <c r="A18" s="29">
        <v>2270</v>
      </c>
      <c r="B18" s="30" t="str">
        <f>+'Anexo 1'!B17</f>
        <v>Adquisición y Aplicación de Vacunas COVID-19</v>
      </c>
      <c r="C18" s="227" t="str">
        <f>+'Anexo 1'!C17</f>
        <v>CNE</v>
      </c>
      <c r="D18" s="110">
        <f>'Anexo 1'!E17</f>
        <v>80000000</v>
      </c>
      <c r="E18" s="32" t="s">
        <v>36</v>
      </c>
      <c r="F18" s="32" t="s">
        <v>36</v>
      </c>
      <c r="G18" s="32" t="s">
        <v>36</v>
      </c>
      <c r="H18" s="110" t="s">
        <v>36</v>
      </c>
      <c r="I18" s="110" t="s">
        <v>36</v>
      </c>
      <c r="J18" s="110" t="s">
        <v>36</v>
      </c>
      <c r="K18" s="110" t="s">
        <v>36</v>
      </c>
      <c r="L18" s="110" t="s">
        <v>36</v>
      </c>
      <c r="M18" s="189" t="s">
        <v>36</v>
      </c>
    </row>
    <row r="19" spans="1:14" s="9" customFormat="1" ht="31.2" customHeight="1">
      <c r="A19" s="29">
        <v>2220</v>
      </c>
      <c r="B19" s="30" t="str">
        <f>+'Anexo 1'!B18</f>
        <v>Proyecto de Abastecimiento de Agua para la Cuenca Media del río Tempisque y Comunidades Costeras (PAACUME)</v>
      </c>
      <c r="C19" s="227" t="str">
        <f>+'Anexo 1'!C18</f>
        <v xml:space="preserve">SENARA </v>
      </c>
      <c r="D19" s="110">
        <f>'Anexo 1'!E18</f>
        <v>425000000</v>
      </c>
      <c r="E19" s="32">
        <v>32797287.809999999</v>
      </c>
      <c r="F19" s="32">
        <v>32797287.809999999</v>
      </c>
      <c r="G19" s="110">
        <v>5290823.18</v>
      </c>
      <c r="H19" s="110">
        <f t="shared" si="0"/>
        <v>27506464.629999999</v>
      </c>
      <c r="I19" s="110">
        <v>250000</v>
      </c>
      <c r="J19" s="110" t="s">
        <v>36</v>
      </c>
      <c r="K19" s="110" t="s">
        <v>36</v>
      </c>
      <c r="L19" s="110" t="s">
        <v>36</v>
      </c>
      <c r="M19" s="189" t="s">
        <v>36</v>
      </c>
    </row>
    <row r="20" spans="1:14" s="46" customFormat="1">
      <c r="A20" s="206"/>
      <c r="B20" s="72"/>
      <c r="C20" s="43"/>
      <c r="D20" s="117">
        <f>SUM(D10:D19)</f>
        <v>1755279957.29</v>
      </c>
      <c r="E20" s="45">
        <f t="shared" ref="E20:I20" si="1">SUM(E10:E19)</f>
        <v>310547477</v>
      </c>
      <c r="F20" s="45">
        <f t="shared" si="1"/>
        <v>445494200.63999999</v>
      </c>
      <c r="G20" s="117">
        <f t="shared" si="1"/>
        <v>269000613.17000002</v>
      </c>
      <c r="H20" s="117">
        <f t="shared" si="1"/>
        <v>176493587.46999997</v>
      </c>
      <c r="I20" s="117">
        <f t="shared" si="1"/>
        <v>42079531.266675636</v>
      </c>
      <c r="J20" s="117">
        <f t="shared" ref="J20" si="2">SUM(J10:J19)</f>
        <v>1856570.0000000002</v>
      </c>
      <c r="K20" s="117">
        <f t="shared" ref="K20" si="3">SUM(K10:K19)</f>
        <v>1041914.97</v>
      </c>
      <c r="L20" s="117">
        <f t="shared" ref="L20" si="4">SUM(L10:L19)</f>
        <v>814655.03000000026</v>
      </c>
      <c r="M20" s="134">
        <f t="shared" ref="M20" si="5">SUM(M10:M19)</f>
        <v>385164.0122</v>
      </c>
    </row>
    <row r="21" spans="1:14" s="46" customFormat="1">
      <c r="A21" s="206"/>
      <c r="B21" s="72"/>
      <c r="C21" s="43"/>
      <c r="D21" s="117"/>
      <c r="E21" s="45"/>
      <c r="F21" s="45"/>
      <c r="G21" s="117"/>
      <c r="H21" s="117"/>
      <c r="I21" s="117"/>
      <c r="J21" s="117"/>
      <c r="K21" s="117"/>
      <c r="L21" s="117"/>
      <c r="M21" s="228"/>
    </row>
    <row r="22" spans="1:14" s="9" customFormat="1">
      <c r="A22" s="229" t="s">
        <v>58</v>
      </c>
      <c r="B22" s="90"/>
      <c r="C22" s="31"/>
      <c r="D22" s="110"/>
      <c r="E22" s="32"/>
      <c r="F22" s="32"/>
      <c r="G22" s="110"/>
      <c r="H22" s="110"/>
      <c r="I22" s="110"/>
      <c r="J22" s="110"/>
      <c r="K22" s="110"/>
      <c r="L22" s="110"/>
      <c r="M22" s="28"/>
    </row>
    <row r="23" spans="1:14" s="9" customFormat="1">
      <c r="A23" s="206" t="s">
        <v>59</v>
      </c>
      <c r="B23" s="52" t="s">
        <v>134</v>
      </c>
      <c r="C23" s="31" t="s">
        <v>34</v>
      </c>
      <c r="D23" s="110">
        <f>'Anexo 1'!E22</f>
        <v>73000000</v>
      </c>
      <c r="E23" s="32">
        <v>12025899.7040902</v>
      </c>
      <c r="F23" s="110">
        <v>16340816.189999999</v>
      </c>
      <c r="G23" s="110">
        <v>12572338.84</v>
      </c>
      <c r="H23" s="110">
        <f>F23-G23</f>
        <v>3768477.3499999996</v>
      </c>
      <c r="I23" s="110">
        <v>2782347.7206089967</v>
      </c>
      <c r="J23" s="110">
        <v>20000000</v>
      </c>
      <c r="K23" s="110">
        <v>17994580.350000001</v>
      </c>
      <c r="L23" s="110">
        <f>J23-K23</f>
        <v>2005419.6499999985</v>
      </c>
      <c r="M23" s="189">
        <v>500000</v>
      </c>
      <c r="N23" s="210"/>
    </row>
    <row r="24" spans="1:14" s="9" customFormat="1">
      <c r="A24" s="230" t="s">
        <v>62</v>
      </c>
      <c r="B24" s="39" t="s">
        <v>63</v>
      </c>
      <c r="C24" s="31" t="s">
        <v>64</v>
      </c>
      <c r="D24" s="110">
        <f>'Anexo 1'!E23</f>
        <v>400000000</v>
      </c>
      <c r="E24" s="32" t="s">
        <v>36</v>
      </c>
      <c r="F24" s="32" t="s">
        <v>36</v>
      </c>
      <c r="G24" s="110" t="s">
        <v>36</v>
      </c>
      <c r="H24" s="110" t="s">
        <v>36</v>
      </c>
      <c r="I24" s="110" t="s">
        <v>36</v>
      </c>
      <c r="J24" s="110" t="s">
        <v>36</v>
      </c>
      <c r="K24" s="110" t="s">
        <v>36</v>
      </c>
      <c r="L24" s="110" t="s">
        <v>36</v>
      </c>
      <c r="M24" s="189" t="s">
        <v>36</v>
      </c>
    </row>
    <row r="25" spans="1:14" s="9" customFormat="1">
      <c r="A25" s="29" t="s">
        <v>194</v>
      </c>
      <c r="B25" s="39" t="s">
        <v>63</v>
      </c>
      <c r="C25" s="31" t="s">
        <v>64</v>
      </c>
      <c r="D25" s="110">
        <f>'Anexo 1'!E24</f>
        <v>50000000</v>
      </c>
      <c r="E25" s="32" t="s">
        <v>36</v>
      </c>
      <c r="F25" s="32" t="s">
        <v>36</v>
      </c>
      <c r="G25" s="110" t="s">
        <v>36</v>
      </c>
      <c r="H25" s="110" t="s">
        <v>36</v>
      </c>
      <c r="I25" s="110" t="s">
        <v>36</v>
      </c>
      <c r="J25" s="110" t="s">
        <v>36</v>
      </c>
      <c r="K25" s="110" t="s">
        <v>36</v>
      </c>
      <c r="L25" s="110" t="s">
        <v>36</v>
      </c>
      <c r="M25" s="189" t="s">
        <v>36</v>
      </c>
    </row>
    <row r="26" spans="1:14" s="9" customFormat="1">
      <c r="A26" s="54" t="s">
        <v>66</v>
      </c>
      <c r="B26" s="52" t="s">
        <v>67</v>
      </c>
      <c r="C26" s="31" t="s">
        <v>68</v>
      </c>
      <c r="D26" s="110">
        <f>'Anexo 1'!E25</f>
        <v>100000000</v>
      </c>
      <c r="E26" s="32" t="s">
        <v>36</v>
      </c>
      <c r="F26" s="110" t="s">
        <v>36</v>
      </c>
      <c r="G26" s="110" t="s">
        <v>36</v>
      </c>
      <c r="H26" s="32" t="s">
        <v>36</v>
      </c>
      <c r="I26" s="32" t="s">
        <v>36</v>
      </c>
      <c r="J26" s="32" t="s">
        <v>36</v>
      </c>
      <c r="K26" s="32" t="s">
        <v>36</v>
      </c>
      <c r="L26" s="110" t="s">
        <v>36</v>
      </c>
      <c r="M26" s="189" t="s">
        <v>36</v>
      </c>
    </row>
    <row r="27" spans="1:14" s="9" customFormat="1">
      <c r="A27" s="54" t="s">
        <v>69</v>
      </c>
      <c r="B27" s="52" t="s">
        <v>70</v>
      </c>
      <c r="C27" s="31" t="s">
        <v>64</v>
      </c>
      <c r="D27" s="110">
        <f>'Anexo 1'!E26</f>
        <v>144036000</v>
      </c>
      <c r="E27" s="32">
        <v>8000000</v>
      </c>
      <c r="F27" s="32">
        <v>8000000</v>
      </c>
      <c r="G27" s="110">
        <v>5735476.8300000001</v>
      </c>
      <c r="H27" s="110">
        <f>F27-G27</f>
        <v>2264523.17</v>
      </c>
      <c r="I27" s="110">
        <v>967107.28</v>
      </c>
      <c r="J27" s="110" t="s">
        <v>36</v>
      </c>
      <c r="K27" s="110" t="s">
        <v>36</v>
      </c>
      <c r="L27" s="110" t="s">
        <v>36</v>
      </c>
      <c r="M27" s="189" t="s">
        <v>36</v>
      </c>
    </row>
    <row r="28" spans="1:14" s="9" customFormat="1" ht="39.6" customHeight="1">
      <c r="A28" s="54" t="str">
        <f>+'Anexo 1'!A27</f>
        <v>3589/OC-CR</v>
      </c>
      <c r="B28" s="52" t="s">
        <v>72</v>
      </c>
      <c r="C28" s="31" t="str">
        <f>+'Anexo 1'!C27</f>
        <v>ICE</v>
      </c>
      <c r="D28" s="110">
        <f>+'Anexo 1'!E27</f>
        <v>134500000</v>
      </c>
      <c r="E28" s="32">
        <v>91700000</v>
      </c>
      <c r="F28" s="32">
        <v>91700000</v>
      </c>
      <c r="G28" s="110">
        <v>31116487.77</v>
      </c>
      <c r="H28" s="110">
        <f t="shared" ref="H28" si="6">F28-G28</f>
        <v>60583512.230000004</v>
      </c>
      <c r="I28" s="110">
        <v>3304087.934640523</v>
      </c>
      <c r="J28" s="110" t="s">
        <v>36</v>
      </c>
      <c r="K28" s="110" t="s">
        <v>36</v>
      </c>
      <c r="L28" s="110" t="s">
        <v>36</v>
      </c>
      <c r="M28" s="189" t="s">
        <v>36</v>
      </c>
    </row>
    <row r="29" spans="1:14" s="9" customFormat="1">
      <c r="A29" s="54" t="str">
        <f>+'Anexo 1'!A28</f>
        <v>4864/OC-CR</v>
      </c>
      <c r="B29" s="52" t="s">
        <v>76</v>
      </c>
      <c r="C29" s="31" t="str">
        <f>+'Anexo 1'!C28</f>
        <v>MOPT</v>
      </c>
      <c r="D29" s="110">
        <f>+'Anexo 1'!E28</f>
        <v>125000000</v>
      </c>
      <c r="E29" s="32">
        <v>53000000</v>
      </c>
      <c r="F29" s="32">
        <v>55606619.304434113</v>
      </c>
      <c r="G29" s="110">
        <v>26807679.959126983</v>
      </c>
      <c r="H29" s="110">
        <f t="shared" ref="H29" si="7">F29-G29</f>
        <v>28798939.34530713</v>
      </c>
      <c r="I29" s="110">
        <v>21397095.009999998</v>
      </c>
      <c r="J29" s="110" t="s">
        <v>36</v>
      </c>
      <c r="K29" s="110" t="s">
        <v>36</v>
      </c>
      <c r="L29" s="110" t="s">
        <v>36</v>
      </c>
      <c r="M29" s="189" t="s">
        <v>36</v>
      </c>
    </row>
    <row r="30" spans="1:14" s="9" customFormat="1">
      <c r="A30" s="54" t="str">
        <f>+'Anexo 1'!A29</f>
        <v>4871/OC-CR</v>
      </c>
      <c r="B30" s="30" t="s">
        <v>78</v>
      </c>
      <c r="C30" s="31" t="str">
        <f>+'Anexo 1'!C29</f>
        <v>MJP</v>
      </c>
      <c r="D30" s="110">
        <f>+'Anexo 1'!E29</f>
        <v>100000000</v>
      </c>
      <c r="E30" s="32" t="s">
        <v>36</v>
      </c>
      <c r="F30" s="32" t="s">
        <v>36</v>
      </c>
      <c r="G30" s="32" t="s">
        <v>36</v>
      </c>
      <c r="H30" s="110" t="s">
        <v>36</v>
      </c>
      <c r="I30" s="110" t="s">
        <v>36</v>
      </c>
      <c r="J30" s="110" t="s">
        <v>36</v>
      </c>
      <c r="K30" s="110" t="s">
        <v>36</v>
      </c>
      <c r="L30" s="110" t="s">
        <v>36</v>
      </c>
      <c r="M30" s="189" t="s">
        <v>36</v>
      </c>
    </row>
    <row r="31" spans="1:14" s="46" customFormat="1">
      <c r="A31" s="206"/>
      <c r="B31" s="72"/>
      <c r="C31" s="43"/>
      <c r="D31" s="117">
        <f t="shared" ref="D31:M31" si="8">SUM(D23:D30)</f>
        <v>1126536000</v>
      </c>
      <c r="E31" s="45">
        <f t="shared" si="8"/>
        <v>164725899.70409021</v>
      </c>
      <c r="F31" s="45">
        <f t="shared" si="8"/>
        <v>171647435.49443412</v>
      </c>
      <c r="G31" s="117">
        <f t="shared" si="8"/>
        <v>76231983.399126977</v>
      </c>
      <c r="H31" s="117">
        <f t="shared" si="8"/>
        <v>95415452.095307127</v>
      </c>
      <c r="I31" s="117">
        <f t="shared" si="8"/>
        <v>28450637.945249517</v>
      </c>
      <c r="J31" s="117">
        <f t="shared" si="8"/>
        <v>20000000</v>
      </c>
      <c r="K31" s="117">
        <f t="shared" si="8"/>
        <v>17994580.350000001</v>
      </c>
      <c r="L31" s="117">
        <f t="shared" si="8"/>
        <v>2005419.6499999985</v>
      </c>
      <c r="M31" s="134">
        <f t="shared" si="8"/>
        <v>500000</v>
      </c>
    </row>
    <row r="32" spans="1:14" s="9" customFormat="1">
      <c r="A32" s="231"/>
      <c r="B32" s="90"/>
      <c r="C32" s="31"/>
      <c r="D32" s="110"/>
      <c r="E32" s="32"/>
      <c r="F32" s="32"/>
      <c r="G32" s="110"/>
      <c r="H32" s="110"/>
      <c r="I32" s="110"/>
      <c r="J32" s="110"/>
      <c r="K32" s="110"/>
      <c r="L32" s="110"/>
      <c r="M32" s="28"/>
    </row>
    <row r="33" spans="1:13" s="9" customFormat="1">
      <c r="A33" s="229" t="s">
        <v>80</v>
      </c>
      <c r="B33" s="90"/>
      <c r="C33" s="31"/>
      <c r="D33" s="110"/>
      <c r="E33" s="32"/>
      <c r="F33" s="32"/>
      <c r="G33" s="110"/>
      <c r="H33" s="110"/>
      <c r="I33" s="110"/>
      <c r="J33" s="110"/>
      <c r="K33" s="110"/>
      <c r="L33" s="110"/>
      <c r="M33" s="28"/>
    </row>
    <row r="34" spans="1:13" s="9" customFormat="1">
      <c r="A34" s="206" t="s">
        <v>81</v>
      </c>
      <c r="B34" s="9" t="s">
        <v>82</v>
      </c>
      <c r="C34" s="31" t="s">
        <v>43</v>
      </c>
      <c r="D34" s="110">
        <f>'Anexo 1'!E33</f>
        <v>420000000</v>
      </c>
      <c r="E34" s="32" t="s">
        <v>36</v>
      </c>
      <c r="F34" s="32" t="s">
        <v>169</v>
      </c>
      <c r="G34" s="32" t="s">
        <v>169</v>
      </c>
      <c r="H34" s="110" t="s">
        <v>36</v>
      </c>
      <c r="I34" s="110" t="s">
        <v>36</v>
      </c>
      <c r="J34" s="110" t="s">
        <v>36</v>
      </c>
      <c r="K34" s="110" t="s">
        <v>36</v>
      </c>
      <c r="L34" s="110" t="s">
        <v>36</v>
      </c>
      <c r="M34" s="189" t="s">
        <v>36</v>
      </c>
    </row>
    <row r="35" spans="1:13" s="9" customFormat="1" ht="30" customHeight="1">
      <c r="A35" s="29" t="s">
        <v>83</v>
      </c>
      <c r="B35" s="166" t="s">
        <v>84</v>
      </c>
      <c r="C35" s="31" t="s">
        <v>85</v>
      </c>
      <c r="D35" s="110">
        <f>'Anexo 1'!E34</f>
        <v>156640000</v>
      </c>
      <c r="E35" s="32" t="s">
        <v>169</v>
      </c>
      <c r="F35" s="32" t="s">
        <v>169</v>
      </c>
      <c r="G35" s="32" t="s">
        <v>169</v>
      </c>
      <c r="H35" s="110" t="s">
        <v>36</v>
      </c>
      <c r="I35" s="110" t="s">
        <v>36</v>
      </c>
      <c r="J35" s="110" t="s">
        <v>36</v>
      </c>
      <c r="K35" s="110" t="s">
        <v>36</v>
      </c>
      <c r="L35" s="110" t="s">
        <v>36</v>
      </c>
      <c r="M35" s="189" t="s">
        <v>36</v>
      </c>
    </row>
    <row r="36" spans="1:13" s="9" customFormat="1" ht="25.2" customHeight="1">
      <c r="A36" s="54" t="s">
        <v>87</v>
      </c>
      <c r="B36" s="69" t="s">
        <v>88</v>
      </c>
      <c r="C36" s="39" t="s">
        <v>89</v>
      </c>
      <c r="D36" s="110">
        <f>'Anexo 1'!E35</f>
        <v>75100500</v>
      </c>
      <c r="E36" s="32">
        <v>7000000</v>
      </c>
      <c r="F36" s="32">
        <v>7000000</v>
      </c>
      <c r="G36" s="32">
        <v>131368.54999999999</v>
      </c>
      <c r="H36" s="110">
        <f t="shared" ref="H36" si="9">F36-G36</f>
        <v>6868631.4500000002</v>
      </c>
      <c r="I36" s="110">
        <v>86673.88</v>
      </c>
      <c r="J36" s="110" t="s">
        <v>36</v>
      </c>
      <c r="K36" s="110" t="s">
        <v>36</v>
      </c>
      <c r="L36" s="110" t="s">
        <v>36</v>
      </c>
      <c r="M36" s="189" t="s">
        <v>36</v>
      </c>
    </row>
    <row r="37" spans="1:13" s="46" customFormat="1">
      <c r="A37" s="206"/>
      <c r="B37" s="72"/>
      <c r="C37" s="43"/>
      <c r="D37" s="117">
        <f>SUM(D34:D36)</f>
        <v>651740500</v>
      </c>
      <c r="E37" s="45">
        <f t="shared" ref="E37:L37" si="10">SUM(E34:E36)</f>
        <v>7000000</v>
      </c>
      <c r="F37" s="45">
        <f t="shared" si="10"/>
        <v>7000000</v>
      </c>
      <c r="G37" s="117">
        <f t="shared" si="10"/>
        <v>131368.54999999999</v>
      </c>
      <c r="H37" s="117">
        <f t="shared" si="10"/>
        <v>6868631.4500000002</v>
      </c>
      <c r="I37" s="117">
        <f t="shared" si="10"/>
        <v>86673.88</v>
      </c>
      <c r="J37" s="117">
        <f t="shared" si="10"/>
        <v>0</v>
      </c>
      <c r="K37" s="117">
        <f t="shared" si="10"/>
        <v>0</v>
      </c>
      <c r="L37" s="117">
        <f t="shared" si="10"/>
        <v>0</v>
      </c>
      <c r="M37" s="134">
        <f>SUM(M34:M36)</f>
        <v>0</v>
      </c>
    </row>
    <row r="38" spans="1:13" s="46" customFormat="1">
      <c r="A38" s="206"/>
      <c r="B38" s="72"/>
      <c r="C38" s="43"/>
      <c r="D38" s="117"/>
      <c r="E38" s="45"/>
      <c r="F38" s="45"/>
      <c r="G38" s="117"/>
      <c r="H38" s="117"/>
      <c r="I38" s="117"/>
      <c r="J38" s="117"/>
      <c r="K38" s="117"/>
      <c r="L38" s="117"/>
      <c r="M38" s="228"/>
    </row>
    <row r="39" spans="1:13" s="46" customFormat="1">
      <c r="A39" s="206" t="s">
        <v>90</v>
      </c>
      <c r="B39" s="133"/>
      <c r="C39" s="31"/>
      <c r="D39" s="117"/>
      <c r="E39" s="45"/>
      <c r="F39" s="45"/>
      <c r="G39" s="117"/>
      <c r="H39" s="117"/>
      <c r="I39" s="117"/>
      <c r="J39" s="117"/>
      <c r="K39" s="117"/>
      <c r="L39" s="117"/>
      <c r="M39" s="228"/>
    </row>
    <row r="40" spans="1:13" s="46" customFormat="1" ht="27" customHeight="1">
      <c r="A40" s="206" t="s">
        <v>91</v>
      </c>
      <c r="B40" s="30" t="s">
        <v>195</v>
      </c>
      <c r="C40" s="55" t="s">
        <v>38</v>
      </c>
      <c r="D40" s="110">
        <f>'Anexo 1'!E39</f>
        <v>90542773.120000005</v>
      </c>
      <c r="E40" s="232">
        <v>147727758.05608001</v>
      </c>
      <c r="F40" s="232">
        <v>156784226.61000001</v>
      </c>
      <c r="G40" s="232">
        <v>111445990.02</v>
      </c>
      <c r="H40" s="232">
        <f>+F40-G40</f>
        <v>45338236.590000018</v>
      </c>
      <c r="I40" s="121">
        <v>39500181.3371647</v>
      </c>
      <c r="J40" s="121" t="s">
        <v>36</v>
      </c>
      <c r="K40" s="121" t="s">
        <v>36</v>
      </c>
      <c r="L40" s="121" t="s">
        <v>36</v>
      </c>
      <c r="M40" s="233" t="s">
        <v>36</v>
      </c>
    </row>
    <row r="41" spans="1:13" s="46" customFormat="1" ht="19.95" customHeight="1">
      <c r="A41" s="206" t="s">
        <v>93</v>
      </c>
      <c r="B41" s="30" t="s">
        <v>170</v>
      </c>
      <c r="C41" s="55"/>
      <c r="D41" s="110">
        <f>'Anexo 1'!E40</f>
        <v>296000000</v>
      </c>
      <c r="E41" s="232"/>
      <c r="F41" s="232"/>
      <c r="G41" s="232"/>
      <c r="H41" s="232"/>
      <c r="I41" s="121"/>
      <c r="J41" s="121"/>
      <c r="K41" s="121"/>
      <c r="L41" s="121"/>
      <c r="M41" s="233"/>
    </row>
    <row r="42" spans="1:13" s="46" customFormat="1">
      <c r="A42" s="206"/>
      <c r="B42" s="133"/>
      <c r="C42" s="31"/>
      <c r="D42" s="117">
        <f>SUM(D40:D41)</f>
        <v>386542773.12</v>
      </c>
      <c r="E42" s="45">
        <f t="shared" ref="E42:L42" si="11">SUM(E40:E41)</f>
        <v>147727758.05608001</v>
      </c>
      <c r="F42" s="45">
        <f t="shared" si="11"/>
        <v>156784226.61000001</v>
      </c>
      <c r="G42" s="45">
        <f t="shared" si="11"/>
        <v>111445990.02</v>
      </c>
      <c r="H42" s="45">
        <f t="shared" si="11"/>
        <v>45338236.590000018</v>
      </c>
      <c r="I42" s="117">
        <f t="shared" si="11"/>
        <v>39500181.3371647</v>
      </c>
      <c r="J42" s="117">
        <f t="shared" si="11"/>
        <v>0</v>
      </c>
      <c r="K42" s="117">
        <f t="shared" si="11"/>
        <v>0</v>
      </c>
      <c r="L42" s="117">
        <f t="shared" si="11"/>
        <v>0</v>
      </c>
      <c r="M42" s="134">
        <f t="shared" ref="M42" si="12">SUM(M40:M41)</f>
        <v>0</v>
      </c>
    </row>
    <row r="43" spans="1:13" s="9" customFormat="1">
      <c r="A43" s="231"/>
      <c r="B43" s="90"/>
      <c r="C43" s="31"/>
      <c r="D43" s="110"/>
      <c r="E43" s="32"/>
      <c r="F43" s="32"/>
      <c r="G43" s="32"/>
      <c r="H43" s="32"/>
      <c r="I43" s="110"/>
      <c r="J43" s="110"/>
      <c r="K43" s="110"/>
      <c r="L43" s="110"/>
      <c r="M43" s="28"/>
    </row>
    <row r="44" spans="1:13" s="9" customFormat="1">
      <c r="A44" s="229" t="s">
        <v>95</v>
      </c>
      <c r="C44" s="31"/>
      <c r="D44" s="110"/>
      <c r="E44" s="32"/>
      <c r="F44" s="32"/>
      <c r="G44" s="32"/>
      <c r="H44" s="32"/>
      <c r="I44" s="110"/>
      <c r="J44" s="110"/>
      <c r="K44" s="110"/>
      <c r="L44" s="110"/>
      <c r="M44" s="28"/>
    </row>
    <row r="45" spans="1:13" s="9" customFormat="1" ht="19.2" customHeight="1">
      <c r="A45" s="206" t="s">
        <v>96</v>
      </c>
      <c r="B45" s="9" t="s">
        <v>196</v>
      </c>
      <c r="C45" s="31" t="s">
        <v>73</v>
      </c>
      <c r="D45" s="110">
        <f>'Anexo 1'!E44</f>
        <v>180018008.03435379</v>
      </c>
      <c r="E45" s="32">
        <v>134325323.47975999</v>
      </c>
      <c r="F45" s="32">
        <v>134325323.47975999</v>
      </c>
      <c r="G45" s="32">
        <v>29511963</v>
      </c>
      <c r="H45" s="32">
        <f t="shared" ref="H45" si="13">F45-G45</f>
        <v>104813360.47975999</v>
      </c>
      <c r="I45" s="110">
        <v>3457526.5779758366</v>
      </c>
      <c r="J45" s="110" t="s">
        <v>36</v>
      </c>
      <c r="K45" s="110" t="s">
        <v>36</v>
      </c>
      <c r="L45" s="110" t="s">
        <v>36</v>
      </c>
      <c r="M45" s="189" t="s">
        <v>36</v>
      </c>
    </row>
    <row r="46" spans="1:13" s="9" customFormat="1">
      <c r="A46" s="206"/>
      <c r="C46" s="31"/>
      <c r="D46" s="117">
        <f>SUM(D45:D45)</f>
        <v>180018008.03435379</v>
      </c>
      <c r="E46" s="45">
        <f t="shared" ref="E46:L46" si="14">SUM(E45:E45)</f>
        <v>134325323.47975999</v>
      </c>
      <c r="F46" s="45">
        <f t="shared" si="14"/>
        <v>134325323.47975999</v>
      </c>
      <c r="G46" s="45">
        <f t="shared" si="14"/>
        <v>29511963</v>
      </c>
      <c r="H46" s="45">
        <f t="shared" si="14"/>
        <v>104813360.47975999</v>
      </c>
      <c r="I46" s="117">
        <f t="shared" si="14"/>
        <v>3457526.5779758366</v>
      </c>
      <c r="J46" s="117">
        <f t="shared" si="14"/>
        <v>0</v>
      </c>
      <c r="K46" s="117">
        <f t="shared" si="14"/>
        <v>0</v>
      </c>
      <c r="L46" s="117">
        <f t="shared" si="14"/>
        <v>0</v>
      </c>
      <c r="M46" s="134">
        <f t="shared" ref="M46" si="15">SUM(M45:M45)</f>
        <v>0</v>
      </c>
    </row>
    <row r="47" spans="1:13" s="9" customFormat="1">
      <c r="A47" s="234"/>
      <c r="C47" s="31"/>
      <c r="D47" s="117"/>
      <c r="E47" s="45"/>
      <c r="F47" s="45"/>
      <c r="G47" s="45"/>
      <c r="H47" s="45"/>
      <c r="I47" s="117"/>
      <c r="J47" s="117"/>
      <c r="K47" s="117"/>
      <c r="L47" s="117"/>
      <c r="M47" s="108"/>
    </row>
    <row r="48" spans="1:13" s="9" customFormat="1">
      <c r="A48" s="206" t="s">
        <v>98</v>
      </c>
      <c r="C48" s="31"/>
      <c r="D48" s="117"/>
      <c r="E48" s="45"/>
      <c r="F48" s="45"/>
      <c r="G48" s="45"/>
      <c r="H48" s="45"/>
      <c r="I48" s="117"/>
      <c r="J48" s="117"/>
      <c r="K48" s="117"/>
      <c r="L48" s="117"/>
      <c r="M48" s="108"/>
    </row>
    <row r="49" spans="1:15" s="9" customFormat="1" ht="23.4" customHeight="1">
      <c r="A49" s="206">
        <f>'Anexo 3'!A50</f>
        <v>28568</v>
      </c>
      <c r="B49" s="9" t="s">
        <v>197</v>
      </c>
      <c r="C49" s="31" t="str">
        <f>'Anexo 3'!C50</f>
        <v>AyA</v>
      </c>
      <c r="D49" s="110">
        <f>'Anexo 3'!D50</f>
        <v>86580149.231100008</v>
      </c>
      <c r="E49" s="32">
        <f>8725000*'Anexo 5'!P83</f>
        <v>9528572.5</v>
      </c>
      <c r="F49" s="32">
        <f>8724118*'Anexo 5'!P83</f>
        <v>9527609.2678000014</v>
      </c>
      <c r="G49" s="32">
        <f>5456791.49*'Anexo 5'!P83</f>
        <v>5959361.9862290006</v>
      </c>
      <c r="H49" s="32">
        <f t="shared" ref="H49" si="16">F49-G49</f>
        <v>3568247.2815710008</v>
      </c>
      <c r="I49" s="32">
        <f>504695.7*'Anexo 5'!P83</f>
        <v>551178.17397</v>
      </c>
      <c r="J49" s="32" t="s">
        <v>36</v>
      </c>
      <c r="K49" s="32" t="s">
        <v>36</v>
      </c>
      <c r="L49" s="110" t="s">
        <v>36</v>
      </c>
      <c r="M49" s="189" t="s">
        <v>36</v>
      </c>
    </row>
    <row r="50" spans="1:15" s="9" customFormat="1">
      <c r="A50" s="206"/>
      <c r="C50" s="31"/>
      <c r="D50" s="117">
        <f>SUM(D49)</f>
        <v>86580149.231100008</v>
      </c>
      <c r="E50" s="45">
        <f t="shared" ref="E50:L50" si="17">SUM(E49)</f>
        <v>9528572.5</v>
      </c>
      <c r="F50" s="45">
        <f t="shared" si="17"/>
        <v>9527609.2678000014</v>
      </c>
      <c r="G50" s="45">
        <f t="shared" si="17"/>
        <v>5959361.9862290006</v>
      </c>
      <c r="H50" s="45">
        <f t="shared" si="17"/>
        <v>3568247.2815710008</v>
      </c>
      <c r="I50" s="117">
        <f t="shared" si="17"/>
        <v>551178.17397</v>
      </c>
      <c r="J50" s="117">
        <f t="shared" si="17"/>
        <v>0</v>
      </c>
      <c r="K50" s="117">
        <f t="shared" si="17"/>
        <v>0</v>
      </c>
      <c r="L50" s="117">
        <f t="shared" si="17"/>
        <v>0</v>
      </c>
      <c r="M50" s="134">
        <f>SUM(M49)</f>
        <v>0</v>
      </c>
    </row>
    <row r="51" spans="1:15" s="9" customFormat="1">
      <c r="A51" s="206"/>
      <c r="C51" s="31"/>
      <c r="D51" s="117"/>
      <c r="E51" s="45"/>
      <c r="F51" s="45"/>
      <c r="G51" s="45"/>
      <c r="H51" s="45"/>
      <c r="I51" s="117"/>
      <c r="J51" s="117"/>
      <c r="K51" s="117"/>
      <c r="L51" s="117"/>
      <c r="M51" s="134"/>
    </row>
    <row r="52" spans="1:15" s="9" customFormat="1">
      <c r="A52" s="206"/>
      <c r="B52" s="72"/>
      <c r="C52" s="31"/>
      <c r="D52" s="117"/>
      <c r="E52" s="45"/>
      <c r="F52" s="45"/>
      <c r="G52" s="45"/>
      <c r="H52" s="45"/>
      <c r="I52" s="117"/>
      <c r="J52" s="117"/>
      <c r="K52" s="117"/>
      <c r="L52" s="117"/>
      <c r="M52" s="134"/>
    </row>
    <row r="53" spans="1:15" s="9" customFormat="1">
      <c r="A53" s="206" t="s">
        <v>100</v>
      </c>
      <c r="B53" s="72"/>
      <c r="C53" s="31"/>
      <c r="D53" s="117">
        <f t="shared" ref="D53:M53" si="18">D20+D31+D37+D42+D46+D50</f>
        <v>4186697387.6754537</v>
      </c>
      <c r="E53" s="117">
        <f t="shared" si="18"/>
        <v>773855030.73993015</v>
      </c>
      <c r="F53" s="117">
        <f t="shared" si="18"/>
        <v>924778795.49199402</v>
      </c>
      <c r="G53" s="117">
        <f t="shared" si="18"/>
        <v>492281280.12535596</v>
      </c>
      <c r="H53" s="117">
        <f t="shared" si="18"/>
        <v>432497515.36663806</v>
      </c>
      <c r="I53" s="117">
        <f t="shared" si="18"/>
        <v>114125729.18103568</v>
      </c>
      <c r="J53" s="117">
        <f t="shared" si="18"/>
        <v>21856570</v>
      </c>
      <c r="K53" s="117">
        <f t="shared" si="18"/>
        <v>19036495.32</v>
      </c>
      <c r="L53" s="117">
        <f t="shared" si="18"/>
        <v>2820074.6799999988</v>
      </c>
      <c r="M53" s="134">
        <f t="shared" si="18"/>
        <v>885164.0122</v>
      </c>
    </row>
    <row r="54" spans="1:15" s="46" customFormat="1" ht="14.4" thickBot="1">
      <c r="A54" s="74"/>
      <c r="B54" s="75"/>
      <c r="C54" s="78"/>
      <c r="D54" s="136"/>
      <c r="E54" s="136"/>
      <c r="F54" s="79"/>
      <c r="G54" s="79"/>
      <c r="H54" s="79"/>
      <c r="I54" s="79"/>
      <c r="J54" s="79"/>
      <c r="K54" s="79"/>
      <c r="L54" s="79"/>
      <c r="M54" s="235"/>
    </row>
    <row r="55" spans="1:15" s="9" customFormat="1">
      <c r="A55" s="46"/>
      <c r="B55" s="46"/>
      <c r="C55" s="43"/>
      <c r="F55" s="46"/>
      <c r="G55" s="236"/>
      <c r="H55" s="46"/>
      <c r="I55" s="46"/>
      <c r="J55" s="90"/>
      <c r="K55" s="90"/>
      <c r="L55" s="90"/>
    </row>
    <row r="56" spans="1:15" s="9" customFormat="1" ht="24.6" customHeight="1">
      <c r="A56" s="46" t="s">
        <v>173</v>
      </c>
      <c r="B56" s="46"/>
      <c r="C56" s="43"/>
      <c r="F56" s="46"/>
      <c r="G56" s="46"/>
      <c r="H56" s="46"/>
      <c r="I56" s="46"/>
      <c r="J56" s="90"/>
      <c r="K56" s="90"/>
      <c r="L56" s="90"/>
    </row>
    <row r="57" spans="1:15" s="9" customFormat="1" ht="12.75" customHeight="1">
      <c r="C57" s="31"/>
      <c r="J57" s="90"/>
      <c r="K57" s="90"/>
      <c r="L57" s="90"/>
    </row>
    <row r="58" spans="1:15" s="26" customFormat="1" ht="31.95" customHeight="1">
      <c r="A58" s="82" t="s">
        <v>102</v>
      </c>
      <c r="B58" s="82"/>
      <c r="C58" s="36"/>
      <c r="F58" s="237"/>
      <c r="G58" s="237"/>
    </row>
    <row r="59" spans="1:15" s="26" customFormat="1" ht="27" customHeight="1">
      <c r="A59" s="145" t="s">
        <v>198</v>
      </c>
      <c r="B59" s="145"/>
      <c r="C59" s="36"/>
      <c r="D59" s="148"/>
      <c r="E59" s="148"/>
      <c r="F59" s="148"/>
      <c r="G59" s="148"/>
      <c r="H59" s="148"/>
      <c r="I59" s="148"/>
      <c r="J59" s="148"/>
      <c r="K59" s="148"/>
      <c r="L59" s="148"/>
      <c r="M59" s="148"/>
      <c r="N59" s="148"/>
      <c r="O59" s="148"/>
    </row>
    <row r="60" spans="1:15" s="26" customFormat="1" ht="36.6" customHeight="1">
      <c r="A60" s="154" t="s">
        <v>199</v>
      </c>
      <c r="B60" s="154"/>
      <c r="C60" s="154"/>
      <c r="D60" s="154"/>
      <c r="E60" s="154"/>
      <c r="F60" s="154"/>
      <c r="G60" s="154"/>
      <c r="H60" s="154"/>
      <c r="I60" s="154"/>
      <c r="J60" s="154"/>
      <c r="K60" s="154"/>
      <c r="L60" s="154"/>
      <c r="M60" s="154"/>
      <c r="N60" s="154"/>
      <c r="O60" s="154"/>
    </row>
    <row r="61" spans="1:15" s="26" customFormat="1" ht="26.4" customHeight="1">
      <c r="A61" s="238" t="s">
        <v>200</v>
      </c>
      <c r="B61" s="239"/>
      <c r="C61" s="239"/>
      <c r="D61" s="239"/>
      <c r="E61" s="239"/>
      <c r="F61" s="239"/>
      <c r="G61" s="239"/>
      <c r="H61" s="239"/>
      <c r="I61" s="239"/>
      <c r="J61" s="239"/>
      <c r="K61" s="239"/>
      <c r="L61" s="239"/>
      <c r="M61" s="148"/>
      <c r="N61" s="148"/>
      <c r="O61" s="148"/>
    </row>
    <row r="62" spans="1:15" s="26" customFormat="1">
      <c r="A62" s="239"/>
      <c r="B62" s="239"/>
      <c r="C62" s="239"/>
      <c r="D62" s="239"/>
      <c r="E62" s="239"/>
      <c r="F62" s="239"/>
      <c r="G62" s="239"/>
      <c r="H62" s="239"/>
      <c r="I62" s="239"/>
      <c r="J62" s="239"/>
      <c r="K62" s="239"/>
      <c r="L62" s="239"/>
    </row>
    <row r="63" spans="1:15" s="26" customFormat="1">
      <c r="A63" s="160"/>
      <c r="B63" s="160"/>
      <c r="C63" s="36"/>
      <c r="F63" s="159"/>
    </row>
    <row r="64" spans="1:15" s="26" customFormat="1">
      <c r="A64" s="160"/>
      <c r="B64" s="160"/>
      <c r="C64" s="36"/>
      <c r="F64" s="159"/>
    </row>
    <row r="65" spans="1:6" s="26" customFormat="1">
      <c r="A65" s="160"/>
      <c r="B65" s="160"/>
      <c r="C65" s="36"/>
      <c r="F65" s="159"/>
    </row>
    <row r="66" spans="1:6" s="26" customFormat="1">
      <c r="A66" s="160"/>
      <c r="B66" s="160"/>
      <c r="C66" s="36"/>
      <c r="F66" s="159"/>
    </row>
    <row r="67" spans="1:6" s="26" customFormat="1">
      <c r="A67" s="160"/>
      <c r="B67" s="160"/>
      <c r="C67" s="36"/>
      <c r="F67" s="159"/>
    </row>
    <row r="68" spans="1:6" s="26" customFormat="1">
      <c r="A68" s="160"/>
      <c r="B68" s="160"/>
      <c r="C68" s="36"/>
      <c r="F68" s="159"/>
    </row>
    <row r="69" spans="1:6" s="26" customFormat="1">
      <c r="A69" s="160"/>
      <c r="B69" s="160"/>
      <c r="C69" s="36"/>
      <c r="F69" s="159"/>
    </row>
    <row r="70" spans="1:6" s="26" customFormat="1">
      <c r="A70" s="160"/>
      <c r="B70" s="160"/>
      <c r="C70" s="36"/>
      <c r="F70" s="159"/>
    </row>
    <row r="71" spans="1:6" s="26" customFormat="1">
      <c r="A71" s="160"/>
      <c r="B71" s="160"/>
      <c r="C71" s="36"/>
      <c r="F71" s="159"/>
    </row>
    <row r="72" spans="1:6" s="26" customFormat="1">
      <c r="A72" s="160"/>
      <c r="B72" s="160"/>
      <c r="C72" s="36"/>
      <c r="F72" s="159"/>
    </row>
    <row r="73" spans="1:6" s="26" customFormat="1">
      <c r="A73" s="160"/>
      <c r="B73" s="160"/>
      <c r="C73" s="36"/>
      <c r="F73" s="159"/>
    </row>
    <row r="74" spans="1:6" s="26" customFormat="1">
      <c r="A74" s="160"/>
      <c r="B74" s="160"/>
      <c r="C74" s="36"/>
      <c r="F74" s="159"/>
    </row>
    <row r="75" spans="1:6" s="26" customFormat="1">
      <c r="A75" s="160"/>
      <c r="B75" s="160"/>
      <c r="C75" s="36"/>
      <c r="F75" s="159"/>
    </row>
    <row r="76" spans="1:6" s="26" customFormat="1">
      <c r="A76" s="160"/>
      <c r="B76" s="160"/>
      <c r="C76" s="36"/>
      <c r="F76" s="159"/>
    </row>
    <row r="77" spans="1:6" s="26" customFormat="1">
      <c r="A77" s="160"/>
      <c r="B77" s="160"/>
      <c r="C77" s="36"/>
      <c r="F77" s="159"/>
    </row>
    <row r="78" spans="1:6" s="26" customFormat="1">
      <c r="A78" s="160"/>
      <c r="B78" s="160"/>
      <c r="C78" s="36"/>
      <c r="F78" s="159"/>
    </row>
    <row r="79" spans="1:6" s="26" customFormat="1">
      <c r="A79" s="160"/>
      <c r="B79" s="160"/>
      <c r="C79" s="36"/>
      <c r="F79" s="159"/>
    </row>
    <row r="80" spans="1:6" s="26" customFormat="1">
      <c r="A80" s="160"/>
      <c r="B80" s="160"/>
      <c r="C80" s="36"/>
      <c r="F80" s="159"/>
    </row>
    <row r="81" spans="1:6" s="26" customFormat="1">
      <c r="A81" s="160"/>
      <c r="B81" s="160"/>
      <c r="C81" s="36"/>
      <c r="F81" s="159"/>
    </row>
    <row r="82" spans="1:6" s="26" customFormat="1">
      <c r="A82" s="160"/>
      <c r="B82" s="160"/>
      <c r="C82" s="36"/>
      <c r="F82" s="159"/>
    </row>
    <row r="83" spans="1:6" s="26" customFormat="1">
      <c r="A83" s="160"/>
      <c r="B83" s="160"/>
      <c r="C83" s="36"/>
      <c r="F83" s="159"/>
    </row>
    <row r="84" spans="1:6" s="26" customFormat="1">
      <c r="A84" s="160"/>
      <c r="B84" s="160"/>
      <c r="C84" s="36"/>
      <c r="F84" s="159"/>
    </row>
    <row r="85" spans="1:6" s="26" customFormat="1">
      <c r="A85" s="160"/>
      <c r="B85" s="160"/>
      <c r="C85" s="36"/>
      <c r="F85" s="159"/>
    </row>
    <row r="86" spans="1:6" s="26" customFormat="1">
      <c r="A86" s="160"/>
      <c r="B86" s="160"/>
      <c r="C86" s="36"/>
      <c r="F86" s="159"/>
    </row>
    <row r="87" spans="1:6" s="26" customFormat="1">
      <c r="A87" s="160"/>
      <c r="B87" s="160"/>
      <c r="C87" s="36"/>
      <c r="F87" s="159"/>
    </row>
    <row r="88" spans="1:6" s="26" customFormat="1">
      <c r="A88" s="160"/>
      <c r="B88" s="160"/>
      <c r="C88" s="36"/>
      <c r="F88" s="159"/>
    </row>
    <row r="89" spans="1:6" s="26" customFormat="1">
      <c r="A89" s="160"/>
      <c r="B89" s="160"/>
      <c r="C89" s="36"/>
      <c r="F89" s="159"/>
    </row>
    <row r="90" spans="1:6" s="26" customFormat="1">
      <c r="A90" s="160"/>
      <c r="B90" s="160"/>
      <c r="C90" s="36"/>
      <c r="F90" s="159"/>
    </row>
    <row r="91" spans="1:6" s="26" customFormat="1">
      <c r="A91" s="160"/>
      <c r="B91" s="160"/>
      <c r="C91" s="36"/>
      <c r="F91" s="159"/>
    </row>
    <row r="92" spans="1:6" s="26" customFormat="1">
      <c r="A92" s="160"/>
      <c r="B92" s="160"/>
      <c r="C92" s="36"/>
      <c r="F92" s="159"/>
    </row>
    <row r="93" spans="1:6" s="26" customFormat="1">
      <c r="A93" s="160"/>
      <c r="B93" s="160"/>
      <c r="C93" s="36"/>
      <c r="F93" s="159"/>
    </row>
    <row r="94" spans="1:6" s="26" customFormat="1">
      <c r="A94" s="160"/>
      <c r="B94" s="160"/>
      <c r="C94" s="36"/>
      <c r="F94" s="159"/>
    </row>
    <row r="95" spans="1:6" s="26" customFormat="1">
      <c r="A95" s="160"/>
      <c r="B95" s="160"/>
      <c r="C95" s="36"/>
      <c r="F95" s="159"/>
    </row>
    <row r="96" spans="1:6" s="26" customFormat="1">
      <c r="A96" s="160"/>
      <c r="B96" s="160"/>
      <c r="C96" s="36"/>
      <c r="F96" s="159"/>
    </row>
    <row r="97" spans="1:6" s="26" customFormat="1">
      <c r="A97" s="160"/>
      <c r="B97" s="160"/>
      <c r="C97" s="36"/>
      <c r="F97" s="159"/>
    </row>
    <row r="98" spans="1:6" s="26" customFormat="1">
      <c r="A98" s="160"/>
      <c r="B98" s="160"/>
      <c r="C98" s="36"/>
      <c r="F98" s="159"/>
    </row>
  </sheetData>
  <sheetProtection algorithmName="SHA-512" hashValue="7GS9xszfsHk5GtkStLCtB/pX2NfQNu2GiboDxMRe4CVqWFWiYqBqq68jeQ+QGXB0JvKt7zh5ZQCni2/q70mPVw==" saltValue="OaCz0uil4OvrcYbfQQXjsA==" spinCount="100000" sheet="1" objects="1" scenarios="1"/>
  <mergeCells count="23">
    <mergeCell ref="J6:M6"/>
    <mergeCell ref="A5:M5"/>
    <mergeCell ref="A4:M4"/>
    <mergeCell ref="A3:M3"/>
    <mergeCell ref="A2:M2"/>
    <mergeCell ref="A6:A7"/>
    <mergeCell ref="B6:B7"/>
    <mergeCell ref="C6:C7"/>
    <mergeCell ref="D6:D7"/>
    <mergeCell ref="E6:I6"/>
    <mergeCell ref="M40:M41"/>
    <mergeCell ref="E40:E41"/>
    <mergeCell ref="A62:L62"/>
    <mergeCell ref="A61:L61"/>
    <mergeCell ref="C40:C41"/>
    <mergeCell ref="F40:F41"/>
    <mergeCell ref="G40:G41"/>
    <mergeCell ref="H40:H41"/>
    <mergeCell ref="J40:J41"/>
    <mergeCell ref="K40:K41"/>
    <mergeCell ref="L40:L41"/>
    <mergeCell ref="I40:I41"/>
    <mergeCell ref="A60:O60"/>
  </mergeCells>
  <phoneticPr fontId="13" type="noConversion"/>
  <printOptions horizontalCentered="1" verticalCentered="1"/>
  <pageMargins left="0.15748031496062992" right="0.15748031496062992" top="0.19685039370078741" bottom="0.19685039370078741" header="0" footer="0"/>
  <pageSetup scale="44" orientation="landscape" r:id="rId1"/>
  <headerFooter alignWithMargins="0"/>
  <ignoredErrors>
    <ignoredError sqref="A49 A28:A29 A2:M2 A23:C23 A21:N22 A10:C15 D10:E17 B29:C29 A8:M9 A7:D7 H7 A6:C6 E6:M6 H10:H14 J7 J10:M13 L7 J15:M17 A17:C17 A16 C16 C28 L14 J23 J24:N30 H26 H40:H41 D38:D41 J40:L41 D55:N57 E41 M40:N41 D47:N48 D53 D52:L52 D51:N51 C49:E49 E38:N39 D32:N33 I40:I41 D54:L54 D43:N44 D45:E45 D24:E26 A30:E30 H24:I25 I26:I30 L23 M52:N54 H45:N45 H49 D18:E18 A20:C20 D19 N20 D23:E23 N23 D37 D36:E36 N36 J49:N49 A4:M5 B3:M3 D31 M31:N31 M37:N37 D42:E42 M42:N42 D46 M46:N46 D50 M50:N50 E40 A24:C27 H18:N18 D27:E29 H36 H29 H16:H17 H30 D34:E35 H34:N3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A1:CK86"/>
  <sheetViews>
    <sheetView showGridLines="0" zoomScaleNormal="100" zoomScaleSheetLayoutView="55" workbookViewId="0">
      <pane ySplit="7" topLeftCell="A8" activePane="bottomLeft" state="frozen"/>
      <selection pane="bottomLeft" activeCell="B10" sqref="B10"/>
    </sheetView>
  </sheetViews>
  <sheetFormatPr baseColWidth="10" defaultColWidth="11" defaultRowHeight="13.8"/>
  <cols>
    <col min="1" max="1" width="20" style="240" customWidth="1"/>
    <col min="2" max="2" width="60.77734375" style="240" bestFit="1" customWidth="1"/>
    <col min="3" max="3" width="13.44140625" style="215" customWidth="1"/>
    <col min="4" max="4" width="20.44140625" style="215" customWidth="1"/>
    <col min="5" max="5" width="22.21875" style="215" customWidth="1"/>
    <col min="6" max="7" width="16.77734375" style="215" customWidth="1"/>
    <col min="8" max="8" width="19.33203125" style="215" customWidth="1"/>
    <col min="9" max="9" width="17.6640625" style="215" customWidth="1"/>
    <col min="10" max="10" width="16.33203125" style="215" customWidth="1"/>
    <col min="11" max="11" width="18.21875" style="9" customWidth="1"/>
    <col min="12" max="12" width="18.6640625" style="9" customWidth="1"/>
    <col min="13" max="13" width="18.33203125" style="9" customWidth="1"/>
    <col min="14" max="16" width="18.109375" style="9" customWidth="1"/>
    <col min="17" max="27" width="14.88671875" style="9" customWidth="1"/>
    <col min="28" max="28" width="8.6640625" style="215" customWidth="1"/>
    <col min="29" max="29" width="7.44140625" style="215" customWidth="1"/>
    <col min="30" max="30" width="8" style="9" customWidth="1"/>
    <col min="31" max="31" width="8.6640625" style="9" customWidth="1"/>
    <col min="32" max="32" width="8.33203125" style="215" customWidth="1"/>
    <col min="33" max="33" width="8.88671875" style="215" customWidth="1"/>
    <col min="34" max="37" width="8.6640625" style="215" customWidth="1"/>
    <col min="38" max="38" width="13.88671875" style="215" customWidth="1"/>
    <col min="39" max="39" width="6.6640625" style="215" customWidth="1"/>
    <col min="40" max="40" width="7.44140625" style="215" customWidth="1"/>
    <col min="41" max="41" width="7.88671875" style="215" bestFit="1" customWidth="1"/>
    <col min="42" max="42" width="8.44140625" style="215" customWidth="1"/>
    <col min="43" max="43" width="7.6640625" style="215" customWidth="1"/>
    <col min="44" max="44" width="8" style="215" customWidth="1"/>
    <col min="45" max="46" width="8.6640625" style="215" customWidth="1"/>
    <col min="47" max="48" width="10.33203125" style="26" customWidth="1"/>
    <col min="49" max="49" width="13.6640625" style="26" customWidth="1"/>
    <col min="50" max="52" width="11" style="26"/>
    <col min="53" max="53" width="11" style="243"/>
    <col min="54" max="89" width="11" style="26"/>
    <col min="90" max="16384" width="11" style="215"/>
  </cols>
  <sheetData>
    <row r="1" spans="1:89" ht="25.2" customHeight="1"/>
    <row r="2" spans="1:89" ht="25.2" customHeight="1">
      <c r="A2" s="217" t="s">
        <v>201</v>
      </c>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9"/>
    </row>
    <row r="3" spans="1:89" ht="25.2" customHeight="1">
      <c r="A3" s="216" t="s">
        <v>202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row>
    <row r="4" spans="1:89" ht="25.2" customHeight="1">
      <c r="A4" s="217" t="s">
        <v>18</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row>
    <row r="5" spans="1:89" ht="25.2" customHeight="1" thickBot="1">
      <c r="A5" s="218">
        <f>+'Anexo 1'!A5:M5</f>
        <v>45107</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row>
    <row r="6" spans="1:89" s="219" customFormat="1" ht="27" customHeight="1">
      <c r="A6" s="98" t="s">
        <v>19</v>
      </c>
      <c r="B6" s="98" t="s">
        <v>20</v>
      </c>
      <c r="C6" s="98" t="s">
        <v>152</v>
      </c>
      <c r="D6" s="98" t="s">
        <v>203</v>
      </c>
      <c r="E6" s="98" t="s">
        <v>204</v>
      </c>
      <c r="F6" s="101" t="s">
        <v>205</v>
      </c>
      <c r="G6" s="102"/>
      <c r="H6" s="102"/>
      <c r="I6" s="102"/>
      <c r="J6" s="102"/>
      <c r="K6" s="102"/>
      <c r="L6" s="102"/>
      <c r="M6" s="102"/>
      <c r="N6" s="102"/>
      <c r="O6" s="102"/>
      <c r="P6" s="103"/>
      <c r="Q6" s="101" t="s">
        <v>206</v>
      </c>
      <c r="R6" s="102"/>
      <c r="S6" s="102"/>
      <c r="T6" s="102"/>
      <c r="U6" s="102"/>
      <c r="V6" s="102"/>
      <c r="W6" s="102"/>
      <c r="X6" s="102"/>
      <c r="Y6" s="102"/>
      <c r="Z6" s="102"/>
      <c r="AA6" s="103"/>
      <c r="AB6" s="101" t="s">
        <v>207</v>
      </c>
      <c r="AC6" s="102"/>
      <c r="AD6" s="102"/>
      <c r="AE6" s="102"/>
      <c r="AF6" s="102"/>
      <c r="AG6" s="102"/>
      <c r="AH6" s="102"/>
      <c r="AI6" s="102"/>
      <c r="AJ6" s="102"/>
      <c r="AK6" s="102"/>
      <c r="AL6" s="103"/>
      <c r="AM6" s="102" t="s">
        <v>208</v>
      </c>
      <c r="AN6" s="102"/>
      <c r="AO6" s="102"/>
      <c r="AP6" s="102"/>
      <c r="AQ6" s="102"/>
      <c r="AR6" s="102"/>
      <c r="AS6" s="102"/>
      <c r="AT6" s="102"/>
      <c r="AU6" s="102"/>
      <c r="AV6" s="102"/>
      <c r="AW6" s="103"/>
      <c r="AX6" s="158"/>
      <c r="AY6" s="158"/>
      <c r="AZ6" s="158"/>
      <c r="BA6" s="244"/>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row>
    <row r="7" spans="1:89" s="219" customFormat="1" ht="48" customHeight="1">
      <c r="A7" s="220"/>
      <c r="B7" s="220"/>
      <c r="C7" s="220"/>
      <c r="D7" s="220"/>
      <c r="E7" s="220"/>
      <c r="F7" s="13">
        <v>2013</v>
      </c>
      <c r="G7" s="13">
        <v>2014</v>
      </c>
      <c r="H7" s="13">
        <v>2015</v>
      </c>
      <c r="I7" s="13">
        <v>2016</v>
      </c>
      <c r="J7" s="13">
        <v>2017</v>
      </c>
      <c r="K7" s="13">
        <v>2018</v>
      </c>
      <c r="L7" s="13">
        <v>2019</v>
      </c>
      <c r="M7" s="13">
        <v>2020</v>
      </c>
      <c r="N7" s="13">
        <v>2021</v>
      </c>
      <c r="O7" s="13">
        <v>2022</v>
      </c>
      <c r="P7" s="13" t="s">
        <v>154</v>
      </c>
      <c r="Q7" s="13">
        <v>2013</v>
      </c>
      <c r="R7" s="13">
        <v>2014</v>
      </c>
      <c r="S7" s="13">
        <v>2015</v>
      </c>
      <c r="T7" s="13">
        <v>2016</v>
      </c>
      <c r="U7" s="13">
        <v>2017</v>
      </c>
      <c r="V7" s="13">
        <v>2018</v>
      </c>
      <c r="W7" s="13">
        <v>2019</v>
      </c>
      <c r="X7" s="13">
        <v>2020</v>
      </c>
      <c r="Y7" s="13">
        <v>2021</v>
      </c>
      <c r="Z7" s="13">
        <v>2022</v>
      </c>
      <c r="AA7" s="13" t="s">
        <v>154</v>
      </c>
      <c r="AB7" s="13">
        <v>2013</v>
      </c>
      <c r="AC7" s="245">
        <v>2014</v>
      </c>
      <c r="AD7" s="13">
        <v>2015</v>
      </c>
      <c r="AE7" s="245">
        <v>2016</v>
      </c>
      <c r="AF7" s="13">
        <v>2017</v>
      </c>
      <c r="AG7" s="245">
        <v>2018</v>
      </c>
      <c r="AH7" s="13">
        <v>2019</v>
      </c>
      <c r="AI7" s="245">
        <v>2020</v>
      </c>
      <c r="AJ7" s="13">
        <v>2021</v>
      </c>
      <c r="AK7" s="13">
        <v>2022</v>
      </c>
      <c r="AL7" s="13" t="s">
        <v>154</v>
      </c>
      <c r="AM7" s="246">
        <v>2013</v>
      </c>
      <c r="AN7" s="13">
        <v>2014</v>
      </c>
      <c r="AO7" s="245">
        <v>2015</v>
      </c>
      <c r="AP7" s="13">
        <v>2016</v>
      </c>
      <c r="AQ7" s="245">
        <v>2017</v>
      </c>
      <c r="AR7" s="13">
        <v>2018</v>
      </c>
      <c r="AS7" s="245">
        <v>2019</v>
      </c>
      <c r="AT7" s="13">
        <v>2020</v>
      </c>
      <c r="AU7" s="13">
        <v>2021</v>
      </c>
      <c r="AV7" s="13">
        <v>2022</v>
      </c>
      <c r="AW7" s="13" t="s">
        <v>154</v>
      </c>
      <c r="AX7" s="158"/>
      <c r="AY7" s="158"/>
      <c r="AZ7" s="158"/>
      <c r="BA7" s="244"/>
      <c r="BB7" s="158"/>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row>
    <row r="8" spans="1:89">
      <c r="A8" s="247"/>
      <c r="B8" s="248"/>
      <c r="C8" s="249"/>
      <c r="D8" s="249"/>
      <c r="E8" s="250"/>
      <c r="F8" s="248"/>
      <c r="G8" s="248"/>
      <c r="H8" s="248"/>
      <c r="I8" s="18"/>
      <c r="J8" s="18"/>
      <c r="K8" s="18"/>
      <c r="L8" s="18"/>
      <c r="M8" s="18"/>
      <c r="N8" s="18"/>
      <c r="O8" s="18"/>
      <c r="P8" s="251"/>
      <c r="Q8" s="17"/>
      <c r="R8" s="18"/>
      <c r="S8" s="18"/>
      <c r="T8" s="18"/>
      <c r="U8" s="18"/>
      <c r="V8" s="18"/>
      <c r="W8" s="18"/>
      <c r="X8" s="18"/>
      <c r="Y8" s="18"/>
      <c r="Z8" s="18"/>
      <c r="AA8" s="251"/>
      <c r="AB8" s="252"/>
      <c r="AC8" s="253"/>
      <c r="AD8" s="18"/>
      <c r="AE8" s="18"/>
      <c r="AF8" s="248"/>
      <c r="AG8" s="248"/>
      <c r="AH8" s="248"/>
      <c r="AI8" s="240"/>
      <c r="AJ8" s="240"/>
      <c r="AK8" s="248"/>
      <c r="AL8" s="254"/>
      <c r="AM8" s="255"/>
      <c r="AU8" s="256"/>
      <c r="AW8" s="257"/>
    </row>
    <row r="9" spans="1:89">
      <c r="A9" s="258" t="s">
        <v>32</v>
      </c>
      <c r="B9" s="259"/>
      <c r="D9" s="260"/>
      <c r="E9" s="261"/>
      <c r="F9" s="262"/>
      <c r="G9" s="262"/>
      <c r="H9" s="262"/>
      <c r="I9" s="226"/>
      <c r="J9" s="226"/>
      <c r="K9" s="226"/>
      <c r="L9" s="226"/>
      <c r="M9" s="226"/>
      <c r="N9" s="226"/>
      <c r="O9" s="226"/>
      <c r="P9" s="263"/>
      <c r="Q9" s="264"/>
      <c r="R9" s="226"/>
      <c r="S9" s="226"/>
      <c r="T9" s="226"/>
      <c r="U9" s="226"/>
      <c r="V9" s="226"/>
      <c r="W9" s="226"/>
      <c r="X9" s="226"/>
      <c r="Y9" s="226"/>
      <c r="Z9" s="226"/>
      <c r="AA9" s="263"/>
      <c r="AB9" s="265"/>
      <c r="AC9" s="27"/>
      <c r="AD9" s="266"/>
      <c r="AE9" s="226"/>
      <c r="AF9" s="27"/>
      <c r="AG9" s="27"/>
      <c r="AH9" s="27"/>
      <c r="AI9" s="27"/>
      <c r="AJ9" s="267"/>
      <c r="AK9" s="267"/>
      <c r="AL9" s="268"/>
      <c r="AM9" s="255"/>
      <c r="AU9" s="111"/>
      <c r="AV9" s="111"/>
      <c r="AW9" s="184"/>
      <c r="AY9" s="269"/>
      <c r="AZ9" s="269"/>
    </row>
    <row r="10" spans="1:89" s="9" customFormat="1" ht="53.4" customHeight="1">
      <c r="A10" s="29">
        <v>1725</v>
      </c>
      <c r="B10" s="30" t="s">
        <v>125</v>
      </c>
      <c r="C10" s="39" t="s">
        <v>34</v>
      </c>
      <c r="D10" s="110">
        <f>'Anexo 1'!E9</f>
        <v>99453757</v>
      </c>
      <c r="E10" s="189">
        <f>'Anexo 2'!E9</f>
        <v>99453757</v>
      </c>
      <c r="F10" s="110">
        <v>8500000</v>
      </c>
      <c r="G10" s="110">
        <v>13000000</v>
      </c>
      <c r="H10" s="110">
        <v>9000000</v>
      </c>
      <c r="I10" s="110">
        <v>16770000</v>
      </c>
      <c r="J10" s="110">
        <v>10000000</v>
      </c>
      <c r="K10" s="110">
        <v>0</v>
      </c>
      <c r="L10" s="110">
        <v>0</v>
      </c>
      <c r="M10" s="110">
        <v>0</v>
      </c>
      <c r="N10" s="110">
        <v>12483757</v>
      </c>
      <c r="O10" s="32" t="s">
        <v>36</v>
      </c>
      <c r="P10" s="198" t="str">
        <f>'Anexo 3'!G10</f>
        <v>N/A</v>
      </c>
      <c r="Q10" s="270">
        <v>299893.65999999997</v>
      </c>
      <c r="R10" s="110">
        <v>424609.42</v>
      </c>
      <c r="S10" s="110">
        <v>392287.5</v>
      </c>
      <c r="T10" s="110">
        <v>320323.25</v>
      </c>
      <c r="U10" s="110">
        <v>198467.26</v>
      </c>
      <c r="V10" s="110">
        <v>129149.48</v>
      </c>
      <c r="W10" s="110">
        <v>124012.5</v>
      </c>
      <c r="X10" s="110">
        <v>124348.26</v>
      </c>
      <c r="Y10" s="110">
        <v>74978.53</v>
      </c>
      <c r="Z10" s="110">
        <v>0</v>
      </c>
      <c r="AA10" s="189">
        <v>0</v>
      </c>
      <c r="AB10" s="271">
        <v>0.36906429639999999</v>
      </c>
      <c r="AC10" s="272">
        <v>0.49466209360000002</v>
      </c>
      <c r="AD10" s="272">
        <v>0.58161441476257181</v>
      </c>
      <c r="AE10" s="272">
        <v>0.74363557316071682</v>
      </c>
      <c r="AF10" s="272">
        <v>0.84024926332061256</v>
      </c>
      <c r="AG10" s="272">
        <v>0.84024926332061256</v>
      </c>
      <c r="AH10" s="272">
        <v>0.84024926332061256</v>
      </c>
      <c r="AI10" s="272">
        <v>0.84024926332061256</v>
      </c>
      <c r="AJ10" s="272">
        <v>0.96085944640355536</v>
      </c>
      <c r="AK10" s="272">
        <v>1</v>
      </c>
      <c r="AL10" s="273">
        <f>'Anexo 2'!I9</f>
        <v>1</v>
      </c>
      <c r="AM10" s="271" t="s">
        <v>133</v>
      </c>
      <c r="AN10" s="272" t="s">
        <v>133</v>
      </c>
      <c r="AO10" s="272">
        <v>0.61199999999999999</v>
      </c>
      <c r="AP10" s="272">
        <v>0.68979999999999997</v>
      </c>
      <c r="AQ10" s="272">
        <v>0.79579999999999995</v>
      </c>
      <c r="AR10" s="272">
        <v>0.70109999999999995</v>
      </c>
      <c r="AS10" s="272">
        <v>0.76898207225784998</v>
      </c>
      <c r="AT10" s="272">
        <v>0.83728779432698874</v>
      </c>
      <c r="AU10" s="131">
        <v>0.91349999999999998</v>
      </c>
      <c r="AV10" s="131">
        <v>0.9516</v>
      </c>
      <c r="AW10" s="184">
        <f>'Anexo 2'!J9</f>
        <v>0.92910000000000004</v>
      </c>
      <c r="AX10" s="274"/>
      <c r="AZ10" s="114"/>
      <c r="BA10" s="210"/>
    </row>
    <row r="11" spans="1:89" s="9" customFormat="1" ht="14.4" customHeight="1">
      <c r="A11" s="206">
        <v>2080</v>
      </c>
      <c r="B11" s="90" t="s">
        <v>162</v>
      </c>
      <c r="C11" s="39" t="s">
        <v>38</v>
      </c>
      <c r="D11" s="110">
        <f>'Anexo 1'!E10</f>
        <v>340000000</v>
      </c>
      <c r="E11" s="189">
        <f>'Anexo 2'!E10</f>
        <v>340000000</v>
      </c>
      <c r="F11" s="110">
        <v>7500000</v>
      </c>
      <c r="G11" s="110">
        <v>39953803</v>
      </c>
      <c r="H11" s="110">
        <v>30618366</v>
      </c>
      <c r="I11" s="110">
        <v>93500569</v>
      </c>
      <c r="J11" s="110">
        <v>13134370</v>
      </c>
      <c r="K11" s="110">
        <v>6000000</v>
      </c>
      <c r="L11" s="110">
        <v>85381480</v>
      </c>
      <c r="M11" s="110">
        <v>21238960</v>
      </c>
      <c r="N11" s="110">
        <v>42672450</v>
      </c>
      <c r="O11" s="110">
        <v>0</v>
      </c>
      <c r="P11" s="189">
        <f>'Anexo 3'!G11</f>
        <v>0</v>
      </c>
      <c r="Q11" s="270">
        <f>2531174.38-850000</f>
        <v>1681174.38</v>
      </c>
      <c r="R11" s="110">
        <v>1605670.15</v>
      </c>
      <c r="S11" s="110">
        <v>1371441.04</v>
      </c>
      <c r="T11" s="110">
        <v>1146012.1000000001</v>
      </c>
      <c r="U11" s="110">
        <v>784140.77</v>
      </c>
      <c r="V11" s="110">
        <v>749425.65</v>
      </c>
      <c r="W11" s="110">
        <v>566647.53</v>
      </c>
      <c r="X11" s="110">
        <v>289753.03999999998</v>
      </c>
      <c r="Y11" s="110">
        <v>83841.59</v>
      </c>
      <c r="Z11" s="110">
        <v>0</v>
      </c>
      <c r="AA11" s="189">
        <v>0</v>
      </c>
      <c r="AB11" s="271">
        <v>2.205882353E-2</v>
      </c>
      <c r="AC11" s="272">
        <v>0.13957000880000001</v>
      </c>
      <c r="AD11" s="272">
        <v>0.22962402647058824</v>
      </c>
      <c r="AE11" s="272">
        <v>0.50462569999999995</v>
      </c>
      <c r="AF11" s="272">
        <v>0.54325619999999997</v>
      </c>
      <c r="AG11" s="272">
        <v>0.56090325882352943</v>
      </c>
      <c r="AH11" s="272">
        <v>0.81202525882352938</v>
      </c>
      <c r="AI11" s="272">
        <v>0.87449278823529408</v>
      </c>
      <c r="AJ11" s="272">
        <v>0.99999999411764706</v>
      </c>
      <c r="AK11" s="272">
        <v>1</v>
      </c>
      <c r="AL11" s="273">
        <f>'Anexo 2'!I10</f>
        <v>1</v>
      </c>
      <c r="AM11" s="271" t="s">
        <v>133</v>
      </c>
      <c r="AN11" s="272" t="s">
        <v>133</v>
      </c>
      <c r="AO11" s="272">
        <v>0.38</v>
      </c>
      <c r="AP11" s="272">
        <v>0.46</v>
      </c>
      <c r="AQ11" s="272">
        <v>0.51880000000000004</v>
      </c>
      <c r="AR11" s="272">
        <v>0.68</v>
      </c>
      <c r="AS11" s="272">
        <v>0.75</v>
      </c>
      <c r="AT11" s="272">
        <v>0.82</v>
      </c>
      <c r="AU11" s="131">
        <v>0.97</v>
      </c>
      <c r="AV11" s="131">
        <v>0.98</v>
      </c>
      <c r="AW11" s="184">
        <f>'Anexo 2'!J10</f>
        <v>1</v>
      </c>
      <c r="AX11" s="274"/>
      <c r="AZ11" s="114"/>
      <c r="BA11" s="210"/>
    </row>
    <row r="12" spans="1:89" s="9" customFormat="1">
      <c r="A12" s="206" t="s">
        <v>39</v>
      </c>
      <c r="B12" s="90" t="s">
        <v>40</v>
      </c>
      <c r="C12" s="39" t="s">
        <v>41</v>
      </c>
      <c r="D12" s="110">
        <f>'Anexo 1'!E11</f>
        <v>90055000</v>
      </c>
      <c r="E12" s="189">
        <f>'Anexo 2'!E11</f>
        <v>67443845.230000004</v>
      </c>
      <c r="F12" s="110" t="s">
        <v>36</v>
      </c>
      <c r="G12" s="110" t="s">
        <v>36</v>
      </c>
      <c r="H12" s="110" t="s">
        <v>36</v>
      </c>
      <c r="I12" s="110" t="s">
        <v>36</v>
      </c>
      <c r="J12" s="110" t="s">
        <v>36</v>
      </c>
      <c r="K12" s="110" t="s">
        <v>36</v>
      </c>
      <c r="L12" s="110" t="s">
        <v>36</v>
      </c>
      <c r="M12" s="110">
        <v>0</v>
      </c>
      <c r="N12" s="110">
        <v>0</v>
      </c>
      <c r="O12" s="110">
        <v>48900000</v>
      </c>
      <c r="P12" s="189">
        <f>'Anexo 3'!G12</f>
        <v>18543845.23</v>
      </c>
      <c r="Q12" s="270" t="s">
        <v>36</v>
      </c>
      <c r="R12" s="110" t="s">
        <v>36</v>
      </c>
      <c r="S12" s="110" t="s">
        <v>36</v>
      </c>
      <c r="T12" s="110" t="s">
        <v>36</v>
      </c>
      <c r="U12" s="110" t="s">
        <v>36</v>
      </c>
      <c r="V12" s="110" t="s">
        <v>36</v>
      </c>
      <c r="W12" s="110" t="s">
        <v>36</v>
      </c>
      <c r="X12" s="110">
        <v>0</v>
      </c>
      <c r="Y12" s="110">
        <v>0</v>
      </c>
      <c r="Z12" s="110">
        <v>0</v>
      </c>
      <c r="AA12" s="189">
        <v>0</v>
      </c>
      <c r="AB12" s="271" t="s">
        <v>36</v>
      </c>
      <c r="AC12" s="272" t="s">
        <v>36</v>
      </c>
      <c r="AD12" s="272" t="s">
        <v>36</v>
      </c>
      <c r="AE12" s="272" t="s">
        <v>36</v>
      </c>
      <c r="AF12" s="272" t="s">
        <v>36</v>
      </c>
      <c r="AG12" s="272" t="s">
        <v>36</v>
      </c>
      <c r="AH12" s="272" t="s">
        <v>36</v>
      </c>
      <c r="AI12" s="272">
        <v>0</v>
      </c>
      <c r="AJ12" s="272">
        <v>0</v>
      </c>
      <c r="AK12" s="272">
        <v>0.54300149908389317</v>
      </c>
      <c r="AL12" s="273">
        <f>'Anexo 2'!I11</f>
        <v>0.74891838576425518</v>
      </c>
      <c r="AM12" s="271" t="s">
        <v>36</v>
      </c>
      <c r="AN12" s="272" t="s">
        <v>36</v>
      </c>
      <c r="AO12" s="272" t="s">
        <v>36</v>
      </c>
      <c r="AP12" s="272" t="s">
        <v>36</v>
      </c>
      <c r="AQ12" s="272" t="s">
        <v>36</v>
      </c>
      <c r="AR12" s="272" t="s">
        <v>36</v>
      </c>
      <c r="AS12" s="272" t="s">
        <v>36</v>
      </c>
      <c r="AT12" s="272">
        <v>0</v>
      </c>
      <c r="AU12" s="131">
        <v>0.06</v>
      </c>
      <c r="AV12" s="131">
        <v>0.47</v>
      </c>
      <c r="AW12" s="184">
        <f>'Anexo 2'!J11</f>
        <v>0.57999999999999996</v>
      </c>
      <c r="AX12" s="274"/>
      <c r="AZ12" s="114"/>
      <c r="BA12" s="210"/>
    </row>
    <row r="13" spans="1:89" s="9" customFormat="1">
      <c r="A13" s="29">
        <v>2128</v>
      </c>
      <c r="B13" s="30" t="s">
        <v>163</v>
      </c>
      <c r="C13" s="39" t="s">
        <v>43</v>
      </c>
      <c r="D13" s="110">
        <f>'Anexo 1'!E12</f>
        <v>270000000</v>
      </c>
      <c r="E13" s="189">
        <f>'Anexo 2'!E12</f>
        <v>234538945.12</v>
      </c>
      <c r="F13" s="110" t="s">
        <v>36</v>
      </c>
      <c r="G13" s="110">
        <v>5000000</v>
      </c>
      <c r="H13" s="110">
        <v>26078740.899999999</v>
      </c>
      <c r="I13" s="110">
        <v>12297306.35</v>
      </c>
      <c r="J13" s="110">
        <v>7682132.7299999995</v>
      </c>
      <c r="K13" s="110">
        <v>12790856.84</v>
      </c>
      <c r="L13" s="110">
        <v>9087363.0399999991</v>
      </c>
      <c r="M13" s="110">
        <v>59954659.530000001</v>
      </c>
      <c r="N13" s="110">
        <v>0</v>
      </c>
      <c r="O13" s="32">
        <v>80922773.340000004</v>
      </c>
      <c r="P13" s="198">
        <f>'Anexo 3'!G13</f>
        <v>20725112.390000001</v>
      </c>
      <c r="Q13" s="275" t="s">
        <v>36</v>
      </c>
      <c r="R13" s="110" t="s">
        <v>36</v>
      </c>
      <c r="S13" s="110" t="s">
        <v>36</v>
      </c>
      <c r="T13" s="110" t="s">
        <v>36</v>
      </c>
      <c r="U13" s="110" t="s">
        <v>36</v>
      </c>
      <c r="V13" s="110" t="s">
        <v>36</v>
      </c>
      <c r="W13" s="110" t="s">
        <v>36</v>
      </c>
      <c r="X13" s="110" t="s">
        <v>36</v>
      </c>
      <c r="Y13" s="110">
        <v>0</v>
      </c>
      <c r="Z13" s="110">
        <v>0</v>
      </c>
      <c r="AA13" s="189">
        <v>0</v>
      </c>
      <c r="AB13" s="271" t="s">
        <v>36</v>
      </c>
      <c r="AC13" s="272">
        <v>1.8518518519999999E-2</v>
      </c>
      <c r="AD13" s="272">
        <v>0.11510644777777777</v>
      </c>
      <c r="AE13" s="272">
        <v>0.16065202685185184</v>
      </c>
      <c r="AF13" s="272">
        <v>0.18910437029629629</v>
      </c>
      <c r="AG13" s="272">
        <v>0.23647791414814814</v>
      </c>
      <c r="AH13" s="272">
        <v>0.27013481429629632</v>
      </c>
      <c r="AI13" s="272">
        <v>0.49218910885185185</v>
      </c>
      <c r="AJ13" s="272">
        <v>0.49218910885185185</v>
      </c>
      <c r="AK13" s="272">
        <v>0.79190308418518529</v>
      </c>
      <c r="AL13" s="273">
        <f>'Anexo 2'!I12</f>
        <v>0.86866275970370377</v>
      </c>
      <c r="AM13" s="271" t="s">
        <v>36</v>
      </c>
      <c r="AN13" s="272" t="s">
        <v>133</v>
      </c>
      <c r="AO13" s="272">
        <v>0.37</v>
      </c>
      <c r="AP13" s="272">
        <v>0.52610000000000001</v>
      </c>
      <c r="AQ13" s="272">
        <v>0.58799999999999997</v>
      </c>
      <c r="AR13" s="272">
        <v>0.74729999999999996</v>
      </c>
      <c r="AS13" s="272">
        <v>0.81330000000000002</v>
      </c>
      <c r="AT13" s="272">
        <v>0.85089999999999999</v>
      </c>
      <c r="AU13" s="131">
        <v>0.87529999999999997</v>
      </c>
      <c r="AV13" s="131">
        <v>0.91779999999999995</v>
      </c>
      <c r="AW13" s="184">
        <f>'Anexo 2'!J12</f>
        <v>0.92659999999999998</v>
      </c>
      <c r="AX13" s="274"/>
      <c r="AZ13" s="114"/>
      <c r="BA13" s="210"/>
    </row>
    <row r="14" spans="1:89" s="9" customFormat="1" ht="27.6">
      <c r="A14" s="29">
        <v>2129</v>
      </c>
      <c r="B14" s="30" t="s">
        <v>44</v>
      </c>
      <c r="C14" s="39" t="s">
        <v>34</v>
      </c>
      <c r="D14" s="110">
        <f>'Anexo 1'!E13</f>
        <v>130000000</v>
      </c>
      <c r="E14" s="189">
        <f>'Anexo 2'!E13</f>
        <v>11200000</v>
      </c>
      <c r="F14" s="110" t="s">
        <v>36</v>
      </c>
      <c r="G14" s="110" t="s">
        <v>36</v>
      </c>
      <c r="H14" s="110">
        <v>0</v>
      </c>
      <c r="I14" s="110">
        <v>200000</v>
      </c>
      <c r="J14" s="110">
        <v>3000000</v>
      </c>
      <c r="K14" s="110">
        <v>0</v>
      </c>
      <c r="L14" s="110">
        <v>5000000</v>
      </c>
      <c r="M14" s="110">
        <v>0</v>
      </c>
      <c r="N14" s="110">
        <v>0</v>
      </c>
      <c r="O14" s="32">
        <v>3000000</v>
      </c>
      <c r="P14" s="198">
        <f>'Anexo 3'!G14</f>
        <v>0</v>
      </c>
      <c r="Q14" s="275" t="s">
        <v>36</v>
      </c>
      <c r="R14" s="110" t="s">
        <v>36</v>
      </c>
      <c r="S14" s="110">
        <v>0</v>
      </c>
      <c r="T14" s="110">
        <v>330416.67</v>
      </c>
      <c r="U14" s="110">
        <v>330163.89</v>
      </c>
      <c r="V14" s="110">
        <v>322147.21999999997</v>
      </c>
      <c r="W14" s="110">
        <v>320522.23</v>
      </c>
      <c r="X14" s="110">
        <v>312144.45</v>
      </c>
      <c r="Y14" s="110">
        <v>308729.15999999997</v>
      </c>
      <c r="Z14" s="110">
        <v>305041.67000000004</v>
      </c>
      <c r="AA14" s="189">
        <v>152625</v>
      </c>
      <c r="AB14" s="271" t="s">
        <v>36</v>
      </c>
      <c r="AC14" s="272" t="s">
        <v>36</v>
      </c>
      <c r="AD14" s="272">
        <v>0</v>
      </c>
      <c r="AE14" s="272">
        <v>1.5384615384615385E-3</v>
      </c>
      <c r="AF14" s="272">
        <v>2.4615384615384615E-2</v>
      </c>
      <c r="AG14" s="272">
        <v>2.4615384615384615E-2</v>
      </c>
      <c r="AH14" s="272">
        <v>6.3076923076923072E-2</v>
      </c>
      <c r="AI14" s="272">
        <v>6.3076923076923072E-2</v>
      </c>
      <c r="AJ14" s="272">
        <v>6.3076923076923072E-2</v>
      </c>
      <c r="AK14" s="272">
        <v>8.615384615384615E-2</v>
      </c>
      <c r="AL14" s="273">
        <f>'Anexo 2'!I13</f>
        <v>8.615384615384615E-2</v>
      </c>
      <c r="AM14" s="271" t="s">
        <v>36</v>
      </c>
      <c r="AN14" s="272" t="s">
        <v>36</v>
      </c>
      <c r="AO14" s="272">
        <v>0</v>
      </c>
      <c r="AP14" s="272">
        <v>3.1199999999999999E-2</v>
      </c>
      <c r="AQ14" s="272">
        <v>4.3299999999999998E-2</v>
      </c>
      <c r="AR14" s="272">
        <v>6.6699999999999995E-2</v>
      </c>
      <c r="AS14" s="272">
        <v>0.104</v>
      </c>
      <c r="AT14" s="272">
        <v>0.14829999999999999</v>
      </c>
      <c r="AU14" s="131">
        <v>0.26419999999999999</v>
      </c>
      <c r="AV14" s="131">
        <v>0.30680000000000002</v>
      </c>
      <c r="AW14" s="184">
        <f>'Anexo 2'!J13</f>
        <v>0.35310000000000002</v>
      </c>
      <c r="AX14" s="274"/>
      <c r="AZ14" s="114"/>
      <c r="BA14" s="210"/>
    </row>
    <row r="15" spans="1:89" s="9" customFormat="1" ht="45" customHeight="1">
      <c r="A15" s="29">
        <v>2164</v>
      </c>
      <c r="B15" s="30" t="s">
        <v>209</v>
      </c>
      <c r="C15" s="39" t="s">
        <v>34</v>
      </c>
      <c r="D15" s="110">
        <f>'Anexo 1'!E14</f>
        <v>154562390.28999999</v>
      </c>
      <c r="E15" s="189">
        <f>'Anexo 2'!E14</f>
        <v>16854499.489999998</v>
      </c>
      <c r="F15" s="110" t="s">
        <v>36</v>
      </c>
      <c r="G15" s="110" t="s">
        <v>36</v>
      </c>
      <c r="H15" s="110" t="s">
        <v>36</v>
      </c>
      <c r="I15" s="110" t="s">
        <v>36</v>
      </c>
      <c r="J15" s="110" t="s">
        <v>36</v>
      </c>
      <c r="K15" s="110">
        <v>0</v>
      </c>
      <c r="L15" s="110">
        <v>1500000</v>
      </c>
      <c r="M15" s="110">
        <v>0</v>
      </c>
      <c r="N15" s="110">
        <v>9467661.4900000002</v>
      </c>
      <c r="O15" s="32">
        <v>5886838.3799999999</v>
      </c>
      <c r="P15" s="198">
        <f>'Anexo 3'!G15</f>
        <v>0</v>
      </c>
      <c r="Q15" s="275" t="s">
        <v>36</v>
      </c>
      <c r="R15" s="110" t="s">
        <v>36</v>
      </c>
      <c r="S15" s="110" t="s">
        <v>36</v>
      </c>
      <c r="T15" s="110" t="s">
        <v>36</v>
      </c>
      <c r="U15" s="110" t="s">
        <v>36</v>
      </c>
      <c r="V15" s="110">
        <v>0</v>
      </c>
      <c r="W15" s="110">
        <v>0</v>
      </c>
      <c r="X15" s="110">
        <v>0</v>
      </c>
      <c r="Y15" s="110">
        <v>0</v>
      </c>
      <c r="Z15" s="110">
        <v>0</v>
      </c>
      <c r="AA15" s="189">
        <v>0</v>
      </c>
      <c r="AB15" s="271" t="s">
        <v>36</v>
      </c>
      <c r="AC15" s="272" t="s">
        <v>36</v>
      </c>
      <c r="AD15" s="272" t="s">
        <v>36</v>
      </c>
      <c r="AE15" s="272" t="s">
        <v>36</v>
      </c>
      <c r="AF15" s="272" t="s">
        <v>36</v>
      </c>
      <c r="AG15" s="272">
        <v>0</v>
      </c>
      <c r="AH15" s="272">
        <v>9.7048188578450593E-3</v>
      </c>
      <c r="AI15" s="272">
        <v>9.7048188578450593E-3</v>
      </c>
      <c r="AJ15" s="272">
        <v>7.0959445369742025E-2</v>
      </c>
      <c r="AK15" s="272">
        <v>0.10904657632672794</v>
      </c>
      <c r="AL15" s="273">
        <f>'Anexo 2'!I14</f>
        <v>0.10904657632672794</v>
      </c>
      <c r="AM15" s="271" t="s">
        <v>36</v>
      </c>
      <c r="AN15" s="272" t="s">
        <v>36</v>
      </c>
      <c r="AO15" s="272" t="s">
        <v>36</v>
      </c>
      <c r="AP15" s="272" t="s">
        <v>36</v>
      </c>
      <c r="AQ15" s="272" t="s">
        <v>36</v>
      </c>
      <c r="AR15" s="272">
        <v>0</v>
      </c>
      <c r="AS15" s="272">
        <v>0.118505012987553</v>
      </c>
      <c r="AT15" s="272">
        <v>0.13700000000000001</v>
      </c>
      <c r="AU15" s="131">
        <v>0.19315930093031164</v>
      </c>
      <c r="AV15" s="131">
        <v>0.20380000000000001</v>
      </c>
      <c r="AW15" s="184">
        <f>'Anexo 2'!J14</f>
        <v>0.2344</v>
      </c>
      <c r="AX15" s="274"/>
      <c r="AZ15" s="114"/>
      <c r="BA15" s="210"/>
    </row>
    <row r="16" spans="1:89" s="9" customFormat="1" ht="29.4">
      <c r="A16" s="29" t="s">
        <v>46</v>
      </c>
      <c r="B16" s="30" t="s">
        <v>210</v>
      </c>
      <c r="C16" s="39" t="str">
        <f>+'Anexo 1'!C15</f>
        <v>AyA</v>
      </c>
      <c r="D16" s="110">
        <f>'Anexo 1'!E15</f>
        <v>111128810</v>
      </c>
      <c r="E16" s="189">
        <f>'Anexo 2'!E15</f>
        <v>2088000</v>
      </c>
      <c r="F16" s="110" t="s">
        <v>36</v>
      </c>
      <c r="G16" s="110" t="s">
        <v>36</v>
      </c>
      <c r="H16" s="110" t="s">
        <v>36</v>
      </c>
      <c r="I16" s="110" t="s">
        <v>36</v>
      </c>
      <c r="J16" s="110" t="s">
        <v>36</v>
      </c>
      <c r="K16" s="110" t="s">
        <v>36</v>
      </c>
      <c r="L16" s="110">
        <v>0</v>
      </c>
      <c r="M16" s="110">
        <v>0</v>
      </c>
      <c r="N16" s="110">
        <v>1000000</v>
      </c>
      <c r="O16" s="32">
        <v>1106800</v>
      </c>
      <c r="P16" s="198">
        <f>'Anexo 3'!G16</f>
        <v>0</v>
      </c>
      <c r="Q16" s="275" t="s">
        <v>36</v>
      </c>
      <c r="R16" s="110" t="s">
        <v>36</v>
      </c>
      <c r="S16" s="110" t="s">
        <v>36</v>
      </c>
      <c r="T16" s="110" t="s">
        <v>36</v>
      </c>
      <c r="U16" s="110" t="s">
        <v>36</v>
      </c>
      <c r="V16" s="110" t="s">
        <v>36</v>
      </c>
      <c r="W16" s="110">
        <v>112231.92</v>
      </c>
      <c r="X16" s="110">
        <v>225333.52000000002</v>
      </c>
      <c r="Y16" s="110">
        <v>225660.46000000002</v>
      </c>
      <c r="Z16" s="110">
        <v>214396.94</v>
      </c>
      <c r="AA16" s="189">
        <v>109434.01</v>
      </c>
      <c r="AB16" s="271" t="s">
        <v>36</v>
      </c>
      <c r="AC16" s="272" t="s">
        <v>36</v>
      </c>
      <c r="AD16" s="272" t="s">
        <v>36</v>
      </c>
      <c r="AE16" s="272" t="s">
        <v>36</v>
      </c>
      <c r="AF16" s="272" t="s">
        <v>36</v>
      </c>
      <c r="AG16" s="272" t="s">
        <v>36</v>
      </c>
      <c r="AH16" s="272">
        <v>0</v>
      </c>
      <c r="AI16" s="272">
        <v>0</v>
      </c>
      <c r="AJ16" s="272">
        <v>8.9985666183233677E-3</v>
      </c>
      <c r="AK16" s="272">
        <v>1.8958180151483671E-2</v>
      </c>
      <c r="AL16" s="273">
        <f>'Anexo 2'!I15</f>
        <v>1.8789007099059191E-2</v>
      </c>
      <c r="AM16" s="271" t="s">
        <v>36</v>
      </c>
      <c r="AN16" s="272" t="s">
        <v>36</v>
      </c>
      <c r="AO16" s="272" t="s">
        <v>36</v>
      </c>
      <c r="AP16" s="272" t="s">
        <v>36</v>
      </c>
      <c r="AQ16" s="272" t="s">
        <v>36</v>
      </c>
      <c r="AR16" s="272">
        <v>0</v>
      </c>
      <c r="AS16" s="272">
        <v>0</v>
      </c>
      <c r="AT16" s="272">
        <v>9.1619426159301826E-2</v>
      </c>
      <c r="AU16" s="131">
        <v>0.11447100739696221</v>
      </c>
      <c r="AV16" s="131">
        <v>0.11650000000000001</v>
      </c>
      <c r="AW16" s="184">
        <f>'Anexo 2'!J15</f>
        <v>0.13139999999999999</v>
      </c>
      <c r="AX16" s="274"/>
      <c r="AZ16" s="114"/>
      <c r="BA16" s="210"/>
    </row>
    <row r="17" spans="1:53" s="9" customFormat="1">
      <c r="A17" s="29">
        <v>2198</v>
      </c>
      <c r="B17" s="30" t="str">
        <f>+'Anexo 1'!B16</f>
        <v>Programa de Alcantarillado y Control de Inundaciones para Limón</v>
      </c>
      <c r="C17" s="39" t="str">
        <f>+'Anexo 1'!C16</f>
        <v>AyA/SENARA</v>
      </c>
      <c r="D17" s="110">
        <f>'Anexo 1'!E16</f>
        <v>55080000</v>
      </c>
      <c r="E17" s="189">
        <f>'Anexo 2'!E16</f>
        <v>500000</v>
      </c>
      <c r="F17" s="110" t="s">
        <v>36</v>
      </c>
      <c r="G17" s="110" t="s">
        <v>36</v>
      </c>
      <c r="H17" s="110" t="s">
        <v>36</v>
      </c>
      <c r="I17" s="110" t="s">
        <v>36</v>
      </c>
      <c r="J17" s="110" t="s">
        <v>36</v>
      </c>
      <c r="K17" s="110" t="s">
        <v>36</v>
      </c>
      <c r="L17" s="110">
        <v>0</v>
      </c>
      <c r="M17" s="110">
        <v>500000</v>
      </c>
      <c r="N17" s="110">
        <v>0</v>
      </c>
      <c r="O17" s="32">
        <v>0</v>
      </c>
      <c r="P17" s="198">
        <f>'Anexo 3'!G17</f>
        <v>0</v>
      </c>
      <c r="Q17" s="275" t="s">
        <v>36</v>
      </c>
      <c r="R17" s="110" t="s">
        <v>36</v>
      </c>
      <c r="S17" s="110" t="s">
        <v>36</v>
      </c>
      <c r="T17" s="110" t="s">
        <v>36</v>
      </c>
      <c r="U17" s="110" t="s">
        <v>36</v>
      </c>
      <c r="V17" s="110" t="s">
        <v>36</v>
      </c>
      <c r="W17" s="110">
        <v>0</v>
      </c>
      <c r="X17" s="110">
        <v>0</v>
      </c>
      <c r="Y17" s="110">
        <v>0</v>
      </c>
      <c r="Z17" s="110">
        <v>0</v>
      </c>
      <c r="AA17" s="189">
        <v>0</v>
      </c>
      <c r="AB17" s="271" t="s">
        <v>36</v>
      </c>
      <c r="AC17" s="272" t="s">
        <v>36</v>
      </c>
      <c r="AD17" s="272" t="s">
        <v>36</v>
      </c>
      <c r="AE17" s="272" t="s">
        <v>36</v>
      </c>
      <c r="AF17" s="272" t="s">
        <v>36</v>
      </c>
      <c r="AG17" s="272" t="s">
        <v>36</v>
      </c>
      <c r="AH17" s="272">
        <v>0</v>
      </c>
      <c r="AI17" s="272">
        <v>9.0777051561365292E-3</v>
      </c>
      <c r="AJ17" s="272">
        <v>9.0777051561365292E-3</v>
      </c>
      <c r="AK17" s="272">
        <v>9.0777051561365292E-3</v>
      </c>
      <c r="AL17" s="273">
        <f>'Anexo 2'!I16</f>
        <v>9.0777051561365292E-3</v>
      </c>
      <c r="AM17" s="271" t="s">
        <v>36</v>
      </c>
      <c r="AN17" s="272" t="s">
        <v>36</v>
      </c>
      <c r="AO17" s="272" t="s">
        <v>36</v>
      </c>
      <c r="AP17" s="272" t="s">
        <v>36</v>
      </c>
      <c r="AQ17" s="272" t="s">
        <v>36</v>
      </c>
      <c r="AR17" s="272">
        <v>0</v>
      </c>
      <c r="AS17" s="272">
        <v>9.1399999999999995E-2</v>
      </c>
      <c r="AT17" s="272">
        <v>0.15978758169934643</v>
      </c>
      <c r="AU17" s="131">
        <v>0.18149999999999999</v>
      </c>
      <c r="AV17" s="131">
        <v>0.23300000000000001</v>
      </c>
      <c r="AW17" s="184">
        <f>'Anexo 2'!J16</f>
        <v>0.2341</v>
      </c>
      <c r="AX17" s="274"/>
      <c r="AZ17" s="114"/>
      <c r="BA17" s="210"/>
    </row>
    <row r="18" spans="1:53" s="9" customFormat="1">
      <c r="A18" s="29">
        <v>2270</v>
      </c>
      <c r="B18" s="30" t="str">
        <f>+'Anexo 1'!B17</f>
        <v>Adquisición y Aplicación de Vacunas COVID-19</v>
      </c>
      <c r="C18" s="39" t="str">
        <f>+'Anexo 1'!C17</f>
        <v>CNE</v>
      </c>
      <c r="D18" s="110">
        <f>'Anexo 1'!E17</f>
        <v>80000000</v>
      </c>
      <c r="E18" s="189">
        <f>'Anexo 2'!E17</f>
        <v>80000000</v>
      </c>
      <c r="F18" s="110" t="s">
        <v>36</v>
      </c>
      <c r="G18" s="110" t="s">
        <v>36</v>
      </c>
      <c r="H18" s="110" t="s">
        <v>36</v>
      </c>
      <c r="I18" s="110" t="s">
        <v>36</v>
      </c>
      <c r="J18" s="110" t="s">
        <v>36</v>
      </c>
      <c r="K18" s="110" t="s">
        <v>36</v>
      </c>
      <c r="L18" s="110" t="s">
        <v>36</v>
      </c>
      <c r="M18" s="110" t="s">
        <v>36</v>
      </c>
      <c r="N18" s="110">
        <v>69425367.540000007</v>
      </c>
      <c r="O18" s="32">
        <v>10574632.459999993</v>
      </c>
      <c r="P18" s="198">
        <f>'Anexo 3'!G18</f>
        <v>0</v>
      </c>
      <c r="Q18" s="275" t="s">
        <v>36</v>
      </c>
      <c r="R18" s="110" t="s">
        <v>36</v>
      </c>
      <c r="S18" s="110" t="s">
        <v>36</v>
      </c>
      <c r="T18" s="110" t="s">
        <v>36</v>
      </c>
      <c r="U18" s="110" t="s">
        <v>36</v>
      </c>
      <c r="V18" s="110" t="s">
        <v>36</v>
      </c>
      <c r="W18" s="110" t="s">
        <v>36</v>
      </c>
      <c r="X18" s="110" t="s">
        <v>36</v>
      </c>
      <c r="Y18" s="110">
        <v>0</v>
      </c>
      <c r="Z18" s="110">
        <v>47216.14</v>
      </c>
      <c r="AA18" s="189">
        <v>110.34</v>
      </c>
      <c r="AB18" s="271" t="s">
        <v>36</v>
      </c>
      <c r="AC18" s="272" t="s">
        <v>36</v>
      </c>
      <c r="AD18" s="272" t="s">
        <v>36</v>
      </c>
      <c r="AE18" s="272" t="s">
        <v>36</v>
      </c>
      <c r="AF18" s="272" t="s">
        <v>36</v>
      </c>
      <c r="AG18" s="272" t="s">
        <v>36</v>
      </c>
      <c r="AH18" s="272" t="s">
        <v>36</v>
      </c>
      <c r="AI18" s="272" t="s">
        <v>36</v>
      </c>
      <c r="AJ18" s="272">
        <v>0.86781709425000009</v>
      </c>
      <c r="AK18" s="272">
        <v>1</v>
      </c>
      <c r="AL18" s="273">
        <f>'Anexo 2'!I17</f>
        <v>1</v>
      </c>
      <c r="AM18" s="271" t="s">
        <v>36</v>
      </c>
      <c r="AN18" s="272" t="s">
        <v>36</v>
      </c>
      <c r="AO18" s="272" t="s">
        <v>36</v>
      </c>
      <c r="AP18" s="272" t="s">
        <v>36</v>
      </c>
      <c r="AQ18" s="272" t="s">
        <v>36</v>
      </c>
      <c r="AR18" s="272" t="s">
        <v>36</v>
      </c>
      <c r="AS18" s="272" t="s">
        <v>36</v>
      </c>
      <c r="AT18" s="272" t="s">
        <v>36</v>
      </c>
      <c r="AU18" s="131" t="s">
        <v>36</v>
      </c>
      <c r="AV18" s="131" t="s">
        <v>36</v>
      </c>
      <c r="AW18" s="184" t="str">
        <f>'Anexo 2'!J17</f>
        <v>N/A</v>
      </c>
      <c r="AX18" s="274"/>
      <c r="AZ18" s="114"/>
      <c r="BA18" s="210"/>
    </row>
    <row r="19" spans="1:53" s="9" customFormat="1" ht="31.2" customHeight="1">
      <c r="A19" s="29">
        <v>2220</v>
      </c>
      <c r="B19" s="30" t="str">
        <f>+'Anexo 1'!B18</f>
        <v>Proyecto de Abastecimiento de Agua para la Cuenca Media del río Tempisque y Comunidades Costeras (PAACUME)</v>
      </c>
      <c r="C19" s="39" t="str">
        <f>+'Anexo 1'!C18</f>
        <v xml:space="preserve">SENARA </v>
      </c>
      <c r="D19" s="110">
        <f>'Anexo 1'!E18</f>
        <v>425000000</v>
      </c>
      <c r="E19" s="189">
        <f>'Anexo 2'!E18</f>
        <v>0</v>
      </c>
      <c r="F19" s="110" t="s">
        <v>36</v>
      </c>
      <c r="G19" s="110" t="s">
        <v>36</v>
      </c>
      <c r="H19" s="110" t="s">
        <v>36</v>
      </c>
      <c r="I19" s="110" t="s">
        <v>36</v>
      </c>
      <c r="J19" s="110" t="s">
        <v>36</v>
      </c>
      <c r="K19" s="110" t="s">
        <v>36</v>
      </c>
      <c r="L19" s="110" t="s">
        <v>36</v>
      </c>
      <c r="M19" s="110" t="s">
        <v>36</v>
      </c>
      <c r="N19" s="110">
        <v>0</v>
      </c>
      <c r="O19" s="32">
        <v>0</v>
      </c>
      <c r="P19" s="198">
        <f>'Anexo 3'!G19</f>
        <v>0</v>
      </c>
      <c r="Q19" s="275" t="s">
        <v>36</v>
      </c>
      <c r="R19" s="110" t="s">
        <v>36</v>
      </c>
      <c r="S19" s="110" t="s">
        <v>36</v>
      </c>
      <c r="T19" s="110" t="s">
        <v>36</v>
      </c>
      <c r="U19" s="110" t="s">
        <v>36</v>
      </c>
      <c r="V19" s="110" t="s">
        <v>36</v>
      </c>
      <c r="W19" s="110" t="s">
        <v>36</v>
      </c>
      <c r="X19" s="110" t="s">
        <v>36</v>
      </c>
      <c r="Y19" s="110" t="s">
        <v>36</v>
      </c>
      <c r="Z19" s="110">
        <v>540104.17000000004</v>
      </c>
      <c r="AA19" s="189">
        <v>537152.78</v>
      </c>
      <c r="AB19" s="271" t="s">
        <v>36</v>
      </c>
      <c r="AC19" s="272" t="s">
        <v>36</v>
      </c>
      <c r="AD19" s="272" t="s">
        <v>36</v>
      </c>
      <c r="AE19" s="272" t="s">
        <v>36</v>
      </c>
      <c r="AF19" s="272" t="s">
        <v>36</v>
      </c>
      <c r="AG19" s="272" t="s">
        <v>36</v>
      </c>
      <c r="AH19" s="272" t="s">
        <v>36</v>
      </c>
      <c r="AI19" s="272" t="s">
        <v>36</v>
      </c>
      <c r="AJ19" s="272" t="s">
        <v>36</v>
      </c>
      <c r="AK19" s="272">
        <v>0</v>
      </c>
      <c r="AL19" s="273">
        <f>'Anexo 2'!I18</f>
        <v>0</v>
      </c>
      <c r="AM19" s="271" t="s">
        <v>36</v>
      </c>
      <c r="AN19" s="272" t="s">
        <v>36</v>
      </c>
      <c r="AO19" s="272" t="s">
        <v>36</v>
      </c>
      <c r="AP19" s="272" t="s">
        <v>36</v>
      </c>
      <c r="AQ19" s="272" t="s">
        <v>36</v>
      </c>
      <c r="AR19" s="272" t="s">
        <v>36</v>
      </c>
      <c r="AS19" s="272" t="s">
        <v>36</v>
      </c>
      <c r="AT19" s="272" t="s">
        <v>36</v>
      </c>
      <c r="AU19" s="131" t="s">
        <v>36</v>
      </c>
      <c r="AV19" s="131" t="s">
        <v>133</v>
      </c>
      <c r="AW19" s="184">
        <f>'Anexo 2'!J18</f>
        <v>0</v>
      </c>
      <c r="AX19" s="274"/>
      <c r="AZ19" s="114"/>
      <c r="BA19" s="210"/>
    </row>
    <row r="20" spans="1:53" s="46" customFormat="1">
      <c r="A20" s="206"/>
      <c r="B20" s="72"/>
      <c r="C20" s="192"/>
      <c r="D20" s="117">
        <f>SUM(D10:D19)</f>
        <v>1755279957.29</v>
      </c>
      <c r="E20" s="134">
        <f>SUM(E10:E19)</f>
        <v>852079046.84000003</v>
      </c>
      <c r="F20" s="117">
        <f>SUM(F10:F19)</f>
        <v>16000000</v>
      </c>
      <c r="G20" s="117">
        <f>SUM(G10:G19)</f>
        <v>57953803</v>
      </c>
      <c r="H20" s="117">
        <f t="shared" ref="H20:M20" si="0">SUM(H10:H19)</f>
        <v>65697106.899999999</v>
      </c>
      <c r="I20" s="117">
        <f t="shared" si="0"/>
        <v>122767875.34999999</v>
      </c>
      <c r="J20" s="117">
        <f t="shared" si="0"/>
        <v>33816502.730000004</v>
      </c>
      <c r="K20" s="117">
        <f t="shared" si="0"/>
        <v>18790856.84</v>
      </c>
      <c r="L20" s="117">
        <f t="shared" si="0"/>
        <v>100968843.03999999</v>
      </c>
      <c r="M20" s="117">
        <f t="shared" si="0"/>
        <v>81693619.530000001</v>
      </c>
      <c r="N20" s="117">
        <f>SUM(N10:N19)</f>
        <v>135049236.03</v>
      </c>
      <c r="O20" s="45">
        <f>SUM(O10:O19)</f>
        <v>150391044.18000001</v>
      </c>
      <c r="P20" s="199">
        <f>SUM(P10:P19)</f>
        <v>39268957.620000005</v>
      </c>
      <c r="Q20" s="276">
        <f>SUM(Q10:Q19)</f>
        <v>1981068.0399999998</v>
      </c>
      <c r="R20" s="117">
        <f t="shared" ref="R20:AA20" si="1">SUM(R10:R19)</f>
        <v>2030279.5699999998</v>
      </c>
      <c r="S20" s="117">
        <f t="shared" si="1"/>
        <v>1763728.54</v>
      </c>
      <c r="T20" s="117">
        <f t="shared" si="1"/>
        <v>1796752.02</v>
      </c>
      <c r="U20" s="117">
        <f t="shared" si="1"/>
        <v>1312771.92</v>
      </c>
      <c r="V20" s="117">
        <f t="shared" si="1"/>
        <v>1200722.3500000001</v>
      </c>
      <c r="W20" s="117">
        <f t="shared" si="1"/>
        <v>1123414.18</v>
      </c>
      <c r="X20" s="117">
        <f t="shared" si="1"/>
        <v>951579.27</v>
      </c>
      <c r="Y20" s="117">
        <f t="shared" si="1"/>
        <v>693209.74</v>
      </c>
      <c r="Z20" s="117">
        <f t="shared" ref="Z20" si="2">SUM(Z10:Z19)</f>
        <v>1106758.92</v>
      </c>
      <c r="AA20" s="134">
        <f t="shared" si="1"/>
        <v>799322.13000000012</v>
      </c>
      <c r="AB20" s="277"/>
      <c r="AC20" s="278"/>
      <c r="AD20" s="278"/>
      <c r="AE20" s="278"/>
      <c r="AF20" s="278"/>
      <c r="AG20" s="278"/>
      <c r="AH20" s="278"/>
      <c r="AI20" s="278"/>
      <c r="AL20" s="279"/>
      <c r="AM20" s="277"/>
      <c r="AN20" s="278"/>
      <c r="AO20" s="272"/>
      <c r="AP20" s="272"/>
      <c r="AQ20" s="272"/>
      <c r="AR20" s="272"/>
      <c r="AS20" s="272"/>
      <c r="AT20" s="272"/>
      <c r="AU20" s="193"/>
      <c r="AV20" s="193"/>
      <c r="AW20" s="280"/>
      <c r="AX20" s="274"/>
      <c r="AY20" s="9"/>
      <c r="AZ20" s="114"/>
      <c r="BA20" s="210"/>
    </row>
    <row r="21" spans="1:53" s="46" customFormat="1">
      <c r="A21" s="206"/>
      <c r="B21" s="72"/>
      <c r="C21" s="192"/>
      <c r="D21" s="117"/>
      <c r="E21" s="134"/>
      <c r="F21" s="117"/>
      <c r="G21" s="117"/>
      <c r="H21" s="117"/>
      <c r="I21" s="117"/>
      <c r="J21" s="117"/>
      <c r="K21" s="117"/>
      <c r="L21" s="117"/>
      <c r="M21" s="117"/>
      <c r="N21" s="117"/>
      <c r="O21" s="45"/>
      <c r="P21" s="199"/>
      <c r="Q21" s="276"/>
      <c r="R21" s="117"/>
      <c r="S21" s="117"/>
      <c r="T21" s="117"/>
      <c r="U21" s="117"/>
      <c r="V21" s="117"/>
      <c r="W21" s="117"/>
      <c r="X21" s="117"/>
      <c r="AA21" s="228"/>
      <c r="AB21" s="277"/>
      <c r="AC21" s="278"/>
      <c r="AD21" s="278"/>
      <c r="AE21" s="278"/>
      <c r="AF21" s="278"/>
      <c r="AG21" s="278"/>
      <c r="AH21" s="278"/>
      <c r="AI21" s="278"/>
      <c r="AL21" s="279"/>
      <c r="AM21" s="277"/>
      <c r="AN21" s="278"/>
      <c r="AO21" s="272"/>
      <c r="AP21" s="272"/>
      <c r="AQ21" s="272"/>
      <c r="AR21" s="272"/>
      <c r="AS21" s="272"/>
      <c r="AT21" s="272"/>
      <c r="AU21" s="193"/>
      <c r="AV21" s="193"/>
      <c r="AW21" s="280"/>
      <c r="AX21" s="274"/>
      <c r="AY21" s="9"/>
      <c r="AZ21" s="114"/>
      <c r="BA21" s="210"/>
    </row>
    <row r="22" spans="1:53" s="9" customFormat="1">
      <c r="A22" s="229" t="s">
        <v>58</v>
      </c>
      <c r="B22" s="90"/>
      <c r="C22" s="39"/>
      <c r="D22" s="110"/>
      <c r="E22" s="189"/>
      <c r="F22" s="110"/>
      <c r="G22" s="110"/>
      <c r="H22" s="110"/>
      <c r="I22" s="110"/>
      <c r="J22" s="110"/>
      <c r="K22" s="110"/>
      <c r="L22" s="110"/>
      <c r="M22" s="110"/>
      <c r="N22" s="110"/>
      <c r="O22" s="32"/>
      <c r="P22" s="198"/>
      <c r="Q22" s="275"/>
      <c r="R22" s="110"/>
      <c r="S22" s="110"/>
      <c r="T22" s="110"/>
      <c r="U22" s="110"/>
      <c r="V22" s="110"/>
      <c r="W22" s="110"/>
      <c r="X22" s="110"/>
      <c r="Z22" s="110"/>
      <c r="AA22" s="189"/>
      <c r="AB22" s="271"/>
      <c r="AC22" s="272"/>
      <c r="AD22" s="272"/>
      <c r="AE22" s="272"/>
      <c r="AF22" s="272"/>
      <c r="AG22" s="272"/>
      <c r="AH22" s="272"/>
      <c r="AI22" s="272"/>
      <c r="AL22" s="257"/>
      <c r="AM22" s="271"/>
      <c r="AN22" s="272"/>
      <c r="AO22" s="272"/>
      <c r="AP22" s="272"/>
      <c r="AQ22" s="272"/>
      <c r="AR22" s="272"/>
      <c r="AS22" s="272"/>
      <c r="AT22" s="272"/>
      <c r="AU22" s="131"/>
      <c r="AV22" s="131"/>
      <c r="AW22" s="184"/>
      <c r="AX22" s="274"/>
      <c r="AZ22" s="114"/>
      <c r="BA22" s="210"/>
    </row>
    <row r="23" spans="1:53" s="9" customFormat="1">
      <c r="A23" s="29" t="s">
        <v>59</v>
      </c>
      <c r="B23" s="52" t="s">
        <v>134</v>
      </c>
      <c r="C23" s="39" t="s">
        <v>34</v>
      </c>
      <c r="D23" s="110">
        <f>'Anexo 1'!E22</f>
        <v>73000000</v>
      </c>
      <c r="E23" s="189">
        <f>'Anexo 2'!E22</f>
        <v>69088690.840000004</v>
      </c>
      <c r="F23" s="110">
        <v>0</v>
      </c>
      <c r="G23" s="110">
        <v>0</v>
      </c>
      <c r="H23" s="110">
        <v>5075849.51</v>
      </c>
      <c r="I23" s="110">
        <v>0</v>
      </c>
      <c r="J23" s="110">
        <v>4104373.5300000003</v>
      </c>
      <c r="K23" s="110">
        <v>0</v>
      </c>
      <c r="L23" s="110">
        <v>10302672.949999999</v>
      </c>
      <c r="M23" s="110">
        <v>13635147.789999999</v>
      </c>
      <c r="N23" s="110">
        <v>12000000</v>
      </c>
      <c r="O23" s="32">
        <v>18340000</v>
      </c>
      <c r="P23" s="198">
        <f>'Anexo 3'!G23</f>
        <v>5630647.0600000005</v>
      </c>
      <c r="Q23" s="275">
        <v>0</v>
      </c>
      <c r="R23" s="110">
        <v>333949.45</v>
      </c>
      <c r="S23" s="110">
        <v>182500</v>
      </c>
      <c r="T23" s="110">
        <v>387517.82</v>
      </c>
      <c r="U23" s="110">
        <v>337285.27</v>
      </c>
      <c r="V23" s="110">
        <v>321804.31</v>
      </c>
      <c r="W23" s="110">
        <v>319098.89</v>
      </c>
      <c r="X23" s="110">
        <v>250945.59</v>
      </c>
      <c r="Y23" s="110">
        <v>188508.58</v>
      </c>
      <c r="Z23" s="110">
        <v>102736.91</v>
      </c>
      <c r="AA23" s="189">
        <v>26250.61</v>
      </c>
      <c r="AB23" s="271">
        <v>0</v>
      </c>
      <c r="AC23" s="272">
        <v>0</v>
      </c>
      <c r="AD23" s="272">
        <v>6.9532185068493152E-2</v>
      </c>
      <c r="AE23" s="272">
        <v>6.9532185068493152E-2</v>
      </c>
      <c r="AF23" s="272">
        <v>0.12575647999999998</v>
      </c>
      <c r="AG23" s="272">
        <v>0.12575647999999998</v>
      </c>
      <c r="AH23" s="272">
        <v>0.26688898616438356</v>
      </c>
      <c r="AI23" s="272">
        <v>0.45367183260273974</v>
      </c>
      <c r="AJ23" s="272">
        <v>0.61805539424657541</v>
      </c>
      <c r="AK23" s="272">
        <v>0.86928827095890415</v>
      </c>
      <c r="AL23" s="273">
        <f>'Anexo 2'!I22</f>
        <v>0.94642042246575342</v>
      </c>
      <c r="AM23" s="271">
        <v>0</v>
      </c>
      <c r="AN23" s="272">
        <v>0</v>
      </c>
      <c r="AO23" s="272">
        <v>4.1999999999999997E-3</v>
      </c>
      <c r="AP23" s="272">
        <v>3.5200000000000002E-2</v>
      </c>
      <c r="AQ23" s="272">
        <v>9.6299999999999997E-2</v>
      </c>
      <c r="AR23" s="272">
        <v>0.2094</v>
      </c>
      <c r="AS23" s="272">
        <v>0.51609044573377705</v>
      </c>
      <c r="AT23" s="272">
        <v>0.71730000000000005</v>
      </c>
      <c r="AU23" s="131">
        <v>0.87362317168177506</v>
      </c>
      <c r="AV23" s="131">
        <v>0.93720000000000003</v>
      </c>
      <c r="AW23" s="184">
        <f>'Anexo 2'!J22</f>
        <v>0.95289999999999997</v>
      </c>
      <c r="AX23" s="274"/>
      <c r="AZ23" s="114"/>
      <c r="BA23" s="210"/>
    </row>
    <row r="24" spans="1:53" s="9" customFormat="1" ht="15.6">
      <c r="A24" s="29" t="s">
        <v>211</v>
      </c>
      <c r="B24" s="39" t="s">
        <v>212</v>
      </c>
      <c r="C24" s="39" t="s">
        <v>64</v>
      </c>
      <c r="D24" s="110">
        <f>'Anexo 1'!E23</f>
        <v>400000000</v>
      </c>
      <c r="E24" s="189">
        <f>'Anexo 2'!E23</f>
        <v>280000000</v>
      </c>
      <c r="F24" s="110" t="s">
        <v>36</v>
      </c>
      <c r="G24" s="110">
        <v>0</v>
      </c>
      <c r="H24" s="110">
        <v>0</v>
      </c>
      <c r="I24" s="110">
        <v>5000000</v>
      </c>
      <c r="J24" s="110">
        <v>45000000</v>
      </c>
      <c r="K24" s="110">
        <v>120000000</v>
      </c>
      <c r="L24" s="110">
        <v>0</v>
      </c>
      <c r="M24" s="110">
        <v>0</v>
      </c>
      <c r="N24" s="110">
        <v>30000000</v>
      </c>
      <c r="O24" s="32">
        <v>80000000</v>
      </c>
      <c r="P24" s="198">
        <f>'Anexo 3'!G24</f>
        <v>0</v>
      </c>
      <c r="Q24" s="275" t="s">
        <v>36</v>
      </c>
      <c r="R24" s="110">
        <v>0</v>
      </c>
      <c r="S24" s="110">
        <v>1369863.01</v>
      </c>
      <c r="T24" s="110">
        <v>2278532.2599999998</v>
      </c>
      <c r="U24" s="110">
        <v>1966518.08</v>
      </c>
      <c r="V24" s="110">
        <v>1785068.5</v>
      </c>
      <c r="W24" s="110">
        <v>1230547.94</v>
      </c>
      <c r="X24" s="110">
        <v>1150671.45</v>
      </c>
      <c r="Y24" s="110">
        <v>1055629.9099999999</v>
      </c>
      <c r="Z24" s="110">
        <v>830136.99</v>
      </c>
      <c r="AA24" s="189">
        <v>299178.08</v>
      </c>
      <c r="AB24" s="271" t="s">
        <v>36</v>
      </c>
      <c r="AC24" s="272">
        <v>0</v>
      </c>
      <c r="AD24" s="272">
        <v>0</v>
      </c>
      <c r="AE24" s="272">
        <v>1.1111111111111112E-2</v>
      </c>
      <c r="AF24" s="272">
        <v>0.125</v>
      </c>
      <c r="AG24" s="272">
        <v>0.42499999999999999</v>
      </c>
      <c r="AH24" s="272">
        <v>0.42499999999999999</v>
      </c>
      <c r="AI24" s="272">
        <v>0.42499999999999999</v>
      </c>
      <c r="AJ24" s="272">
        <v>0.5</v>
      </c>
      <c r="AK24" s="272">
        <v>0.7</v>
      </c>
      <c r="AL24" s="273">
        <f>'Anexo 2'!I23</f>
        <v>0.7</v>
      </c>
      <c r="AM24" s="281" t="s">
        <v>36</v>
      </c>
      <c r="AN24" s="282">
        <v>0</v>
      </c>
      <c r="AO24" s="282">
        <v>0</v>
      </c>
      <c r="AP24" s="282">
        <v>0.13</v>
      </c>
      <c r="AQ24" s="282">
        <v>0.31</v>
      </c>
      <c r="AR24" s="282">
        <v>0.49</v>
      </c>
      <c r="AS24" s="282">
        <v>0.59</v>
      </c>
      <c r="AT24" s="282">
        <v>0.74</v>
      </c>
      <c r="AU24" s="283">
        <v>0.47</v>
      </c>
      <c r="AV24" s="131">
        <v>0.57969999999999999</v>
      </c>
      <c r="AW24" s="284">
        <f>'Anexo 2'!J23</f>
        <v>0.63919999999999999</v>
      </c>
      <c r="AX24" s="274"/>
      <c r="AZ24" s="114"/>
      <c r="BA24" s="210"/>
    </row>
    <row r="25" spans="1:53" s="9" customFormat="1" ht="15.6">
      <c r="A25" s="29" t="s">
        <v>213</v>
      </c>
      <c r="B25" s="39" t="s">
        <v>212</v>
      </c>
      <c r="C25" s="39" t="s">
        <v>64</v>
      </c>
      <c r="D25" s="110">
        <f>'Anexo 1'!E24</f>
        <v>50000000</v>
      </c>
      <c r="E25" s="189">
        <f>'Anexo 2'!E24</f>
        <v>30000000</v>
      </c>
      <c r="F25" s="110" t="s">
        <v>36</v>
      </c>
      <c r="G25" s="110">
        <v>0</v>
      </c>
      <c r="H25" s="110">
        <v>0</v>
      </c>
      <c r="I25" s="110">
        <v>0</v>
      </c>
      <c r="J25" s="110">
        <v>0</v>
      </c>
      <c r="K25" s="110">
        <v>0</v>
      </c>
      <c r="L25" s="110">
        <v>0</v>
      </c>
      <c r="M25" s="110">
        <v>15000000</v>
      </c>
      <c r="N25" s="110">
        <v>5000000</v>
      </c>
      <c r="O25" s="32">
        <v>10000000</v>
      </c>
      <c r="P25" s="198">
        <f>'Anexo 3'!G25</f>
        <v>0</v>
      </c>
      <c r="Q25" s="275" t="s">
        <v>36</v>
      </c>
      <c r="R25" s="110">
        <v>0</v>
      </c>
      <c r="S25" s="110">
        <v>171232.87</v>
      </c>
      <c r="T25" s="110">
        <v>286447.34000000003</v>
      </c>
      <c r="U25" s="110">
        <v>249854.04</v>
      </c>
      <c r="V25" s="110">
        <v>250000</v>
      </c>
      <c r="W25" s="110">
        <v>250020.01</v>
      </c>
      <c r="X25" s="110">
        <v>250145.97</v>
      </c>
      <c r="Y25" s="110">
        <v>176300.79999999999</v>
      </c>
      <c r="Z25" s="110">
        <v>143698.63</v>
      </c>
      <c r="AA25" s="189">
        <v>49863.01</v>
      </c>
      <c r="AB25" s="271" t="s">
        <v>36</v>
      </c>
      <c r="AC25" s="272">
        <v>0</v>
      </c>
      <c r="AD25" s="272">
        <v>0</v>
      </c>
      <c r="AE25" s="272">
        <v>0</v>
      </c>
      <c r="AF25" s="272">
        <v>0</v>
      </c>
      <c r="AG25" s="272">
        <v>0</v>
      </c>
      <c r="AH25" s="272">
        <v>0</v>
      </c>
      <c r="AI25" s="272">
        <v>0.3</v>
      </c>
      <c r="AJ25" s="272">
        <v>0.4</v>
      </c>
      <c r="AK25" s="272">
        <v>0.6</v>
      </c>
      <c r="AL25" s="273">
        <f>'Anexo 2'!I24</f>
        <v>0.6</v>
      </c>
      <c r="AM25" s="281"/>
      <c r="AN25" s="282"/>
      <c r="AO25" s="282"/>
      <c r="AP25" s="282"/>
      <c r="AQ25" s="282"/>
      <c r="AR25" s="282"/>
      <c r="AS25" s="282">
        <f>+'Anexo 2'!J24</f>
        <v>0</v>
      </c>
      <c r="AT25" s="282"/>
      <c r="AU25" s="283"/>
      <c r="AV25" s="131"/>
      <c r="AW25" s="284"/>
      <c r="AX25" s="274"/>
      <c r="AZ25" s="114"/>
      <c r="BA25" s="210"/>
    </row>
    <row r="26" spans="1:53" s="9" customFormat="1" ht="14.4" customHeight="1">
      <c r="A26" s="54" t="s">
        <v>66</v>
      </c>
      <c r="B26" s="39" t="s">
        <v>67</v>
      </c>
      <c r="C26" s="39" t="s">
        <v>68</v>
      </c>
      <c r="D26" s="110">
        <f>'Anexo 1'!E25</f>
        <v>100000000</v>
      </c>
      <c r="E26" s="189">
        <f>'Anexo 2'!E25</f>
        <v>63364896.030000001</v>
      </c>
      <c r="F26" s="110" t="s">
        <v>36</v>
      </c>
      <c r="G26" s="110" t="s">
        <v>36</v>
      </c>
      <c r="H26" s="110" t="s">
        <v>36</v>
      </c>
      <c r="I26" s="110" t="s">
        <v>36</v>
      </c>
      <c r="J26" s="110">
        <v>0</v>
      </c>
      <c r="K26" s="110">
        <v>0</v>
      </c>
      <c r="L26" s="110">
        <v>5145797.18</v>
      </c>
      <c r="M26" s="110">
        <v>0</v>
      </c>
      <c r="N26" s="110">
        <v>15406901.199999999</v>
      </c>
      <c r="O26" s="32">
        <v>32091430.600000005</v>
      </c>
      <c r="P26" s="198">
        <f>'Anexo 3'!G26</f>
        <v>10720767.050000001</v>
      </c>
      <c r="Q26" s="275" t="s">
        <v>36</v>
      </c>
      <c r="R26" s="110" t="s">
        <v>36</v>
      </c>
      <c r="S26" s="110" t="s">
        <v>36</v>
      </c>
      <c r="T26" s="110" t="s">
        <v>36</v>
      </c>
      <c r="U26" s="110">
        <v>874141.03</v>
      </c>
      <c r="V26" s="110">
        <v>499003.72</v>
      </c>
      <c r="W26" s="110">
        <v>498315.07</v>
      </c>
      <c r="X26" s="110">
        <v>473928.73</v>
      </c>
      <c r="Y26" s="110">
        <v>469989.67</v>
      </c>
      <c r="Z26" s="110">
        <v>371635.6</v>
      </c>
      <c r="AA26" s="189">
        <v>117416.62</v>
      </c>
      <c r="AB26" s="271" t="s">
        <v>36</v>
      </c>
      <c r="AC26" s="272" t="s">
        <v>36</v>
      </c>
      <c r="AD26" s="272" t="s">
        <v>36</v>
      </c>
      <c r="AE26" s="272" t="s">
        <v>36</v>
      </c>
      <c r="AF26" s="272" t="s">
        <v>36</v>
      </c>
      <c r="AG26" s="272">
        <v>0</v>
      </c>
      <c r="AH26" s="272">
        <v>5.1457971799999995E-2</v>
      </c>
      <c r="AI26" s="272">
        <v>5.1457971799999995E-2</v>
      </c>
      <c r="AJ26" s="272">
        <v>0.20552698379999998</v>
      </c>
      <c r="AK26" s="272">
        <v>0.52644128980000005</v>
      </c>
      <c r="AL26" s="273">
        <f>'Anexo 2'!I25</f>
        <v>0.63364896030000006</v>
      </c>
      <c r="AM26" s="271" t="s">
        <v>36</v>
      </c>
      <c r="AN26" s="272" t="s">
        <v>36</v>
      </c>
      <c r="AO26" s="272" t="s">
        <v>36</v>
      </c>
      <c r="AP26" s="272" t="s">
        <v>36</v>
      </c>
      <c r="AQ26" s="272">
        <v>0</v>
      </c>
      <c r="AR26" s="272">
        <v>0</v>
      </c>
      <c r="AS26" s="272">
        <v>7.5999999999999998E-2</v>
      </c>
      <c r="AT26" s="272">
        <v>0.19453353999999998</v>
      </c>
      <c r="AU26" s="131">
        <v>0.31290000000000001</v>
      </c>
      <c r="AV26" s="131">
        <v>0.46100000000000002</v>
      </c>
      <c r="AW26" s="184">
        <f>'Anexo 2'!J25</f>
        <v>0.54079999999999995</v>
      </c>
      <c r="AX26" s="274"/>
      <c r="AZ26" s="114"/>
      <c r="BA26" s="210"/>
    </row>
    <row r="27" spans="1:53" s="9" customFormat="1">
      <c r="A27" s="54" t="s">
        <v>69</v>
      </c>
      <c r="B27" s="39" t="s">
        <v>70</v>
      </c>
      <c r="C27" s="39" t="s">
        <v>64</v>
      </c>
      <c r="D27" s="110">
        <f>'Anexo 1'!E26</f>
        <v>144036000</v>
      </c>
      <c r="E27" s="189">
        <f>'Anexo 2'!E26</f>
        <v>76989292.430000007</v>
      </c>
      <c r="F27" s="110" t="s">
        <v>36</v>
      </c>
      <c r="G27" s="110" t="s">
        <v>36</v>
      </c>
      <c r="H27" s="110" t="s">
        <v>36</v>
      </c>
      <c r="I27" s="110" t="s">
        <v>36</v>
      </c>
      <c r="J27" s="110" t="s">
        <v>36</v>
      </c>
      <c r="K27" s="110">
        <v>0</v>
      </c>
      <c r="L27" s="110">
        <v>11450375.07</v>
      </c>
      <c r="M27" s="110">
        <v>32874109.239999998</v>
      </c>
      <c r="N27" s="110">
        <v>10000000</v>
      </c>
      <c r="O27" s="32">
        <v>7664808.1200000001</v>
      </c>
      <c r="P27" s="198">
        <f>'Anexo 3'!G27</f>
        <v>15000000</v>
      </c>
      <c r="Q27" s="275" t="s">
        <v>36</v>
      </c>
      <c r="R27" s="110" t="s">
        <v>36</v>
      </c>
      <c r="S27" s="110" t="s">
        <v>36</v>
      </c>
      <c r="T27" s="110" t="s">
        <v>36</v>
      </c>
      <c r="U27" s="110" t="s">
        <v>36</v>
      </c>
      <c r="V27" s="110">
        <v>0</v>
      </c>
      <c r="W27" s="110">
        <v>530146.37</v>
      </c>
      <c r="X27" s="110">
        <v>656164.29</v>
      </c>
      <c r="Y27" s="110">
        <v>513855.42</v>
      </c>
      <c r="Z27" s="110">
        <v>439212.82</v>
      </c>
      <c r="AA27" s="189">
        <v>206802.66</v>
      </c>
      <c r="AB27" s="271" t="s">
        <v>36</v>
      </c>
      <c r="AC27" s="272" t="s">
        <v>36</v>
      </c>
      <c r="AD27" s="272" t="s">
        <v>36</v>
      </c>
      <c r="AE27" s="272" t="s">
        <v>36</v>
      </c>
      <c r="AF27" s="272" t="s">
        <v>36</v>
      </c>
      <c r="AG27" s="272">
        <v>0</v>
      </c>
      <c r="AH27" s="272">
        <v>7.9496619386819969E-2</v>
      </c>
      <c r="AI27" s="272">
        <v>0.30773198582298872</v>
      </c>
      <c r="AJ27" s="272">
        <v>0.37715907349551503</v>
      </c>
      <c r="AK27" s="272">
        <v>0.43037360402954816</v>
      </c>
      <c r="AL27" s="273">
        <f>'Anexo 2'!I26</f>
        <v>0.53451423553833766</v>
      </c>
      <c r="AM27" s="271" t="s">
        <v>36</v>
      </c>
      <c r="AN27" s="272" t="s">
        <v>36</v>
      </c>
      <c r="AO27" s="272" t="s">
        <v>36</v>
      </c>
      <c r="AP27" s="272" t="s">
        <v>36</v>
      </c>
      <c r="AQ27" s="272" t="s">
        <v>36</v>
      </c>
      <c r="AR27" s="272">
        <v>0</v>
      </c>
      <c r="AS27" s="272">
        <v>0.12</v>
      </c>
      <c r="AT27" s="272">
        <v>0.25</v>
      </c>
      <c r="AU27" s="131">
        <v>0.44</v>
      </c>
      <c r="AV27" s="131">
        <v>0.61</v>
      </c>
      <c r="AW27" s="184">
        <f>'Anexo 2'!J26</f>
        <v>0.65</v>
      </c>
      <c r="AX27" s="274"/>
      <c r="AZ27" s="114"/>
      <c r="BA27" s="210"/>
    </row>
    <row r="28" spans="1:53" s="9" customFormat="1">
      <c r="A28" s="54" t="str">
        <f>+'Anexo 1'!A27</f>
        <v>3589/OC-CR</v>
      </c>
      <c r="B28" s="39" t="s">
        <v>214</v>
      </c>
      <c r="C28" s="39" t="str">
        <f>+'Anexo 1'!C27</f>
        <v>ICE</v>
      </c>
      <c r="D28" s="110">
        <f>+'Anexo 1'!E27</f>
        <v>134500000</v>
      </c>
      <c r="E28" s="189">
        <f>'Anexo 2'!E27</f>
        <v>81563456.840000004</v>
      </c>
      <c r="F28" s="110" t="s">
        <v>36</v>
      </c>
      <c r="G28" s="110" t="s">
        <v>36</v>
      </c>
      <c r="H28" s="110" t="s">
        <v>36</v>
      </c>
      <c r="I28" s="110" t="s">
        <v>36</v>
      </c>
      <c r="J28" s="110" t="s">
        <v>36</v>
      </c>
      <c r="K28" s="110" t="s">
        <v>36</v>
      </c>
      <c r="L28" s="110">
        <v>44485703.280000001</v>
      </c>
      <c r="M28" s="110">
        <v>4077753.56</v>
      </c>
      <c r="N28" s="110">
        <v>5000000</v>
      </c>
      <c r="O28" s="32">
        <v>3000000</v>
      </c>
      <c r="P28" s="198">
        <f>'Anexo 3'!G28</f>
        <v>25000000</v>
      </c>
      <c r="Q28" s="275" t="s">
        <v>36</v>
      </c>
      <c r="R28" s="110" t="s">
        <v>36</v>
      </c>
      <c r="S28" s="110" t="s">
        <v>36</v>
      </c>
      <c r="T28" s="110" t="s">
        <v>36</v>
      </c>
      <c r="U28" s="110" t="s">
        <v>36</v>
      </c>
      <c r="V28" s="110" t="s">
        <v>36</v>
      </c>
      <c r="W28" s="110">
        <v>180561.65</v>
      </c>
      <c r="X28" s="110">
        <v>486532.13</v>
      </c>
      <c r="Y28" s="110">
        <v>436210.72</v>
      </c>
      <c r="Z28" s="110">
        <v>414271.71</v>
      </c>
      <c r="AA28" s="189">
        <v>199155.12</v>
      </c>
      <c r="AB28" s="270" t="s">
        <v>36</v>
      </c>
      <c r="AC28" s="110" t="s">
        <v>36</v>
      </c>
      <c r="AD28" s="110" t="s">
        <v>36</v>
      </c>
      <c r="AE28" s="110" t="s">
        <v>36</v>
      </c>
      <c r="AF28" s="110" t="s">
        <v>36</v>
      </c>
      <c r="AG28" s="110" t="s">
        <v>36</v>
      </c>
      <c r="AH28" s="272">
        <v>0.3307487232713755</v>
      </c>
      <c r="AI28" s="272">
        <v>0.36106659360594801</v>
      </c>
      <c r="AJ28" s="272">
        <v>0.39824131479553904</v>
      </c>
      <c r="AK28" s="272">
        <v>0.4205461475092937</v>
      </c>
      <c r="AL28" s="273">
        <f>'Anexo 2'!I27</f>
        <v>0.60641975345724908</v>
      </c>
      <c r="AM28" s="270" t="s">
        <v>36</v>
      </c>
      <c r="AN28" s="110" t="s">
        <v>36</v>
      </c>
      <c r="AO28" s="110" t="s">
        <v>36</v>
      </c>
      <c r="AP28" s="110" t="s">
        <v>36</v>
      </c>
      <c r="AQ28" s="110" t="s">
        <v>36</v>
      </c>
      <c r="AR28" s="272">
        <v>0</v>
      </c>
      <c r="AS28" s="272">
        <v>0.37309999999999999</v>
      </c>
      <c r="AT28" s="272">
        <v>0.46954288240495146</v>
      </c>
      <c r="AU28" s="131">
        <v>0.51822292634144429</v>
      </c>
      <c r="AV28" s="131">
        <v>0.59640000000000004</v>
      </c>
      <c r="AW28" s="184">
        <f>'Anexo 2'!J27</f>
        <v>0.62739999999999996</v>
      </c>
      <c r="AX28" s="274"/>
      <c r="AZ28" s="114"/>
      <c r="BA28" s="210"/>
    </row>
    <row r="29" spans="1:53" s="9" customFormat="1">
      <c r="A29" s="54" t="str">
        <f>+'Anexo 1'!A28</f>
        <v>4864/OC-CR</v>
      </c>
      <c r="B29" s="52" t="s">
        <v>76</v>
      </c>
      <c r="C29" s="39" t="str">
        <f>+'Anexo 1'!C28</f>
        <v>MOPT</v>
      </c>
      <c r="D29" s="110">
        <f>+'Anexo 1'!E28</f>
        <v>125000000</v>
      </c>
      <c r="E29" s="189">
        <f>'Anexo 2'!E28</f>
        <v>20000000</v>
      </c>
      <c r="F29" s="110" t="s">
        <v>36</v>
      </c>
      <c r="G29" s="110" t="s">
        <v>36</v>
      </c>
      <c r="H29" s="110" t="s">
        <v>36</v>
      </c>
      <c r="I29" s="110" t="s">
        <v>36</v>
      </c>
      <c r="J29" s="110" t="s">
        <v>36</v>
      </c>
      <c r="K29" s="110" t="s">
        <v>36</v>
      </c>
      <c r="L29" s="110" t="s">
        <v>36</v>
      </c>
      <c r="M29" s="110">
        <v>0</v>
      </c>
      <c r="N29" s="110">
        <v>20000000</v>
      </c>
      <c r="O29" s="32">
        <v>0</v>
      </c>
      <c r="P29" s="198">
        <f>'Anexo 3'!G29</f>
        <v>0</v>
      </c>
      <c r="Q29" s="275" t="s">
        <v>36</v>
      </c>
      <c r="R29" s="110" t="s">
        <v>36</v>
      </c>
      <c r="S29" s="110" t="s">
        <v>36</v>
      </c>
      <c r="T29" s="110" t="s">
        <v>36</v>
      </c>
      <c r="U29" s="110" t="s">
        <v>36</v>
      </c>
      <c r="V29" s="110" t="s">
        <v>36</v>
      </c>
      <c r="W29" s="110" t="s">
        <v>36</v>
      </c>
      <c r="X29" s="110">
        <v>0</v>
      </c>
      <c r="Y29" s="110">
        <v>809476.57</v>
      </c>
      <c r="Z29" s="110">
        <v>525000.01</v>
      </c>
      <c r="AA29" s="189">
        <v>260342.47</v>
      </c>
      <c r="AB29" s="270" t="s">
        <v>36</v>
      </c>
      <c r="AC29" s="110" t="s">
        <v>36</v>
      </c>
      <c r="AD29" s="110" t="s">
        <v>36</v>
      </c>
      <c r="AE29" s="110" t="s">
        <v>36</v>
      </c>
      <c r="AF29" s="110" t="s">
        <v>36</v>
      </c>
      <c r="AG29" s="110" t="s">
        <v>36</v>
      </c>
      <c r="AH29" s="110" t="s">
        <v>36</v>
      </c>
      <c r="AI29" s="110">
        <v>0</v>
      </c>
      <c r="AJ29" s="272">
        <v>0.16</v>
      </c>
      <c r="AK29" s="272">
        <v>0.16</v>
      </c>
      <c r="AL29" s="273">
        <f>'Anexo 2'!I28</f>
        <v>0.16</v>
      </c>
      <c r="AM29" s="270" t="s">
        <v>36</v>
      </c>
      <c r="AN29" s="110" t="s">
        <v>36</v>
      </c>
      <c r="AO29" s="110" t="s">
        <v>36</v>
      </c>
      <c r="AP29" s="110" t="s">
        <v>36</v>
      </c>
      <c r="AQ29" s="110" t="s">
        <v>36</v>
      </c>
      <c r="AR29" s="110" t="s">
        <v>36</v>
      </c>
      <c r="AS29" s="110" t="s">
        <v>36</v>
      </c>
      <c r="AT29" s="110">
        <v>0</v>
      </c>
      <c r="AU29" s="131">
        <v>0.40300000000000002</v>
      </c>
      <c r="AV29" s="131">
        <v>0.441</v>
      </c>
      <c r="AW29" s="184">
        <f>'Anexo 2'!J28</f>
        <v>0.48259999999999997</v>
      </c>
      <c r="AX29" s="274"/>
      <c r="AZ29" s="114"/>
      <c r="BA29" s="210"/>
    </row>
    <row r="30" spans="1:53" s="9" customFormat="1">
      <c r="A30" s="54" t="str">
        <f>+'Anexo 1'!A29</f>
        <v>4871/OC-CR</v>
      </c>
      <c r="B30" s="52" t="s">
        <v>78</v>
      </c>
      <c r="C30" s="39" t="str">
        <f>+'Anexo 1'!C29</f>
        <v>MJP</v>
      </c>
      <c r="D30" s="110">
        <f>+'Anexo 1'!E29</f>
        <v>100000000</v>
      </c>
      <c r="E30" s="189">
        <f>'Anexo 2'!E29</f>
        <v>5923616.7599999998</v>
      </c>
      <c r="F30" s="110" t="s">
        <v>36</v>
      </c>
      <c r="G30" s="110" t="s">
        <v>36</v>
      </c>
      <c r="H30" s="110" t="s">
        <v>36</v>
      </c>
      <c r="I30" s="110" t="s">
        <v>36</v>
      </c>
      <c r="J30" s="110" t="s">
        <v>36</v>
      </c>
      <c r="K30" s="110" t="s">
        <v>36</v>
      </c>
      <c r="L30" s="110" t="s">
        <v>36</v>
      </c>
      <c r="M30" s="110" t="s">
        <v>36</v>
      </c>
      <c r="N30" s="110">
        <v>850000</v>
      </c>
      <c r="O30" s="32">
        <v>5073616.76</v>
      </c>
      <c r="P30" s="198">
        <f>'Anexo 3'!G30</f>
        <v>0</v>
      </c>
      <c r="Q30" s="275" t="s">
        <v>36</v>
      </c>
      <c r="R30" s="110" t="s">
        <v>36</v>
      </c>
      <c r="S30" s="110" t="s">
        <v>36</v>
      </c>
      <c r="T30" s="110" t="s">
        <v>36</v>
      </c>
      <c r="U30" s="110" t="s">
        <v>36</v>
      </c>
      <c r="V30" s="110" t="s">
        <v>36</v>
      </c>
      <c r="W30" s="110" t="s">
        <v>36</v>
      </c>
      <c r="X30" s="110" t="s">
        <v>36</v>
      </c>
      <c r="Y30" s="110">
        <v>666262.44999999995</v>
      </c>
      <c r="Z30" s="110">
        <v>496751.37</v>
      </c>
      <c r="AA30" s="189">
        <v>234717.41</v>
      </c>
      <c r="AB30" s="270" t="s">
        <v>36</v>
      </c>
      <c r="AC30" s="110" t="s">
        <v>36</v>
      </c>
      <c r="AD30" s="110" t="s">
        <v>36</v>
      </c>
      <c r="AE30" s="110" t="s">
        <v>36</v>
      </c>
      <c r="AF30" s="110" t="s">
        <v>36</v>
      </c>
      <c r="AG30" s="110" t="s">
        <v>36</v>
      </c>
      <c r="AH30" s="110" t="s">
        <v>36</v>
      </c>
      <c r="AI30" s="110" t="s">
        <v>36</v>
      </c>
      <c r="AJ30" s="272">
        <v>8.5000000000000006E-3</v>
      </c>
      <c r="AK30" s="272">
        <v>5.92361676E-2</v>
      </c>
      <c r="AL30" s="273">
        <f>'Anexo 2'!I29</f>
        <v>5.92361676E-2</v>
      </c>
      <c r="AM30" s="270" t="s">
        <v>36</v>
      </c>
      <c r="AN30" s="110" t="s">
        <v>36</v>
      </c>
      <c r="AO30" s="110" t="s">
        <v>36</v>
      </c>
      <c r="AP30" s="110" t="s">
        <v>36</v>
      </c>
      <c r="AQ30" s="110" t="s">
        <v>36</v>
      </c>
      <c r="AR30" s="110" t="s">
        <v>36</v>
      </c>
      <c r="AS30" s="110" t="s">
        <v>36</v>
      </c>
      <c r="AT30" s="110" t="s">
        <v>36</v>
      </c>
      <c r="AU30" s="131">
        <v>2.9818721799999997E-3</v>
      </c>
      <c r="AV30" s="131">
        <v>0.15090000000000001</v>
      </c>
      <c r="AW30" s="184">
        <f>'Anexo 2'!J29</f>
        <v>0.29160000000000003</v>
      </c>
      <c r="AX30" s="274"/>
      <c r="AZ30" s="114"/>
      <c r="BA30" s="210"/>
    </row>
    <row r="31" spans="1:53" s="46" customFormat="1">
      <c r="A31" s="206"/>
      <c r="B31" s="72"/>
      <c r="C31" s="192"/>
      <c r="D31" s="117">
        <f t="shared" ref="D31:AA31" si="3">SUM(D23:D30)</f>
        <v>1126536000</v>
      </c>
      <c r="E31" s="134">
        <f t="shared" si="3"/>
        <v>626929952.89999998</v>
      </c>
      <c r="F31" s="117">
        <f t="shared" si="3"/>
        <v>0</v>
      </c>
      <c r="G31" s="117">
        <f t="shared" si="3"/>
        <v>0</v>
      </c>
      <c r="H31" s="117">
        <f t="shared" si="3"/>
        <v>5075849.51</v>
      </c>
      <c r="I31" s="117">
        <f t="shared" si="3"/>
        <v>5000000</v>
      </c>
      <c r="J31" s="117">
        <f t="shared" si="3"/>
        <v>49104373.530000001</v>
      </c>
      <c r="K31" s="117">
        <f t="shared" si="3"/>
        <v>120000000</v>
      </c>
      <c r="L31" s="117">
        <f t="shared" si="3"/>
        <v>71384548.480000004</v>
      </c>
      <c r="M31" s="117">
        <f t="shared" si="3"/>
        <v>65587010.590000004</v>
      </c>
      <c r="N31" s="117">
        <f t="shared" si="3"/>
        <v>98256901.200000003</v>
      </c>
      <c r="O31" s="45">
        <f t="shared" si="3"/>
        <v>156169855.47999999</v>
      </c>
      <c r="P31" s="199">
        <f t="shared" si="3"/>
        <v>56351414.109999999</v>
      </c>
      <c r="Q31" s="45">
        <f t="shared" si="3"/>
        <v>0</v>
      </c>
      <c r="R31" s="117">
        <f t="shared" si="3"/>
        <v>333949.45</v>
      </c>
      <c r="S31" s="117">
        <f t="shared" si="3"/>
        <v>1723595.88</v>
      </c>
      <c r="T31" s="117">
        <f t="shared" si="3"/>
        <v>2952497.4199999995</v>
      </c>
      <c r="U31" s="117">
        <f t="shared" si="3"/>
        <v>3427798.42</v>
      </c>
      <c r="V31" s="117">
        <f t="shared" si="3"/>
        <v>2855876.5300000003</v>
      </c>
      <c r="W31" s="117">
        <f t="shared" si="3"/>
        <v>3008689.93</v>
      </c>
      <c r="X31" s="117">
        <f t="shared" si="3"/>
        <v>3268388.16</v>
      </c>
      <c r="Y31" s="117">
        <f t="shared" si="3"/>
        <v>4316234.1199999992</v>
      </c>
      <c r="Z31" s="117">
        <f t="shared" ref="Z31" si="4">SUM(Z23:Z30)</f>
        <v>3323444.04</v>
      </c>
      <c r="AA31" s="134">
        <f t="shared" si="3"/>
        <v>1393725.98</v>
      </c>
      <c r="AB31" s="270"/>
      <c r="AC31" s="110"/>
      <c r="AD31" s="110"/>
      <c r="AE31" s="110"/>
      <c r="AF31" s="110"/>
      <c r="AG31" s="110"/>
      <c r="AH31" s="110"/>
      <c r="AI31" s="278"/>
      <c r="AL31" s="279"/>
      <c r="AM31" s="277"/>
      <c r="AN31" s="278"/>
      <c r="AO31" s="272"/>
      <c r="AP31" s="272"/>
      <c r="AQ31" s="272"/>
      <c r="AR31" s="272"/>
      <c r="AS31" s="272"/>
      <c r="AT31" s="272"/>
      <c r="AU31" s="193"/>
      <c r="AV31" s="193"/>
      <c r="AW31" s="280"/>
      <c r="AX31" s="274"/>
      <c r="AY31" s="9"/>
      <c r="AZ31" s="114"/>
      <c r="BA31" s="210"/>
    </row>
    <row r="32" spans="1:53" s="9" customFormat="1">
      <c r="A32" s="231"/>
      <c r="B32" s="90"/>
      <c r="C32" s="39"/>
      <c r="D32" s="110"/>
      <c r="E32" s="189"/>
      <c r="F32" s="110"/>
      <c r="G32" s="110"/>
      <c r="H32" s="110"/>
      <c r="I32" s="110"/>
      <c r="J32" s="110"/>
      <c r="K32" s="110"/>
      <c r="L32" s="110"/>
      <c r="N32" s="110"/>
      <c r="O32" s="32"/>
      <c r="P32" s="198"/>
      <c r="Q32" s="275"/>
      <c r="R32" s="110"/>
      <c r="S32" s="110"/>
      <c r="T32" s="110"/>
      <c r="U32" s="110"/>
      <c r="V32" s="110"/>
      <c r="W32" s="110"/>
      <c r="X32" s="110"/>
      <c r="AA32" s="28"/>
      <c r="AB32" s="271"/>
      <c r="AC32" s="272"/>
      <c r="AD32" s="272"/>
      <c r="AE32" s="272"/>
      <c r="AF32" s="272"/>
      <c r="AG32" s="272"/>
      <c r="AH32" s="272"/>
      <c r="AI32" s="272"/>
      <c r="AL32" s="257"/>
      <c r="AM32" s="271"/>
      <c r="AN32" s="272"/>
      <c r="AO32" s="272"/>
      <c r="AP32" s="272"/>
      <c r="AQ32" s="272"/>
      <c r="AR32" s="272"/>
      <c r="AS32" s="272"/>
      <c r="AT32" s="272"/>
      <c r="AU32" s="131"/>
      <c r="AV32" s="131"/>
      <c r="AW32" s="184"/>
      <c r="AX32" s="274"/>
      <c r="AZ32" s="114"/>
      <c r="BA32" s="210"/>
    </row>
    <row r="33" spans="1:53" s="9" customFormat="1">
      <c r="A33" s="229" t="s">
        <v>80</v>
      </c>
      <c r="B33" s="90"/>
      <c r="C33" s="39"/>
      <c r="D33" s="110"/>
      <c r="E33" s="189"/>
      <c r="F33" s="110"/>
      <c r="G33" s="110"/>
      <c r="H33" s="110"/>
      <c r="I33" s="110"/>
      <c r="J33" s="110"/>
      <c r="K33" s="110"/>
      <c r="L33" s="110"/>
      <c r="N33" s="110"/>
      <c r="O33" s="32"/>
      <c r="P33" s="198"/>
      <c r="Q33" s="275"/>
      <c r="R33" s="110"/>
      <c r="S33" s="110"/>
      <c r="T33" s="110"/>
      <c r="U33" s="110"/>
      <c r="V33" s="110"/>
      <c r="W33" s="110"/>
      <c r="X33" s="110"/>
      <c r="AA33" s="28"/>
      <c r="AB33" s="271"/>
      <c r="AC33" s="272"/>
      <c r="AD33" s="272"/>
      <c r="AE33" s="272"/>
      <c r="AF33" s="272"/>
      <c r="AG33" s="272"/>
      <c r="AH33" s="272"/>
      <c r="AI33" s="272"/>
      <c r="AL33" s="257"/>
      <c r="AM33" s="271"/>
      <c r="AN33" s="272"/>
      <c r="AO33" s="272"/>
      <c r="AP33" s="272"/>
      <c r="AQ33" s="272"/>
      <c r="AR33" s="272"/>
      <c r="AS33" s="272"/>
      <c r="AT33" s="272"/>
      <c r="AU33" s="131"/>
      <c r="AV33" s="131"/>
      <c r="AW33" s="184"/>
      <c r="AX33" s="274"/>
      <c r="AZ33" s="114"/>
      <c r="BA33" s="210"/>
    </row>
    <row r="34" spans="1:53" s="9" customFormat="1" ht="38.4" customHeight="1">
      <c r="A34" s="29" t="s">
        <v>81</v>
      </c>
      <c r="B34" s="52" t="s">
        <v>215</v>
      </c>
      <c r="C34" s="39" t="s">
        <v>43</v>
      </c>
      <c r="D34" s="110">
        <f>'Anexo 1'!E33</f>
        <v>420000000</v>
      </c>
      <c r="E34" s="189">
        <f>'Anexo 2'!E33</f>
        <v>420000000</v>
      </c>
      <c r="F34" s="110" t="s">
        <v>36</v>
      </c>
      <c r="G34" s="110" t="s">
        <v>36</v>
      </c>
      <c r="H34" s="110" t="s">
        <v>36</v>
      </c>
      <c r="I34" s="110">
        <v>105000000</v>
      </c>
      <c r="J34" s="110">
        <v>0</v>
      </c>
      <c r="K34" s="110">
        <v>120000000</v>
      </c>
      <c r="L34" s="110">
        <v>60000000</v>
      </c>
      <c r="M34" s="110">
        <v>105000000</v>
      </c>
      <c r="N34" s="110">
        <v>0</v>
      </c>
      <c r="O34" s="32">
        <v>0</v>
      </c>
      <c r="P34" s="198">
        <f>'Anexo 3'!G34</f>
        <v>30000000</v>
      </c>
      <c r="Q34" s="275" t="s">
        <v>36</v>
      </c>
      <c r="R34" s="110" t="s">
        <v>36</v>
      </c>
      <c r="S34" s="110" t="s">
        <v>36</v>
      </c>
      <c r="T34" s="110">
        <v>0</v>
      </c>
      <c r="U34" s="110">
        <v>1039856.83</v>
      </c>
      <c r="V34" s="110">
        <v>787500</v>
      </c>
      <c r="W34" s="110">
        <v>596526.84</v>
      </c>
      <c r="X34" s="110">
        <v>299104.84999999998</v>
      </c>
      <c r="Y34" s="110">
        <v>74921.94</v>
      </c>
      <c r="Z34" s="110">
        <v>74999.960000000006</v>
      </c>
      <c r="AA34" s="189">
        <v>37808.199999999997</v>
      </c>
      <c r="AB34" s="271">
        <v>0</v>
      </c>
      <c r="AC34" s="272">
        <v>0</v>
      </c>
      <c r="AD34" s="272">
        <v>0</v>
      </c>
      <c r="AE34" s="272">
        <v>0.25</v>
      </c>
      <c r="AF34" s="272">
        <v>0.25</v>
      </c>
      <c r="AG34" s="272">
        <v>0.5357142857142857</v>
      </c>
      <c r="AH34" s="272">
        <v>0.6785714285714286</v>
      </c>
      <c r="AI34" s="272">
        <v>0.9285714285714286</v>
      </c>
      <c r="AJ34" s="272">
        <v>0.9285714285714286</v>
      </c>
      <c r="AK34" s="272">
        <v>0.9285714285714286</v>
      </c>
      <c r="AL34" s="273">
        <f>'Anexo 2'!I33</f>
        <v>1</v>
      </c>
      <c r="AM34" s="271">
        <v>0</v>
      </c>
      <c r="AN34" s="272">
        <v>0</v>
      </c>
      <c r="AO34" s="272">
        <v>0</v>
      </c>
      <c r="AP34" s="272" t="s">
        <v>216</v>
      </c>
      <c r="AQ34" s="272">
        <v>0.35539999999999999</v>
      </c>
      <c r="AR34" s="272">
        <v>0.6744</v>
      </c>
      <c r="AS34" s="272">
        <v>0.79400000000000004</v>
      </c>
      <c r="AT34" s="272">
        <v>0.86355100000000007</v>
      </c>
      <c r="AU34" s="131">
        <v>0.92279999999999995</v>
      </c>
      <c r="AV34" s="131">
        <v>0.96630000000000005</v>
      </c>
      <c r="AW34" s="184">
        <f>'Anexo 2'!J33</f>
        <v>0.98250000000000004</v>
      </c>
      <c r="AX34" s="274"/>
      <c r="AZ34" s="114"/>
      <c r="BA34" s="210"/>
    </row>
    <row r="35" spans="1:53" s="9" customFormat="1" ht="45.6" customHeight="1">
      <c r="A35" s="29" t="s">
        <v>83</v>
      </c>
      <c r="B35" s="52" t="s">
        <v>84</v>
      </c>
      <c r="C35" s="39" t="s">
        <v>217</v>
      </c>
      <c r="D35" s="110">
        <v>156640000</v>
      </c>
      <c r="E35" s="189">
        <f>'Anexo 2'!E34</f>
        <v>8111109.1299999999</v>
      </c>
      <c r="F35" s="110" t="s">
        <v>36</v>
      </c>
      <c r="G35" s="110" t="s">
        <v>36</v>
      </c>
      <c r="H35" s="110" t="s">
        <v>36</v>
      </c>
      <c r="I35" s="110" t="s">
        <v>36</v>
      </c>
      <c r="J35" s="110" t="s">
        <v>36</v>
      </c>
      <c r="K35" s="110" t="s">
        <v>36</v>
      </c>
      <c r="L35" s="110" t="s">
        <v>36</v>
      </c>
      <c r="M35" s="110">
        <v>0</v>
      </c>
      <c r="N35" s="110">
        <v>3238550</v>
      </c>
      <c r="O35" s="32">
        <v>2114200</v>
      </c>
      <c r="P35" s="198">
        <f>'Anexo 3'!G35</f>
        <v>2758359.13</v>
      </c>
      <c r="Q35" s="275" t="s">
        <v>36</v>
      </c>
      <c r="R35" s="110" t="s">
        <v>36</v>
      </c>
      <c r="S35" s="110" t="s">
        <v>36</v>
      </c>
      <c r="T35" s="110" t="s">
        <v>36</v>
      </c>
      <c r="U35" s="110" t="s">
        <v>36</v>
      </c>
      <c r="V35" s="110" t="s">
        <v>36</v>
      </c>
      <c r="W35" s="110" t="s">
        <v>36</v>
      </c>
      <c r="X35" s="110">
        <v>0</v>
      </c>
      <c r="Y35" s="110">
        <v>953381.87</v>
      </c>
      <c r="Z35" s="110">
        <v>379666.23</v>
      </c>
      <c r="AA35" s="189">
        <v>186251.14</v>
      </c>
      <c r="AB35" s="271" t="s">
        <v>36</v>
      </c>
      <c r="AC35" s="272" t="s">
        <v>36</v>
      </c>
      <c r="AD35" s="272" t="s">
        <v>36</v>
      </c>
      <c r="AE35" s="272" t="s">
        <v>36</v>
      </c>
      <c r="AF35" s="272" t="s">
        <v>36</v>
      </c>
      <c r="AG35" s="272" t="s">
        <v>36</v>
      </c>
      <c r="AH35" s="272" t="s">
        <v>36</v>
      </c>
      <c r="AI35" s="272">
        <v>0</v>
      </c>
      <c r="AJ35" s="272">
        <v>2.0675114913176709E-2</v>
      </c>
      <c r="AK35" s="272">
        <v>3.4172305924412665E-2</v>
      </c>
      <c r="AL35" s="273">
        <f>'Anexo 2'!I34</f>
        <v>5.1781850932073541E-2</v>
      </c>
      <c r="AM35" s="271" t="s">
        <v>36</v>
      </c>
      <c r="AN35" s="272" t="s">
        <v>36</v>
      </c>
      <c r="AO35" s="272" t="s">
        <v>36</v>
      </c>
      <c r="AP35" s="272" t="s">
        <v>36</v>
      </c>
      <c r="AQ35" s="272" t="s">
        <v>36</v>
      </c>
      <c r="AR35" s="272" t="s">
        <v>36</v>
      </c>
      <c r="AS35" s="272" t="s">
        <v>36</v>
      </c>
      <c r="AT35" s="272">
        <v>0</v>
      </c>
      <c r="AU35" s="131">
        <v>6.3E-3</v>
      </c>
      <c r="AV35" s="131">
        <v>4.9200000000000001E-2</v>
      </c>
      <c r="AW35" s="184">
        <f>'Anexo 2'!J34</f>
        <v>5.91E-2</v>
      </c>
      <c r="AX35" s="274"/>
      <c r="AZ35" s="114"/>
      <c r="BA35" s="210"/>
    </row>
    <row r="36" spans="1:53" s="9" customFormat="1">
      <c r="A36" s="54" t="s">
        <v>87</v>
      </c>
      <c r="B36" s="69" t="s">
        <v>88</v>
      </c>
      <c r="C36" s="39" t="s">
        <v>89</v>
      </c>
      <c r="D36" s="110">
        <v>75100500</v>
      </c>
      <c r="E36" s="189">
        <f>'Anexo 2'!E35</f>
        <v>5187751.25</v>
      </c>
      <c r="F36" s="110" t="s">
        <v>36</v>
      </c>
      <c r="G36" s="110" t="s">
        <v>36</v>
      </c>
      <c r="H36" s="110" t="s">
        <v>36</v>
      </c>
      <c r="I36" s="110" t="s">
        <v>36</v>
      </c>
      <c r="J36" s="110" t="s">
        <v>36</v>
      </c>
      <c r="K36" s="110" t="s">
        <v>36</v>
      </c>
      <c r="L36" s="110" t="s">
        <v>36</v>
      </c>
      <c r="M36" s="110" t="s">
        <v>36</v>
      </c>
      <c r="N36" s="110">
        <v>187751.25</v>
      </c>
      <c r="O36" s="32">
        <v>5000000</v>
      </c>
      <c r="P36" s="198">
        <f>'Anexo 3'!G36</f>
        <v>0</v>
      </c>
      <c r="Q36" s="275" t="s">
        <v>36</v>
      </c>
      <c r="R36" s="110" t="s">
        <v>36</v>
      </c>
      <c r="S36" s="110" t="s">
        <v>36</v>
      </c>
      <c r="T36" s="110" t="s">
        <v>36</v>
      </c>
      <c r="U36" s="110" t="s">
        <v>36</v>
      </c>
      <c r="V36" s="110" t="s">
        <v>36</v>
      </c>
      <c r="W36" s="110" t="s">
        <v>36</v>
      </c>
      <c r="X36" s="110" t="s">
        <v>36</v>
      </c>
      <c r="Y36" s="110">
        <v>0</v>
      </c>
      <c r="Z36" s="110">
        <v>335892.47</v>
      </c>
      <c r="AA36" s="189">
        <v>90711.96</v>
      </c>
      <c r="AB36" s="271" t="s">
        <v>36</v>
      </c>
      <c r="AC36" s="272" t="s">
        <v>36</v>
      </c>
      <c r="AD36" s="272" t="s">
        <v>36</v>
      </c>
      <c r="AE36" s="272" t="s">
        <v>36</v>
      </c>
      <c r="AF36" s="272" t="s">
        <v>36</v>
      </c>
      <c r="AG36" s="272" t="s">
        <v>36</v>
      </c>
      <c r="AH36" s="272" t="s">
        <v>36</v>
      </c>
      <c r="AI36" s="272" t="s">
        <v>36</v>
      </c>
      <c r="AJ36" s="272">
        <v>2.5000000000000001E-3</v>
      </c>
      <c r="AK36" s="272">
        <v>6.9077452879807724E-2</v>
      </c>
      <c r="AL36" s="273">
        <f>'Anexo 2'!I35</f>
        <v>6.9077452879807724E-2</v>
      </c>
      <c r="AM36" s="271" t="s">
        <v>36</v>
      </c>
      <c r="AN36" s="272" t="s">
        <v>36</v>
      </c>
      <c r="AO36" s="272" t="s">
        <v>36</v>
      </c>
      <c r="AP36" s="272" t="s">
        <v>36</v>
      </c>
      <c r="AQ36" s="272" t="s">
        <v>36</v>
      </c>
      <c r="AR36" s="272" t="s">
        <v>36</v>
      </c>
      <c r="AS36" s="272" t="s">
        <v>36</v>
      </c>
      <c r="AT36" s="272" t="s">
        <v>36</v>
      </c>
      <c r="AU36" s="131">
        <v>0</v>
      </c>
      <c r="AV36" s="131">
        <v>4.2900000000000001E-2</v>
      </c>
      <c r="AW36" s="184">
        <f>'Anexo 2'!J35</f>
        <v>0.13689999999999999</v>
      </c>
      <c r="AX36" s="274"/>
      <c r="AZ36" s="114"/>
      <c r="BA36" s="210"/>
    </row>
    <row r="37" spans="1:53" s="46" customFormat="1">
      <c r="A37" s="206"/>
      <c r="B37" s="72"/>
      <c r="C37" s="192"/>
      <c r="D37" s="117">
        <f>SUM(D34:D36)</f>
        <v>651740500</v>
      </c>
      <c r="E37" s="134">
        <f>SUM(E34:E36)</f>
        <v>433298860.38</v>
      </c>
      <c r="F37" s="117">
        <f>SUM(F34:F36)</f>
        <v>0</v>
      </c>
      <c r="G37" s="117">
        <f t="shared" ref="G37:O37" si="5">SUM(G34:G36)</f>
        <v>0</v>
      </c>
      <c r="H37" s="117">
        <f t="shared" si="5"/>
        <v>0</v>
      </c>
      <c r="I37" s="117">
        <f t="shared" si="5"/>
        <v>105000000</v>
      </c>
      <c r="J37" s="117">
        <f t="shared" si="5"/>
        <v>0</v>
      </c>
      <c r="K37" s="117">
        <f t="shared" si="5"/>
        <v>120000000</v>
      </c>
      <c r="L37" s="117">
        <f t="shared" si="5"/>
        <v>60000000</v>
      </c>
      <c r="M37" s="117">
        <f t="shared" si="5"/>
        <v>105000000</v>
      </c>
      <c r="N37" s="117">
        <f t="shared" si="5"/>
        <v>3426301.25</v>
      </c>
      <c r="O37" s="45">
        <f t="shared" si="5"/>
        <v>7114200</v>
      </c>
      <c r="P37" s="199">
        <f t="shared" ref="P37" si="6">SUM(P34:P36)</f>
        <v>32758359.129999999</v>
      </c>
      <c r="Q37" s="276">
        <f t="shared" ref="Q37:Y37" si="7">SUM(Q34:Q36)</f>
        <v>0</v>
      </c>
      <c r="R37" s="117">
        <f t="shared" si="7"/>
        <v>0</v>
      </c>
      <c r="S37" s="117">
        <f t="shared" si="7"/>
        <v>0</v>
      </c>
      <c r="T37" s="117">
        <f t="shared" si="7"/>
        <v>0</v>
      </c>
      <c r="U37" s="117">
        <f t="shared" si="7"/>
        <v>1039856.83</v>
      </c>
      <c r="V37" s="117">
        <f t="shared" si="7"/>
        <v>787500</v>
      </c>
      <c r="W37" s="117">
        <f t="shared" si="7"/>
        <v>596526.84</v>
      </c>
      <c r="X37" s="117">
        <f t="shared" si="7"/>
        <v>299104.84999999998</v>
      </c>
      <c r="Y37" s="117">
        <f t="shared" si="7"/>
        <v>1028303.81</v>
      </c>
      <c r="Z37" s="117">
        <f>SUM(Z34:Z36)</f>
        <v>790558.65999999992</v>
      </c>
      <c r="AA37" s="134">
        <f>SUM(AA34:AA36)</f>
        <v>314771.30000000005</v>
      </c>
      <c r="AB37" s="277"/>
      <c r="AC37" s="278"/>
      <c r="AD37" s="278"/>
      <c r="AE37" s="278"/>
      <c r="AF37" s="278"/>
      <c r="AG37" s="278"/>
      <c r="AH37" s="278"/>
      <c r="AI37" s="278"/>
      <c r="AL37" s="279"/>
      <c r="AM37" s="277"/>
      <c r="AN37" s="278"/>
      <c r="AO37" s="272"/>
      <c r="AP37" s="272"/>
      <c r="AQ37" s="272"/>
      <c r="AR37" s="272"/>
      <c r="AS37" s="272"/>
      <c r="AT37" s="272"/>
      <c r="AU37" s="193"/>
      <c r="AV37" s="193"/>
      <c r="AW37" s="280"/>
      <c r="AX37" s="274"/>
      <c r="AY37" s="9"/>
      <c r="AZ37" s="114"/>
      <c r="BA37" s="210"/>
    </row>
    <row r="38" spans="1:53" s="46" customFormat="1">
      <c r="A38" s="206"/>
      <c r="B38" s="72"/>
      <c r="C38" s="192"/>
      <c r="D38" s="117"/>
      <c r="E38" s="134"/>
      <c r="F38" s="117"/>
      <c r="G38" s="117"/>
      <c r="H38" s="117"/>
      <c r="I38" s="117"/>
      <c r="J38" s="117"/>
      <c r="K38" s="117"/>
      <c r="L38" s="117"/>
      <c r="N38" s="117"/>
      <c r="O38" s="45"/>
      <c r="P38" s="199"/>
      <c r="Q38" s="276"/>
      <c r="R38" s="117"/>
      <c r="S38" s="117"/>
      <c r="T38" s="117"/>
      <c r="U38" s="117"/>
      <c r="V38" s="117"/>
      <c r="W38" s="117"/>
      <c r="X38" s="117"/>
      <c r="AA38" s="228"/>
      <c r="AB38" s="277"/>
      <c r="AC38" s="278"/>
      <c r="AD38" s="278"/>
      <c r="AE38" s="278"/>
      <c r="AF38" s="278"/>
      <c r="AG38" s="278"/>
      <c r="AH38" s="278"/>
      <c r="AI38" s="278"/>
      <c r="AL38" s="279"/>
      <c r="AM38" s="277"/>
      <c r="AN38" s="278"/>
      <c r="AO38" s="272"/>
      <c r="AP38" s="272"/>
      <c r="AQ38" s="272"/>
      <c r="AR38" s="272"/>
      <c r="AS38" s="272"/>
      <c r="AT38" s="272"/>
      <c r="AU38" s="193"/>
      <c r="AV38" s="193"/>
      <c r="AW38" s="280"/>
      <c r="AX38" s="274"/>
      <c r="AY38" s="9"/>
      <c r="AZ38" s="114"/>
      <c r="BA38" s="210"/>
    </row>
    <row r="39" spans="1:53" s="46" customFormat="1">
      <c r="A39" s="206" t="s">
        <v>90</v>
      </c>
      <c r="B39" s="133"/>
      <c r="C39" s="39"/>
      <c r="D39" s="117"/>
      <c r="E39" s="134"/>
      <c r="F39" s="117"/>
      <c r="G39" s="117"/>
      <c r="H39" s="117"/>
      <c r="I39" s="117"/>
      <c r="J39" s="117"/>
      <c r="K39" s="117"/>
      <c r="L39" s="117"/>
      <c r="N39" s="117"/>
      <c r="O39" s="45"/>
      <c r="P39" s="199"/>
      <c r="Q39" s="276"/>
      <c r="R39" s="117"/>
      <c r="S39" s="117"/>
      <c r="T39" s="117"/>
      <c r="U39" s="117"/>
      <c r="V39" s="117"/>
      <c r="W39" s="117"/>
      <c r="X39" s="117"/>
      <c r="AA39" s="228"/>
      <c r="AB39" s="277"/>
      <c r="AC39" s="278"/>
      <c r="AD39" s="278"/>
      <c r="AE39" s="278"/>
      <c r="AF39" s="278"/>
      <c r="AG39" s="278"/>
      <c r="AH39" s="278"/>
      <c r="AI39" s="278"/>
      <c r="AL39" s="279"/>
      <c r="AM39" s="277"/>
      <c r="AN39" s="278"/>
      <c r="AO39" s="272"/>
      <c r="AP39" s="272"/>
      <c r="AQ39" s="272"/>
      <c r="AR39" s="272"/>
      <c r="AS39" s="272"/>
      <c r="AT39" s="272"/>
      <c r="AU39" s="193"/>
      <c r="AV39" s="193"/>
      <c r="AW39" s="280"/>
      <c r="AX39" s="274"/>
      <c r="AY39" s="9"/>
      <c r="AZ39" s="114"/>
      <c r="BA39" s="210"/>
    </row>
    <row r="40" spans="1:53" s="46" customFormat="1" ht="25.95" customHeight="1">
      <c r="A40" s="206" t="s">
        <v>91</v>
      </c>
      <c r="B40" s="30" t="s">
        <v>218</v>
      </c>
      <c r="C40" s="39" t="s">
        <v>38</v>
      </c>
      <c r="D40" s="110">
        <f>'Anexo 1'!E39</f>
        <v>90542773.120000005</v>
      </c>
      <c r="E40" s="189">
        <f>'Anexo 2'!E39</f>
        <v>90542773.120000005</v>
      </c>
      <c r="F40" s="110" t="s">
        <v>36</v>
      </c>
      <c r="G40" s="110" t="s">
        <v>36</v>
      </c>
      <c r="H40" s="110">
        <v>0</v>
      </c>
      <c r="I40" s="110">
        <v>79150875.799660102</v>
      </c>
      <c r="J40" s="110">
        <v>1899621.02</v>
      </c>
      <c r="K40" s="110">
        <v>6648673.5599999996</v>
      </c>
      <c r="L40" s="110">
        <v>2843602.7401996008</v>
      </c>
      <c r="M40" s="110">
        <v>0</v>
      </c>
      <c r="N40" s="110">
        <v>0</v>
      </c>
      <c r="O40" s="32">
        <v>0</v>
      </c>
      <c r="P40" s="198" t="str">
        <f>'Anexo 3'!G41</f>
        <v>N/A</v>
      </c>
      <c r="Q40" s="275" t="s">
        <v>36</v>
      </c>
      <c r="R40" s="110" t="s">
        <v>36</v>
      </c>
      <c r="S40" s="110">
        <v>0</v>
      </c>
      <c r="T40" s="110">
        <v>0</v>
      </c>
      <c r="U40" s="110">
        <v>20174.240000000002</v>
      </c>
      <c r="V40" s="110">
        <v>21929.33</v>
      </c>
      <c r="W40" s="110">
        <v>3911.8</v>
      </c>
      <c r="X40" s="110">
        <v>0</v>
      </c>
      <c r="Y40" s="110">
        <v>0</v>
      </c>
      <c r="Z40" s="110">
        <v>0</v>
      </c>
      <c r="AA40" s="189">
        <v>0</v>
      </c>
      <c r="AB40" s="271" t="s">
        <v>36</v>
      </c>
      <c r="AC40" s="272" t="s">
        <v>36</v>
      </c>
      <c r="AD40" s="272">
        <v>0</v>
      </c>
      <c r="AE40" s="272">
        <v>0.87788189914012749</v>
      </c>
      <c r="AF40" s="272">
        <v>0.89845126476114645</v>
      </c>
      <c r="AG40" s="272">
        <v>0.96937791681528662</v>
      </c>
      <c r="AH40" s="272">
        <v>1</v>
      </c>
      <c r="AI40" s="272">
        <v>1</v>
      </c>
      <c r="AJ40" s="272">
        <v>1</v>
      </c>
      <c r="AK40" s="272">
        <v>1</v>
      </c>
      <c r="AL40" s="273">
        <f>'Anexo 2'!I39</f>
        <v>1</v>
      </c>
      <c r="AM40" s="281" t="s">
        <v>36</v>
      </c>
      <c r="AN40" s="282" t="s">
        <v>36</v>
      </c>
      <c r="AO40" s="282">
        <v>0</v>
      </c>
      <c r="AP40" s="282">
        <v>7.1000000000000004E-3</v>
      </c>
      <c r="AQ40" s="282">
        <v>2.5499999999999998E-2</v>
      </c>
      <c r="AR40" s="282">
        <v>6.0999999999999999E-2</v>
      </c>
      <c r="AS40" s="282">
        <v>0.20519999999999999</v>
      </c>
      <c r="AT40" s="282">
        <v>0.3392</v>
      </c>
      <c r="AU40" s="285">
        <v>0.45479999999999998</v>
      </c>
      <c r="AV40" s="286">
        <v>0.76060000000000005</v>
      </c>
      <c r="AW40" s="287">
        <f>'Anexo 2'!J39</f>
        <v>0.82279999999999998</v>
      </c>
      <c r="AX40" s="274"/>
      <c r="AY40" s="9"/>
      <c r="AZ40" s="114"/>
      <c r="BA40" s="210"/>
    </row>
    <row r="41" spans="1:53" s="46" customFormat="1" ht="21.6" customHeight="1">
      <c r="A41" s="206" t="s">
        <v>93</v>
      </c>
      <c r="B41" s="30" t="s">
        <v>219</v>
      </c>
      <c r="C41" s="39" t="s">
        <v>38</v>
      </c>
      <c r="D41" s="110">
        <f>'Anexo 1'!E40</f>
        <v>296000000</v>
      </c>
      <c r="E41" s="189">
        <f>'Anexo 2'!E40</f>
        <v>233280891.27999997</v>
      </c>
      <c r="F41" s="110" t="s">
        <v>36</v>
      </c>
      <c r="G41" s="110" t="s">
        <v>36</v>
      </c>
      <c r="H41" s="110">
        <v>0</v>
      </c>
      <c r="I41" s="110">
        <v>0</v>
      </c>
      <c r="J41" s="110">
        <v>0</v>
      </c>
      <c r="K41" s="110">
        <v>0</v>
      </c>
      <c r="L41" s="110">
        <v>37374665.859999999</v>
      </c>
      <c r="M41" s="110">
        <v>39012508.710000001</v>
      </c>
      <c r="N41" s="110">
        <v>62032244.909999996</v>
      </c>
      <c r="O41" s="32">
        <v>53087088.469999999</v>
      </c>
      <c r="P41" s="198">
        <f>'Anexo 3'!G42</f>
        <v>41774383.329999998</v>
      </c>
      <c r="Q41" s="275" t="s">
        <v>36</v>
      </c>
      <c r="R41" s="110" t="s">
        <v>36</v>
      </c>
      <c r="S41" s="110">
        <v>0</v>
      </c>
      <c r="T41" s="110">
        <v>0</v>
      </c>
      <c r="U41" s="110">
        <v>0</v>
      </c>
      <c r="V41" s="110">
        <v>0</v>
      </c>
      <c r="W41" s="110">
        <v>275444.44</v>
      </c>
      <c r="X41" s="110">
        <v>654723.52</v>
      </c>
      <c r="Y41" s="110">
        <v>525697.44999999995</v>
      </c>
      <c r="Z41" s="110">
        <v>367992.26</v>
      </c>
      <c r="AA41" s="189">
        <v>122583.09</v>
      </c>
      <c r="AB41" s="271" t="s">
        <v>36</v>
      </c>
      <c r="AC41" s="272" t="s">
        <v>36</v>
      </c>
      <c r="AD41" s="272">
        <v>0</v>
      </c>
      <c r="AE41" s="272">
        <v>0</v>
      </c>
      <c r="AF41" s="272">
        <v>0</v>
      </c>
      <c r="AG41" s="272">
        <v>0</v>
      </c>
      <c r="AH41" s="272">
        <v>0.12626576304054055</v>
      </c>
      <c r="AI41" s="272">
        <v>0.25806477895270274</v>
      </c>
      <c r="AJ41" s="272">
        <v>0.46760000000000002</v>
      </c>
      <c r="AK41" s="272">
        <v>0.64698144577702699</v>
      </c>
      <c r="AL41" s="273">
        <f>'Anexo 2'!I40</f>
        <v>0.78811111918918908</v>
      </c>
      <c r="AM41" s="281"/>
      <c r="AN41" s="282"/>
      <c r="AO41" s="282"/>
      <c r="AP41" s="282"/>
      <c r="AQ41" s="282">
        <v>0</v>
      </c>
      <c r="AR41" s="282"/>
      <c r="AS41" s="282"/>
      <c r="AT41" s="282"/>
      <c r="AU41" s="285"/>
      <c r="AV41" s="286"/>
      <c r="AW41" s="287"/>
      <c r="AX41" s="274"/>
      <c r="AY41" s="9"/>
      <c r="AZ41" s="114"/>
      <c r="BA41" s="210"/>
    </row>
    <row r="42" spans="1:53" s="46" customFormat="1">
      <c r="A42" s="206"/>
      <c r="B42" s="9"/>
      <c r="C42" s="39"/>
      <c r="D42" s="117">
        <f>SUM(D40:D41)</f>
        <v>386542773.12</v>
      </c>
      <c r="E42" s="134">
        <f>SUM(E40:E41)</f>
        <v>323823664.39999998</v>
      </c>
      <c r="F42" s="117">
        <f t="shared" ref="F42:P42" si="8">SUM(F40:F41)</f>
        <v>0</v>
      </c>
      <c r="G42" s="117">
        <f t="shared" si="8"/>
        <v>0</v>
      </c>
      <c r="H42" s="117">
        <f t="shared" si="8"/>
        <v>0</v>
      </c>
      <c r="I42" s="117">
        <f t="shared" si="8"/>
        <v>79150875.799660102</v>
      </c>
      <c r="J42" s="117">
        <f t="shared" si="8"/>
        <v>1899621.02</v>
      </c>
      <c r="K42" s="117">
        <f t="shared" si="8"/>
        <v>6648673.5599999996</v>
      </c>
      <c r="L42" s="117">
        <f t="shared" si="8"/>
        <v>40218268.600199603</v>
      </c>
      <c r="M42" s="117">
        <f t="shared" si="8"/>
        <v>39012508.710000001</v>
      </c>
      <c r="N42" s="117">
        <f t="shared" si="8"/>
        <v>62032244.909999996</v>
      </c>
      <c r="O42" s="45">
        <f t="shared" si="8"/>
        <v>53087088.469999999</v>
      </c>
      <c r="P42" s="199">
        <f t="shared" si="8"/>
        <v>41774383.329999998</v>
      </c>
      <c r="Q42" s="276">
        <f t="shared" ref="Q42:AA42" si="9">SUM(Q40:Q41)</f>
        <v>0</v>
      </c>
      <c r="R42" s="117">
        <f t="shared" si="9"/>
        <v>0</v>
      </c>
      <c r="S42" s="117">
        <f t="shared" si="9"/>
        <v>0</v>
      </c>
      <c r="T42" s="117">
        <f t="shared" si="9"/>
        <v>0</v>
      </c>
      <c r="U42" s="117">
        <f t="shared" si="9"/>
        <v>20174.240000000002</v>
      </c>
      <c r="V42" s="117">
        <f t="shared" si="9"/>
        <v>21929.33</v>
      </c>
      <c r="W42" s="117">
        <f t="shared" si="9"/>
        <v>279356.24</v>
      </c>
      <c r="X42" s="117">
        <f t="shared" si="9"/>
        <v>654723.52</v>
      </c>
      <c r="Y42" s="117">
        <f t="shared" si="9"/>
        <v>525697.44999999995</v>
      </c>
      <c r="Z42" s="117">
        <f t="shared" ref="Z42" si="10">SUM(Z40:Z41)</f>
        <v>367992.26</v>
      </c>
      <c r="AA42" s="134">
        <f t="shared" si="9"/>
        <v>122583.09</v>
      </c>
      <c r="AB42" s="277"/>
      <c r="AC42" s="278"/>
      <c r="AD42" s="278"/>
      <c r="AE42" s="278"/>
      <c r="AF42" s="278"/>
      <c r="AG42" s="278"/>
      <c r="AH42" s="278"/>
      <c r="AI42" s="278"/>
      <c r="AL42" s="279"/>
      <c r="AM42" s="277"/>
      <c r="AN42" s="278"/>
      <c r="AO42" s="272"/>
      <c r="AP42" s="272"/>
      <c r="AQ42" s="272"/>
      <c r="AR42" s="272"/>
      <c r="AS42" s="272"/>
      <c r="AT42" s="272"/>
      <c r="AU42" s="193"/>
      <c r="AV42" s="193"/>
      <c r="AW42" s="280"/>
      <c r="AX42" s="274"/>
      <c r="AY42" s="9"/>
      <c r="AZ42" s="114"/>
      <c r="BA42" s="210"/>
    </row>
    <row r="43" spans="1:53" s="9" customFormat="1">
      <c r="A43" s="231"/>
      <c r="B43" s="90"/>
      <c r="C43" s="39"/>
      <c r="D43" s="110"/>
      <c r="E43" s="189"/>
      <c r="F43" s="110"/>
      <c r="G43" s="110"/>
      <c r="H43" s="110"/>
      <c r="I43" s="110"/>
      <c r="J43" s="110"/>
      <c r="K43" s="110"/>
      <c r="L43" s="110"/>
      <c r="N43" s="110"/>
      <c r="O43" s="32"/>
      <c r="P43" s="198"/>
      <c r="Q43" s="275"/>
      <c r="R43" s="110"/>
      <c r="S43" s="110"/>
      <c r="T43" s="110"/>
      <c r="U43" s="110"/>
      <c r="V43" s="110"/>
      <c r="W43" s="110"/>
      <c r="X43" s="110"/>
      <c r="AA43" s="28"/>
      <c r="AB43" s="271"/>
      <c r="AC43" s="272"/>
      <c r="AD43" s="272"/>
      <c r="AE43" s="272"/>
      <c r="AF43" s="272"/>
      <c r="AG43" s="272"/>
      <c r="AH43" s="272"/>
      <c r="AI43" s="272"/>
      <c r="AL43" s="257"/>
      <c r="AM43" s="271"/>
      <c r="AN43" s="272"/>
      <c r="AO43" s="272"/>
      <c r="AP43" s="272"/>
      <c r="AQ43" s="272"/>
      <c r="AR43" s="272"/>
      <c r="AS43" s="272"/>
      <c r="AT43" s="272"/>
      <c r="AU43" s="131"/>
      <c r="AV43" s="131"/>
      <c r="AW43" s="184"/>
      <c r="AX43" s="274"/>
      <c r="AZ43" s="114"/>
      <c r="BA43" s="210"/>
    </row>
    <row r="44" spans="1:53" s="9" customFormat="1">
      <c r="A44" s="229" t="s">
        <v>95</v>
      </c>
      <c r="C44" s="39"/>
      <c r="D44" s="110"/>
      <c r="E44" s="189"/>
      <c r="F44" s="110"/>
      <c r="G44" s="110"/>
      <c r="H44" s="110"/>
      <c r="I44" s="110"/>
      <c r="J44" s="110"/>
      <c r="K44" s="110"/>
      <c r="L44" s="110"/>
      <c r="N44" s="110"/>
      <c r="O44" s="32"/>
      <c r="P44" s="198"/>
      <c r="Q44" s="275"/>
      <c r="R44" s="110"/>
      <c r="S44" s="110"/>
      <c r="T44" s="110"/>
      <c r="U44" s="110"/>
      <c r="V44" s="110"/>
      <c r="W44" s="110"/>
      <c r="X44" s="110"/>
      <c r="AA44" s="28"/>
      <c r="AB44" s="271"/>
      <c r="AC44" s="272"/>
      <c r="AD44" s="272"/>
      <c r="AE44" s="272"/>
      <c r="AF44" s="272"/>
      <c r="AG44" s="272"/>
      <c r="AH44" s="272"/>
      <c r="AI44" s="272"/>
      <c r="AL44" s="257"/>
      <c r="AM44" s="271"/>
      <c r="AN44" s="272"/>
      <c r="AO44" s="272"/>
      <c r="AP44" s="272"/>
      <c r="AQ44" s="272"/>
      <c r="AR44" s="272"/>
      <c r="AS44" s="272"/>
      <c r="AT44" s="272"/>
      <c r="AU44" s="131"/>
      <c r="AV44" s="131"/>
      <c r="AW44" s="184"/>
      <c r="AX44" s="274"/>
      <c r="AZ44" s="114"/>
      <c r="BA44" s="210"/>
    </row>
    <row r="45" spans="1:53" s="9" customFormat="1" ht="22.95" customHeight="1">
      <c r="A45" s="206" t="s">
        <v>96</v>
      </c>
      <c r="B45" s="9" t="s">
        <v>220</v>
      </c>
      <c r="C45" s="39" t="s">
        <v>73</v>
      </c>
      <c r="D45" s="110">
        <f>'Anexo 1'!E44</f>
        <v>180018008.03435379</v>
      </c>
      <c r="E45" s="189">
        <f>'Anexo 2'!E44</f>
        <v>29961626.257099323</v>
      </c>
      <c r="F45" s="110" t="s">
        <v>36</v>
      </c>
      <c r="G45" s="110" t="s">
        <v>36</v>
      </c>
      <c r="H45" s="110" t="s">
        <v>36</v>
      </c>
      <c r="I45" s="110" t="s">
        <v>36</v>
      </c>
      <c r="J45" s="110">
        <v>0</v>
      </c>
      <c r="K45" s="110">
        <f>17318639/K84</f>
        <v>157399.24566027446</v>
      </c>
      <c r="L45" s="110">
        <f>1216372948/L84</f>
        <v>11210810.580645161</v>
      </c>
      <c r="M45" s="110">
        <f>(1118131105)/M84</f>
        <v>10848269.185990104</v>
      </c>
      <c r="N45" s="110">
        <f>1399114822/N84</f>
        <v>12155645.716768028</v>
      </c>
      <c r="O45" s="32">
        <v>4167945.4759196057</v>
      </c>
      <c r="P45" s="198">
        <f>'Anexo 3'!G46</f>
        <v>175775.55063028121</v>
      </c>
      <c r="Q45" s="275" t="s">
        <v>36</v>
      </c>
      <c r="R45" s="110" t="s">
        <v>36</v>
      </c>
      <c r="S45" s="110" t="s">
        <v>36</v>
      </c>
      <c r="T45" s="110" t="s">
        <v>36</v>
      </c>
      <c r="U45" s="110">
        <v>0</v>
      </c>
      <c r="V45" s="110">
        <v>3273322.4019999998</v>
      </c>
      <c r="W45" s="110">
        <v>235399.253</v>
      </c>
      <c r="X45" s="110">
        <v>227368.64600000001</v>
      </c>
      <c r="Y45" s="110">
        <v>204064.986</v>
      </c>
      <c r="Z45" s="110">
        <v>164612.24900000001</v>
      </c>
      <c r="AA45" s="189">
        <v>76101.759999999995</v>
      </c>
      <c r="AB45" s="271" t="s">
        <v>36</v>
      </c>
      <c r="AC45" s="272" t="s">
        <v>36</v>
      </c>
      <c r="AD45" s="272" t="s">
        <v>36</v>
      </c>
      <c r="AE45" s="272" t="s">
        <v>36</v>
      </c>
      <c r="AF45" s="272" t="s">
        <v>36</v>
      </c>
      <c r="AG45" s="272">
        <v>6.663321534377284E-4</v>
      </c>
      <c r="AH45" s="272">
        <v>4.7466106998576431E-2</v>
      </c>
      <c r="AI45" s="272">
        <v>9.0486041014197216E-2</v>
      </c>
      <c r="AJ45" s="272">
        <v>0.14431678327113232</v>
      </c>
      <c r="AK45" s="272">
        <v>0.16546039494440384</v>
      </c>
      <c r="AL45" s="273">
        <f>'Anexo 2'!I44</f>
        <v>0.16643682809434035</v>
      </c>
      <c r="AM45" s="271" t="s">
        <v>36</v>
      </c>
      <c r="AN45" s="272" t="s">
        <v>36</v>
      </c>
      <c r="AO45" s="272" t="s">
        <v>36</v>
      </c>
      <c r="AP45" s="272" t="s">
        <v>36</v>
      </c>
      <c r="AQ45" s="272">
        <v>2.5000000000000001E-3</v>
      </c>
      <c r="AR45" s="272">
        <v>1.6477200000000001E-2</v>
      </c>
      <c r="AS45" s="272">
        <v>0.10839093399999999</v>
      </c>
      <c r="AT45" s="272">
        <v>0.16761234999999997</v>
      </c>
      <c r="AU45" s="131">
        <v>0.2567179544</v>
      </c>
      <c r="AV45" s="131">
        <v>0.3014</v>
      </c>
      <c r="AW45" s="184">
        <f>'Anexo 2'!J44</f>
        <v>0.31919999999999998</v>
      </c>
      <c r="AX45" s="274"/>
      <c r="AZ45" s="114"/>
      <c r="BA45" s="210"/>
    </row>
    <row r="46" spans="1:53" s="9" customFormat="1">
      <c r="A46" s="206"/>
      <c r="C46" s="39"/>
      <c r="D46" s="117">
        <f t="shared" ref="D46:AA46" si="11">SUM(D45:D45)</f>
        <v>180018008.03435379</v>
      </c>
      <c r="E46" s="134">
        <f t="shared" si="11"/>
        <v>29961626.257099323</v>
      </c>
      <c r="F46" s="117">
        <f t="shared" si="11"/>
        <v>0</v>
      </c>
      <c r="G46" s="117">
        <f t="shared" si="11"/>
        <v>0</v>
      </c>
      <c r="H46" s="117">
        <f t="shared" si="11"/>
        <v>0</v>
      </c>
      <c r="I46" s="117">
        <f t="shared" si="11"/>
        <v>0</v>
      </c>
      <c r="J46" s="117">
        <f t="shared" si="11"/>
        <v>0</v>
      </c>
      <c r="K46" s="117">
        <f t="shared" si="11"/>
        <v>157399.24566027446</v>
      </c>
      <c r="L46" s="117">
        <f t="shared" si="11"/>
        <v>11210810.580645161</v>
      </c>
      <c r="M46" s="117">
        <f t="shared" si="11"/>
        <v>10848269.185990104</v>
      </c>
      <c r="N46" s="117">
        <f t="shared" si="11"/>
        <v>12155645.716768028</v>
      </c>
      <c r="O46" s="45">
        <f t="shared" si="11"/>
        <v>4167945.4759196057</v>
      </c>
      <c r="P46" s="199">
        <f t="shared" si="11"/>
        <v>175775.55063028121</v>
      </c>
      <c r="Q46" s="276">
        <f t="shared" si="11"/>
        <v>0</v>
      </c>
      <c r="R46" s="117">
        <f t="shared" si="11"/>
        <v>0</v>
      </c>
      <c r="S46" s="117">
        <f t="shared" si="11"/>
        <v>0</v>
      </c>
      <c r="T46" s="117">
        <f t="shared" si="11"/>
        <v>0</v>
      </c>
      <c r="U46" s="117">
        <f t="shared" si="11"/>
        <v>0</v>
      </c>
      <c r="V46" s="117">
        <f t="shared" si="11"/>
        <v>3273322.4019999998</v>
      </c>
      <c r="W46" s="117">
        <f t="shared" si="11"/>
        <v>235399.253</v>
      </c>
      <c r="X46" s="117">
        <f t="shared" si="11"/>
        <v>227368.64600000001</v>
      </c>
      <c r="Y46" s="117">
        <f t="shared" si="11"/>
        <v>204064.986</v>
      </c>
      <c r="Z46" s="117">
        <f t="shared" ref="Z46" si="12">SUM(Z45:Z45)</f>
        <v>164612.24900000001</v>
      </c>
      <c r="AA46" s="134">
        <f t="shared" si="11"/>
        <v>76101.759999999995</v>
      </c>
      <c r="AB46" s="277"/>
      <c r="AC46" s="278"/>
      <c r="AD46" s="278"/>
      <c r="AE46" s="278"/>
      <c r="AF46" s="278"/>
      <c r="AG46" s="278"/>
      <c r="AH46" s="278"/>
      <c r="AI46" s="278"/>
      <c r="AL46" s="257"/>
      <c r="AM46" s="271"/>
      <c r="AN46" s="272"/>
      <c r="AO46" s="272"/>
      <c r="AP46" s="272"/>
      <c r="AQ46" s="272"/>
      <c r="AR46" s="272"/>
      <c r="AS46" s="272"/>
      <c r="AT46" s="272"/>
      <c r="AU46" s="131"/>
      <c r="AV46" s="131"/>
      <c r="AW46" s="184"/>
      <c r="AX46" s="274"/>
      <c r="AZ46" s="114"/>
      <c r="BA46" s="210"/>
    </row>
    <row r="47" spans="1:53" s="9" customFormat="1">
      <c r="A47" s="206"/>
      <c r="C47" s="39"/>
      <c r="D47" s="117"/>
      <c r="E47" s="288"/>
      <c r="F47" s="117"/>
      <c r="G47" s="117"/>
      <c r="H47" s="117"/>
      <c r="I47" s="117"/>
      <c r="J47" s="117"/>
      <c r="K47" s="117"/>
      <c r="L47" s="117"/>
      <c r="N47" s="117"/>
      <c r="O47" s="45"/>
      <c r="P47" s="199"/>
      <c r="Q47" s="276"/>
      <c r="R47" s="117"/>
      <c r="S47" s="117"/>
      <c r="T47" s="117"/>
      <c r="U47" s="117"/>
      <c r="V47" s="117"/>
      <c r="W47" s="117"/>
      <c r="X47" s="117"/>
      <c r="AA47" s="28"/>
      <c r="AB47" s="277"/>
      <c r="AC47" s="278"/>
      <c r="AD47" s="278"/>
      <c r="AE47" s="278"/>
      <c r="AF47" s="278"/>
      <c r="AG47" s="278"/>
      <c r="AH47" s="278"/>
      <c r="AI47" s="278"/>
      <c r="AL47" s="257"/>
      <c r="AM47" s="271"/>
      <c r="AN47" s="272"/>
      <c r="AO47" s="272"/>
      <c r="AP47" s="272"/>
      <c r="AQ47" s="272"/>
      <c r="AR47" s="272"/>
      <c r="AS47" s="272"/>
      <c r="AT47" s="272"/>
      <c r="AU47" s="131"/>
      <c r="AV47" s="131"/>
      <c r="AW47" s="184"/>
      <c r="AX47" s="274"/>
      <c r="AZ47" s="114"/>
      <c r="BA47" s="210"/>
    </row>
    <row r="48" spans="1:53" s="9" customFormat="1">
      <c r="A48" s="206" t="s">
        <v>98</v>
      </c>
      <c r="C48" s="39"/>
      <c r="D48" s="117"/>
      <c r="E48" s="134"/>
      <c r="F48" s="117"/>
      <c r="G48" s="117"/>
      <c r="H48" s="117"/>
      <c r="I48" s="117"/>
      <c r="J48" s="117"/>
      <c r="K48" s="117"/>
      <c r="L48" s="117"/>
      <c r="N48" s="117"/>
      <c r="O48" s="45"/>
      <c r="P48" s="199"/>
      <c r="Q48" s="276"/>
      <c r="R48" s="117"/>
      <c r="S48" s="117"/>
      <c r="T48" s="117"/>
      <c r="U48" s="117"/>
      <c r="V48" s="117"/>
      <c r="W48" s="117"/>
      <c r="X48" s="117"/>
      <c r="AA48" s="28"/>
      <c r="AB48" s="277"/>
      <c r="AC48" s="278"/>
      <c r="AD48" s="278"/>
      <c r="AE48" s="278"/>
      <c r="AF48" s="278"/>
      <c r="AG48" s="278"/>
      <c r="AH48" s="278"/>
      <c r="AI48" s="278"/>
      <c r="AL48" s="257"/>
      <c r="AM48" s="271"/>
      <c r="AN48" s="272"/>
      <c r="AO48" s="272"/>
      <c r="AP48" s="272"/>
      <c r="AQ48" s="272"/>
      <c r="AR48" s="272"/>
      <c r="AS48" s="272"/>
      <c r="AT48" s="272"/>
      <c r="AU48" s="131"/>
      <c r="AV48" s="131"/>
      <c r="AW48" s="184"/>
      <c r="AX48" s="274"/>
      <c r="AZ48" s="114"/>
      <c r="BA48" s="210"/>
    </row>
    <row r="49" spans="1:89" s="26" customFormat="1" ht="21" customHeight="1">
      <c r="A49" s="289">
        <f>'Anexo 4'!A49</f>
        <v>28568</v>
      </c>
      <c r="B49" s="160" t="s">
        <v>221</v>
      </c>
      <c r="C49" s="160" t="str">
        <f>'Anexo 4'!C49</f>
        <v>AyA</v>
      </c>
      <c r="D49" s="32">
        <f>'Anexo 4'!D49</f>
        <v>86580149.231100008</v>
      </c>
      <c r="E49" s="198">
        <f>'Anexo 2'!E48</f>
        <v>33926.086500000005</v>
      </c>
      <c r="F49" s="32" t="s">
        <v>36</v>
      </c>
      <c r="G49" s="32" t="s">
        <v>36</v>
      </c>
      <c r="H49" s="32" t="s">
        <v>36</v>
      </c>
      <c r="I49" s="32" t="s">
        <v>36</v>
      </c>
      <c r="J49" s="32" t="s">
        <v>36</v>
      </c>
      <c r="K49" s="32" t="s">
        <v>36</v>
      </c>
      <c r="L49" s="32">
        <v>0</v>
      </c>
      <c r="M49" s="32">
        <v>0</v>
      </c>
      <c r="N49" s="110">
        <v>0</v>
      </c>
      <c r="O49" s="32">
        <v>0</v>
      </c>
      <c r="P49" s="198">
        <f>'Anexo 3'!G50</f>
        <v>33926.086500000005</v>
      </c>
      <c r="Q49" s="275" t="s">
        <v>36</v>
      </c>
      <c r="R49" s="32" t="s">
        <v>36</v>
      </c>
      <c r="S49" s="32" t="s">
        <v>36</v>
      </c>
      <c r="T49" s="32" t="s">
        <v>36</v>
      </c>
      <c r="U49" s="110" t="s">
        <v>36</v>
      </c>
      <c r="V49" s="110" t="s">
        <v>36</v>
      </c>
      <c r="W49" s="110">
        <v>88330.94</v>
      </c>
      <c r="X49" s="110">
        <v>224450.57</v>
      </c>
      <c r="Y49" s="110">
        <v>233486.18</v>
      </c>
      <c r="Z49" s="110">
        <v>205732.22999999998</v>
      </c>
      <c r="AA49" s="189">
        <v>108463.02</v>
      </c>
      <c r="AB49" s="271" t="s">
        <v>36</v>
      </c>
      <c r="AC49" s="272" t="s">
        <v>36</v>
      </c>
      <c r="AD49" s="272" t="s">
        <v>36</v>
      </c>
      <c r="AE49" s="272" t="s">
        <v>36</v>
      </c>
      <c r="AF49" s="272" t="s">
        <v>36</v>
      </c>
      <c r="AG49" s="272" t="s">
        <v>36</v>
      </c>
      <c r="AH49" s="272">
        <v>0</v>
      </c>
      <c r="AI49" s="272">
        <v>0</v>
      </c>
      <c r="AJ49" s="272">
        <v>0</v>
      </c>
      <c r="AK49" s="272">
        <v>0</v>
      </c>
      <c r="AL49" s="273">
        <f>'Anexo 2'!I48</f>
        <v>3.9184601552769778E-4</v>
      </c>
      <c r="AM49" s="271" t="s">
        <v>36</v>
      </c>
      <c r="AN49" s="272" t="s">
        <v>36</v>
      </c>
      <c r="AO49" s="272" t="s">
        <v>36</v>
      </c>
      <c r="AP49" s="272" t="s">
        <v>36</v>
      </c>
      <c r="AQ49" s="272" t="s">
        <v>36</v>
      </c>
      <c r="AR49" s="272" t="s">
        <v>36</v>
      </c>
      <c r="AS49" s="272">
        <v>9.3100000000000002E-2</v>
      </c>
      <c r="AT49" s="272">
        <v>0.17073874378793383</v>
      </c>
      <c r="AU49" s="131">
        <v>0.17979999999999999</v>
      </c>
      <c r="AV49" s="131">
        <v>0.18579999999999999</v>
      </c>
      <c r="AW49" s="188">
        <f>'Anexo 2'!J48</f>
        <v>0.2235</v>
      </c>
      <c r="AX49" s="274"/>
      <c r="AY49" s="9"/>
      <c r="AZ49" s="114"/>
      <c r="BA49" s="210"/>
    </row>
    <row r="50" spans="1:89" s="9" customFormat="1">
      <c r="A50" s="206"/>
      <c r="C50" s="39"/>
      <c r="D50" s="117">
        <f>SUM(D49)</f>
        <v>86580149.231100008</v>
      </c>
      <c r="E50" s="134">
        <f>SUM(E49)</f>
        <v>33926.086500000005</v>
      </c>
      <c r="F50" s="117">
        <f t="shared" ref="F50:AA50" si="13">SUM(F49)</f>
        <v>0</v>
      </c>
      <c r="G50" s="117">
        <f t="shared" si="13"/>
        <v>0</v>
      </c>
      <c r="H50" s="117">
        <f t="shared" si="13"/>
        <v>0</v>
      </c>
      <c r="I50" s="117">
        <f t="shared" si="13"/>
        <v>0</v>
      </c>
      <c r="J50" s="117">
        <f t="shared" si="13"/>
        <v>0</v>
      </c>
      <c r="K50" s="117">
        <f t="shared" si="13"/>
        <v>0</v>
      </c>
      <c r="L50" s="117">
        <f>SUM(L49)</f>
        <v>0</v>
      </c>
      <c r="M50" s="117">
        <f>SUM(M49)</f>
        <v>0</v>
      </c>
      <c r="N50" s="117">
        <f t="shared" si="13"/>
        <v>0</v>
      </c>
      <c r="O50" s="45">
        <f t="shared" si="13"/>
        <v>0</v>
      </c>
      <c r="P50" s="199">
        <f t="shared" si="13"/>
        <v>33926.086500000005</v>
      </c>
      <c r="Q50" s="276">
        <f t="shared" si="13"/>
        <v>0</v>
      </c>
      <c r="R50" s="117">
        <f t="shared" si="13"/>
        <v>0</v>
      </c>
      <c r="S50" s="117">
        <f t="shared" si="13"/>
        <v>0</v>
      </c>
      <c r="T50" s="117">
        <f t="shared" si="13"/>
        <v>0</v>
      </c>
      <c r="U50" s="117">
        <f t="shared" si="13"/>
        <v>0</v>
      </c>
      <c r="V50" s="117">
        <f t="shared" si="13"/>
        <v>0</v>
      </c>
      <c r="W50" s="117">
        <f t="shared" si="13"/>
        <v>88330.94</v>
      </c>
      <c r="X50" s="117">
        <f t="shared" si="13"/>
        <v>224450.57</v>
      </c>
      <c r="Y50" s="117">
        <f t="shared" si="13"/>
        <v>233486.18</v>
      </c>
      <c r="Z50" s="117">
        <f t="shared" ref="Z50" si="14">SUM(Z49)</f>
        <v>205732.22999999998</v>
      </c>
      <c r="AA50" s="134">
        <f t="shared" si="13"/>
        <v>108463.02</v>
      </c>
      <c r="AB50" s="277"/>
      <c r="AC50" s="278"/>
      <c r="AD50" s="278"/>
      <c r="AE50" s="278"/>
      <c r="AF50" s="278"/>
      <c r="AG50" s="278"/>
      <c r="AH50" s="278"/>
      <c r="AI50" s="278"/>
      <c r="AJ50" s="278"/>
      <c r="AK50" s="278"/>
      <c r="AL50" s="290"/>
      <c r="AM50" s="271"/>
      <c r="AN50" s="272"/>
      <c r="AO50" s="272"/>
      <c r="AP50" s="272"/>
      <c r="AQ50" s="272"/>
      <c r="AR50" s="272"/>
      <c r="AS50" s="272"/>
      <c r="AT50" s="272"/>
      <c r="AW50" s="28"/>
      <c r="AX50" s="274"/>
      <c r="BA50" s="291"/>
    </row>
    <row r="51" spans="1:89" s="26" customFormat="1">
      <c r="A51" s="289"/>
      <c r="C51" s="85"/>
      <c r="D51" s="45"/>
      <c r="E51" s="199"/>
      <c r="F51" s="45"/>
      <c r="G51" s="45"/>
      <c r="H51" s="45"/>
      <c r="I51" s="45"/>
      <c r="J51" s="45"/>
      <c r="K51" s="45"/>
      <c r="L51" s="45"/>
      <c r="N51" s="45"/>
      <c r="O51" s="45"/>
      <c r="P51" s="199"/>
      <c r="Q51" s="276"/>
      <c r="R51" s="45"/>
      <c r="S51" s="45"/>
      <c r="T51" s="45"/>
      <c r="U51" s="117"/>
      <c r="V51" s="117"/>
      <c r="W51" s="117"/>
      <c r="X51" s="117"/>
      <c r="AA51" s="257"/>
      <c r="AB51" s="277"/>
      <c r="AC51" s="278"/>
      <c r="AD51" s="278"/>
      <c r="AE51" s="278"/>
      <c r="AF51" s="278"/>
      <c r="AG51" s="278"/>
      <c r="AH51" s="278"/>
      <c r="AI51" s="278"/>
      <c r="AJ51" s="278"/>
      <c r="AK51" s="278"/>
      <c r="AL51" s="292"/>
      <c r="AM51" s="271"/>
      <c r="AN51" s="272"/>
      <c r="AO51" s="272"/>
      <c r="AP51" s="272"/>
      <c r="AQ51" s="272"/>
      <c r="AR51" s="272"/>
      <c r="AS51" s="272"/>
      <c r="AT51" s="272"/>
      <c r="AU51" s="9"/>
      <c r="AV51" s="9"/>
      <c r="AW51" s="28"/>
      <c r="AX51" s="274"/>
      <c r="AY51" s="9"/>
      <c r="BA51" s="243"/>
    </row>
    <row r="52" spans="1:89">
      <c r="A52" s="293"/>
      <c r="B52" s="294"/>
      <c r="C52" s="295"/>
      <c r="D52" s="296"/>
      <c r="E52" s="297"/>
      <c r="F52" s="296"/>
      <c r="G52" s="45"/>
      <c r="H52" s="45"/>
      <c r="I52" s="117"/>
      <c r="J52" s="117"/>
      <c r="K52" s="117"/>
      <c r="L52" s="117"/>
      <c r="N52" s="117"/>
      <c r="O52" s="117"/>
      <c r="P52" s="134"/>
      <c r="Q52" s="298"/>
      <c r="R52" s="117"/>
      <c r="S52" s="117"/>
      <c r="T52" s="117"/>
      <c r="U52" s="117"/>
      <c r="V52" s="117"/>
      <c r="W52" s="117"/>
      <c r="X52" s="117"/>
      <c r="AA52" s="28"/>
      <c r="AB52" s="277"/>
      <c r="AC52" s="278"/>
      <c r="AD52" s="278"/>
      <c r="AE52" s="278"/>
      <c r="AF52" s="278"/>
      <c r="AG52" s="278"/>
      <c r="AH52" s="278"/>
      <c r="AI52" s="278"/>
      <c r="AJ52" s="278"/>
      <c r="AK52" s="278"/>
      <c r="AL52" s="292"/>
      <c r="AM52" s="271"/>
      <c r="AN52" s="272"/>
      <c r="AO52" s="272"/>
      <c r="AP52" s="272"/>
      <c r="AQ52" s="272"/>
      <c r="AR52" s="272"/>
      <c r="AS52" s="272"/>
      <c r="AT52" s="272"/>
      <c r="AU52" s="9"/>
      <c r="AV52" s="9"/>
      <c r="AW52" s="28"/>
      <c r="AX52" s="274"/>
      <c r="AY52" s="9"/>
    </row>
    <row r="53" spans="1:89" s="9" customFormat="1">
      <c r="A53" s="206" t="s">
        <v>100</v>
      </c>
      <c r="B53" s="72"/>
      <c r="C53" s="39"/>
      <c r="D53" s="117">
        <f t="shared" ref="D53:AA53" si="15">D20+D31+D37+D42+D46+D50</f>
        <v>4186697387.6754537</v>
      </c>
      <c r="E53" s="134">
        <f t="shared" si="15"/>
        <v>2266127076.8635993</v>
      </c>
      <c r="F53" s="117">
        <f t="shared" si="15"/>
        <v>16000000</v>
      </c>
      <c r="G53" s="117">
        <f t="shared" si="15"/>
        <v>57953803</v>
      </c>
      <c r="H53" s="117">
        <f t="shared" si="15"/>
        <v>70772956.409999996</v>
      </c>
      <c r="I53" s="117">
        <f t="shared" si="15"/>
        <v>311918751.14966011</v>
      </c>
      <c r="J53" s="117">
        <f t="shared" si="15"/>
        <v>84820497.280000001</v>
      </c>
      <c r="K53" s="117">
        <f t="shared" si="15"/>
        <v>265596929.64566028</v>
      </c>
      <c r="L53" s="117">
        <f t="shared" si="15"/>
        <v>283782470.70084471</v>
      </c>
      <c r="M53" s="117">
        <f t="shared" si="15"/>
        <v>302141408.01599008</v>
      </c>
      <c r="N53" s="117">
        <f t="shared" si="15"/>
        <v>310920329.10676801</v>
      </c>
      <c r="O53" s="117">
        <f t="shared" si="15"/>
        <v>370930133.6059196</v>
      </c>
      <c r="P53" s="134">
        <f t="shared" si="15"/>
        <v>170362815.82713026</v>
      </c>
      <c r="Q53" s="298">
        <f t="shared" si="15"/>
        <v>1981068.0399999998</v>
      </c>
      <c r="R53" s="117">
        <f t="shared" si="15"/>
        <v>2364229.02</v>
      </c>
      <c r="S53" s="117">
        <f t="shared" si="15"/>
        <v>3487324.42</v>
      </c>
      <c r="T53" s="117">
        <f t="shared" si="15"/>
        <v>4749249.4399999995</v>
      </c>
      <c r="U53" s="117">
        <f t="shared" si="15"/>
        <v>5800601.4100000001</v>
      </c>
      <c r="V53" s="117">
        <f t="shared" si="15"/>
        <v>8139350.6120000007</v>
      </c>
      <c r="W53" s="117">
        <f t="shared" si="15"/>
        <v>5331717.3830000004</v>
      </c>
      <c r="X53" s="117">
        <f t="shared" si="15"/>
        <v>5625615.0159999989</v>
      </c>
      <c r="Y53" s="117">
        <f t="shared" si="15"/>
        <v>7000996.2859999994</v>
      </c>
      <c r="Z53" s="117">
        <f t="shared" ref="Z53" si="16">Z20+Z31+Z37+Z42+Z46+Z50</f>
        <v>5959098.3589999992</v>
      </c>
      <c r="AA53" s="134">
        <f t="shared" si="15"/>
        <v>2814967.28</v>
      </c>
      <c r="AB53" s="277"/>
      <c r="AC53" s="278"/>
      <c r="AD53" s="278"/>
      <c r="AE53" s="278"/>
      <c r="AF53" s="278"/>
      <c r="AG53" s="278"/>
      <c r="AH53" s="278"/>
      <c r="AI53" s="278"/>
      <c r="AJ53" s="278"/>
      <c r="AK53" s="278"/>
      <c r="AL53" s="292"/>
      <c r="AM53" s="271"/>
      <c r="AN53" s="272"/>
      <c r="AO53" s="272"/>
      <c r="AP53" s="272"/>
      <c r="AQ53" s="272"/>
      <c r="AR53" s="272"/>
      <c r="AS53" s="272"/>
      <c r="AT53" s="272"/>
      <c r="AW53" s="28"/>
      <c r="AX53" s="274"/>
      <c r="BA53" s="291"/>
    </row>
    <row r="54" spans="1:89" s="316" customFormat="1" ht="14.4" thickBot="1">
      <c r="A54" s="299"/>
      <c r="B54" s="300"/>
      <c r="C54" s="301"/>
      <c r="D54" s="302"/>
      <c r="E54" s="303"/>
      <c r="F54" s="304"/>
      <c r="G54" s="304"/>
      <c r="H54" s="304"/>
      <c r="I54" s="203"/>
      <c r="J54" s="203"/>
      <c r="K54" s="203"/>
      <c r="L54" s="203"/>
      <c r="M54" s="203"/>
      <c r="N54" s="203"/>
      <c r="O54" s="203"/>
      <c r="P54" s="305"/>
      <c r="Q54" s="306"/>
      <c r="R54" s="203"/>
      <c r="S54" s="203"/>
      <c r="T54" s="203"/>
      <c r="U54" s="203"/>
      <c r="V54" s="203"/>
      <c r="W54" s="203"/>
      <c r="X54" s="203"/>
      <c r="Y54" s="203"/>
      <c r="Z54" s="203"/>
      <c r="AA54" s="305"/>
      <c r="AB54" s="307"/>
      <c r="AC54" s="308"/>
      <c r="AD54" s="309"/>
      <c r="AE54" s="309"/>
      <c r="AF54" s="310"/>
      <c r="AG54" s="310"/>
      <c r="AH54" s="310"/>
      <c r="AI54" s="310"/>
      <c r="AJ54" s="310"/>
      <c r="AK54" s="309"/>
      <c r="AL54" s="311"/>
      <c r="AM54" s="312"/>
      <c r="AN54" s="310"/>
      <c r="AO54" s="310"/>
      <c r="AP54" s="310"/>
      <c r="AQ54" s="310"/>
      <c r="AR54" s="313"/>
      <c r="AS54" s="313"/>
      <c r="AT54" s="313"/>
      <c r="AU54" s="314"/>
      <c r="AV54" s="314"/>
      <c r="AW54" s="235"/>
      <c r="AX54" s="274"/>
      <c r="AY54" s="129"/>
      <c r="AZ54" s="129"/>
      <c r="BA54" s="315"/>
      <c r="BB54" s="129"/>
      <c r="BC54" s="129"/>
      <c r="BD54" s="129"/>
      <c r="BE54" s="129"/>
      <c r="BF54" s="129"/>
      <c r="BG54" s="129"/>
      <c r="BH54" s="129"/>
      <c r="BI54" s="129"/>
      <c r="BJ54" s="129"/>
      <c r="BK54" s="129"/>
      <c r="BL54" s="129"/>
      <c r="BM54" s="129"/>
      <c r="BN54" s="129"/>
      <c r="BO54" s="129"/>
      <c r="BP54" s="129"/>
      <c r="BQ54" s="129"/>
      <c r="BR54" s="129"/>
      <c r="BS54" s="129"/>
      <c r="BT54" s="129"/>
      <c r="BU54" s="129"/>
      <c r="BV54" s="129"/>
      <c r="BW54" s="129"/>
      <c r="BX54" s="129"/>
      <c r="BY54" s="129"/>
      <c r="BZ54" s="129"/>
      <c r="CA54" s="129"/>
      <c r="CB54" s="129"/>
      <c r="CC54" s="129"/>
      <c r="CD54" s="129"/>
      <c r="CE54" s="129"/>
      <c r="CF54" s="129"/>
      <c r="CG54" s="129"/>
      <c r="CH54" s="129"/>
      <c r="CI54" s="129"/>
      <c r="CJ54" s="129"/>
      <c r="CK54" s="129"/>
    </row>
    <row r="55" spans="1:89">
      <c r="A55" s="316"/>
      <c r="B55" s="316"/>
      <c r="C55" s="316"/>
      <c r="E55" s="260"/>
      <c r="F55" s="316"/>
      <c r="G55" s="316"/>
      <c r="H55" s="316"/>
      <c r="I55" s="316"/>
      <c r="J55" s="316"/>
      <c r="K55" s="46"/>
      <c r="L55" s="46"/>
      <c r="M55" s="46"/>
      <c r="N55" s="46"/>
      <c r="O55" s="46"/>
      <c r="P55" s="317"/>
      <c r="Q55" s="46"/>
      <c r="R55" s="46"/>
      <c r="S55" s="46"/>
      <c r="T55" s="46"/>
      <c r="U55" s="46"/>
      <c r="V55" s="46"/>
      <c r="W55" s="46"/>
      <c r="X55" s="46"/>
      <c r="Y55" s="46"/>
      <c r="Z55" s="46"/>
      <c r="AA55" s="46"/>
      <c r="AB55" s="129"/>
      <c r="AC55" s="129"/>
      <c r="AD55" s="46"/>
      <c r="AE55" s="46"/>
      <c r="AF55" s="316"/>
      <c r="AG55" s="316"/>
      <c r="AH55" s="316"/>
      <c r="AI55" s="316"/>
      <c r="AJ55" s="316"/>
      <c r="AK55" s="316"/>
      <c r="AL55" s="316"/>
      <c r="AW55" s="9"/>
      <c r="AX55" s="274"/>
    </row>
    <row r="56" spans="1:89" ht="27.6" customHeight="1">
      <c r="A56" s="316" t="s">
        <v>173</v>
      </c>
      <c r="B56" s="316"/>
      <c r="C56" s="316"/>
      <c r="E56" s="260"/>
      <c r="F56" s="316"/>
      <c r="G56" s="316"/>
      <c r="H56" s="316"/>
      <c r="M56" s="318"/>
      <c r="N56" s="318"/>
      <c r="O56" s="318"/>
      <c r="P56" s="319"/>
      <c r="Q56" s="320"/>
      <c r="R56" s="320"/>
      <c r="S56" s="320"/>
      <c r="T56" s="320"/>
      <c r="U56" s="320"/>
      <c r="V56" s="320"/>
      <c r="W56" s="320"/>
      <c r="X56" s="320"/>
      <c r="Y56" s="320"/>
      <c r="Z56" s="320"/>
      <c r="AA56" s="320"/>
      <c r="AB56" s="129"/>
      <c r="AC56" s="129"/>
      <c r="AD56" s="46"/>
      <c r="AE56" s="46"/>
      <c r="AF56" s="316"/>
      <c r="AG56" s="316"/>
      <c r="AH56" s="316"/>
      <c r="AI56" s="316"/>
      <c r="AJ56" s="316"/>
      <c r="AK56" s="316"/>
      <c r="AL56" s="316"/>
      <c r="AW56" s="9"/>
      <c r="AX56" s="274"/>
    </row>
    <row r="57" spans="1:89" s="26" customFormat="1" ht="12.75" customHeight="1">
      <c r="K57" s="321"/>
      <c r="L57" s="321"/>
      <c r="M57" s="321"/>
      <c r="N57" s="321"/>
      <c r="O57" s="321"/>
      <c r="P57" s="322"/>
      <c r="Q57" s="321"/>
      <c r="R57" s="321"/>
      <c r="S57" s="321"/>
      <c r="T57" s="321"/>
      <c r="U57" s="321"/>
      <c r="V57" s="321"/>
      <c r="W57" s="321"/>
      <c r="X57" s="321"/>
      <c r="Y57" s="321"/>
      <c r="Z57" s="321"/>
      <c r="AA57" s="321"/>
      <c r="AX57" s="274"/>
      <c r="BA57" s="243"/>
    </row>
    <row r="58" spans="1:89" s="26" customFormat="1" ht="18" customHeight="1">
      <c r="A58" s="82" t="s">
        <v>102</v>
      </c>
      <c r="B58" s="82"/>
      <c r="P58" s="323"/>
      <c r="AF58" s="324"/>
      <c r="AX58" s="274"/>
      <c r="BA58" s="243"/>
    </row>
    <row r="59" spans="1:89" s="26" customFormat="1" ht="26.4" customHeight="1">
      <c r="A59" s="84" t="s">
        <v>222</v>
      </c>
      <c r="B59" s="325"/>
      <c r="P59" s="323"/>
      <c r="BA59" s="243"/>
    </row>
    <row r="60" spans="1:89" s="26" customFormat="1" ht="30.6" customHeight="1">
      <c r="A60" s="84" t="s">
        <v>198</v>
      </c>
      <c r="B60" s="129"/>
      <c r="P60" s="323"/>
      <c r="BA60" s="243"/>
    </row>
    <row r="61" spans="1:89" s="26" customFormat="1" ht="36" customHeight="1">
      <c r="A61" s="154" t="s">
        <v>223</v>
      </c>
      <c r="B61" s="154"/>
      <c r="C61" s="154"/>
      <c r="D61" s="154"/>
      <c r="E61" s="154"/>
      <c r="F61" s="154"/>
      <c r="G61" s="154"/>
      <c r="H61" s="154"/>
      <c r="I61" s="154"/>
      <c r="J61" s="154"/>
      <c r="K61" s="154"/>
      <c r="L61" s="156"/>
      <c r="M61" s="156"/>
      <c r="N61" s="156"/>
      <c r="O61" s="156"/>
      <c r="P61" s="32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BA61" s="243"/>
    </row>
    <row r="62" spans="1:89" s="9" customFormat="1" ht="34.200000000000003" customHeight="1">
      <c r="A62" s="327" t="s">
        <v>224</v>
      </c>
      <c r="B62" s="327"/>
      <c r="C62" s="327"/>
      <c r="D62" s="327"/>
      <c r="E62" s="327"/>
      <c r="F62" s="327"/>
      <c r="G62" s="327"/>
      <c r="H62" s="327"/>
      <c r="I62" s="327"/>
      <c r="J62" s="327"/>
      <c r="K62" s="327"/>
      <c r="L62" s="327"/>
      <c r="M62" s="327"/>
      <c r="N62" s="327"/>
      <c r="O62" s="327"/>
      <c r="P62" s="327"/>
      <c r="Q62" s="327"/>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BA62" s="291"/>
    </row>
    <row r="63" spans="1:89" s="323" customFormat="1" ht="31.95" customHeight="1">
      <c r="A63" s="328" t="s">
        <v>225</v>
      </c>
      <c r="B63" s="92"/>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c r="AJ63" s="329"/>
      <c r="AK63" s="329"/>
      <c r="AL63" s="329"/>
      <c r="AM63" s="329"/>
      <c r="AN63" s="329"/>
      <c r="AO63" s="329"/>
      <c r="AP63" s="329"/>
      <c r="AQ63" s="329"/>
      <c r="AR63" s="329"/>
      <c r="BA63" s="330"/>
    </row>
    <row r="64" spans="1:89" s="26" customFormat="1" ht="31.2" customHeight="1">
      <c r="A64" s="154" t="s">
        <v>226</v>
      </c>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331"/>
      <c r="AT64" s="331"/>
      <c r="BA64" s="243"/>
    </row>
    <row r="65" spans="1:89" s="26" customFormat="1" ht="27.6" customHeight="1">
      <c r="A65" s="154" t="s">
        <v>227</v>
      </c>
      <c r="B65" s="154"/>
      <c r="C65" s="154"/>
      <c r="D65" s="154"/>
      <c r="E65" s="154"/>
      <c r="F65" s="154"/>
      <c r="G65" s="154"/>
      <c r="H65" s="154"/>
      <c r="I65" s="154"/>
      <c r="J65" s="154"/>
      <c r="K65" s="154"/>
      <c r="L65" s="154"/>
      <c r="M65" s="154"/>
      <c r="N65" s="154"/>
      <c r="O65" s="154"/>
      <c r="P65" s="154"/>
      <c r="Q65" s="154"/>
      <c r="R65" s="154"/>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331"/>
      <c r="AT65" s="331"/>
      <c r="BA65" s="243"/>
    </row>
    <row r="66" spans="1:89" s="26" customFormat="1" ht="32.4" customHeight="1">
      <c r="A66" s="154" t="s">
        <v>228</v>
      </c>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4"/>
      <c r="AP66" s="154"/>
      <c r="AQ66" s="154"/>
      <c r="AR66" s="154"/>
      <c r="AS66" s="331"/>
      <c r="AT66" s="331"/>
      <c r="BA66" s="243"/>
    </row>
    <row r="67" spans="1:89" s="26" customFormat="1" ht="30" customHeight="1">
      <c r="A67" s="154" t="s">
        <v>229</v>
      </c>
      <c r="B67" s="154"/>
      <c r="C67" s="154"/>
      <c r="D67" s="154"/>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4"/>
      <c r="AO67" s="154"/>
      <c r="AP67" s="154"/>
      <c r="AQ67" s="154"/>
      <c r="AR67" s="154"/>
      <c r="AS67" s="331"/>
      <c r="AT67" s="331"/>
      <c r="BA67" s="243"/>
    </row>
    <row r="68" spans="1:89" s="26" customFormat="1" ht="30.75" customHeight="1">
      <c r="A68" s="154" t="s">
        <v>230</v>
      </c>
      <c r="B68" s="154"/>
      <c r="C68" s="154"/>
      <c r="D68" s="154"/>
      <c r="E68" s="154"/>
      <c r="F68" s="154"/>
      <c r="G68" s="154"/>
      <c r="H68" s="154"/>
      <c r="I68" s="154"/>
      <c r="J68" s="154"/>
      <c r="K68" s="154"/>
      <c r="L68" s="154"/>
      <c r="M68" s="154"/>
      <c r="N68" s="154"/>
      <c r="O68" s="154"/>
      <c r="P68" s="154"/>
      <c r="Q68" s="154"/>
      <c r="R68" s="148"/>
      <c r="S68" s="148"/>
      <c r="T68" s="148"/>
      <c r="U68" s="148"/>
      <c r="V68" s="148"/>
      <c r="W68" s="148"/>
      <c r="X68" s="148"/>
      <c r="Y68" s="148"/>
      <c r="Z68" s="148"/>
      <c r="AA68" s="148"/>
      <c r="AB68" s="148"/>
      <c r="AC68" s="148"/>
      <c r="AD68" s="148"/>
      <c r="AE68" s="148"/>
      <c r="AF68" s="148"/>
      <c r="AG68" s="148"/>
      <c r="AH68" s="148"/>
      <c r="AI68" s="148"/>
      <c r="AJ68" s="148"/>
      <c r="AK68" s="148"/>
      <c r="AL68" s="148"/>
      <c r="AM68" s="148"/>
      <c r="AN68" s="148"/>
      <c r="AO68" s="148"/>
      <c r="AP68" s="148"/>
      <c r="AQ68" s="148"/>
      <c r="AR68" s="148"/>
      <c r="BA68" s="243"/>
    </row>
    <row r="69" spans="1:89" s="26" customFormat="1" ht="30.6" customHeight="1">
      <c r="A69" s="238" t="s">
        <v>231</v>
      </c>
      <c r="B69" s="154"/>
      <c r="C69" s="154"/>
      <c r="D69" s="154"/>
      <c r="E69" s="154"/>
      <c r="F69" s="154"/>
      <c r="G69" s="154"/>
      <c r="H69" s="154"/>
      <c r="I69" s="154"/>
      <c r="J69" s="154"/>
      <c r="K69" s="154"/>
      <c r="L69" s="154"/>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331"/>
      <c r="AT69" s="331"/>
      <c r="BA69" s="243"/>
    </row>
    <row r="70" spans="1:89" s="26" customFormat="1" ht="16.5" customHeight="1">
      <c r="AS70" s="331"/>
      <c r="AT70" s="331"/>
      <c r="BA70" s="243"/>
    </row>
    <row r="71" spans="1:89" s="26" customFormat="1" ht="18" customHeight="1">
      <c r="AS71" s="331"/>
      <c r="AT71" s="331"/>
      <c r="BA71" s="243"/>
    </row>
    <row r="72" spans="1:89" s="26" customFormat="1" ht="17.25" customHeight="1">
      <c r="AS72" s="331"/>
      <c r="AT72" s="331"/>
      <c r="BA72" s="243"/>
    </row>
    <row r="73" spans="1:89" s="26" customFormat="1">
      <c r="BA73" s="243"/>
    </row>
    <row r="74" spans="1:89" s="26" customFormat="1">
      <c r="A74" s="332"/>
      <c r="B74" s="332"/>
      <c r="C74" s="332"/>
      <c r="D74" s="332"/>
      <c r="E74" s="332"/>
      <c r="F74" s="332"/>
      <c r="G74" s="332"/>
      <c r="H74" s="332"/>
      <c r="I74" s="332"/>
      <c r="J74" s="332"/>
      <c r="K74" s="332"/>
      <c r="L74" s="332"/>
      <c r="M74" s="332"/>
      <c r="N74" s="332"/>
      <c r="O74" s="332"/>
      <c r="P74" s="332"/>
      <c r="Q74" s="332"/>
      <c r="R74" s="332"/>
      <c r="S74" s="332"/>
      <c r="T74" s="332"/>
      <c r="U74" s="332"/>
      <c r="V74" s="332"/>
      <c r="W74" s="332"/>
      <c r="X74" s="332"/>
      <c r="Y74" s="332"/>
      <c r="Z74" s="332"/>
      <c r="AA74" s="332"/>
      <c r="AB74" s="332"/>
      <c r="AC74" s="332"/>
      <c r="AD74" s="332"/>
      <c r="AE74" s="332"/>
      <c r="AF74" s="332"/>
      <c r="AG74" s="332"/>
      <c r="AH74" s="332"/>
      <c r="AI74" s="332"/>
      <c r="AJ74" s="332"/>
      <c r="AK74" s="332"/>
      <c r="AL74" s="332"/>
      <c r="AM74" s="332"/>
      <c r="AN74" s="332"/>
      <c r="AO74" s="332"/>
      <c r="AP74" s="332"/>
      <c r="AQ74" s="332"/>
      <c r="AR74" s="332"/>
      <c r="AS74" s="331"/>
      <c r="AT74" s="331"/>
      <c r="BA74" s="243"/>
    </row>
    <row r="75" spans="1:89" s="26" customFormat="1">
      <c r="B75" s="160"/>
      <c r="BA75" s="243"/>
    </row>
    <row r="76" spans="1:89" s="26" customFormat="1">
      <c r="B76" s="160"/>
      <c r="BA76" s="243"/>
    </row>
    <row r="77" spans="1:89">
      <c r="A77" s="215"/>
      <c r="AU77" s="215"/>
      <c r="AV77" s="215"/>
      <c r="AW77" s="215"/>
      <c r="AX77" s="215"/>
      <c r="AY77" s="215"/>
      <c r="AZ77" s="215"/>
      <c r="BA77" s="333"/>
      <c r="BB77" s="215"/>
      <c r="BC77" s="215"/>
      <c r="BD77" s="215"/>
      <c r="BE77" s="215"/>
      <c r="BF77" s="215"/>
      <c r="BG77" s="215"/>
      <c r="BH77" s="215"/>
      <c r="BI77" s="215"/>
      <c r="BJ77" s="215"/>
      <c r="BK77" s="215"/>
      <c r="BL77" s="215"/>
      <c r="BM77" s="215"/>
      <c r="BN77" s="215"/>
      <c r="BO77" s="215"/>
      <c r="BP77" s="215"/>
      <c r="BQ77" s="215"/>
      <c r="BR77" s="215"/>
      <c r="BS77" s="215"/>
      <c r="BT77" s="215"/>
      <c r="BU77" s="215"/>
      <c r="BV77" s="215"/>
      <c r="BW77" s="215"/>
      <c r="BX77" s="215"/>
      <c r="BY77" s="215"/>
      <c r="BZ77" s="215"/>
      <c r="CA77" s="215"/>
      <c r="CB77" s="215"/>
      <c r="CC77" s="215"/>
      <c r="CD77" s="215"/>
      <c r="CE77" s="215"/>
      <c r="CF77" s="215"/>
      <c r="CG77" s="215"/>
      <c r="CH77" s="215"/>
      <c r="CI77" s="215"/>
      <c r="CJ77" s="215"/>
      <c r="CK77" s="215"/>
    </row>
    <row r="81" spans="1:89">
      <c r="D81" s="334" t="s">
        <v>232</v>
      </c>
      <c r="E81" s="335"/>
    </row>
    <row r="82" spans="1:89">
      <c r="A82" s="215"/>
      <c r="B82" s="215"/>
      <c r="F82" s="336">
        <v>2013</v>
      </c>
      <c r="G82" s="336">
        <v>2014</v>
      </c>
      <c r="H82" s="336">
        <v>2015</v>
      </c>
      <c r="I82" s="336">
        <v>2016</v>
      </c>
      <c r="J82" s="336">
        <v>2017</v>
      </c>
      <c r="K82" s="337">
        <v>2018</v>
      </c>
      <c r="L82" s="337">
        <v>2019</v>
      </c>
      <c r="M82" s="337">
        <v>2020</v>
      </c>
      <c r="N82" s="337">
        <v>2021</v>
      </c>
      <c r="O82" s="337">
        <v>2022</v>
      </c>
      <c r="P82" s="338">
        <v>45078</v>
      </c>
      <c r="Q82" s="337"/>
      <c r="R82" s="337"/>
      <c r="S82" s="337"/>
      <c r="T82" s="337"/>
      <c r="U82" s="337"/>
      <c r="V82" s="337"/>
      <c r="W82" s="337"/>
      <c r="X82" s="337"/>
      <c r="Y82" s="337"/>
      <c r="Z82" s="337"/>
      <c r="AA82" s="337"/>
      <c r="AD82" s="215"/>
      <c r="AE82" s="215"/>
      <c r="AU82" s="215"/>
      <c r="AV82" s="215"/>
      <c r="AW82" s="215"/>
      <c r="AX82" s="215"/>
      <c r="AY82" s="215"/>
      <c r="AZ82" s="215"/>
      <c r="BA82" s="333"/>
      <c r="BB82" s="215"/>
      <c r="BC82" s="215"/>
      <c r="BD82" s="215"/>
      <c r="BE82" s="215"/>
      <c r="BF82" s="215"/>
      <c r="BG82" s="215"/>
      <c r="BH82" s="215"/>
      <c r="BI82" s="215"/>
      <c r="BJ82" s="215"/>
      <c r="BK82" s="215"/>
      <c r="BL82" s="215"/>
      <c r="BM82" s="215"/>
      <c r="BN82" s="215"/>
      <c r="BO82" s="215"/>
      <c r="BP82" s="215"/>
      <c r="BQ82" s="215"/>
      <c r="BR82" s="215"/>
      <c r="BS82" s="215"/>
      <c r="BT82" s="215"/>
      <c r="BU82" s="215"/>
      <c r="BV82" s="215"/>
      <c r="BW82" s="215"/>
      <c r="BX82" s="215"/>
      <c r="BY82" s="215"/>
      <c r="BZ82" s="215"/>
      <c r="CA82" s="215"/>
      <c r="CB82" s="215"/>
      <c r="CC82" s="215"/>
      <c r="CD82" s="215"/>
      <c r="CE82" s="215"/>
      <c r="CF82" s="215"/>
      <c r="CG82" s="215"/>
      <c r="CH82" s="215"/>
      <c r="CI82" s="215"/>
      <c r="CJ82" s="215"/>
      <c r="CK82" s="215"/>
    </row>
    <row r="83" spans="1:89">
      <c r="A83" s="215"/>
      <c r="B83" s="215"/>
      <c r="D83" s="335"/>
      <c r="E83" s="334" t="s">
        <v>233</v>
      </c>
      <c r="F83" s="339">
        <v>1.3743000000000001</v>
      </c>
      <c r="G83" s="339">
        <v>1.2098</v>
      </c>
      <c r="H83" s="339">
        <v>1.0862000000000001</v>
      </c>
      <c r="I83" s="339">
        <v>1.0517000000000001</v>
      </c>
      <c r="J83" s="339">
        <v>1.2004999999999999</v>
      </c>
      <c r="K83" s="339">
        <v>1.1445000000000001</v>
      </c>
      <c r="L83" s="340">
        <v>1.1237999999999999</v>
      </c>
      <c r="M83" s="340">
        <v>1.2281</v>
      </c>
      <c r="N83" s="340">
        <v>1.1347</v>
      </c>
      <c r="O83" s="340">
        <v>1.0670999999999999</v>
      </c>
      <c r="P83" s="341">
        <v>1.0921000000000001</v>
      </c>
      <c r="Q83" s="342"/>
      <c r="R83" s="342"/>
      <c r="S83" s="342"/>
      <c r="T83" s="342"/>
      <c r="U83" s="342"/>
      <c r="V83" s="342"/>
      <c r="W83" s="342"/>
      <c r="X83" s="342"/>
      <c r="Y83" s="342"/>
      <c r="Z83" s="342"/>
      <c r="AA83" s="342"/>
      <c r="AD83" s="215"/>
      <c r="AE83" s="215"/>
      <c r="AU83" s="215"/>
      <c r="AV83" s="215"/>
      <c r="AW83" s="215"/>
      <c r="AX83" s="215"/>
      <c r="AY83" s="215"/>
      <c r="AZ83" s="215"/>
      <c r="BA83" s="333"/>
      <c r="BB83" s="215"/>
      <c r="BC83" s="215"/>
      <c r="BD83" s="215"/>
      <c r="BE83" s="215"/>
      <c r="BF83" s="215"/>
      <c r="BG83" s="215"/>
      <c r="BH83" s="215"/>
      <c r="BI83" s="215"/>
      <c r="BJ83" s="215"/>
      <c r="BK83" s="215"/>
      <c r="BL83" s="215"/>
      <c r="BM83" s="215"/>
      <c r="BN83" s="215"/>
      <c r="BO83" s="215"/>
      <c r="BP83" s="215"/>
      <c r="BQ83" s="215"/>
      <c r="BR83" s="215"/>
      <c r="BS83" s="215"/>
      <c r="BT83" s="215"/>
      <c r="BU83" s="215"/>
      <c r="BV83" s="215"/>
      <c r="BW83" s="215"/>
      <c r="BX83" s="215"/>
      <c r="BY83" s="215"/>
      <c r="BZ83" s="215"/>
      <c r="CA83" s="215"/>
      <c r="CB83" s="215"/>
      <c r="CC83" s="215"/>
      <c r="CD83" s="215"/>
      <c r="CE83" s="215"/>
      <c r="CF83" s="215"/>
      <c r="CG83" s="215"/>
      <c r="CH83" s="215"/>
      <c r="CI83" s="215"/>
      <c r="CJ83" s="215"/>
      <c r="CK83" s="215"/>
    </row>
    <row r="84" spans="1:89">
      <c r="A84" s="215"/>
      <c r="B84" s="215"/>
      <c r="D84" s="335"/>
      <c r="E84" s="334" t="s">
        <v>234</v>
      </c>
      <c r="F84" s="339">
        <v>105.31</v>
      </c>
      <c r="G84" s="339">
        <v>119.78</v>
      </c>
      <c r="H84" s="339">
        <v>120.22</v>
      </c>
      <c r="I84" s="339">
        <v>116.96</v>
      </c>
      <c r="J84" s="339">
        <v>112.69</v>
      </c>
      <c r="K84" s="339">
        <v>110.03</v>
      </c>
      <c r="L84" s="339">
        <v>108.5</v>
      </c>
      <c r="M84" s="339">
        <v>103.07</v>
      </c>
      <c r="N84" s="340">
        <v>115.1</v>
      </c>
      <c r="O84" s="340">
        <v>131.85</v>
      </c>
      <c r="P84" s="341">
        <v>144.38</v>
      </c>
      <c r="Q84" s="343"/>
      <c r="R84" s="343"/>
      <c r="S84" s="343"/>
      <c r="T84" s="343"/>
      <c r="U84" s="343"/>
      <c r="V84" s="343"/>
      <c r="W84" s="343"/>
      <c r="X84" s="343"/>
      <c r="Y84" s="343"/>
      <c r="Z84" s="343"/>
      <c r="AA84" s="343"/>
      <c r="AD84" s="215"/>
      <c r="AE84" s="215"/>
      <c r="AU84" s="215"/>
      <c r="AV84" s="215"/>
      <c r="AW84" s="215"/>
      <c r="AX84" s="215"/>
      <c r="AY84" s="215"/>
      <c r="AZ84" s="215"/>
      <c r="BA84" s="333"/>
      <c r="BB84" s="215"/>
      <c r="BC84" s="215"/>
      <c r="BD84" s="215"/>
      <c r="BE84" s="215"/>
      <c r="BF84" s="215"/>
      <c r="BG84" s="215"/>
      <c r="BH84" s="215"/>
      <c r="BI84" s="215"/>
      <c r="BJ84" s="215"/>
      <c r="BK84" s="215"/>
      <c r="BL84" s="215"/>
      <c r="BM84" s="215"/>
      <c r="BN84" s="215"/>
      <c r="BO84" s="215"/>
      <c r="BP84" s="215"/>
      <c r="BQ84" s="215"/>
      <c r="BR84" s="215"/>
      <c r="BS84" s="215"/>
      <c r="BT84" s="215"/>
      <c r="BU84" s="215"/>
      <c r="BV84" s="215"/>
      <c r="BW84" s="215"/>
      <c r="BX84" s="215"/>
      <c r="BY84" s="215"/>
      <c r="BZ84" s="215"/>
      <c r="CA84" s="215"/>
      <c r="CB84" s="215"/>
      <c r="CC84" s="215"/>
      <c r="CD84" s="215"/>
      <c r="CE84" s="215"/>
      <c r="CF84" s="215"/>
      <c r="CG84" s="215"/>
      <c r="CH84" s="215"/>
      <c r="CI84" s="215"/>
      <c r="CJ84" s="215"/>
      <c r="CK84" s="215"/>
    </row>
    <row r="85" spans="1:89">
      <c r="A85" s="215"/>
      <c r="B85" s="215"/>
      <c r="D85" s="335"/>
      <c r="E85" s="334" t="s">
        <v>235</v>
      </c>
      <c r="F85" s="339">
        <v>6.0542999999999996</v>
      </c>
      <c r="G85" s="339">
        <v>6.2054999999999998</v>
      </c>
      <c r="H85" s="339">
        <v>6.4936999999999996</v>
      </c>
      <c r="I85" s="339">
        <v>6.9450000000000003</v>
      </c>
      <c r="J85" s="339">
        <v>6.5068000000000001</v>
      </c>
      <c r="K85" s="339">
        <v>6.8784999999999998</v>
      </c>
      <c r="L85" s="339">
        <v>6.9615</v>
      </c>
      <c r="M85" s="339">
        <v>6.5350999999999999</v>
      </c>
      <c r="N85" s="340">
        <v>6.3525</v>
      </c>
      <c r="O85" s="340">
        <v>6.8962000000000003</v>
      </c>
      <c r="P85" s="341">
        <v>7.2599</v>
      </c>
      <c r="Q85" s="342"/>
      <c r="R85" s="342"/>
      <c r="S85" s="342"/>
      <c r="T85" s="342"/>
      <c r="U85" s="342"/>
      <c r="V85" s="342"/>
      <c r="W85" s="342"/>
      <c r="X85" s="342"/>
      <c r="Y85" s="342"/>
      <c r="Z85" s="342"/>
      <c r="AA85" s="342"/>
      <c r="AD85" s="215"/>
      <c r="AE85" s="215"/>
      <c r="AU85" s="215"/>
      <c r="AV85" s="215"/>
      <c r="AW85" s="215"/>
      <c r="AX85" s="215"/>
      <c r="AY85" s="215"/>
      <c r="AZ85" s="215"/>
      <c r="BA85" s="333"/>
      <c r="BB85" s="215"/>
      <c r="BC85" s="215"/>
      <c r="BD85" s="215"/>
      <c r="BE85" s="215"/>
      <c r="BF85" s="215"/>
      <c r="BG85" s="215"/>
      <c r="BH85" s="215"/>
      <c r="BI85" s="215"/>
      <c r="BJ85" s="215"/>
      <c r="BK85" s="215"/>
      <c r="BL85" s="215"/>
      <c r="BM85" s="215"/>
      <c r="BN85" s="215"/>
      <c r="BO85" s="215"/>
      <c r="BP85" s="215"/>
      <c r="BQ85" s="215"/>
      <c r="BR85" s="215"/>
      <c r="BS85" s="215"/>
      <c r="BT85" s="215"/>
      <c r="BU85" s="215"/>
      <c r="BV85" s="215"/>
      <c r="BW85" s="215"/>
      <c r="BX85" s="215"/>
      <c r="BY85" s="215"/>
      <c r="BZ85" s="215"/>
      <c r="CA85" s="215"/>
      <c r="CB85" s="215"/>
      <c r="CC85" s="215"/>
      <c r="CD85" s="215"/>
      <c r="CE85" s="215"/>
      <c r="CF85" s="215"/>
      <c r="CG85" s="215"/>
      <c r="CH85" s="215"/>
      <c r="CI85" s="215"/>
      <c r="CJ85" s="215"/>
      <c r="CK85" s="215"/>
    </row>
    <row r="86" spans="1:89">
      <c r="E86" s="334" t="s">
        <v>236</v>
      </c>
      <c r="F86" s="339"/>
      <c r="G86" s="339"/>
      <c r="H86" s="339"/>
      <c r="I86" s="339"/>
      <c r="J86" s="339"/>
      <c r="K86" s="339"/>
      <c r="L86" s="339"/>
      <c r="M86" s="339">
        <v>1.4402699999999999</v>
      </c>
      <c r="N86" s="339"/>
      <c r="O86" s="339"/>
      <c r="P86" s="339"/>
    </row>
  </sheetData>
  <sheetProtection algorithmName="SHA-512" hashValue="ygSeyOE53/kFQQWYqD25Vcf+vaPYUzuX86JpqsMePs75Nrn/cnbdx3xwwwGnybl7popHTFJF+wuOv8S+nfcmQQ==" saltValue="+j2MPeS8QZn8UGA0P1qmig==" spinCount="100000" sheet="1" objects="1" scenarios="1"/>
  <mergeCells count="42">
    <mergeCell ref="AM6:AW6"/>
    <mergeCell ref="AB6:AL6"/>
    <mergeCell ref="A3:AW3"/>
    <mergeCell ref="A61:K61"/>
    <mergeCell ref="Q6:AA6"/>
    <mergeCell ref="E6:E7"/>
    <mergeCell ref="A6:A7"/>
    <mergeCell ref="B6:B7"/>
    <mergeCell ref="C6:C7"/>
    <mergeCell ref="D6:D7"/>
    <mergeCell ref="F6:P6"/>
    <mergeCell ref="A74:AR74"/>
    <mergeCell ref="A64:AR64"/>
    <mergeCell ref="A65:AR65"/>
    <mergeCell ref="AR24:AR25"/>
    <mergeCell ref="AQ24:AQ25"/>
    <mergeCell ref="A67:AR67"/>
    <mergeCell ref="AM40:AM41"/>
    <mergeCell ref="AN40:AN41"/>
    <mergeCell ref="AO40:AO41"/>
    <mergeCell ref="AP40:AP41"/>
    <mergeCell ref="AQ40:AQ41"/>
    <mergeCell ref="AR40:AR41"/>
    <mergeCell ref="A66:AR66"/>
    <mergeCell ref="A68:Q68"/>
    <mergeCell ref="A69:L69"/>
    <mergeCell ref="A2:AW2"/>
    <mergeCell ref="A4:AW4"/>
    <mergeCell ref="A5:AW5"/>
    <mergeCell ref="A62:Q62"/>
    <mergeCell ref="AU40:AU41"/>
    <mergeCell ref="AS40:AS41"/>
    <mergeCell ref="AS24:AS25"/>
    <mergeCell ref="AM24:AM25"/>
    <mergeCell ref="AN24:AN25"/>
    <mergeCell ref="AO24:AO25"/>
    <mergeCell ref="AP24:AP25"/>
    <mergeCell ref="AT40:AT41"/>
    <mergeCell ref="AT24:AT25"/>
    <mergeCell ref="AU24:AU25"/>
    <mergeCell ref="AW40:AW41"/>
    <mergeCell ref="AW24:AW25"/>
  </mergeCells>
  <phoneticPr fontId="13" type="noConversion"/>
  <printOptions horizontalCentered="1" verticalCentered="1"/>
  <pageMargins left="0.19685039370078741" right="0.15748031496062992" top="0.19685039370078741" bottom="0.19685039370078741" header="0" footer="0"/>
  <pageSetup scale="20" orientation="landscape" r:id="rId1"/>
  <headerFooter alignWithMargins="0"/>
  <ignoredErrors>
    <ignoredError sqref="A71:E77 N71:N77 F71:K77 B70:K70 X71:Y77 Q70:V70 Q71:V77 AJ71:AJ77 AB68:AH68 AB71:AH77 AM71:AR77 AM68:AR68 AS50:AS54 AS42:AT49 AT54:AU54 AT50:AT53 M70:N70 M71:M77 R68:V68 D46:G46 AM42:AR54 M58:M60 M64 M65 A54:M57 A53:D53 AM55:AU57 F58:K60 AM65:AR65 AM64:AR64 AM58:AR61 AB58:AH61 AB64:AH64 AB65:AH65 AJ65 AJ64 AJ58:AJ61 Q58:V61 Q64:V64 Q65:V65 X65:Y65 X64:Y64 X58:Y61 F64:K64 F65:K65 N65 N64 N58:N61 B65:E65 B64:E64 A43:M44 A46:C48 L58 AM66:AR66 L64 L65 A58:E60 W59:W61 W58 W64 W65 AI59:AI61 AI58 AI64 AI65 L59:L60 D48:M52 D47 F47:M47 A66:N66 N43:N44 N47:N48 N50:N52 Q66:Y66 Q43:Y45 X68:Y68 AB66:AJ66 AB42:AJ44 AJ68 C19:E19 AL10:AL23 A42:G42 Q42 Q47:Y49 Q46 N54:N57 Q54:Y57 Q53 AB46:AJ48 AB45:AI45 AB50:AJ57 AB49:AI49 AB70:AH70 AM70:AR70 X70:Y70 AJ70 A45 C45:M45 A50:C52 A49 C49 AL24:AL49 Q51:Y52 Q50" unlockedFormula="1"/>
    <ignoredError sqref="AX1:AY1 AU25 AU20:AU22 A1:N1 Q1:Y1 AB1:AJ1 AU31:AU33 AS36:AT36 AS18:AT18 AU37:AU39 AM1:AU1" numberStoredAsText="1"/>
    <ignoredError sqref="AM26:AT35 AM10:AT17 AM18:AR18 AM36:AR36 A8:N9 A38:N39 A32:C33 AM40:AR41 A34:A35 C34:C35 A21:M23 AM25:AR25 AM24:AR24 D32:M35 AM20:AT23 A2 AS24:AT24 AT25 AX2:AY5 AS25 AM37:AT39 AS40:AT41 N21:N22 A20:C20 A10:M14 N32:N33 A36:M36 A41:M41 Q21:Y23 AB20:AJ22 AM8:AU9 AX8:AY9 AB8:AJ9 Q8:Y14 A5 A4 A31:G31 Q32:Y36 A37:F37 Q38:Y41 AB10:AI18 AB31:AJ33 AB23:AI23 AB34:AI41 Q17:Y18 Q15:V15 X15:Y15 A17:M18 A15 C15:M15 A16 C16:M16 A26:M30 A24 C24:M24 A25 C25:M25 A40 C40:M40 Q24:Y30 AB24:AI30 Q16:W16" numberStoredAsText="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L40"/>
  <sheetViews>
    <sheetView showGridLines="0" zoomScale="60" zoomScaleNormal="60" zoomScaleSheetLayoutView="40" workbookViewId="0">
      <selection sqref="A1:XFD1048576"/>
    </sheetView>
  </sheetViews>
  <sheetFormatPr baseColWidth="10" defaultColWidth="11" defaultRowHeight="13.8"/>
  <cols>
    <col min="1" max="1" width="24.44140625" style="240" customWidth="1"/>
    <col min="2" max="2" width="120.21875" style="240" customWidth="1"/>
    <col min="3" max="3" width="11" style="215"/>
    <col min="4" max="4" width="15.44140625" style="215" customWidth="1"/>
    <col min="5" max="5" width="20" style="215" customWidth="1"/>
    <col min="6" max="6" width="12.6640625" style="215" customWidth="1"/>
    <col min="7" max="7" width="13.44140625" style="215" customWidth="1"/>
    <col min="8" max="8" width="14.6640625" style="215" customWidth="1"/>
    <col min="9" max="9" width="14.21875" style="215" customWidth="1"/>
    <col min="10" max="10" width="13.77734375" style="215" customWidth="1"/>
    <col min="11" max="11" width="14.109375" style="9" customWidth="1"/>
    <col min="12" max="12" width="14.44140625" style="9" customWidth="1"/>
    <col min="13" max="13" width="15.77734375" style="9" customWidth="1"/>
    <col min="14" max="15" width="14.109375" style="9" customWidth="1"/>
    <col min="16" max="16" width="17.21875" style="9" customWidth="1"/>
    <col min="17" max="18" width="11.77734375" style="9" customWidth="1"/>
    <col min="19" max="19" width="14.109375" style="9" customWidth="1"/>
    <col min="20" max="20" width="12.6640625" style="9" customWidth="1"/>
    <col min="21" max="21" width="14" style="215" customWidth="1"/>
    <col min="22" max="22" width="12.33203125" style="215" customWidth="1"/>
    <col min="23" max="23" width="11.77734375" style="215" customWidth="1"/>
    <col min="24" max="24" width="12.6640625" style="215" customWidth="1"/>
    <col min="25" max="26" width="16.77734375" style="9" customWidth="1"/>
    <col min="27" max="27" width="14.77734375" style="215" customWidth="1"/>
    <col min="28" max="28" width="7.77734375" style="215" customWidth="1"/>
    <col min="29" max="29" width="8.109375" style="215" customWidth="1"/>
    <col min="30" max="30" width="8.88671875" style="215" customWidth="1"/>
    <col min="31" max="31" width="7.6640625" style="215" customWidth="1"/>
    <col min="32" max="32" width="8.33203125" style="215" customWidth="1"/>
    <col min="33" max="33" width="10.44140625" style="215" customWidth="1"/>
    <col min="34" max="34" width="10.109375" style="215" customWidth="1"/>
    <col min="35" max="35" width="8.6640625" style="215" customWidth="1"/>
    <col min="36" max="37" width="9.6640625" style="215" customWidth="1"/>
    <col min="38" max="38" width="13.109375" style="215" customWidth="1"/>
    <col min="39" max="39" width="7.21875" style="26" customWidth="1"/>
    <col min="40" max="40" width="7" style="26" customWidth="1"/>
    <col min="41" max="41" width="9.109375" style="26" customWidth="1"/>
    <col min="42" max="42" width="8.77734375" style="26" customWidth="1"/>
    <col min="43" max="43" width="9.44140625" style="26" customWidth="1"/>
    <col min="44" max="44" width="7.77734375" style="26" bestFit="1" customWidth="1"/>
    <col min="45" max="48" width="11" style="26"/>
    <col min="49" max="49" width="12.33203125" style="26" customWidth="1"/>
    <col min="50" max="82" width="11" style="26"/>
    <col min="83" max="16384" width="11" style="215"/>
  </cols>
  <sheetData>
    <row r="1" spans="1:90" ht="25.2" customHeight="1">
      <c r="A1" s="344" t="s">
        <v>237</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4"/>
      <c r="AE1" s="344"/>
      <c r="AF1" s="344"/>
      <c r="AG1" s="344"/>
      <c r="AH1" s="344"/>
      <c r="AI1" s="344"/>
      <c r="AJ1" s="344"/>
      <c r="AK1" s="344"/>
      <c r="AL1" s="344"/>
      <c r="AM1" s="344"/>
      <c r="AN1" s="344"/>
      <c r="AO1" s="344"/>
      <c r="AP1" s="344"/>
      <c r="AQ1" s="344"/>
      <c r="AR1" s="344"/>
      <c r="AS1" s="344"/>
      <c r="AT1" s="344"/>
      <c r="AU1" s="344"/>
      <c r="AV1" s="344"/>
      <c r="AW1" s="344"/>
      <c r="CE1" s="26"/>
      <c r="CF1" s="26"/>
      <c r="CG1" s="26"/>
      <c r="CH1" s="26"/>
    </row>
    <row r="2" spans="1:90" ht="25.2" customHeight="1">
      <c r="A2" s="344" t="s">
        <v>238</v>
      </c>
      <c r="B2" s="344"/>
      <c r="C2" s="344"/>
      <c r="D2" s="344"/>
      <c r="E2" s="344"/>
      <c r="F2" s="344"/>
      <c r="G2" s="344"/>
      <c r="H2" s="344"/>
      <c r="I2" s="344"/>
      <c r="J2" s="344"/>
      <c r="K2" s="344"/>
      <c r="L2" s="344"/>
      <c r="M2" s="344"/>
      <c r="N2" s="344"/>
      <c r="O2" s="344"/>
      <c r="P2" s="344"/>
      <c r="Q2" s="344"/>
      <c r="R2" s="344"/>
      <c r="S2" s="344"/>
      <c r="T2" s="344"/>
      <c r="U2" s="344"/>
      <c r="V2" s="344"/>
      <c r="W2" s="344"/>
      <c r="X2" s="344"/>
      <c r="Y2" s="344"/>
      <c r="Z2" s="344"/>
      <c r="AA2" s="344"/>
      <c r="AB2" s="344"/>
      <c r="AC2" s="344"/>
      <c r="AD2" s="344"/>
      <c r="AE2" s="344"/>
      <c r="AF2" s="344"/>
      <c r="AG2" s="344"/>
      <c r="AH2" s="344"/>
      <c r="AI2" s="344"/>
      <c r="AJ2" s="344"/>
      <c r="AK2" s="344"/>
      <c r="AL2" s="344"/>
      <c r="AM2" s="344"/>
      <c r="AN2" s="344"/>
      <c r="AO2" s="344"/>
      <c r="AP2" s="344"/>
      <c r="AQ2" s="344"/>
      <c r="AR2" s="344"/>
      <c r="AS2" s="344"/>
      <c r="AT2" s="344"/>
      <c r="AU2" s="344"/>
      <c r="AV2" s="344"/>
      <c r="AW2" s="344"/>
      <c r="CE2" s="26"/>
      <c r="CF2" s="26"/>
      <c r="CG2" s="26"/>
      <c r="CH2" s="26"/>
    </row>
    <row r="3" spans="1:90" ht="25.2" customHeight="1">
      <c r="A3" s="168" t="s">
        <v>12</v>
      </c>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CE3" s="26"/>
      <c r="CF3" s="26"/>
      <c r="CG3" s="26"/>
      <c r="CH3" s="26"/>
    </row>
    <row r="4" spans="1:90" ht="25.2" customHeight="1">
      <c r="A4" s="344" t="s">
        <v>239</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4"/>
      <c r="AM4" s="344"/>
      <c r="AN4" s="344"/>
      <c r="AO4" s="344"/>
      <c r="AP4" s="344"/>
      <c r="AQ4" s="344"/>
      <c r="AR4" s="344"/>
      <c r="AS4" s="344"/>
      <c r="AT4" s="344"/>
      <c r="AU4" s="344"/>
      <c r="AV4" s="344"/>
      <c r="AW4" s="344"/>
      <c r="CE4" s="26"/>
      <c r="CF4" s="26"/>
      <c r="CG4" s="26"/>
      <c r="CH4" s="26"/>
    </row>
    <row r="5" spans="1:90" ht="25.2" customHeight="1" thickBot="1">
      <c r="A5" s="218">
        <f>+'Anexo 1'!A5:M5</f>
        <v>45107</v>
      </c>
      <c r="B5" s="218"/>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CE5" s="26"/>
      <c r="CF5" s="26"/>
      <c r="CG5" s="26"/>
      <c r="CH5" s="26"/>
    </row>
    <row r="6" spans="1:90" s="219" customFormat="1" ht="43.95" customHeight="1" thickBot="1">
      <c r="A6" s="98" t="s">
        <v>19</v>
      </c>
      <c r="B6" s="98" t="s">
        <v>20</v>
      </c>
      <c r="C6" s="98" t="s">
        <v>152</v>
      </c>
      <c r="D6" s="98" t="s">
        <v>203</v>
      </c>
      <c r="E6" s="98" t="s">
        <v>204</v>
      </c>
      <c r="F6" s="101" t="s">
        <v>240</v>
      </c>
      <c r="G6" s="102"/>
      <c r="H6" s="102"/>
      <c r="I6" s="102"/>
      <c r="J6" s="102"/>
      <c r="K6" s="102"/>
      <c r="L6" s="102"/>
      <c r="M6" s="102"/>
      <c r="N6" s="102"/>
      <c r="O6" s="102"/>
      <c r="P6" s="103"/>
      <c r="Q6" s="101" t="s">
        <v>241</v>
      </c>
      <c r="R6" s="102"/>
      <c r="S6" s="102"/>
      <c r="T6" s="102"/>
      <c r="U6" s="102"/>
      <c r="V6" s="102"/>
      <c r="W6" s="102"/>
      <c r="X6" s="102"/>
      <c r="Y6" s="102"/>
      <c r="Z6" s="102"/>
      <c r="AA6" s="102"/>
      <c r="AB6" s="101" t="s">
        <v>242</v>
      </c>
      <c r="AC6" s="102"/>
      <c r="AD6" s="102"/>
      <c r="AE6" s="102"/>
      <c r="AF6" s="102"/>
      <c r="AG6" s="102"/>
      <c r="AH6" s="102"/>
      <c r="AI6" s="102"/>
      <c r="AJ6" s="102"/>
      <c r="AK6" s="102"/>
      <c r="AL6" s="103"/>
      <c r="AM6" s="102" t="s">
        <v>243</v>
      </c>
      <c r="AN6" s="102"/>
      <c r="AO6" s="102"/>
      <c r="AP6" s="102"/>
      <c r="AQ6" s="102"/>
      <c r="AR6" s="102"/>
      <c r="AS6" s="102"/>
      <c r="AT6" s="102"/>
      <c r="AU6" s="102"/>
      <c r="AV6" s="102"/>
      <c r="AW6" s="103"/>
      <c r="AX6" s="158"/>
      <c r="AY6" s="158"/>
      <c r="AZ6" s="158"/>
      <c r="BA6" s="158"/>
      <c r="BB6" s="244"/>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row>
    <row r="7" spans="1:90" s="219" customFormat="1" ht="48" customHeight="1">
      <c r="A7" s="220"/>
      <c r="B7" s="220"/>
      <c r="C7" s="104"/>
      <c r="D7" s="220"/>
      <c r="E7" s="220"/>
      <c r="F7" s="13">
        <v>2013</v>
      </c>
      <c r="G7" s="13">
        <v>2014</v>
      </c>
      <c r="H7" s="13">
        <v>2015</v>
      </c>
      <c r="I7" s="13">
        <v>2016</v>
      </c>
      <c r="J7" s="13">
        <v>2017</v>
      </c>
      <c r="K7" s="13">
        <v>2018</v>
      </c>
      <c r="L7" s="13">
        <v>2019</v>
      </c>
      <c r="M7" s="13">
        <v>2020</v>
      </c>
      <c r="N7" s="13">
        <v>2021</v>
      </c>
      <c r="O7" s="13">
        <v>2022</v>
      </c>
      <c r="P7" s="13" t="s">
        <v>154</v>
      </c>
      <c r="Q7" s="13">
        <v>2013</v>
      </c>
      <c r="R7" s="13">
        <v>2014</v>
      </c>
      <c r="S7" s="13">
        <v>2015</v>
      </c>
      <c r="T7" s="13">
        <v>2016</v>
      </c>
      <c r="U7" s="13">
        <v>2017</v>
      </c>
      <c r="V7" s="13">
        <v>2018</v>
      </c>
      <c r="W7" s="13">
        <v>2019</v>
      </c>
      <c r="X7" s="13">
        <v>2020</v>
      </c>
      <c r="Y7" s="13">
        <v>2021</v>
      </c>
      <c r="Z7" s="246">
        <v>2022</v>
      </c>
      <c r="AA7" s="246" t="s">
        <v>154</v>
      </c>
      <c r="AB7" s="13">
        <v>2013</v>
      </c>
      <c r="AC7" s="245">
        <v>2014</v>
      </c>
      <c r="AD7" s="13">
        <v>2015</v>
      </c>
      <c r="AE7" s="245">
        <v>2016</v>
      </c>
      <c r="AF7" s="13">
        <v>2017</v>
      </c>
      <c r="AG7" s="245">
        <v>2018</v>
      </c>
      <c r="AH7" s="13">
        <v>2019</v>
      </c>
      <c r="AI7" s="245">
        <v>2020</v>
      </c>
      <c r="AJ7" s="13">
        <v>2021</v>
      </c>
      <c r="AK7" s="345">
        <v>2022</v>
      </c>
      <c r="AL7" s="345" t="s">
        <v>154</v>
      </c>
      <c r="AM7" s="246">
        <v>2013</v>
      </c>
      <c r="AN7" s="13">
        <v>2014</v>
      </c>
      <c r="AO7" s="245">
        <v>2015</v>
      </c>
      <c r="AP7" s="13">
        <v>2016</v>
      </c>
      <c r="AQ7" s="245">
        <v>2017</v>
      </c>
      <c r="AR7" s="13">
        <v>2018</v>
      </c>
      <c r="AS7" s="245">
        <v>2019</v>
      </c>
      <c r="AT7" s="13">
        <v>2020</v>
      </c>
      <c r="AU7" s="13">
        <v>2021</v>
      </c>
      <c r="AV7" s="13">
        <v>2022</v>
      </c>
      <c r="AW7" s="13" t="s">
        <v>154</v>
      </c>
      <c r="AX7" s="158"/>
      <c r="AY7" s="158"/>
      <c r="AZ7" s="158"/>
      <c r="BA7" s="158"/>
      <c r="BB7" s="244"/>
      <c r="BC7" s="158"/>
      <c r="BD7" s="158"/>
      <c r="BE7" s="158"/>
      <c r="BF7" s="158"/>
      <c r="BG7" s="158"/>
      <c r="BH7" s="158"/>
      <c r="BI7" s="158"/>
      <c r="BJ7" s="158"/>
      <c r="BK7" s="158"/>
      <c r="BL7" s="158"/>
      <c r="BM7" s="158"/>
      <c r="BN7" s="158"/>
      <c r="BO7" s="158"/>
      <c r="BP7" s="158"/>
      <c r="BQ7" s="158"/>
      <c r="BR7" s="158"/>
      <c r="BS7" s="158"/>
      <c r="BT7" s="158"/>
      <c r="BU7" s="158"/>
      <c r="BV7" s="158"/>
      <c r="BW7" s="158"/>
      <c r="BX7" s="158"/>
      <c r="BY7" s="158"/>
      <c r="BZ7" s="158"/>
      <c r="CA7" s="158"/>
      <c r="CB7" s="158"/>
      <c r="CC7" s="158"/>
      <c r="CD7" s="158"/>
      <c r="CE7" s="158"/>
      <c r="CF7" s="158"/>
      <c r="CG7" s="158"/>
      <c r="CH7" s="158"/>
      <c r="CI7" s="158"/>
      <c r="CJ7" s="158"/>
      <c r="CK7" s="158"/>
      <c r="CL7" s="158"/>
    </row>
    <row r="8" spans="1:90">
      <c r="A8" s="29">
        <v>2220</v>
      </c>
      <c r="B8" s="346" t="s">
        <v>54</v>
      </c>
      <c r="C8" s="36" t="s">
        <v>55</v>
      </c>
      <c r="D8" s="347">
        <v>425000000</v>
      </c>
      <c r="E8" s="348">
        <v>0</v>
      </c>
      <c r="F8" s="275" t="s">
        <v>36</v>
      </c>
      <c r="G8" s="32" t="s">
        <v>36</v>
      </c>
      <c r="H8" s="32" t="s">
        <v>36</v>
      </c>
      <c r="I8" s="32" t="s">
        <v>36</v>
      </c>
      <c r="J8" s="32" t="s">
        <v>36</v>
      </c>
      <c r="K8" s="32" t="s">
        <v>36</v>
      </c>
      <c r="L8" s="32" t="s">
        <v>36</v>
      </c>
      <c r="M8" s="32" t="s">
        <v>36</v>
      </c>
      <c r="N8" s="32">
        <v>0</v>
      </c>
      <c r="O8" s="32">
        <v>0</v>
      </c>
      <c r="P8" s="198">
        <v>0</v>
      </c>
      <c r="Q8" s="275" t="s">
        <v>36</v>
      </c>
      <c r="R8" s="32" t="s">
        <v>36</v>
      </c>
      <c r="S8" s="32" t="s">
        <v>36</v>
      </c>
      <c r="T8" s="32" t="s">
        <v>36</v>
      </c>
      <c r="U8" s="32" t="s">
        <v>36</v>
      </c>
      <c r="V8" s="32" t="s">
        <v>36</v>
      </c>
      <c r="W8" s="349" t="s">
        <v>36</v>
      </c>
      <c r="X8" s="349" t="s">
        <v>36</v>
      </c>
      <c r="Y8" s="349" t="s">
        <v>36</v>
      </c>
      <c r="Z8" s="349">
        <v>540104.17000000004</v>
      </c>
      <c r="AA8" s="350">
        <v>537152.78</v>
      </c>
      <c r="AB8" s="351" t="s">
        <v>36</v>
      </c>
      <c r="AC8" s="352" t="s">
        <v>36</v>
      </c>
      <c r="AD8" s="352" t="s">
        <v>36</v>
      </c>
      <c r="AE8" s="352" t="s">
        <v>36</v>
      </c>
      <c r="AF8" s="352" t="s">
        <v>36</v>
      </c>
      <c r="AG8" s="352" t="s">
        <v>36</v>
      </c>
      <c r="AH8" s="352" t="s">
        <v>36</v>
      </c>
      <c r="AI8" s="352" t="s">
        <v>36</v>
      </c>
      <c r="AJ8" s="352" t="s">
        <v>36</v>
      </c>
      <c r="AK8" s="352">
        <v>0</v>
      </c>
      <c r="AL8" s="353">
        <v>0</v>
      </c>
      <c r="AM8" s="352" t="s">
        <v>36</v>
      </c>
      <c r="AN8" s="352" t="s">
        <v>36</v>
      </c>
      <c r="AO8" s="111" t="s">
        <v>36</v>
      </c>
      <c r="AP8" s="111" t="s">
        <v>36</v>
      </c>
      <c r="AQ8" s="111" t="s">
        <v>36</v>
      </c>
      <c r="AR8" s="111" t="s">
        <v>36</v>
      </c>
      <c r="AS8" s="111" t="s">
        <v>36</v>
      </c>
      <c r="AT8" s="111" t="s">
        <v>36</v>
      </c>
      <c r="AU8" s="111" t="s">
        <v>36</v>
      </c>
      <c r="AV8" s="111" t="s">
        <v>133</v>
      </c>
      <c r="AW8" s="184">
        <v>0</v>
      </c>
    </row>
    <row r="9" spans="1:90">
      <c r="A9" s="293">
        <v>28568</v>
      </c>
      <c r="B9" s="354" t="s">
        <v>244</v>
      </c>
      <c r="C9" s="36" t="s">
        <v>34</v>
      </c>
      <c r="D9" s="32">
        <v>86580149.231100008</v>
      </c>
      <c r="E9" s="198">
        <v>33926.086500000005</v>
      </c>
      <c r="F9" s="275" t="s">
        <v>36</v>
      </c>
      <c r="G9" s="32" t="s">
        <v>36</v>
      </c>
      <c r="H9" s="32" t="s">
        <v>36</v>
      </c>
      <c r="I9" s="32" t="s">
        <v>36</v>
      </c>
      <c r="J9" s="32" t="s">
        <v>36</v>
      </c>
      <c r="K9" s="32" t="s">
        <v>36</v>
      </c>
      <c r="L9" s="32">
        <v>0</v>
      </c>
      <c r="M9" s="32">
        <v>0</v>
      </c>
      <c r="N9" s="32">
        <v>0</v>
      </c>
      <c r="O9" s="32">
        <v>0</v>
      </c>
      <c r="P9" s="198">
        <v>33926.086500000005</v>
      </c>
      <c r="Q9" s="275" t="s">
        <v>36</v>
      </c>
      <c r="R9" s="32" t="s">
        <v>36</v>
      </c>
      <c r="S9" s="32" t="s">
        <v>36</v>
      </c>
      <c r="T9" s="32" t="s">
        <v>36</v>
      </c>
      <c r="U9" s="32" t="s">
        <v>36</v>
      </c>
      <c r="V9" s="32" t="s">
        <v>36</v>
      </c>
      <c r="W9" s="349">
        <v>88330.94</v>
      </c>
      <c r="X9" s="349">
        <v>224450.57</v>
      </c>
      <c r="Y9" s="349">
        <v>233486.18</v>
      </c>
      <c r="Z9" s="349">
        <v>205732.22999999998</v>
      </c>
      <c r="AA9" s="350">
        <v>108463.02</v>
      </c>
      <c r="AB9" s="351" t="s">
        <v>36</v>
      </c>
      <c r="AC9" s="352" t="s">
        <v>36</v>
      </c>
      <c r="AD9" s="352" t="s">
        <v>36</v>
      </c>
      <c r="AE9" s="352" t="s">
        <v>36</v>
      </c>
      <c r="AF9" s="352" t="s">
        <v>36</v>
      </c>
      <c r="AG9" s="352" t="s">
        <v>36</v>
      </c>
      <c r="AH9" s="352">
        <v>0</v>
      </c>
      <c r="AI9" s="352">
        <v>0</v>
      </c>
      <c r="AJ9" s="352">
        <v>0</v>
      </c>
      <c r="AK9" s="352">
        <v>0</v>
      </c>
      <c r="AL9" s="353">
        <v>3.9184601552769778E-4</v>
      </c>
      <c r="AM9" s="352" t="s">
        <v>36</v>
      </c>
      <c r="AN9" s="352" t="s">
        <v>36</v>
      </c>
      <c r="AO9" s="111" t="s">
        <v>36</v>
      </c>
      <c r="AP9" s="111" t="s">
        <v>36</v>
      </c>
      <c r="AQ9" s="111" t="s">
        <v>36</v>
      </c>
      <c r="AR9" s="111" t="s">
        <v>36</v>
      </c>
      <c r="AS9" s="111">
        <v>9.3100000000000002E-2</v>
      </c>
      <c r="AT9" s="111">
        <v>0.17073874378793383</v>
      </c>
      <c r="AU9" s="111">
        <v>0.17979999999999999</v>
      </c>
      <c r="AV9" s="111">
        <v>0.18579999999999999</v>
      </c>
      <c r="AW9" s="184">
        <v>0.2235</v>
      </c>
    </row>
    <row r="10" spans="1:90">
      <c r="A10" s="289">
        <v>2198</v>
      </c>
      <c r="B10" s="355" t="s">
        <v>49</v>
      </c>
      <c r="C10" s="36" t="s">
        <v>50</v>
      </c>
      <c r="D10" s="32">
        <v>55080000</v>
      </c>
      <c r="E10" s="198">
        <v>500000</v>
      </c>
      <c r="F10" s="275" t="s">
        <v>36</v>
      </c>
      <c r="G10" s="32" t="s">
        <v>36</v>
      </c>
      <c r="H10" s="32" t="s">
        <v>36</v>
      </c>
      <c r="I10" s="32" t="s">
        <v>36</v>
      </c>
      <c r="J10" s="32" t="s">
        <v>36</v>
      </c>
      <c r="K10" s="32" t="s">
        <v>36</v>
      </c>
      <c r="L10" s="32">
        <v>0</v>
      </c>
      <c r="M10" s="32">
        <v>500000</v>
      </c>
      <c r="N10" s="32">
        <v>0</v>
      </c>
      <c r="O10" s="32">
        <v>0</v>
      </c>
      <c r="P10" s="198">
        <v>0</v>
      </c>
      <c r="Q10" s="275" t="s">
        <v>36</v>
      </c>
      <c r="R10" s="32" t="s">
        <v>36</v>
      </c>
      <c r="S10" s="32" t="s">
        <v>36</v>
      </c>
      <c r="T10" s="32" t="s">
        <v>36</v>
      </c>
      <c r="U10" s="32" t="s">
        <v>36</v>
      </c>
      <c r="V10" s="32" t="s">
        <v>36</v>
      </c>
      <c r="W10" s="349">
        <v>0</v>
      </c>
      <c r="X10" s="349">
        <v>0</v>
      </c>
      <c r="Y10" s="349">
        <v>0</v>
      </c>
      <c r="Z10" s="349">
        <v>0</v>
      </c>
      <c r="AA10" s="350">
        <v>0</v>
      </c>
      <c r="AB10" s="351" t="s">
        <v>36</v>
      </c>
      <c r="AC10" s="352" t="s">
        <v>36</v>
      </c>
      <c r="AD10" s="352" t="s">
        <v>36</v>
      </c>
      <c r="AE10" s="352" t="s">
        <v>36</v>
      </c>
      <c r="AF10" s="352" t="s">
        <v>36</v>
      </c>
      <c r="AG10" s="352" t="s">
        <v>36</v>
      </c>
      <c r="AH10" s="352">
        <v>0</v>
      </c>
      <c r="AI10" s="352">
        <v>9.0777051561365292E-3</v>
      </c>
      <c r="AJ10" s="352">
        <v>9.0777051561365292E-3</v>
      </c>
      <c r="AK10" s="352">
        <v>9.0777051561365292E-3</v>
      </c>
      <c r="AL10" s="353">
        <v>9.0777051561365292E-3</v>
      </c>
      <c r="AM10" s="352" t="s">
        <v>36</v>
      </c>
      <c r="AN10" s="352" t="s">
        <v>36</v>
      </c>
      <c r="AO10" s="111" t="s">
        <v>36</v>
      </c>
      <c r="AP10" s="111" t="s">
        <v>36</v>
      </c>
      <c r="AQ10" s="111" t="s">
        <v>36</v>
      </c>
      <c r="AR10" s="111">
        <v>0</v>
      </c>
      <c r="AS10" s="111">
        <v>9.1399999999999995E-2</v>
      </c>
      <c r="AT10" s="111">
        <v>0.15978758169934643</v>
      </c>
      <c r="AU10" s="111">
        <v>0.18149999999999999</v>
      </c>
      <c r="AV10" s="111">
        <v>0.23300000000000001</v>
      </c>
      <c r="AW10" s="184">
        <v>0.2341</v>
      </c>
    </row>
    <row r="11" spans="1:90" s="9" customFormat="1">
      <c r="A11" s="293" t="s">
        <v>46</v>
      </c>
      <c r="B11" s="354" t="s">
        <v>245</v>
      </c>
      <c r="C11" s="241" t="s">
        <v>34</v>
      </c>
      <c r="D11" s="32">
        <v>111128810</v>
      </c>
      <c r="E11" s="198">
        <v>2088000</v>
      </c>
      <c r="F11" s="356" t="s">
        <v>36</v>
      </c>
      <c r="G11" s="349" t="s">
        <v>36</v>
      </c>
      <c r="H11" s="349" t="s">
        <v>36</v>
      </c>
      <c r="I11" s="349" t="s">
        <v>36</v>
      </c>
      <c r="J11" s="349" t="s">
        <v>36</v>
      </c>
      <c r="K11" s="110" t="s">
        <v>36</v>
      </c>
      <c r="L11" s="110">
        <v>0</v>
      </c>
      <c r="M11" s="110">
        <v>0</v>
      </c>
      <c r="N11" s="110">
        <v>1000000</v>
      </c>
      <c r="O11" s="110">
        <v>1106800</v>
      </c>
      <c r="P11" s="189">
        <v>0</v>
      </c>
      <c r="Q11" s="270" t="s">
        <v>36</v>
      </c>
      <c r="R11" s="110" t="s">
        <v>36</v>
      </c>
      <c r="S11" s="110" t="s">
        <v>36</v>
      </c>
      <c r="T11" s="110" t="s">
        <v>36</v>
      </c>
      <c r="U11" s="349" t="s">
        <v>36</v>
      </c>
      <c r="V11" s="349" t="s">
        <v>36</v>
      </c>
      <c r="W11" s="349">
        <v>112231.92</v>
      </c>
      <c r="X11" s="349">
        <v>225333.52000000002</v>
      </c>
      <c r="Y11" s="349">
        <v>225660.46000000002</v>
      </c>
      <c r="Z11" s="349">
        <v>214396.94</v>
      </c>
      <c r="AA11" s="350">
        <v>109434.01</v>
      </c>
      <c r="AB11" s="357" t="s">
        <v>36</v>
      </c>
      <c r="AC11" s="358" t="s">
        <v>36</v>
      </c>
      <c r="AD11" s="358" t="s">
        <v>36</v>
      </c>
      <c r="AE11" s="358" t="s">
        <v>36</v>
      </c>
      <c r="AF11" s="358" t="s">
        <v>36</v>
      </c>
      <c r="AG11" s="358" t="s">
        <v>36</v>
      </c>
      <c r="AH11" s="358">
        <v>0</v>
      </c>
      <c r="AI11" s="358">
        <v>0</v>
      </c>
      <c r="AJ11" s="358">
        <v>8.9985666183233677E-3</v>
      </c>
      <c r="AK11" s="358">
        <v>1.8958180151483671E-2</v>
      </c>
      <c r="AL11" s="359">
        <v>1.8789007099059191E-2</v>
      </c>
      <c r="AM11" s="352" t="s">
        <v>36</v>
      </c>
      <c r="AN11" s="352" t="s">
        <v>36</v>
      </c>
      <c r="AO11" s="111" t="s">
        <v>36</v>
      </c>
      <c r="AP11" s="111" t="s">
        <v>36</v>
      </c>
      <c r="AQ11" s="111" t="s">
        <v>36</v>
      </c>
      <c r="AR11" s="111">
        <v>0</v>
      </c>
      <c r="AS11" s="131">
        <v>0</v>
      </c>
      <c r="AT11" s="111">
        <v>9.1619426159301826E-2</v>
      </c>
      <c r="AU11" s="131">
        <v>0.11447100739696221</v>
      </c>
      <c r="AV11" s="131">
        <v>0.11650000000000001</v>
      </c>
      <c r="AW11" s="184">
        <v>0.13139999999999999</v>
      </c>
    </row>
    <row r="12" spans="1:90">
      <c r="A12" s="293" t="s">
        <v>83</v>
      </c>
      <c r="B12" s="354" t="s">
        <v>84</v>
      </c>
      <c r="C12" s="241" t="s">
        <v>217</v>
      </c>
      <c r="D12" s="32">
        <v>156640000</v>
      </c>
      <c r="E12" s="198">
        <v>8111109.1299999999</v>
      </c>
      <c r="F12" s="356" t="s">
        <v>36</v>
      </c>
      <c r="G12" s="349" t="s">
        <v>36</v>
      </c>
      <c r="H12" s="349" t="s">
        <v>36</v>
      </c>
      <c r="I12" s="349" t="s">
        <v>36</v>
      </c>
      <c r="J12" s="349" t="s">
        <v>36</v>
      </c>
      <c r="K12" s="110" t="s">
        <v>36</v>
      </c>
      <c r="L12" s="110" t="s">
        <v>36</v>
      </c>
      <c r="M12" s="110">
        <v>0</v>
      </c>
      <c r="N12" s="110">
        <v>3238550</v>
      </c>
      <c r="O12" s="110">
        <v>2114200</v>
      </c>
      <c r="P12" s="189">
        <v>2758359.13</v>
      </c>
      <c r="Q12" s="270" t="s">
        <v>36</v>
      </c>
      <c r="R12" s="110" t="s">
        <v>36</v>
      </c>
      <c r="S12" s="110" t="s">
        <v>36</v>
      </c>
      <c r="T12" s="110" t="s">
        <v>36</v>
      </c>
      <c r="U12" s="349" t="s">
        <v>36</v>
      </c>
      <c r="V12" s="349" t="s">
        <v>36</v>
      </c>
      <c r="W12" s="349" t="s">
        <v>36</v>
      </c>
      <c r="X12" s="349">
        <v>0</v>
      </c>
      <c r="Y12" s="349">
        <v>953381.87</v>
      </c>
      <c r="Z12" s="349">
        <v>379666.23</v>
      </c>
      <c r="AA12" s="350">
        <v>186251.14</v>
      </c>
      <c r="AB12" s="357" t="s">
        <v>36</v>
      </c>
      <c r="AC12" s="358" t="s">
        <v>36</v>
      </c>
      <c r="AD12" s="358" t="s">
        <v>36</v>
      </c>
      <c r="AE12" s="358" t="s">
        <v>36</v>
      </c>
      <c r="AF12" s="358" t="s">
        <v>36</v>
      </c>
      <c r="AG12" s="358" t="s">
        <v>36</v>
      </c>
      <c r="AH12" s="358" t="s">
        <v>36</v>
      </c>
      <c r="AI12" s="358">
        <v>0</v>
      </c>
      <c r="AJ12" s="358">
        <v>2.0675114913176709E-2</v>
      </c>
      <c r="AK12" s="358">
        <v>3.4172305924412665E-2</v>
      </c>
      <c r="AL12" s="360">
        <v>5.1781850932073541E-2</v>
      </c>
      <c r="AM12" s="352" t="s">
        <v>36</v>
      </c>
      <c r="AN12" s="352" t="s">
        <v>36</v>
      </c>
      <c r="AO12" s="111" t="s">
        <v>36</v>
      </c>
      <c r="AP12" s="111" t="s">
        <v>36</v>
      </c>
      <c r="AQ12" s="111" t="s">
        <v>36</v>
      </c>
      <c r="AR12" s="111" t="s">
        <v>36</v>
      </c>
      <c r="AS12" s="111" t="s">
        <v>36</v>
      </c>
      <c r="AT12" s="111">
        <v>0</v>
      </c>
      <c r="AU12" s="111">
        <v>6.3E-3</v>
      </c>
      <c r="AV12" s="111">
        <v>4.9200000000000001E-2</v>
      </c>
      <c r="AW12" s="184">
        <v>5.91E-2</v>
      </c>
    </row>
    <row r="13" spans="1:90">
      <c r="A13" s="289" t="s">
        <v>77</v>
      </c>
      <c r="B13" s="355" t="s">
        <v>78</v>
      </c>
      <c r="C13" s="36" t="s">
        <v>79</v>
      </c>
      <c r="D13" s="32">
        <v>100000000</v>
      </c>
      <c r="E13" s="198">
        <v>5923616.7599999998</v>
      </c>
      <c r="F13" s="275" t="s">
        <v>36</v>
      </c>
      <c r="G13" s="32" t="s">
        <v>36</v>
      </c>
      <c r="H13" s="32" t="s">
        <v>36</v>
      </c>
      <c r="I13" s="32" t="s">
        <v>36</v>
      </c>
      <c r="J13" s="32" t="s">
        <v>36</v>
      </c>
      <c r="K13" s="32" t="s">
        <v>36</v>
      </c>
      <c r="L13" s="32" t="s">
        <v>36</v>
      </c>
      <c r="M13" s="32" t="s">
        <v>36</v>
      </c>
      <c r="N13" s="32">
        <v>850000</v>
      </c>
      <c r="O13" s="32">
        <v>5073616.76</v>
      </c>
      <c r="P13" s="198">
        <v>0</v>
      </c>
      <c r="Q13" s="275" t="s">
        <v>36</v>
      </c>
      <c r="R13" s="32" t="s">
        <v>36</v>
      </c>
      <c r="S13" s="32" t="s">
        <v>36</v>
      </c>
      <c r="T13" s="32" t="s">
        <v>36</v>
      </c>
      <c r="U13" s="32" t="s">
        <v>36</v>
      </c>
      <c r="V13" s="32" t="s">
        <v>36</v>
      </c>
      <c r="W13" s="349" t="s">
        <v>36</v>
      </c>
      <c r="X13" s="349" t="s">
        <v>36</v>
      </c>
      <c r="Y13" s="349">
        <v>666262.44999999995</v>
      </c>
      <c r="Z13" s="349">
        <v>496751.37</v>
      </c>
      <c r="AA13" s="350">
        <v>234717.41</v>
      </c>
      <c r="AB13" s="351" t="s">
        <v>36</v>
      </c>
      <c r="AC13" s="352" t="s">
        <v>36</v>
      </c>
      <c r="AD13" s="352" t="s">
        <v>36</v>
      </c>
      <c r="AE13" s="352" t="s">
        <v>36</v>
      </c>
      <c r="AF13" s="352" t="s">
        <v>36</v>
      </c>
      <c r="AG13" s="352" t="s">
        <v>36</v>
      </c>
      <c r="AH13" s="352" t="s">
        <v>36</v>
      </c>
      <c r="AI13" s="352" t="s">
        <v>36</v>
      </c>
      <c r="AJ13" s="352">
        <v>8.5000000000000006E-3</v>
      </c>
      <c r="AK13" s="352">
        <v>5.92361676E-2</v>
      </c>
      <c r="AL13" s="353">
        <v>5.92361676E-2</v>
      </c>
      <c r="AM13" s="352" t="s">
        <v>36</v>
      </c>
      <c r="AN13" s="352" t="s">
        <v>36</v>
      </c>
      <c r="AO13" s="111" t="s">
        <v>36</v>
      </c>
      <c r="AP13" s="111" t="s">
        <v>36</v>
      </c>
      <c r="AQ13" s="111" t="s">
        <v>36</v>
      </c>
      <c r="AR13" s="111" t="s">
        <v>36</v>
      </c>
      <c r="AS13" s="111" t="s">
        <v>36</v>
      </c>
      <c r="AT13" s="111" t="s">
        <v>36</v>
      </c>
      <c r="AU13" s="111">
        <v>2.9818721799999997E-3</v>
      </c>
      <c r="AV13" s="111">
        <v>0.15090000000000001</v>
      </c>
      <c r="AW13" s="184">
        <v>0.29160000000000003</v>
      </c>
    </row>
    <row r="14" spans="1:90">
      <c r="A14" s="206" t="s">
        <v>87</v>
      </c>
      <c r="B14" s="231" t="s">
        <v>88</v>
      </c>
      <c r="C14" s="31" t="s">
        <v>89</v>
      </c>
      <c r="D14" s="32">
        <v>75100500</v>
      </c>
      <c r="E14" s="198">
        <v>5187751.25</v>
      </c>
      <c r="F14" s="270" t="s">
        <v>36</v>
      </c>
      <c r="G14" s="110" t="s">
        <v>36</v>
      </c>
      <c r="H14" s="110" t="s">
        <v>36</v>
      </c>
      <c r="I14" s="110" t="s">
        <v>36</v>
      </c>
      <c r="J14" s="110" t="s">
        <v>36</v>
      </c>
      <c r="K14" s="110" t="s">
        <v>36</v>
      </c>
      <c r="L14" s="110" t="s">
        <v>36</v>
      </c>
      <c r="M14" s="110" t="s">
        <v>36</v>
      </c>
      <c r="N14" s="110">
        <v>187751.25</v>
      </c>
      <c r="O14" s="110">
        <v>5000000</v>
      </c>
      <c r="P14" s="189">
        <v>0</v>
      </c>
      <c r="Q14" s="270" t="s">
        <v>36</v>
      </c>
      <c r="R14" s="110" t="s">
        <v>36</v>
      </c>
      <c r="S14" s="110" t="s">
        <v>36</v>
      </c>
      <c r="T14" s="110" t="s">
        <v>36</v>
      </c>
      <c r="U14" s="110" t="s">
        <v>36</v>
      </c>
      <c r="V14" s="110" t="s">
        <v>36</v>
      </c>
      <c r="W14" s="349" t="s">
        <v>36</v>
      </c>
      <c r="X14" s="349" t="s">
        <v>36</v>
      </c>
      <c r="Y14" s="349">
        <v>0</v>
      </c>
      <c r="Z14" s="349">
        <v>335892.47</v>
      </c>
      <c r="AA14" s="350">
        <v>90711.96</v>
      </c>
      <c r="AB14" s="361" t="s">
        <v>36</v>
      </c>
      <c r="AC14" s="274" t="s">
        <v>36</v>
      </c>
      <c r="AD14" s="274" t="s">
        <v>36</v>
      </c>
      <c r="AE14" s="274" t="s">
        <v>36</v>
      </c>
      <c r="AF14" s="274" t="s">
        <v>36</v>
      </c>
      <c r="AG14" s="274" t="s">
        <v>36</v>
      </c>
      <c r="AH14" s="274" t="s">
        <v>36</v>
      </c>
      <c r="AI14" s="274" t="s">
        <v>36</v>
      </c>
      <c r="AJ14" s="274">
        <v>2.5000000000000001E-3</v>
      </c>
      <c r="AK14" s="274">
        <v>6.9077452879807724E-2</v>
      </c>
      <c r="AL14" s="360">
        <v>6.9077452879807724E-2</v>
      </c>
      <c r="AM14" s="274" t="s">
        <v>36</v>
      </c>
      <c r="AN14" s="274" t="s">
        <v>36</v>
      </c>
      <c r="AO14" s="131" t="s">
        <v>36</v>
      </c>
      <c r="AP14" s="131" t="s">
        <v>36</v>
      </c>
      <c r="AQ14" s="131" t="s">
        <v>36</v>
      </c>
      <c r="AR14" s="131" t="s">
        <v>36</v>
      </c>
      <c r="AS14" s="111" t="s">
        <v>36</v>
      </c>
      <c r="AT14" s="111" t="s">
        <v>36</v>
      </c>
      <c r="AU14" s="111">
        <v>0</v>
      </c>
      <c r="AV14" s="111">
        <v>4.2900000000000001E-2</v>
      </c>
      <c r="AW14" s="184">
        <v>0.13689999999999999</v>
      </c>
    </row>
    <row r="15" spans="1:90">
      <c r="A15" s="293">
        <v>2129</v>
      </c>
      <c r="B15" s="354" t="s">
        <v>44</v>
      </c>
      <c r="C15" s="241" t="s">
        <v>34</v>
      </c>
      <c r="D15" s="32">
        <v>130000000</v>
      </c>
      <c r="E15" s="198">
        <v>11200000</v>
      </c>
      <c r="F15" s="356" t="s">
        <v>36</v>
      </c>
      <c r="G15" s="349" t="s">
        <v>36</v>
      </c>
      <c r="H15" s="349">
        <v>0</v>
      </c>
      <c r="I15" s="349">
        <v>200000</v>
      </c>
      <c r="J15" s="349">
        <v>3000000</v>
      </c>
      <c r="K15" s="110">
        <v>0</v>
      </c>
      <c r="L15" s="110">
        <v>5000000</v>
      </c>
      <c r="M15" s="110">
        <v>0</v>
      </c>
      <c r="N15" s="110">
        <v>0</v>
      </c>
      <c r="O15" s="110">
        <v>3000000</v>
      </c>
      <c r="P15" s="189">
        <v>0</v>
      </c>
      <c r="Q15" s="270" t="s">
        <v>36</v>
      </c>
      <c r="R15" s="110" t="s">
        <v>36</v>
      </c>
      <c r="S15" s="110">
        <v>0</v>
      </c>
      <c r="T15" s="110">
        <v>330416.67</v>
      </c>
      <c r="U15" s="349">
        <v>330163.89</v>
      </c>
      <c r="V15" s="349">
        <v>322147.21999999997</v>
      </c>
      <c r="W15" s="349">
        <v>320522.23</v>
      </c>
      <c r="X15" s="349">
        <v>312144.45</v>
      </c>
      <c r="Y15" s="349">
        <v>308729.15999999997</v>
      </c>
      <c r="Z15" s="349">
        <v>305041.67000000004</v>
      </c>
      <c r="AA15" s="350">
        <v>152625</v>
      </c>
      <c r="AB15" s="357" t="s">
        <v>36</v>
      </c>
      <c r="AC15" s="358" t="s">
        <v>36</v>
      </c>
      <c r="AD15" s="358">
        <v>0</v>
      </c>
      <c r="AE15" s="358">
        <v>1.5384615384615385E-3</v>
      </c>
      <c r="AF15" s="358">
        <v>2.4615384615384615E-2</v>
      </c>
      <c r="AG15" s="358">
        <v>2.4615384615384615E-2</v>
      </c>
      <c r="AH15" s="358">
        <v>6.3076923076923072E-2</v>
      </c>
      <c r="AI15" s="358">
        <v>6.3076923076923072E-2</v>
      </c>
      <c r="AJ15" s="358">
        <v>6.3076923076923072E-2</v>
      </c>
      <c r="AK15" s="358">
        <v>8.615384615384615E-2</v>
      </c>
      <c r="AL15" s="359">
        <v>8.615384615384615E-2</v>
      </c>
      <c r="AM15" s="352" t="s">
        <v>36</v>
      </c>
      <c r="AN15" s="352" t="s">
        <v>36</v>
      </c>
      <c r="AO15" s="111">
        <v>0</v>
      </c>
      <c r="AP15" s="111">
        <v>3.1199999999999999E-2</v>
      </c>
      <c r="AQ15" s="111">
        <v>4.3299999999999998E-2</v>
      </c>
      <c r="AR15" s="111">
        <v>6.6699999999999995E-2</v>
      </c>
      <c r="AS15" s="111">
        <v>0.104</v>
      </c>
      <c r="AT15" s="111">
        <v>0.14829999999999999</v>
      </c>
      <c r="AU15" s="111">
        <v>0.26419999999999999</v>
      </c>
      <c r="AV15" s="111">
        <v>0.30680000000000002</v>
      </c>
      <c r="AW15" s="184">
        <v>0.35310000000000002</v>
      </c>
    </row>
    <row r="16" spans="1:90" s="26" customFormat="1">
      <c r="A16" s="29">
        <v>2164</v>
      </c>
      <c r="B16" s="231" t="s">
        <v>246</v>
      </c>
      <c r="C16" s="36" t="s">
        <v>34</v>
      </c>
      <c r="D16" s="32">
        <v>154562390.28999999</v>
      </c>
      <c r="E16" s="198">
        <v>16854499.489999998</v>
      </c>
      <c r="F16" s="275" t="s">
        <v>36</v>
      </c>
      <c r="G16" s="32" t="s">
        <v>36</v>
      </c>
      <c r="H16" s="32" t="s">
        <v>36</v>
      </c>
      <c r="I16" s="32" t="s">
        <v>36</v>
      </c>
      <c r="J16" s="32" t="s">
        <v>36</v>
      </c>
      <c r="K16" s="32">
        <v>0</v>
      </c>
      <c r="L16" s="32">
        <v>1500000</v>
      </c>
      <c r="M16" s="32">
        <v>0</v>
      </c>
      <c r="N16" s="32">
        <v>9467661.4900000002</v>
      </c>
      <c r="O16" s="32">
        <v>5886838.3799999999</v>
      </c>
      <c r="P16" s="198">
        <v>0</v>
      </c>
      <c r="Q16" s="275" t="s">
        <v>36</v>
      </c>
      <c r="R16" s="32" t="s">
        <v>36</v>
      </c>
      <c r="S16" s="32" t="s">
        <v>36</v>
      </c>
      <c r="T16" s="32" t="s">
        <v>36</v>
      </c>
      <c r="U16" s="32" t="s">
        <v>36</v>
      </c>
      <c r="V16" s="32">
        <v>0</v>
      </c>
      <c r="W16" s="349">
        <v>0</v>
      </c>
      <c r="X16" s="349">
        <v>0</v>
      </c>
      <c r="Y16" s="349">
        <v>0</v>
      </c>
      <c r="Z16" s="349">
        <v>0</v>
      </c>
      <c r="AA16" s="350">
        <v>0</v>
      </c>
      <c r="AB16" s="351" t="s">
        <v>36</v>
      </c>
      <c r="AC16" s="352" t="s">
        <v>36</v>
      </c>
      <c r="AD16" s="352" t="s">
        <v>36</v>
      </c>
      <c r="AE16" s="352" t="s">
        <v>36</v>
      </c>
      <c r="AF16" s="352" t="s">
        <v>36</v>
      </c>
      <c r="AG16" s="352">
        <v>0</v>
      </c>
      <c r="AH16" s="352">
        <v>9.7048188578450593E-3</v>
      </c>
      <c r="AI16" s="352">
        <v>9.7048188578450593E-3</v>
      </c>
      <c r="AJ16" s="352">
        <v>7.0959445369742025E-2</v>
      </c>
      <c r="AK16" s="352">
        <v>0.10904657632672794</v>
      </c>
      <c r="AL16" s="353">
        <v>0.10904657632672794</v>
      </c>
      <c r="AM16" s="352" t="s">
        <v>36</v>
      </c>
      <c r="AN16" s="352" t="s">
        <v>36</v>
      </c>
      <c r="AO16" s="111" t="s">
        <v>36</v>
      </c>
      <c r="AP16" s="111" t="s">
        <v>36</v>
      </c>
      <c r="AQ16" s="111" t="s">
        <v>36</v>
      </c>
      <c r="AR16" s="111">
        <v>0</v>
      </c>
      <c r="AS16" s="111">
        <v>0.118505012987553</v>
      </c>
      <c r="AT16" s="111">
        <v>0.13700000000000001</v>
      </c>
      <c r="AU16" s="111">
        <v>0.19315930093031164</v>
      </c>
      <c r="AV16" s="111">
        <v>0.20380000000000001</v>
      </c>
      <c r="AW16" s="184">
        <v>0.2344</v>
      </c>
    </row>
    <row r="17" spans="1:86" s="26" customFormat="1">
      <c r="A17" s="289" t="s">
        <v>75</v>
      </c>
      <c r="B17" s="355" t="s">
        <v>76</v>
      </c>
      <c r="C17" s="36" t="s">
        <v>64</v>
      </c>
      <c r="D17" s="32">
        <v>125000000</v>
      </c>
      <c r="E17" s="198">
        <v>20000000</v>
      </c>
      <c r="F17" s="275" t="s">
        <v>36</v>
      </c>
      <c r="G17" s="32" t="s">
        <v>36</v>
      </c>
      <c r="H17" s="32" t="s">
        <v>36</v>
      </c>
      <c r="I17" s="32" t="s">
        <v>36</v>
      </c>
      <c r="J17" s="32" t="s">
        <v>36</v>
      </c>
      <c r="K17" s="32" t="s">
        <v>36</v>
      </c>
      <c r="L17" s="32" t="s">
        <v>36</v>
      </c>
      <c r="M17" s="32">
        <v>0</v>
      </c>
      <c r="N17" s="32">
        <v>20000000</v>
      </c>
      <c r="O17" s="32">
        <v>0</v>
      </c>
      <c r="P17" s="198">
        <v>0</v>
      </c>
      <c r="Q17" s="275" t="s">
        <v>36</v>
      </c>
      <c r="R17" s="32" t="s">
        <v>36</v>
      </c>
      <c r="S17" s="32" t="s">
        <v>36</v>
      </c>
      <c r="T17" s="32" t="s">
        <v>36</v>
      </c>
      <c r="U17" s="32" t="s">
        <v>36</v>
      </c>
      <c r="V17" s="32" t="s">
        <v>36</v>
      </c>
      <c r="W17" s="349" t="s">
        <v>36</v>
      </c>
      <c r="X17" s="349">
        <v>0</v>
      </c>
      <c r="Y17" s="349">
        <v>809476.57</v>
      </c>
      <c r="Z17" s="349">
        <v>525000.01</v>
      </c>
      <c r="AA17" s="350">
        <v>260342.47</v>
      </c>
      <c r="AB17" s="351" t="s">
        <v>36</v>
      </c>
      <c r="AC17" s="352" t="s">
        <v>36</v>
      </c>
      <c r="AD17" s="352" t="s">
        <v>36</v>
      </c>
      <c r="AE17" s="352" t="s">
        <v>36</v>
      </c>
      <c r="AF17" s="352" t="s">
        <v>36</v>
      </c>
      <c r="AG17" s="352" t="s">
        <v>36</v>
      </c>
      <c r="AH17" s="352" t="s">
        <v>36</v>
      </c>
      <c r="AI17" s="352">
        <v>0</v>
      </c>
      <c r="AJ17" s="352">
        <v>0.16</v>
      </c>
      <c r="AK17" s="352">
        <v>0.16</v>
      </c>
      <c r="AL17" s="353">
        <v>0.16</v>
      </c>
      <c r="AM17" s="352" t="s">
        <v>36</v>
      </c>
      <c r="AN17" s="352" t="s">
        <v>36</v>
      </c>
      <c r="AO17" s="111" t="s">
        <v>36</v>
      </c>
      <c r="AP17" s="111" t="s">
        <v>36</v>
      </c>
      <c r="AQ17" s="111" t="s">
        <v>36</v>
      </c>
      <c r="AR17" s="111" t="s">
        <v>36</v>
      </c>
      <c r="AS17" s="111" t="s">
        <v>36</v>
      </c>
      <c r="AT17" s="111">
        <v>0</v>
      </c>
      <c r="AU17" s="111">
        <v>0.40300000000000002</v>
      </c>
      <c r="AV17" s="111">
        <v>0.441</v>
      </c>
      <c r="AW17" s="184">
        <v>0.48259999999999997</v>
      </c>
    </row>
    <row r="18" spans="1:86" s="26" customFormat="1">
      <c r="A18" s="289" t="s">
        <v>96</v>
      </c>
      <c r="B18" s="355" t="s">
        <v>247</v>
      </c>
      <c r="C18" s="36" t="s">
        <v>73</v>
      </c>
      <c r="D18" s="32">
        <v>180018008.03435379</v>
      </c>
      <c r="E18" s="198">
        <v>29961626.257099323</v>
      </c>
      <c r="F18" s="275" t="s">
        <v>36</v>
      </c>
      <c r="G18" s="32" t="s">
        <v>36</v>
      </c>
      <c r="H18" s="32" t="s">
        <v>36</v>
      </c>
      <c r="I18" s="32" t="s">
        <v>36</v>
      </c>
      <c r="J18" s="32">
        <v>0</v>
      </c>
      <c r="K18" s="32">
        <v>157399.24566027446</v>
      </c>
      <c r="L18" s="32">
        <v>11210810.580645161</v>
      </c>
      <c r="M18" s="32">
        <v>10848269.185990104</v>
      </c>
      <c r="N18" s="32">
        <v>12155645.716768028</v>
      </c>
      <c r="O18" s="32">
        <v>4167945.4759196057</v>
      </c>
      <c r="P18" s="198">
        <v>175775.55063028121</v>
      </c>
      <c r="Q18" s="275" t="s">
        <v>36</v>
      </c>
      <c r="R18" s="32" t="s">
        <v>36</v>
      </c>
      <c r="S18" s="32" t="s">
        <v>36</v>
      </c>
      <c r="T18" s="32" t="s">
        <v>36</v>
      </c>
      <c r="U18" s="32">
        <v>0</v>
      </c>
      <c r="V18" s="32">
        <v>3273322.4019999998</v>
      </c>
      <c r="W18" s="349">
        <v>235399.253</v>
      </c>
      <c r="X18" s="349">
        <v>227368.64600000001</v>
      </c>
      <c r="Y18" s="349">
        <v>204064.986</v>
      </c>
      <c r="Z18" s="349">
        <v>164612.24900000001</v>
      </c>
      <c r="AA18" s="350">
        <v>76101.759999999995</v>
      </c>
      <c r="AB18" s="351" t="s">
        <v>36</v>
      </c>
      <c r="AC18" s="352" t="s">
        <v>36</v>
      </c>
      <c r="AD18" s="352" t="s">
        <v>36</v>
      </c>
      <c r="AE18" s="352" t="s">
        <v>36</v>
      </c>
      <c r="AF18" s="352" t="s">
        <v>36</v>
      </c>
      <c r="AG18" s="352">
        <v>6.663321534377284E-4</v>
      </c>
      <c r="AH18" s="352">
        <v>4.7466106998576431E-2</v>
      </c>
      <c r="AI18" s="352">
        <v>9.0486041014197216E-2</v>
      </c>
      <c r="AJ18" s="352">
        <v>0.14431678327113232</v>
      </c>
      <c r="AK18" s="352">
        <v>0.16546039494440384</v>
      </c>
      <c r="AL18" s="353">
        <v>0.16643682809434035</v>
      </c>
      <c r="AM18" s="352" t="s">
        <v>36</v>
      </c>
      <c r="AN18" s="352" t="s">
        <v>36</v>
      </c>
      <c r="AO18" s="111" t="s">
        <v>36</v>
      </c>
      <c r="AP18" s="111" t="s">
        <v>36</v>
      </c>
      <c r="AQ18" s="111">
        <v>2.5000000000000001E-3</v>
      </c>
      <c r="AR18" s="111">
        <v>1.6477200000000001E-2</v>
      </c>
      <c r="AS18" s="111">
        <v>0.10839093399999999</v>
      </c>
      <c r="AT18" s="111">
        <v>0.16761234999999997</v>
      </c>
      <c r="AU18" s="111">
        <v>0.2567179544</v>
      </c>
      <c r="AV18" s="111">
        <v>0.3014</v>
      </c>
      <c r="AW18" s="184">
        <v>0.31919999999999998</v>
      </c>
    </row>
    <row r="19" spans="1:86" s="26" customFormat="1">
      <c r="A19" s="289" t="s">
        <v>69</v>
      </c>
      <c r="B19" s="355" t="s">
        <v>70</v>
      </c>
      <c r="C19" s="36" t="s">
        <v>64</v>
      </c>
      <c r="D19" s="32">
        <v>144036000</v>
      </c>
      <c r="E19" s="198">
        <v>76989292.430000007</v>
      </c>
      <c r="F19" s="275" t="s">
        <v>36</v>
      </c>
      <c r="G19" s="32" t="s">
        <v>36</v>
      </c>
      <c r="H19" s="32" t="s">
        <v>36</v>
      </c>
      <c r="I19" s="32" t="s">
        <v>36</v>
      </c>
      <c r="J19" s="32" t="s">
        <v>36</v>
      </c>
      <c r="K19" s="32">
        <v>0</v>
      </c>
      <c r="L19" s="32">
        <v>11450375.07</v>
      </c>
      <c r="M19" s="32">
        <v>32874109.239999998</v>
      </c>
      <c r="N19" s="32">
        <v>10000000</v>
      </c>
      <c r="O19" s="32">
        <v>7664808.1200000001</v>
      </c>
      <c r="P19" s="198">
        <v>15000000</v>
      </c>
      <c r="Q19" s="275" t="s">
        <v>36</v>
      </c>
      <c r="R19" s="32" t="s">
        <v>36</v>
      </c>
      <c r="S19" s="32" t="s">
        <v>36</v>
      </c>
      <c r="T19" s="32" t="s">
        <v>36</v>
      </c>
      <c r="U19" s="32" t="s">
        <v>36</v>
      </c>
      <c r="V19" s="32">
        <v>0</v>
      </c>
      <c r="W19" s="349">
        <v>530146.37</v>
      </c>
      <c r="X19" s="349">
        <v>656164.29</v>
      </c>
      <c r="Y19" s="349">
        <v>513855.42</v>
      </c>
      <c r="Z19" s="349">
        <v>439212.82</v>
      </c>
      <c r="AA19" s="350">
        <v>206802.66</v>
      </c>
      <c r="AB19" s="351" t="s">
        <v>36</v>
      </c>
      <c r="AC19" s="352" t="s">
        <v>36</v>
      </c>
      <c r="AD19" s="352" t="s">
        <v>36</v>
      </c>
      <c r="AE19" s="352" t="s">
        <v>36</v>
      </c>
      <c r="AF19" s="352" t="s">
        <v>36</v>
      </c>
      <c r="AG19" s="352">
        <v>0</v>
      </c>
      <c r="AH19" s="352">
        <v>7.9496619386819969E-2</v>
      </c>
      <c r="AI19" s="352">
        <v>0.30773198582298872</v>
      </c>
      <c r="AJ19" s="352">
        <v>0.37715907349551503</v>
      </c>
      <c r="AK19" s="352">
        <v>0.43037360402954816</v>
      </c>
      <c r="AL19" s="353">
        <v>0.53451423553833766</v>
      </c>
      <c r="AM19" s="352" t="s">
        <v>36</v>
      </c>
      <c r="AN19" s="352" t="s">
        <v>36</v>
      </c>
      <c r="AO19" s="111" t="s">
        <v>36</v>
      </c>
      <c r="AP19" s="111" t="s">
        <v>36</v>
      </c>
      <c r="AQ19" s="111" t="s">
        <v>36</v>
      </c>
      <c r="AR19" s="111">
        <v>0</v>
      </c>
      <c r="AS19" s="111">
        <v>0.12</v>
      </c>
      <c r="AT19" s="111">
        <v>0.25</v>
      </c>
      <c r="AU19" s="111">
        <v>0.44</v>
      </c>
      <c r="AV19" s="111">
        <v>0.61</v>
      </c>
      <c r="AW19" s="184">
        <v>0.65</v>
      </c>
    </row>
    <row r="20" spans="1:86" s="26" customFormat="1">
      <c r="A20" s="289" t="s">
        <v>213</v>
      </c>
      <c r="B20" s="355" t="s">
        <v>248</v>
      </c>
      <c r="C20" s="36" t="s">
        <v>64</v>
      </c>
      <c r="D20" s="32">
        <v>50000000</v>
      </c>
      <c r="E20" s="198">
        <v>30000000</v>
      </c>
      <c r="F20" s="275" t="s">
        <v>36</v>
      </c>
      <c r="G20" s="32">
        <v>0</v>
      </c>
      <c r="H20" s="32">
        <v>0</v>
      </c>
      <c r="I20" s="32">
        <v>0</v>
      </c>
      <c r="J20" s="32">
        <v>0</v>
      </c>
      <c r="K20" s="32">
        <v>0</v>
      </c>
      <c r="L20" s="32">
        <v>0</v>
      </c>
      <c r="M20" s="32">
        <v>15000000</v>
      </c>
      <c r="N20" s="32">
        <v>5000000</v>
      </c>
      <c r="O20" s="32">
        <v>10000000</v>
      </c>
      <c r="P20" s="198">
        <v>0</v>
      </c>
      <c r="Q20" s="275" t="s">
        <v>36</v>
      </c>
      <c r="R20" s="32">
        <v>0</v>
      </c>
      <c r="S20" s="32">
        <v>171232.87</v>
      </c>
      <c r="T20" s="32">
        <v>286447.34000000003</v>
      </c>
      <c r="U20" s="32">
        <v>249854.04</v>
      </c>
      <c r="V20" s="32">
        <v>250000</v>
      </c>
      <c r="W20" s="349">
        <v>250020.01</v>
      </c>
      <c r="X20" s="349">
        <v>250145.97</v>
      </c>
      <c r="Y20" s="349">
        <v>176300.79999999999</v>
      </c>
      <c r="Z20" s="349">
        <v>143698.63</v>
      </c>
      <c r="AA20" s="350">
        <v>49863.01</v>
      </c>
      <c r="AB20" s="351" t="s">
        <v>36</v>
      </c>
      <c r="AC20" s="352">
        <v>0</v>
      </c>
      <c r="AD20" s="352">
        <v>0</v>
      </c>
      <c r="AE20" s="352">
        <v>0</v>
      </c>
      <c r="AF20" s="352">
        <v>0</v>
      </c>
      <c r="AG20" s="352">
        <v>0</v>
      </c>
      <c r="AH20" s="352">
        <v>0</v>
      </c>
      <c r="AI20" s="352">
        <v>0.3</v>
      </c>
      <c r="AJ20" s="352">
        <v>0.4</v>
      </c>
      <c r="AK20" s="352">
        <v>0.6</v>
      </c>
      <c r="AL20" s="353">
        <v>0.6</v>
      </c>
      <c r="AM20" s="352" t="s">
        <v>36</v>
      </c>
      <c r="AN20" s="352">
        <v>0</v>
      </c>
      <c r="AO20" s="111">
        <v>0</v>
      </c>
      <c r="AP20" s="111">
        <v>0.13</v>
      </c>
      <c r="AQ20" s="111">
        <v>0.31</v>
      </c>
      <c r="AR20" s="111">
        <v>0.49</v>
      </c>
      <c r="AS20" s="111">
        <v>0.59</v>
      </c>
      <c r="AT20" s="111">
        <v>0.74</v>
      </c>
      <c r="AU20" s="111">
        <v>0.47</v>
      </c>
      <c r="AV20" s="111">
        <v>0.57969999999999999</v>
      </c>
      <c r="AW20" s="184">
        <v>0.63919999999999999</v>
      </c>
    </row>
    <row r="21" spans="1:86" s="26" customFormat="1">
      <c r="A21" s="289" t="s">
        <v>71</v>
      </c>
      <c r="B21" s="355" t="s">
        <v>214</v>
      </c>
      <c r="C21" s="36" t="s">
        <v>73</v>
      </c>
      <c r="D21" s="32">
        <v>134500000</v>
      </c>
      <c r="E21" s="198">
        <v>81563456.840000004</v>
      </c>
      <c r="F21" s="275" t="s">
        <v>36</v>
      </c>
      <c r="G21" s="32" t="s">
        <v>36</v>
      </c>
      <c r="H21" s="32" t="s">
        <v>36</v>
      </c>
      <c r="I21" s="32" t="s">
        <v>36</v>
      </c>
      <c r="J21" s="32" t="s">
        <v>36</v>
      </c>
      <c r="K21" s="32" t="s">
        <v>36</v>
      </c>
      <c r="L21" s="32">
        <v>44485703.280000001</v>
      </c>
      <c r="M21" s="32">
        <v>4077753.56</v>
      </c>
      <c r="N21" s="32">
        <v>5000000</v>
      </c>
      <c r="O21" s="32">
        <v>3000000</v>
      </c>
      <c r="P21" s="198">
        <v>25000000</v>
      </c>
      <c r="Q21" s="275" t="s">
        <v>36</v>
      </c>
      <c r="R21" s="32" t="s">
        <v>36</v>
      </c>
      <c r="S21" s="32" t="s">
        <v>36</v>
      </c>
      <c r="T21" s="32" t="s">
        <v>36</v>
      </c>
      <c r="U21" s="32" t="s">
        <v>36</v>
      </c>
      <c r="V21" s="32" t="s">
        <v>36</v>
      </c>
      <c r="W21" s="349">
        <v>180561.65</v>
      </c>
      <c r="X21" s="349">
        <v>486532.13</v>
      </c>
      <c r="Y21" s="349">
        <v>436210.72</v>
      </c>
      <c r="Z21" s="349">
        <v>414271.71</v>
      </c>
      <c r="AA21" s="350">
        <v>199155.12</v>
      </c>
      <c r="AB21" s="351" t="s">
        <v>36</v>
      </c>
      <c r="AC21" s="352" t="s">
        <v>36</v>
      </c>
      <c r="AD21" s="352" t="s">
        <v>36</v>
      </c>
      <c r="AE21" s="352" t="s">
        <v>36</v>
      </c>
      <c r="AF21" s="352" t="s">
        <v>36</v>
      </c>
      <c r="AG21" s="352" t="s">
        <v>36</v>
      </c>
      <c r="AH21" s="352">
        <v>0.3307487232713755</v>
      </c>
      <c r="AI21" s="352">
        <v>0.36106659360594801</v>
      </c>
      <c r="AJ21" s="352">
        <v>0.39824131479553904</v>
      </c>
      <c r="AK21" s="352">
        <v>0.4205461475092937</v>
      </c>
      <c r="AL21" s="353">
        <v>0.60641975345724908</v>
      </c>
      <c r="AM21" s="352" t="s">
        <v>36</v>
      </c>
      <c r="AN21" s="352" t="s">
        <v>36</v>
      </c>
      <c r="AO21" s="111" t="s">
        <v>36</v>
      </c>
      <c r="AP21" s="111" t="s">
        <v>36</v>
      </c>
      <c r="AQ21" s="111" t="s">
        <v>36</v>
      </c>
      <c r="AR21" s="111">
        <v>0</v>
      </c>
      <c r="AS21" s="111">
        <v>0.37309999999999999</v>
      </c>
      <c r="AT21" s="111">
        <v>0.46954288240495146</v>
      </c>
      <c r="AU21" s="111">
        <v>0.51822292634144429</v>
      </c>
      <c r="AV21" s="111">
        <v>0.59640000000000004</v>
      </c>
      <c r="AW21" s="184">
        <v>0.62739999999999996</v>
      </c>
    </row>
    <row r="22" spans="1:86" s="26" customFormat="1">
      <c r="A22" s="289" t="s">
        <v>66</v>
      </c>
      <c r="B22" s="355" t="s">
        <v>67</v>
      </c>
      <c r="C22" s="36" t="s">
        <v>68</v>
      </c>
      <c r="D22" s="32">
        <v>100000000</v>
      </c>
      <c r="E22" s="198">
        <v>63364896.030000001</v>
      </c>
      <c r="F22" s="275" t="s">
        <v>36</v>
      </c>
      <c r="G22" s="32" t="s">
        <v>36</v>
      </c>
      <c r="H22" s="32" t="s">
        <v>36</v>
      </c>
      <c r="I22" s="32" t="s">
        <v>36</v>
      </c>
      <c r="J22" s="32">
        <v>0</v>
      </c>
      <c r="K22" s="32">
        <v>0</v>
      </c>
      <c r="L22" s="32">
        <v>5145797.18</v>
      </c>
      <c r="M22" s="32">
        <v>0</v>
      </c>
      <c r="N22" s="32">
        <v>15406901.199999999</v>
      </c>
      <c r="O22" s="32">
        <v>32091430.600000005</v>
      </c>
      <c r="P22" s="198">
        <v>10720767.050000001</v>
      </c>
      <c r="Q22" s="275" t="s">
        <v>36</v>
      </c>
      <c r="R22" s="32" t="s">
        <v>36</v>
      </c>
      <c r="S22" s="32" t="s">
        <v>36</v>
      </c>
      <c r="T22" s="32" t="s">
        <v>36</v>
      </c>
      <c r="U22" s="32">
        <v>874141.03</v>
      </c>
      <c r="V22" s="32">
        <v>499003.72</v>
      </c>
      <c r="W22" s="349">
        <v>498315.07</v>
      </c>
      <c r="X22" s="349">
        <v>473928.73</v>
      </c>
      <c r="Y22" s="349">
        <v>469989.67</v>
      </c>
      <c r="Z22" s="349">
        <v>371635.6</v>
      </c>
      <c r="AA22" s="350">
        <v>117416.62</v>
      </c>
      <c r="AB22" s="351" t="s">
        <v>36</v>
      </c>
      <c r="AC22" s="352" t="s">
        <v>36</v>
      </c>
      <c r="AD22" s="352" t="s">
        <v>36</v>
      </c>
      <c r="AE22" s="352" t="s">
        <v>36</v>
      </c>
      <c r="AF22" s="352" t="s">
        <v>36</v>
      </c>
      <c r="AG22" s="352">
        <v>0</v>
      </c>
      <c r="AH22" s="352">
        <v>5.1457971799999995E-2</v>
      </c>
      <c r="AI22" s="352">
        <v>5.1457971799999995E-2</v>
      </c>
      <c r="AJ22" s="352">
        <v>0.20552698379999998</v>
      </c>
      <c r="AK22" s="352">
        <v>0.52644128980000005</v>
      </c>
      <c r="AL22" s="353">
        <v>0.63364896030000006</v>
      </c>
      <c r="AM22" s="352" t="s">
        <v>36</v>
      </c>
      <c r="AN22" s="352" t="s">
        <v>36</v>
      </c>
      <c r="AO22" s="111" t="s">
        <v>36</v>
      </c>
      <c r="AP22" s="111" t="s">
        <v>36</v>
      </c>
      <c r="AQ22" s="111">
        <v>0</v>
      </c>
      <c r="AR22" s="111">
        <v>0</v>
      </c>
      <c r="AS22" s="111">
        <v>7.5999999999999998E-2</v>
      </c>
      <c r="AT22" s="111">
        <v>0.19453353999999998</v>
      </c>
      <c r="AU22" s="111">
        <v>0.31290000000000001</v>
      </c>
      <c r="AV22" s="111">
        <v>0.46100000000000002</v>
      </c>
      <c r="AW22" s="184">
        <v>0.54079999999999995</v>
      </c>
    </row>
    <row r="23" spans="1:86" s="26" customFormat="1">
      <c r="A23" s="293" t="s">
        <v>211</v>
      </c>
      <c r="B23" s="255" t="s">
        <v>248</v>
      </c>
      <c r="C23" s="36" t="s">
        <v>64</v>
      </c>
      <c r="D23" s="32">
        <v>400000000</v>
      </c>
      <c r="E23" s="198">
        <v>280000000</v>
      </c>
      <c r="F23" s="275" t="s">
        <v>36</v>
      </c>
      <c r="G23" s="32">
        <v>0</v>
      </c>
      <c r="H23" s="32">
        <v>0</v>
      </c>
      <c r="I23" s="32">
        <v>5000000</v>
      </c>
      <c r="J23" s="32">
        <v>45000000</v>
      </c>
      <c r="K23" s="32">
        <v>120000000</v>
      </c>
      <c r="L23" s="32">
        <v>0</v>
      </c>
      <c r="M23" s="32">
        <v>0</v>
      </c>
      <c r="N23" s="32">
        <v>30000000</v>
      </c>
      <c r="O23" s="32">
        <v>80000000</v>
      </c>
      <c r="P23" s="198">
        <v>0</v>
      </c>
      <c r="Q23" s="275" t="s">
        <v>36</v>
      </c>
      <c r="R23" s="32">
        <v>0</v>
      </c>
      <c r="S23" s="32">
        <v>1369863.01</v>
      </c>
      <c r="T23" s="32">
        <v>2278532.2599999998</v>
      </c>
      <c r="U23" s="32">
        <v>1966518.08</v>
      </c>
      <c r="V23" s="32">
        <v>1785068.5</v>
      </c>
      <c r="W23" s="349">
        <v>1230547.94</v>
      </c>
      <c r="X23" s="349">
        <v>1150671.45</v>
      </c>
      <c r="Y23" s="349">
        <v>1055629.9099999999</v>
      </c>
      <c r="Z23" s="349">
        <v>830136.99</v>
      </c>
      <c r="AA23" s="350">
        <v>299178.08</v>
      </c>
      <c r="AB23" s="351" t="s">
        <v>36</v>
      </c>
      <c r="AC23" s="352">
        <v>0</v>
      </c>
      <c r="AD23" s="352">
        <v>0</v>
      </c>
      <c r="AE23" s="352">
        <v>1.1111111111111112E-2</v>
      </c>
      <c r="AF23" s="352">
        <v>0.125</v>
      </c>
      <c r="AG23" s="352">
        <v>0.42499999999999999</v>
      </c>
      <c r="AH23" s="352">
        <v>0.42499999999999999</v>
      </c>
      <c r="AI23" s="352">
        <v>0.42499999999999999</v>
      </c>
      <c r="AJ23" s="352">
        <v>0.5</v>
      </c>
      <c r="AK23" s="352">
        <v>0.7</v>
      </c>
      <c r="AL23" s="353">
        <v>0.7</v>
      </c>
      <c r="AM23" s="352" t="s">
        <v>36</v>
      </c>
      <c r="AN23" s="352">
        <v>0</v>
      </c>
      <c r="AO23" s="111">
        <v>0</v>
      </c>
      <c r="AP23" s="111">
        <v>0.13</v>
      </c>
      <c r="AQ23" s="111">
        <v>0.31</v>
      </c>
      <c r="AR23" s="111">
        <v>0.49</v>
      </c>
      <c r="AS23" s="111">
        <v>0.59</v>
      </c>
      <c r="AT23" s="111">
        <v>0.74</v>
      </c>
      <c r="AU23" s="111">
        <v>0.47</v>
      </c>
      <c r="AV23" s="111">
        <v>0.57969999999999999</v>
      </c>
      <c r="AW23" s="184">
        <v>0.63919999999999999</v>
      </c>
    </row>
    <row r="24" spans="1:86" s="26" customFormat="1">
      <c r="A24" s="293" t="s">
        <v>39</v>
      </c>
      <c r="B24" s="354" t="s">
        <v>40</v>
      </c>
      <c r="C24" s="241" t="s">
        <v>41</v>
      </c>
      <c r="D24" s="32">
        <v>90055000</v>
      </c>
      <c r="E24" s="198">
        <v>67443845.230000004</v>
      </c>
      <c r="F24" s="356" t="s">
        <v>36</v>
      </c>
      <c r="G24" s="349" t="s">
        <v>36</v>
      </c>
      <c r="H24" s="349" t="s">
        <v>36</v>
      </c>
      <c r="I24" s="349" t="s">
        <v>36</v>
      </c>
      <c r="J24" s="349" t="s">
        <v>36</v>
      </c>
      <c r="K24" s="110" t="s">
        <v>36</v>
      </c>
      <c r="L24" s="110" t="s">
        <v>36</v>
      </c>
      <c r="M24" s="110">
        <v>0</v>
      </c>
      <c r="N24" s="110">
        <v>0</v>
      </c>
      <c r="O24" s="110">
        <v>48900000</v>
      </c>
      <c r="P24" s="189">
        <v>18543845.23</v>
      </c>
      <c r="Q24" s="270" t="s">
        <v>36</v>
      </c>
      <c r="R24" s="110" t="s">
        <v>36</v>
      </c>
      <c r="S24" s="110" t="s">
        <v>36</v>
      </c>
      <c r="T24" s="110" t="s">
        <v>36</v>
      </c>
      <c r="U24" s="349" t="s">
        <v>36</v>
      </c>
      <c r="V24" s="349" t="s">
        <v>36</v>
      </c>
      <c r="W24" s="349" t="s">
        <v>36</v>
      </c>
      <c r="X24" s="349">
        <v>0</v>
      </c>
      <c r="Y24" s="349">
        <v>0</v>
      </c>
      <c r="Z24" s="349">
        <v>0</v>
      </c>
      <c r="AA24" s="350">
        <v>0</v>
      </c>
      <c r="AB24" s="357" t="s">
        <v>36</v>
      </c>
      <c r="AC24" s="358" t="s">
        <v>36</v>
      </c>
      <c r="AD24" s="358" t="s">
        <v>36</v>
      </c>
      <c r="AE24" s="358" t="s">
        <v>36</v>
      </c>
      <c r="AF24" s="358" t="s">
        <v>36</v>
      </c>
      <c r="AG24" s="358" t="s">
        <v>36</v>
      </c>
      <c r="AH24" s="358" t="s">
        <v>36</v>
      </c>
      <c r="AI24" s="358">
        <v>0</v>
      </c>
      <c r="AJ24" s="358">
        <v>0</v>
      </c>
      <c r="AK24" s="358">
        <v>0.54300149908389317</v>
      </c>
      <c r="AL24" s="359">
        <v>0.74891838576425518</v>
      </c>
      <c r="AM24" s="352" t="s">
        <v>36</v>
      </c>
      <c r="AN24" s="352" t="s">
        <v>36</v>
      </c>
      <c r="AO24" s="111" t="s">
        <v>36</v>
      </c>
      <c r="AP24" s="111" t="s">
        <v>36</v>
      </c>
      <c r="AQ24" s="111" t="s">
        <v>36</v>
      </c>
      <c r="AR24" s="111" t="s">
        <v>36</v>
      </c>
      <c r="AS24" s="111" t="s">
        <v>36</v>
      </c>
      <c r="AT24" s="111">
        <v>0</v>
      </c>
      <c r="AU24" s="111">
        <v>0.06</v>
      </c>
      <c r="AV24" s="111">
        <v>0.47</v>
      </c>
      <c r="AW24" s="184">
        <v>0.57999999999999996</v>
      </c>
    </row>
    <row r="25" spans="1:86" s="26" customFormat="1">
      <c r="A25" s="289" t="s">
        <v>93</v>
      </c>
      <c r="B25" s="355" t="s">
        <v>170</v>
      </c>
      <c r="C25" s="36" t="s">
        <v>38</v>
      </c>
      <c r="D25" s="32">
        <v>296000000</v>
      </c>
      <c r="E25" s="198">
        <v>233280891.27999997</v>
      </c>
      <c r="F25" s="275" t="s">
        <v>36</v>
      </c>
      <c r="G25" s="32" t="s">
        <v>36</v>
      </c>
      <c r="H25" s="32">
        <v>0</v>
      </c>
      <c r="I25" s="32">
        <v>0</v>
      </c>
      <c r="J25" s="32">
        <v>0</v>
      </c>
      <c r="K25" s="32">
        <v>0</v>
      </c>
      <c r="L25" s="32">
        <v>37374665.859999999</v>
      </c>
      <c r="M25" s="32">
        <v>39012508.710000001</v>
      </c>
      <c r="N25" s="32">
        <v>62032244.909999996</v>
      </c>
      <c r="O25" s="32">
        <v>53087088.469999999</v>
      </c>
      <c r="P25" s="198">
        <v>41774383.329999998</v>
      </c>
      <c r="Q25" s="275" t="s">
        <v>36</v>
      </c>
      <c r="R25" s="32" t="s">
        <v>36</v>
      </c>
      <c r="S25" s="32">
        <v>0</v>
      </c>
      <c r="T25" s="32">
        <v>0</v>
      </c>
      <c r="U25" s="32">
        <v>0</v>
      </c>
      <c r="V25" s="32">
        <v>0</v>
      </c>
      <c r="W25" s="349">
        <v>275444.44</v>
      </c>
      <c r="X25" s="349">
        <v>654723.52</v>
      </c>
      <c r="Y25" s="349">
        <v>525697.44999999995</v>
      </c>
      <c r="Z25" s="349">
        <v>367992.26</v>
      </c>
      <c r="AA25" s="350">
        <v>122583.09</v>
      </c>
      <c r="AB25" s="351" t="s">
        <v>36</v>
      </c>
      <c r="AC25" s="352" t="s">
        <v>36</v>
      </c>
      <c r="AD25" s="352">
        <v>0</v>
      </c>
      <c r="AE25" s="352">
        <v>0</v>
      </c>
      <c r="AF25" s="352">
        <v>0</v>
      </c>
      <c r="AG25" s="352">
        <v>0</v>
      </c>
      <c r="AH25" s="352">
        <v>0.12626576304054055</v>
      </c>
      <c r="AI25" s="352">
        <v>0.25806477895270274</v>
      </c>
      <c r="AJ25" s="352">
        <v>0.46760000000000002</v>
      </c>
      <c r="AK25" s="352">
        <v>0.64698144577702699</v>
      </c>
      <c r="AL25" s="353">
        <v>0.78811111918918908</v>
      </c>
      <c r="AM25" s="352" t="s">
        <v>36</v>
      </c>
      <c r="AN25" s="352" t="s">
        <v>36</v>
      </c>
      <c r="AO25" s="111">
        <v>0</v>
      </c>
      <c r="AP25" s="111">
        <v>7.1000000000000004E-3</v>
      </c>
      <c r="AQ25" s="111">
        <v>2.5499999999999998E-2</v>
      </c>
      <c r="AR25" s="111">
        <v>6.0999999999999999E-2</v>
      </c>
      <c r="AS25" s="111">
        <v>0.20519999999999999</v>
      </c>
      <c r="AT25" s="111">
        <v>0.3392</v>
      </c>
      <c r="AU25" s="111">
        <v>0.45479999999999998</v>
      </c>
      <c r="AV25" s="111">
        <v>0.76060000000000005</v>
      </c>
      <c r="AW25" s="184">
        <v>0.82279999999999998</v>
      </c>
    </row>
    <row r="26" spans="1:86" s="26" customFormat="1">
      <c r="A26" s="289">
        <v>2128</v>
      </c>
      <c r="B26" s="355" t="s">
        <v>163</v>
      </c>
      <c r="C26" s="36" t="s">
        <v>43</v>
      </c>
      <c r="D26" s="32">
        <v>270000000</v>
      </c>
      <c r="E26" s="198">
        <v>234538945.12</v>
      </c>
      <c r="F26" s="275" t="s">
        <v>36</v>
      </c>
      <c r="G26" s="32">
        <v>5000000</v>
      </c>
      <c r="H26" s="32">
        <v>26078740.899999999</v>
      </c>
      <c r="I26" s="32">
        <v>12297306.35</v>
      </c>
      <c r="J26" s="32">
        <v>7682132.7299999995</v>
      </c>
      <c r="K26" s="32">
        <v>12790856.84</v>
      </c>
      <c r="L26" s="32">
        <v>9087363.0399999991</v>
      </c>
      <c r="M26" s="32">
        <v>59954659.530000001</v>
      </c>
      <c r="N26" s="32">
        <v>0</v>
      </c>
      <c r="O26" s="32">
        <v>80922773.340000004</v>
      </c>
      <c r="P26" s="198">
        <v>20725112.390000001</v>
      </c>
      <c r="Q26" s="275" t="s">
        <v>36</v>
      </c>
      <c r="R26" s="32" t="s">
        <v>36</v>
      </c>
      <c r="S26" s="32" t="s">
        <v>36</v>
      </c>
      <c r="T26" s="32" t="s">
        <v>36</v>
      </c>
      <c r="U26" s="32" t="s">
        <v>36</v>
      </c>
      <c r="V26" s="32" t="s">
        <v>36</v>
      </c>
      <c r="W26" s="349" t="s">
        <v>36</v>
      </c>
      <c r="X26" s="349" t="s">
        <v>36</v>
      </c>
      <c r="Y26" s="349">
        <v>0</v>
      </c>
      <c r="Z26" s="349">
        <v>0</v>
      </c>
      <c r="AA26" s="350">
        <v>0</v>
      </c>
      <c r="AB26" s="351" t="s">
        <v>36</v>
      </c>
      <c r="AC26" s="352">
        <v>1.8518518519999999E-2</v>
      </c>
      <c r="AD26" s="352">
        <v>0.11510644777777777</v>
      </c>
      <c r="AE26" s="352">
        <v>0.16065202685185184</v>
      </c>
      <c r="AF26" s="352">
        <v>0.18910437029629629</v>
      </c>
      <c r="AG26" s="352">
        <v>0.23647791414814814</v>
      </c>
      <c r="AH26" s="352">
        <v>0.27013481429629632</v>
      </c>
      <c r="AI26" s="352">
        <v>0.49218910885185185</v>
      </c>
      <c r="AJ26" s="352">
        <v>0.49218910885185185</v>
      </c>
      <c r="AK26" s="352">
        <v>0.79190308418518529</v>
      </c>
      <c r="AL26" s="353">
        <v>0.86866275970370377</v>
      </c>
      <c r="AM26" s="352" t="s">
        <v>36</v>
      </c>
      <c r="AN26" s="352" t="s">
        <v>133</v>
      </c>
      <c r="AO26" s="111">
        <v>0.37</v>
      </c>
      <c r="AP26" s="111">
        <v>0.52610000000000001</v>
      </c>
      <c r="AQ26" s="111">
        <v>0.58799999999999997</v>
      </c>
      <c r="AR26" s="111">
        <v>0.74729999999999996</v>
      </c>
      <c r="AS26" s="111">
        <v>0.81330000000000002</v>
      </c>
      <c r="AT26" s="111">
        <v>0.85089999999999999</v>
      </c>
      <c r="AU26" s="111">
        <v>0.87529999999999997</v>
      </c>
      <c r="AV26" s="111">
        <v>0.91779999999999995</v>
      </c>
      <c r="AW26" s="184">
        <v>0.92659999999999998</v>
      </c>
    </row>
    <row r="27" spans="1:86" s="26" customFormat="1">
      <c r="A27" s="293" t="s">
        <v>59</v>
      </c>
      <c r="B27" s="354" t="s">
        <v>134</v>
      </c>
      <c r="C27" s="241" t="s">
        <v>34</v>
      </c>
      <c r="D27" s="32">
        <v>73000000</v>
      </c>
      <c r="E27" s="198">
        <v>69088690.840000004</v>
      </c>
      <c r="F27" s="356">
        <v>0</v>
      </c>
      <c r="G27" s="349">
        <v>0</v>
      </c>
      <c r="H27" s="349">
        <v>5075849.51</v>
      </c>
      <c r="I27" s="349">
        <v>0</v>
      </c>
      <c r="J27" s="349">
        <v>4104373.5300000003</v>
      </c>
      <c r="K27" s="110">
        <v>0</v>
      </c>
      <c r="L27" s="110">
        <v>10302672.949999999</v>
      </c>
      <c r="M27" s="110">
        <v>13635147.789999999</v>
      </c>
      <c r="N27" s="110">
        <v>12000000</v>
      </c>
      <c r="O27" s="110">
        <v>18340000</v>
      </c>
      <c r="P27" s="189">
        <v>5630647.0600000005</v>
      </c>
      <c r="Q27" s="270">
        <v>0</v>
      </c>
      <c r="R27" s="110">
        <v>333949.45</v>
      </c>
      <c r="S27" s="110">
        <v>182500</v>
      </c>
      <c r="T27" s="110">
        <v>387517.82</v>
      </c>
      <c r="U27" s="349">
        <v>337285.27</v>
      </c>
      <c r="V27" s="349">
        <v>321804.31</v>
      </c>
      <c r="W27" s="349">
        <v>319098.89</v>
      </c>
      <c r="X27" s="349">
        <v>250945.59</v>
      </c>
      <c r="Y27" s="349">
        <v>188508.58</v>
      </c>
      <c r="Z27" s="349">
        <v>102736.91</v>
      </c>
      <c r="AA27" s="350">
        <v>26250.61</v>
      </c>
      <c r="AB27" s="357">
        <v>0</v>
      </c>
      <c r="AC27" s="358">
        <v>0</v>
      </c>
      <c r="AD27" s="358">
        <v>6.9532185068493152E-2</v>
      </c>
      <c r="AE27" s="358">
        <v>6.9532185068493152E-2</v>
      </c>
      <c r="AF27" s="358">
        <v>0.12575647999999998</v>
      </c>
      <c r="AG27" s="358">
        <v>0.12575647999999998</v>
      </c>
      <c r="AH27" s="358">
        <v>0.26688898616438356</v>
      </c>
      <c r="AI27" s="358">
        <v>0.45367183260273974</v>
      </c>
      <c r="AJ27" s="358">
        <v>0.61805539424657541</v>
      </c>
      <c r="AK27" s="358">
        <v>0.86928827095890415</v>
      </c>
      <c r="AL27" s="359">
        <v>0.94642042246575342</v>
      </c>
      <c r="AM27" s="352">
        <v>0</v>
      </c>
      <c r="AN27" s="352">
        <v>0</v>
      </c>
      <c r="AO27" s="111">
        <v>4.1999999999999997E-3</v>
      </c>
      <c r="AP27" s="111">
        <v>3.5200000000000002E-2</v>
      </c>
      <c r="AQ27" s="111">
        <v>9.6299999999999997E-2</v>
      </c>
      <c r="AR27" s="111">
        <v>0.2094</v>
      </c>
      <c r="AS27" s="111">
        <v>0.51609044573377705</v>
      </c>
      <c r="AT27" s="111">
        <v>0.71730000000000005</v>
      </c>
      <c r="AU27" s="111">
        <v>0.87362317168177506</v>
      </c>
      <c r="AV27" s="111">
        <v>0.93720000000000003</v>
      </c>
      <c r="AW27" s="184">
        <v>0.95289999999999997</v>
      </c>
    </row>
    <row r="28" spans="1:86">
      <c r="A28" s="289">
        <v>1725</v>
      </c>
      <c r="B28" s="355" t="s">
        <v>249</v>
      </c>
      <c r="C28" s="36" t="s">
        <v>34</v>
      </c>
      <c r="D28" s="32">
        <v>99453757</v>
      </c>
      <c r="E28" s="198">
        <v>99453757</v>
      </c>
      <c r="F28" s="275">
        <v>8500000</v>
      </c>
      <c r="G28" s="32">
        <v>13000000</v>
      </c>
      <c r="H28" s="32">
        <v>9000000</v>
      </c>
      <c r="I28" s="32">
        <v>16770000</v>
      </c>
      <c r="J28" s="32">
        <v>10000000</v>
      </c>
      <c r="K28" s="32">
        <v>0</v>
      </c>
      <c r="L28" s="32">
        <v>0</v>
      </c>
      <c r="M28" s="32">
        <v>0</v>
      </c>
      <c r="N28" s="32">
        <v>12483757</v>
      </c>
      <c r="O28" s="32" t="s">
        <v>36</v>
      </c>
      <c r="P28" s="198" t="s">
        <v>36</v>
      </c>
      <c r="Q28" s="275">
        <v>299893.65999999997</v>
      </c>
      <c r="R28" s="32">
        <v>424609.42</v>
      </c>
      <c r="S28" s="32">
        <v>392287.5</v>
      </c>
      <c r="T28" s="32">
        <v>320323.25</v>
      </c>
      <c r="U28" s="32">
        <v>198467.26</v>
      </c>
      <c r="V28" s="32">
        <v>129149.48</v>
      </c>
      <c r="W28" s="349">
        <v>124012.5</v>
      </c>
      <c r="X28" s="349">
        <v>124348.26</v>
      </c>
      <c r="Y28" s="349">
        <v>74978.53</v>
      </c>
      <c r="Z28" s="349">
        <v>0</v>
      </c>
      <c r="AA28" s="350">
        <v>0</v>
      </c>
      <c r="AB28" s="351">
        <v>0.36906429639999999</v>
      </c>
      <c r="AC28" s="352">
        <v>0.49466209360000002</v>
      </c>
      <c r="AD28" s="352">
        <v>0.58161441476257181</v>
      </c>
      <c r="AE28" s="352">
        <v>0.74363557316071682</v>
      </c>
      <c r="AF28" s="352">
        <v>0.84024926332061256</v>
      </c>
      <c r="AG28" s="352">
        <v>0.84024926332061256</v>
      </c>
      <c r="AH28" s="352">
        <v>0.84024926332061256</v>
      </c>
      <c r="AI28" s="352">
        <v>0.84024926332061256</v>
      </c>
      <c r="AJ28" s="352">
        <v>0.96085944640355536</v>
      </c>
      <c r="AK28" s="352">
        <v>1</v>
      </c>
      <c r="AL28" s="353">
        <v>1</v>
      </c>
      <c r="AM28" s="352" t="s">
        <v>133</v>
      </c>
      <c r="AN28" s="352" t="s">
        <v>133</v>
      </c>
      <c r="AO28" s="111">
        <v>0.61199999999999999</v>
      </c>
      <c r="AP28" s="111">
        <v>0.68979999999999997</v>
      </c>
      <c r="AQ28" s="111">
        <v>0.79579999999999995</v>
      </c>
      <c r="AR28" s="111">
        <v>0.70109999999999995</v>
      </c>
      <c r="AS28" s="111">
        <v>0.76898207225784998</v>
      </c>
      <c r="AT28" s="111">
        <v>0.83728779432698874</v>
      </c>
      <c r="AU28" s="111">
        <v>0.91349999999999998</v>
      </c>
      <c r="AV28" s="111">
        <v>0.9516</v>
      </c>
      <c r="AW28" s="184">
        <v>0.92910000000000004</v>
      </c>
    </row>
    <row r="29" spans="1:86">
      <c r="A29" s="289">
        <v>2080</v>
      </c>
      <c r="B29" s="355" t="s">
        <v>162</v>
      </c>
      <c r="C29" s="36" t="s">
        <v>38</v>
      </c>
      <c r="D29" s="32">
        <v>340000000</v>
      </c>
      <c r="E29" s="198">
        <v>340000000</v>
      </c>
      <c r="F29" s="275">
        <v>7500000</v>
      </c>
      <c r="G29" s="32">
        <v>39953803</v>
      </c>
      <c r="H29" s="32">
        <v>30618366</v>
      </c>
      <c r="I29" s="32">
        <v>93500569</v>
      </c>
      <c r="J29" s="32">
        <v>13134370</v>
      </c>
      <c r="K29" s="32">
        <v>6000000</v>
      </c>
      <c r="L29" s="32">
        <v>85381480</v>
      </c>
      <c r="M29" s="32">
        <v>21238960</v>
      </c>
      <c r="N29" s="32">
        <v>42672450</v>
      </c>
      <c r="O29" s="32">
        <v>0</v>
      </c>
      <c r="P29" s="198">
        <v>0</v>
      </c>
      <c r="Q29" s="275">
        <v>1681174.38</v>
      </c>
      <c r="R29" s="32">
        <v>1605670.15</v>
      </c>
      <c r="S29" s="32">
        <v>1371441.04</v>
      </c>
      <c r="T29" s="32">
        <v>1146012.1000000001</v>
      </c>
      <c r="U29" s="32">
        <v>784140.77</v>
      </c>
      <c r="V29" s="32">
        <v>749425.65</v>
      </c>
      <c r="W29" s="349">
        <v>566647.53</v>
      </c>
      <c r="X29" s="349">
        <v>289753.03999999998</v>
      </c>
      <c r="Y29" s="349">
        <v>83841.59</v>
      </c>
      <c r="Z29" s="349">
        <v>0</v>
      </c>
      <c r="AA29" s="350">
        <v>0</v>
      </c>
      <c r="AB29" s="351">
        <v>2.205882353E-2</v>
      </c>
      <c r="AC29" s="352">
        <v>0.13957000880000001</v>
      </c>
      <c r="AD29" s="352">
        <v>0.22962402647058824</v>
      </c>
      <c r="AE29" s="352">
        <v>0.50462569999999995</v>
      </c>
      <c r="AF29" s="352">
        <v>0.54325619999999997</v>
      </c>
      <c r="AG29" s="352">
        <v>0.56090325882352943</v>
      </c>
      <c r="AH29" s="352">
        <v>0.81202525882352938</v>
      </c>
      <c r="AI29" s="352">
        <v>0.87449278823529408</v>
      </c>
      <c r="AJ29" s="352">
        <v>0.99999999411764706</v>
      </c>
      <c r="AK29" s="352">
        <v>1</v>
      </c>
      <c r="AL29" s="353">
        <v>1</v>
      </c>
      <c r="AM29" s="352" t="s">
        <v>133</v>
      </c>
      <c r="AN29" s="352" t="s">
        <v>133</v>
      </c>
      <c r="AO29" s="111">
        <v>0.38</v>
      </c>
      <c r="AP29" s="111">
        <v>0.46</v>
      </c>
      <c r="AQ29" s="111">
        <v>0.51880000000000004</v>
      </c>
      <c r="AR29" s="111">
        <v>0.68</v>
      </c>
      <c r="AS29" s="111">
        <v>0.75</v>
      </c>
      <c r="AT29" s="111">
        <v>0.82</v>
      </c>
      <c r="AU29" s="111">
        <v>0.97</v>
      </c>
      <c r="AV29" s="111">
        <v>0.98</v>
      </c>
      <c r="AW29" s="184">
        <v>1</v>
      </c>
      <c r="CE29" s="26"/>
      <c r="CF29" s="26"/>
      <c r="CG29" s="26"/>
      <c r="CH29" s="26"/>
    </row>
    <row r="30" spans="1:86" s="9" customFormat="1">
      <c r="A30" s="293">
        <v>2270</v>
      </c>
      <c r="B30" s="255" t="s">
        <v>52</v>
      </c>
      <c r="C30" s="36" t="s">
        <v>53</v>
      </c>
      <c r="D30" s="32">
        <v>80000000</v>
      </c>
      <c r="E30" s="198">
        <v>80000000</v>
      </c>
      <c r="F30" s="275" t="s">
        <v>36</v>
      </c>
      <c r="G30" s="32" t="s">
        <v>36</v>
      </c>
      <c r="H30" s="32" t="s">
        <v>36</v>
      </c>
      <c r="I30" s="32" t="s">
        <v>36</v>
      </c>
      <c r="J30" s="32" t="s">
        <v>36</v>
      </c>
      <c r="K30" s="32" t="s">
        <v>36</v>
      </c>
      <c r="L30" s="32" t="s">
        <v>36</v>
      </c>
      <c r="M30" s="32" t="s">
        <v>36</v>
      </c>
      <c r="N30" s="32">
        <v>69425367.540000007</v>
      </c>
      <c r="O30" s="32">
        <v>10574632.459999993</v>
      </c>
      <c r="P30" s="198">
        <v>0</v>
      </c>
      <c r="Q30" s="275" t="s">
        <v>36</v>
      </c>
      <c r="R30" s="32" t="s">
        <v>36</v>
      </c>
      <c r="S30" s="32" t="s">
        <v>36</v>
      </c>
      <c r="T30" s="32" t="s">
        <v>36</v>
      </c>
      <c r="U30" s="32" t="s">
        <v>36</v>
      </c>
      <c r="V30" s="32" t="s">
        <v>36</v>
      </c>
      <c r="W30" s="349" t="s">
        <v>36</v>
      </c>
      <c r="X30" s="349" t="s">
        <v>36</v>
      </c>
      <c r="Y30" s="349">
        <v>0</v>
      </c>
      <c r="Z30" s="349">
        <v>47216.14</v>
      </c>
      <c r="AA30" s="350">
        <v>110.34</v>
      </c>
      <c r="AB30" s="351" t="s">
        <v>36</v>
      </c>
      <c r="AC30" s="352" t="s">
        <v>36</v>
      </c>
      <c r="AD30" s="352" t="s">
        <v>36</v>
      </c>
      <c r="AE30" s="352" t="s">
        <v>36</v>
      </c>
      <c r="AF30" s="352" t="s">
        <v>36</v>
      </c>
      <c r="AG30" s="352" t="s">
        <v>36</v>
      </c>
      <c r="AH30" s="352" t="s">
        <v>36</v>
      </c>
      <c r="AI30" s="352" t="s">
        <v>36</v>
      </c>
      <c r="AJ30" s="352">
        <v>0.86781709425000009</v>
      </c>
      <c r="AK30" s="352">
        <v>1</v>
      </c>
      <c r="AL30" s="353">
        <v>1</v>
      </c>
      <c r="AM30" s="352" t="s">
        <v>36</v>
      </c>
      <c r="AN30" s="352" t="s">
        <v>36</v>
      </c>
      <c r="AO30" s="111" t="s">
        <v>36</v>
      </c>
      <c r="AP30" s="111" t="s">
        <v>36</v>
      </c>
      <c r="AQ30" s="111" t="s">
        <v>36</v>
      </c>
      <c r="AR30" s="111" t="s">
        <v>36</v>
      </c>
      <c r="AS30" s="131" t="s">
        <v>36</v>
      </c>
      <c r="AT30" s="111" t="s">
        <v>36</v>
      </c>
      <c r="AU30" s="131" t="s">
        <v>36</v>
      </c>
      <c r="AV30" s="131" t="s">
        <v>36</v>
      </c>
      <c r="AW30" s="184" t="s">
        <v>36</v>
      </c>
    </row>
    <row r="31" spans="1:86" s="9" customFormat="1">
      <c r="A31" s="293" t="s">
        <v>81</v>
      </c>
      <c r="B31" s="354" t="s">
        <v>250</v>
      </c>
      <c r="C31" s="241" t="s">
        <v>43</v>
      </c>
      <c r="D31" s="32">
        <v>420000000</v>
      </c>
      <c r="E31" s="198">
        <v>420000000</v>
      </c>
      <c r="F31" s="356" t="s">
        <v>36</v>
      </c>
      <c r="G31" s="349" t="s">
        <v>36</v>
      </c>
      <c r="H31" s="349" t="s">
        <v>36</v>
      </c>
      <c r="I31" s="349">
        <v>105000000</v>
      </c>
      <c r="J31" s="349">
        <v>0</v>
      </c>
      <c r="K31" s="110">
        <v>120000000</v>
      </c>
      <c r="L31" s="110">
        <v>60000000</v>
      </c>
      <c r="M31" s="110">
        <v>105000000</v>
      </c>
      <c r="N31" s="110">
        <v>0</v>
      </c>
      <c r="O31" s="110">
        <v>0</v>
      </c>
      <c r="P31" s="189">
        <v>30000000</v>
      </c>
      <c r="Q31" s="110" t="s">
        <v>36</v>
      </c>
      <c r="R31" s="110" t="s">
        <v>36</v>
      </c>
      <c r="S31" s="110" t="s">
        <v>36</v>
      </c>
      <c r="T31" s="110">
        <v>0</v>
      </c>
      <c r="U31" s="349">
        <v>1039856.83</v>
      </c>
      <c r="V31" s="349">
        <v>787500</v>
      </c>
      <c r="W31" s="349">
        <v>596526.84</v>
      </c>
      <c r="X31" s="349">
        <v>299104.84999999998</v>
      </c>
      <c r="Y31" s="349">
        <v>74921.94</v>
      </c>
      <c r="Z31" s="349">
        <v>74999.960000000006</v>
      </c>
      <c r="AA31" s="349">
        <v>37808.199999999997</v>
      </c>
      <c r="AB31" s="357">
        <v>0</v>
      </c>
      <c r="AC31" s="358">
        <v>0</v>
      </c>
      <c r="AD31" s="358">
        <v>0</v>
      </c>
      <c r="AE31" s="358">
        <v>0.25</v>
      </c>
      <c r="AF31" s="358">
        <v>0.25</v>
      </c>
      <c r="AG31" s="358">
        <v>0.5357142857142857</v>
      </c>
      <c r="AH31" s="358">
        <v>0.6785714285714286</v>
      </c>
      <c r="AI31" s="358">
        <v>0.9285714285714286</v>
      </c>
      <c r="AJ31" s="358">
        <v>0.9285714285714286</v>
      </c>
      <c r="AK31" s="358">
        <v>0.9285714285714286</v>
      </c>
      <c r="AL31" s="359">
        <v>1</v>
      </c>
      <c r="AM31" s="352">
        <v>0</v>
      </c>
      <c r="AN31" s="352">
        <v>0</v>
      </c>
      <c r="AO31" s="111">
        <v>0</v>
      </c>
      <c r="AP31" s="111" t="s">
        <v>216</v>
      </c>
      <c r="AQ31" s="111">
        <v>0.35539999999999999</v>
      </c>
      <c r="AR31" s="111">
        <v>0.6744</v>
      </c>
      <c r="AS31" s="131">
        <v>0.79400000000000004</v>
      </c>
      <c r="AT31" s="111">
        <v>0.86355100000000007</v>
      </c>
      <c r="AU31" s="131">
        <v>0.92279999999999995</v>
      </c>
      <c r="AV31" s="131">
        <v>0.96630000000000005</v>
      </c>
      <c r="AW31" s="184">
        <v>0.98250000000000004</v>
      </c>
    </row>
    <row r="32" spans="1:86" s="9" customFormat="1" ht="25.2" customHeight="1" thickBot="1">
      <c r="A32" s="299" t="s">
        <v>91</v>
      </c>
      <c r="B32" s="362" t="s">
        <v>138</v>
      </c>
      <c r="C32" s="363" t="s">
        <v>38</v>
      </c>
      <c r="D32" s="364">
        <v>90542773.120000005</v>
      </c>
      <c r="E32" s="365">
        <v>90542773.120000005</v>
      </c>
      <c r="F32" s="366" t="s">
        <v>36</v>
      </c>
      <c r="G32" s="364" t="s">
        <v>36</v>
      </c>
      <c r="H32" s="364">
        <v>0</v>
      </c>
      <c r="I32" s="364">
        <v>79150875.799660102</v>
      </c>
      <c r="J32" s="364">
        <v>1899621.02</v>
      </c>
      <c r="K32" s="364">
        <v>6648673.5599999996</v>
      </c>
      <c r="L32" s="364">
        <v>2843602.7401996008</v>
      </c>
      <c r="M32" s="364">
        <v>0</v>
      </c>
      <c r="N32" s="364">
        <v>0</v>
      </c>
      <c r="O32" s="364">
        <v>0</v>
      </c>
      <c r="P32" s="365" t="s">
        <v>36</v>
      </c>
      <c r="Q32" s="364" t="s">
        <v>36</v>
      </c>
      <c r="R32" s="364" t="s">
        <v>36</v>
      </c>
      <c r="S32" s="364">
        <v>0</v>
      </c>
      <c r="T32" s="364">
        <v>0</v>
      </c>
      <c r="U32" s="364">
        <v>20174.240000000002</v>
      </c>
      <c r="V32" s="364">
        <v>21929.33</v>
      </c>
      <c r="W32" s="364">
        <v>3911.8</v>
      </c>
      <c r="X32" s="364">
        <v>0</v>
      </c>
      <c r="Y32" s="364">
        <v>0</v>
      </c>
      <c r="Z32" s="364">
        <v>0</v>
      </c>
      <c r="AA32" s="364">
        <v>0</v>
      </c>
      <c r="AB32" s="367" t="s">
        <v>36</v>
      </c>
      <c r="AC32" s="368" t="s">
        <v>36</v>
      </c>
      <c r="AD32" s="368">
        <v>0</v>
      </c>
      <c r="AE32" s="368">
        <v>0.87788189914012749</v>
      </c>
      <c r="AF32" s="368">
        <v>0.89845126476114645</v>
      </c>
      <c r="AG32" s="368">
        <v>0.96937791681528662</v>
      </c>
      <c r="AH32" s="368">
        <v>1</v>
      </c>
      <c r="AI32" s="368">
        <v>1</v>
      </c>
      <c r="AJ32" s="368">
        <v>1</v>
      </c>
      <c r="AK32" s="368">
        <v>1</v>
      </c>
      <c r="AL32" s="369">
        <v>1</v>
      </c>
      <c r="AM32" s="370" t="s">
        <v>36</v>
      </c>
      <c r="AN32" s="370" t="s">
        <v>36</v>
      </c>
      <c r="AO32" s="370">
        <v>0</v>
      </c>
      <c r="AP32" s="370">
        <v>7.1000000000000004E-3</v>
      </c>
      <c r="AQ32" s="370">
        <v>2.5499999999999998E-2</v>
      </c>
      <c r="AR32" s="370">
        <v>6.0999999999999999E-2</v>
      </c>
      <c r="AS32" s="370">
        <v>0.20519999999999999</v>
      </c>
      <c r="AT32" s="370">
        <v>0.3392</v>
      </c>
      <c r="AU32" s="370">
        <v>0.45479999999999998</v>
      </c>
      <c r="AV32" s="370">
        <v>0.76060000000000005</v>
      </c>
      <c r="AW32" s="371">
        <v>0.82279999999999998</v>
      </c>
    </row>
    <row r="33" spans="1:82" s="9" customFormat="1" ht="25.2" customHeight="1">
      <c r="A33" s="294"/>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133"/>
      <c r="AQ33" s="133"/>
    </row>
    <row r="34" spans="1:82" s="9" customFormat="1" ht="25.2" customHeight="1">
      <c r="A34" s="372" t="s">
        <v>173</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133"/>
      <c r="AQ34" s="373"/>
      <c r="AR34" s="114"/>
      <c r="AT34" s="114"/>
    </row>
    <row r="35" spans="1:82" s="9" customFormat="1" ht="25.2" customHeight="1">
      <c r="A35" s="327"/>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133"/>
      <c r="AQ35" s="133"/>
      <c r="AR35" s="114"/>
    </row>
    <row r="36" spans="1:82" ht="25.2" customHeight="1">
      <c r="A36" s="374" t="s">
        <v>251</v>
      </c>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133"/>
      <c r="AQ36" s="133"/>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5"/>
      <c r="BQ36" s="215"/>
      <c r="BR36" s="215"/>
      <c r="BS36" s="215"/>
      <c r="BT36" s="215"/>
      <c r="BU36" s="215"/>
      <c r="BV36" s="215"/>
      <c r="BW36" s="215"/>
      <c r="BX36" s="215"/>
      <c r="BY36" s="215"/>
      <c r="BZ36" s="215"/>
      <c r="CA36" s="215"/>
      <c r="CB36" s="215"/>
      <c r="CC36" s="215"/>
      <c r="CD36" s="215"/>
    </row>
    <row r="37" spans="1:82" ht="25.2" customHeight="1">
      <c r="A37" s="327" t="s">
        <v>252</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133"/>
      <c r="AQ37" s="133"/>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5"/>
      <c r="BQ37" s="215"/>
      <c r="BR37" s="215"/>
      <c r="BS37" s="215"/>
      <c r="BT37" s="215"/>
      <c r="BU37" s="215"/>
      <c r="BV37" s="215"/>
      <c r="BW37" s="215"/>
      <c r="BX37" s="215"/>
      <c r="BY37" s="215"/>
      <c r="BZ37" s="215"/>
      <c r="CA37" s="215"/>
      <c r="CB37" s="215"/>
      <c r="CC37" s="215"/>
      <c r="CD37" s="215"/>
    </row>
    <row r="38" spans="1:82" ht="25.2" customHeight="1">
      <c r="A38" s="327"/>
      <c r="B38" s="327"/>
      <c r="C38" s="327"/>
      <c r="D38" s="327"/>
      <c r="E38" s="327"/>
      <c r="F38" s="327"/>
      <c r="G38" s="327"/>
      <c r="H38" s="327"/>
      <c r="I38" s="327"/>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7"/>
      <c r="AN38" s="327"/>
      <c r="AO38" s="327"/>
      <c r="AP38" s="133"/>
      <c r="AQ38" s="133"/>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5"/>
      <c r="BQ38" s="215"/>
      <c r="BR38" s="215"/>
      <c r="BS38" s="215"/>
      <c r="BT38" s="215"/>
      <c r="BU38" s="215"/>
      <c r="BV38" s="215"/>
      <c r="BW38" s="215"/>
      <c r="BX38" s="215"/>
      <c r="BY38" s="215"/>
      <c r="BZ38" s="215"/>
      <c r="CA38" s="215"/>
      <c r="CB38" s="215"/>
      <c r="CC38" s="215"/>
      <c r="CD38" s="215"/>
    </row>
    <row r="39" spans="1:82" s="379" customFormat="1" ht="25.95" customHeight="1">
      <c r="A39" s="375"/>
      <c r="B39" s="376"/>
      <c r="C39" s="377"/>
      <c r="D39" s="377"/>
      <c r="E39" s="377"/>
      <c r="F39" s="377"/>
      <c r="G39" s="377"/>
      <c r="H39" s="377"/>
      <c r="I39" s="377"/>
      <c r="J39" s="377"/>
      <c r="K39" s="377"/>
      <c r="L39" s="378"/>
      <c r="M39" s="378"/>
      <c r="N39" s="378"/>
      <c r="O39" s="378"/>
      <c r="P39" s="378"/>
      <c r="Q39" s="378"/>
      <c r="R39" s="378"/>
      <c r="S39" s="378"/>
      <c r="T39" s="378"/>
      <c r="U39" s="378"/>
      <c r="V39" s="377"/>
      <c r="W39" s="377"/>
      <c r="X39" s="377"/>
      <c r="Y39" s="378"/>
      <c r="Z39" s="378"/>
      <c r="AA39" s="378"/>
      <c r="AB39" s="377"/>
      <c r="AC39" s="377"/>
      <c r="AD39" s="377"/>
      <c r="AE39" s="377"/>
      <c r="AF39" s="377"/>
      <c r="AG39" s="377"/>
      <c r="AH39" s="377"/>
      <c r="AI39" s="377"/>
      <c r="AJ39" s="377"/>
      <c r="AK39" s="377"/>
      <c r="AL39" s="377"/>
      <c r="AM39" s="377"/>
      <c r="AN39" s="329"/>
      <c r="AO39" s="329"/>
      <c r="AP39" s="323"/>
      <c r="AQ39" s="323"/>
      <c r="AR39" s="323"/>
      <c r="AS39" s="323"/>
      <c r="AT39" s="323"/>
      <c r="AU39" s="323"/>
      <c r="AV39" s="323"/>
      <c r="AW39" s="323"/>
      <c r="AX39" s="323"/>
      <c r="AY39" s="323"/>
      <c r="AZ39" s="323"/>
      <c r="BA39" s="323"/>
      <c r="BB39" s="323"/>
      <c r="BC39" s="323"/>
      <c r="BD39" s="323"/>
      <c r="BE39" s="323"/>
      <c r="BF39" s="323"/>
      <c r="BG39" s="323"/>
      <c r="BH39" s="323"/>
      <c r="BI39" s="323"/>
      <c r="BJ39" s="323"/>
      <c r="BK39" s="323"/>
      <c r="BL39" s="323"/>
      <c r="BM39" s="323"/>
      <c r="BN39" s="323"/>
      <c r="BO39" s="323"/>
      <c r="BP39" s="323"/>
      <c r="BQ39" s="323"/>
      <c r="BR39" s="323"/>
      <c r="BS39" s="323"/>
      <c r="BT39" s="323"/>
      <c r="BU39" s="323"/>
      <c r="BV39" s="323"/>
      <c r="BW39" s="323"/>
      <c r="BX39" s="323"/>
      <c r="BY39" s="323"/>
      <c r="BZ39" s="323"/>
      <c r="CA39" s="323"/>
      <c r="CB39" s="323"/>
      <c r="CC39" s="323"/>
      <c r="CD39" s="323"/>
    </row>
    <row r="40" spans="1:82" ht="32.4" customHeight="1">
      <c r="A40" s="327"/>
      <c r="B40" s="327"/>
      <c r="C40" s="327"/>
      <c r="D40" s="327"/>
      <c r="E40" s="327"/>
      <c r="F40" s="327"/>
      <c r="G40" s="327"/>
      <c r="H40" s="327"/>
      <c r="I40" s="327"/>
      <c r="J40" s="327"/>
      <c r="K40" s="327"/>
      <c r="L40" s="327"/>
      <c r="M40" s="327"/>
      <c r="N40" s="327"/>
      <c r="O40" s="327"/>
      <c r="P40" s="327"/>
      <c r="Q40" s="49"/>
      <c r="R40" s="49"/>
      <c r="S40" s="49"/>
      <c r="T40" s="49"/>
      <c r="U40" s="380"/>
      <c r="V40" s="380"/>
      <c r="W40" s="380"/>
      <c r="X40" s="380"/>
      <c r="Y40" s="49"/>
      <c r="Z40" s="49"/>
      <c r="AA40" s="380"/>
      <c r="AB40" s="380"/>
      <c r="AC40" s="380"/>
      <c r="AD40" s="380"/>
      <c r="AE40" s="380"/>
      <c r="AF40" s="380"/>
      <c r="AG40" s="380"/>
      <c r="AH40" s="380"/>
      <c r="AI40" s="380"/>
      <c r="AJ40" s="380"/>
      <c r="AK40" s="380"/>
      <c r="AL40" s="380"/>
      <c r="AM40" s="148"/>
      <c r="AN40" s="148"/>
      <c r="AO40" s="148"/>
    </row>
  </sheetData>
  <sheetProtection algorithmName="SHA-512" hashValue="Aa2J4bH445bATM9OSK9whk5cbZv/cy5UBRr/MrU01G32bIoVQJ3lMHiopdOpGzYpPAd1323avnfDOlOGQvAM8A==" saltValue="TFegcJazDdmy8B1BjujnfQ==" spinCount="100000" sheet="1" objects="1" scenarios="1"/>
  <sortState xmlns:xlrd2="http://schemas.microsoft.com/office/spreadsheetml/2017/richdata2" ref="A8:AR31">
    <sortCondition ref="AH8:AH31"/>
  </sortState>
  <mergeCells count="19">
    <mergeCell ref="A1:AW1"/>
    <mergeCell ref="A4:AW4"/>
    <mergeCell ref="A5:AW5"/>
    <mergeCell ref="A3:AW3"/>
    <mergeCell ref="A2:AW2"/>
    <mergeCell ref="A40:P40"/>
    <mergeCell ref="A38:AO38"/>
    <mergeCell ref="A6:A7"/>
    <mergeCell ref="B6:B7"/>
    <mergeCell ref="C6:C7"/>
    <mergeCell ref="D6:D7"/>
    <mergeCell ref="A34:AO34"/>
    <mergeCell ref="A35:AO35"/>
    <mergeCell ref="E6:E7"/>
    <mergeCell ref="F6:P6"/>
    <mergeCell ref="AB6:AL6"/>
    <mergeCell ref="AM6:AW6"/>
    <mergeCell ref="Q6:AA6"/>
    <mergeCell ref="A37:AO37"/>
  </mergeCells>
  <pageMargins left="0.70866141732283472" right="0.70866141732283472" top="0.74803149606299213" bottom="0.74803149606299213" header="0.31496062992125984" footer="0.31496062992125984"/>
  <pageSetup scale="17" orientation="landscape" r:id="rId1"/>
  <ignoredErrors>
    <ignoredError sqref="A1 A5 A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08"/>
  <sheetViews>
    <sheetView showGridLines="0" zoomScale="80" zoomScaleNormal="80" zoomScaleSheetLayoutView="55" workbookViewId="0">
      <selection sqref="A1:XFD1048576"/>
    </sheetView>
  </sheetViews>
  <sheetFormatPr baseColWidth="10" defaultColWidth="11" defaultRowHeight="13.8"/>
  <cols>
    <col min="1" max="1" width="16.33203125" style="9" customWidth="1"/>
    <col min="2" max="2" width="52.77734375" style="9" customWidth="1"/>
    <col min="3" max="3" width="9.6640625" style="16" bestFit="1" customWidth="1"/>
    <col min="4" max="4" width="21.77734375" style="381" bestFit="1" customWidth="1"/>
    <col min="5" max="5" width="17.109375" style="95" customWidth="1"/>
    <col min="6" max="7" width="18.33203125" style="95" customWidth="1"/>
    <col min="8" max="8" width="18.44140625" style="95" customWidth="1"/>
    <col min="9" max="9" width="14.44140625" style="9" bestFit="1" customWidth="1"/>
    <col min="10" max="10" width="15.44140625" style="9" bestFit="1" customWidth="1"/>
    <col min="11" max="11" width="14.44140625" style="9" bestFit="1" customWidth="1"/>
    <col min="12" max="12" width="12.21875" style="9" bestFit="1" customWidth="1"/>
    <col min="13" max="13" width="10.44140625" style="9" customWidth="1"/>
    <col min="14" max="15" width="14.44140625" style="9" bestFit="1" customWidth="1"/>
    <col min="16" max="16" width="11.88671875" style="9" bestFit="1" customWidth="1"/>
    <col min="17" max="17" width="12" style="9" bestFit="1" customWidth="1"/>
    <col min="18" max="18" width="12.88671875" style="26" customWidth="1"/>
    <col min="19" max="22" width="11" style="26"/>
    <col min="23" max="16384" width="11" style="9"/>
  </cols>
  <sheetData>
    <row r="1" spans="1:22" ht="25.2" customHeight="1"/>
    <row r="2" spans="1:22" s="26" customFormat="1" ht="25.2" customHeight="1">
      <c r="A2" s="382" t="s">
        <v>253</v>
      </c>
      <c r="B2" s="382"/>
      <c r="C2" s="382"/>
      <c r="D2" s="382"/>
      <c r="E2" s="382"/>
      <c r="F2" s="382"/>
      <c r="G2" s="382"/>
      <c r="H2" s="382"/>
      <c r="I2" s="382"/>
      <c r="J2" s="382"/>
      <c r="K2" s="382"/>
      <c r="L2" s="382"/>
      <c r="M2" s="382"/>
      <c r="N2" s="382"/>
      <c r="O2" s="382"/>
      <c r="P2" s="382"/>
      <c r="Q2" s="382"/>
    </row>
    <row r="3" spans="1:22" s="26" customFormat="1" ht="25.2" customHeight="1">
      <c r="A3" s="383" t="s">
        <v>14</v>
      </c>
      <c r="B3" s="383"/>
      <c r="C3" s="383"/>
      <c r="D3" s="383"/>
      <c r="E3" s="383"/>
      <c r="F3" s="383"/>
      <c r="G3" s="383"/>
      <c r="H3" s="383"/>
      <c r="I3" s="383"/>
      <c r="J3" s="383"/>
      <c r="K3" s="383"/>
      <c r="L3" s="383"/>
      <c r="M3" s="383"/>
      <c r="N3" s="383"/>
      <c r="O3" s="383"/>
      <c r="P3" s="383"/>
      <c r="Q3" s="383"/>
    </row>
    <row r="4" spans="1:22" s="26" customFormat="1" ht="25.2" customHeight="1">
      <c r="A4" s="382" t="s">
        <v>18</v>
      </c>
      <c r="B4" s="382"/>
      <c r="C4" s="382"/>
      <c r="D4" s="382"/>
      <c r="E4" s="382"/>
      <c r="F4" s="382"/>
      <c r="G4" s="382"/>
      <c r="H4" s="382"/>
      <c r="I4" s="382"/>
      <c r="J4" s="382"/>
      <c r="K4" s="382"/>
      <c r="L4" s="382"/>
      <c r="M4" s="382"/>
      <c r="N4" s="382"/>
      <c r="O4" s="382"/>
      <c r="P4" s="382"/>
      <c r="Q4" s="382"/>
    </row>
    <row r="5" spans="1:22" s="26" customFormat="1" ht="25.2" customHeight="1" thickBot="1">
      <c r="A5" s="384">
        <f>+'Anexo 1'!A5:M5</f>
        <v>45107</v>
      </c>
      <c r="B5" s="384"/>
      <c r="C5" s="384"/>
      <c r="D5" s="384"/>
      <c r="E5" s="384"/>
      <c r="F5" s="384"/>
      <c r="G5" s="384"/>
      <c r="H5" s="384"/>
      <c r="I5" s="384"/>
      <c r="J5" s="384"/>
      <c r="K5" s="384"/>
      <c r="L5" s="384"/>
      <c r="M5" s="384"/>
      <c r="N5" s="384"/>
      <c r="O5" s="384"/>
      <c r="P5" s="384"/>
      <c r="Q5" s="384"/>
    </row>
    <row r="6" spans="1:22" ht="69.599999999999994" thickBot="1">
      <c r="A6" s="13" t="s">
        <v>19</v>
      </c>
      <c r="B6" s="13" t="s">
        <v>20</v>
      </c>
      <c r="C6" s="13" t="s">
        <v>21</v>
      </c>
      <c r="D6" s="13" t="s">
        <v>203</v>
      </c>
      <c r="E6" s="13" t="s">
        <v>254</v>
      </c>
      <c r="F6" s="13" t="s">
        <v>255</v>
      </c>
      <c r="G6" s="13" t="s">
        <v>256</v>
      </c>
      <c r="H6" s="13" t="s">
        <v>257</v>
      </c>
      <c r="I6" s="13" t="s">
        <v>258</v>
      </c>
      <c r="J6" s="13" t="s">
        <v>259</v>
      </c>
      <c r="K6" s="13" t="s">
        <v>260</v>
      </c>
      <c r="L6" s="13" t="s">
        <v>261</v>
      </c>
      <c r="M6" s="13" t="s">
        <v>262</v>
      </c>
      <c r="N6" s="13" t="s">
        <v>263</v>
      </c>
      <c r="O6" s="13" t="s">
        <v>264</v>
      </c>
      <c r="P6" s="13" t="s">
        <v>265</v>
      </c>
      <c r="Q6" s="13" t="s">
        <v>266</v>
      </c>
      <c r="R6" s="9"/>
      <c r="S6" s="9"/>
      <c r="T6" s="9"/>
      <c r="U6" s="9"/>
      <c r="V6" s="9"/>
    </row>
    <row r="7" spans="1:22" s="26" customFormat="1">
      <c r="A7" s="385"/>
      <c r="C7" s="158"/>
      <c r="D7" s="386"/>
      <c r="E7" s="387"/>
      <c r="F7" s="387"/>
      <c r="G7" s="387"/>
      <c r="H7" s="387"/>
      <c r="I7" s="388"/>
      <c r="J7" s="388"/>
      <c r="K7" s="388"/>
      <c r="L7" s="388"/>
      <c r="M7" s="388"/>
      <c r="N7" s="388"/>
      <c r="O7" s="388"/>
      <c r="P7" s="388"/>
      <c r="Q7" s="389"/>
    </row>
    <row r="8" spans="1:22" s="26" customFormat="1">
      <c r="A8" s="390" t="s">
        <v>32</v>
      </c>
      <c r="B8" s="391"/>
      <c r="C8" s="158"/>
      <c r="D8" s="386"/>
      <c r="E8" s="392"/>
      <c r="F8" s="392"/>
      <c r="G8" s="392"/>
      <c r="H8" s="392"/>
      <c r="I8" s="388"/>
      <c r="J8" s="388"/>
      <c r="K8" s="388"/>
      <c r="L8" s="388"/>
      <c r="M8" s="388"/>
      <c r="N8" s="388"/>
      <c r="O8" s="388"/>
      <c r="P8" s="388"/>
      <c r="Q8" s="393"/>
    </row>
    <row r="9" spans="1:22" ht="27.6">
      <c r="A9" s="29">
        <v>1725</v>
      </c>
      <c r="B9" s="30" t="s">
        <v>192</v>
      </c>
      <c r="C9" s="31" t="s">
        <v>34</v>
      </c>
      <c r="D9" s="110">
        <f>+'Anexo 1'!E9</f>
        <v>99453757</v>
      </c>
      <c r="E9" s="32">
        <v>172679928.53</v>
      </c>
      <c r="F9" s="32">
        <v>172626789.15000001</v>
      </c>
      <c r="G9" s="32">
        <v>165819737.44999999</v>
      </c>
      <c r="H9" s="32">
        <v>172661993.19</v>
      </c>
      <c r="I9" s="110">
        <f t="shared" ref="I9:I18" si="0">F9-G9</f>
        <v>6807051.7000000179</v>
      </c>
      <c r="J9" s="110">
        <f t="shared" ref="J9:J16" si="1">F9-E9</f>
        <v>-53139.379999995232</v>
      </c>
      <c r="K9" s="110">
        <f t="shared" ref="K9:K16" si="2">H9-N9</f>
        <v>6807051.7000000179</v>
      </c>
      <c r="L9" s="110">
        <f>F9/G9</f>
        <v>1.0410509135081254</v>
      </c>
      <c r="M9" s="110">
        <f>F9/E9</f>
        <v>0.99969226660879251</v>
      </c>
      <c r="N9" s="110">
        <f t="shared" ref="N9:N16" si="3">G9+H9-F9</f>
        <v>165854941.48999998</v>
      </c>
      <c r="O9" s="110">
        <f t="shared" ref="O9:O16" si="4">N9-G9</f>
        <v>35204.039999991655</v>
      </c>
      <c r="P9" s="110">
        <f>((+'Anexo 2'!K9*12)-(('Anexo 2'!M9)*12))/M9</f>
        <v>-75.277960062481142</v>
      </c>
      <c r="Q9" s="189">
        <f t="shared" ref="Q9:Q15" si="5">(H9-F9)/(H9-G9)</f>
        <v>5.1450926913163882E-3</v>
      </c>
      <c r="R9" s="161"/>
      <c r="S9" s="9"/>
      <c r="T9" s="9"/>
      <c r="U9" s="9"/>
      <c r="V9" s="9"/>
    </row>
    <row r="10" spans="1:22">
      <c r="A10" s="29">
        <v>2080</v>
      </c>
      <c r="B10" s="39" t="s">
        <v>162</v>
      </c>
      <c r="C10" s="31" t="s">
        <v>38</v>
      </c>
      <c r="D10" s="110">
        <f>+'Anexo 1'!E10</f>
        <v>340000000</v>
      </c>
      <c r="E10" s="32">
        <v>0</v>
      </c>
      <c r="F10" s="32">
        <v>468560000</v>
      </c>
      <c r="G10" s="32">
        <v>468560000</v>
      </c>
      <c r="H10" s="32">
        <v>484860000</v>
      </c>
      <c r="I10" s="110">
        <f t="shared" si="0"/>
        <v>0</v>
      </c>
      <c r="J10" s="110">
        <f t="shared" si="1"/>
        <v>468560000</v>
      </c>
      <c r="K10" s="110">
        <f t="shared" si="2"/>
        <v>0</v>
      </c>
      <c r="L10" s="110">
        <f>F10/G10</f>
        <v>1</v>
      </c>
      <c r="M10" s="110">
        <v>1</v>
      </c>
      <c r="N10" s="110">
        <f t="shared" si="3"/>
        <v>484860000</v>
      </c>
      <c r="O10" s="110">
        <f t="shared" si="4"/>
        <v>16300000</v>
      </c>
      <c r="P10" s="110" t="s">
        <v>36</v>
      </c>
      <c r="Q10" s="189">
        <f t="shared" si="5"/>
        <v>1</v>
      </c>
      <c r="R10" s="161"/>
      <c r="S10" s="9"/>
      <c r="T10" s="9"/>
      <c r="U10" s="9"/>
      <c r="V10" s="9"/>
    </row>
    <row r="11" spans="1:22">
      <c r="A11" s="29" t="s">
        <v>39</v>
      </c>
      <c r="B11" s="39" t="s">
        <v>40</v>
      </c>
      <c r="C11" s="31" t="s">
        <v>38</v>
      </c>
      <c r="D11" s="110">
        <f>+'Anexo 1'!E11</f>
        <v>90055000</v>
      </c>
      <c r="E11" s="32">
        <v>66230601.859999999</v>
      </c>
      <c r="F11" s="32">
        <v>26500000</v>
      </c>
      <c r="G11" s="32">
        <v>26500000</v>
      </c>
      <c r="H11" s="32">
        <v>92728000</v>
      </c>
      <c r="I11" s="110">
        <f t="shared" si="0"/>
        <v>0</v>
      </c>
      <c r="J11" s="110">
        <f t="shared" si="1"/>
        <v>-39730601.859999999</v>
      </c>
      <c r="K11" s="110">
        <f t="shared" si="2"/>
        <v>0</v>
      </c>
      <c r="L11" s="110" t="s">
        <v>36</v>
      </c>
      <c r="M11" s="110">
        <f t="shared" ref="M11:M15" si="6">F11/E11</f>
        <v>0.40011715514855811</v>
      </c>
      <c r="N11" s="110">
        <f t="shared" si="3"/>
        <v>92728000</v>
      </c>
      <c r="O11" s="110">
        <f t="shared" si="4"/>
        <v>66228000</v>
      </c>
      <c r="P11" s="110" t="s">
        <v>36</v>
      </c>
      <c r="Q11" s="189">
        <f t="shared" si="5"/>
        <v>1</v>
      </c>
      <c r="R11" s="161"/>
      <c r="S11" s="9"/>
      <c r="T11" s="9"/>
      <c r="U11" s="9"/>
      <c r="V11" s="9"/>
    </row>
    <row r="12" spans="1:22" s="26" customFormat="1" ht="27.6">
      <c r="A12" s="394">
        <v>2128</v>
      </c>
      <c r="B12" s="213" t="s">
        <v>163</v>
      </c>
      <c r="C12" s="36" t="s">
        <v>43</v>
      </c>
      <c r="D12" s="110">
        <f>+'Anexo 1'!E12</f>
        <v>270000000</v>
      </c>
      <c r="E12" s="32">
        <v>84856809.209999993</v>
      </c>
      <c r="F12" s="32">
        <v>268023832.37</v>
      </c>
      <c r="G12" s="32">
        <v>268023832.37</v>
      </c>
      <c r="H12" s="32">
        <v>352880641.57999998</v>
      </c>
      <c r="I12" s="110">
        <f t="shared" si="0"/>
        <v>0</v>
      </c>
      <c r="J12" s="110">
        <f t="shared" si="1"/>
        <v>183167023.16000003</v>
      </c>
      <c r="K12" s="110">
        <f t="shared" si="2"/>
        <v>0</v>
      </c>
      <c r="L12" s="110">
        <f t="shared" ref="L12:L15" si="7">F12/G12</f>
        <v>1</v>
      </c>
      <c r="M12" s="110">
        <f t="shared" si="6"/>
        <v>3.1585424300683531</v>
      </c>
      <c r="N12" s="110">
        <f t="shared" si="3"/>
        <v>352880641.58000004</v>
      </c>
      <c r="O12" s="110">
        <f t="shared" si="4"/>
        <v>84856809.210000038</v>
      </c>
      <c r="P12" s="110">
        <f>((+'Anexo 2'!K12*12)-(('Anexo 2'!M12)*12))/M12</f>
        <v>-13.229615335247761</v>
      </c>
      <c r="Q12" s="189">
        <f t="shared" si="5"/>
        <v>1</v>
      </c>
      <c r="R12" s="81"/>
    </row>
    <row r="13" spans="1:22" ht="27.6">
      <c r="A13" s="29">
        <v>2129</v>
      </c>
      <c r="B13" s="30" t="s">
        <v>44</v>
      </c>
      <c r="C13" s="31" t="s">
        <v>34</v>
      </c>
      <c r="D13" s="110">
        <f>+'Anexo 1'!E13</f>
        <v>130000000</v>
      </c>
      <c r="E13" s="32">
        <v>157619202</v>
      </c>
      <c r="F13" s="32">
        <v>22370261.629999999</v>
      </c>
      <c r="G13" s="32">
        <v>16345555.9</v>
      </c>
      <c r="H13" s="32">
        <v>178860362.72999999</v>
      </c>
      <c r="I13" s="110">
        <f t="shared" si="0"/>
        <v>6024705.7299999986</v>
      </c>
      <c r="J13" s="110">
        <f t="shared" si="1"/>
        <v>-135248940.37</v>
      </c>
      <c r="K13" s="110">
        <f t="shared" si="2"/>
        <v>6024705.7299999893</v>
      </c>
      <c r="L13" s="110">
        <f t="shared" si="7"/>
        <v>1.3685837157731662</v>
      </c>
      <c r="M13" s="110">
        <f t="shared" si="6"/>
        <v>0.14192599217701912</v>
      </c>
      <c r="N13" s="110">
        <f t="shared" si="3"/>
        <v>172835657</v>
      </c>
      <c r="O13" s="110">
        <f t="shared" si="4"/>
        <v>156490101.09999999</v>
      </c>
      <c r="P13" s="110">
        <f>((+'Anexo 2'!K13*12)-(('Anexo 2'!M13)*12))/M13</f>
        <v>-75.053586951392475</v>
      </c>
      <c r="Q13" s="189">
        <f t="shared" si="5"/>
        <v>0.96292826575302648</v>
      </c>
      <c r="R13" s="161"/>
      <c r="S13" s="9"/>
      <c r="T13" s="9"/>
      <c r="U13" s="9"/>
      <c r="V13" s="9"/>
    </row>
    <row r="14" spans="1:22" s="26" customFormat="1" ht="57.6" customHeight="1">
      <c r="A14" s="394">
        <v>2164</v>
      </c>
      <c r="B14" s="213" t="s">
        <v>165</v>
      </c>
      <c r="C14" s="36" t="s">
        <v>34</v>
      </c>
      <c r="D14" s="110">
        <f>+'Anexo 1'!E14</f>
        <v>154562390.28999999</v>
      </c>
      <c r="E14" s="32">
        <v>27761056.620000001</v>
      </c>
      <c r="F14" s="32">
        <v>22083007.449999999</v>
      </c>
      <c r="G14" s="32">
        <v>22083007.449999999</v>
      </c>
      <c r="H14" s="32">
        <v>185866632.46000001</v>
      </c>
      <c r="I14" s="110">
        <f t="shared" si="0"/>
        <v>0</v>
      </c>
      <c r="J14" s="110">
        <f t="shared" si="1"/>
        <v>-5678049.1700000018</v>
      </c>
      <c r="K14" s="110">
        <f t="shared" si="2"/>
        <v>0</v>
      </c>
      <c r="L14" s="110">
        <f t="shared" si="7"/>
        <v>1</v>
      </c>
      <c r="M14" s="110">
        <f t="shared" si="6"/>
        <v>0.79546710891726857</v>
      </c>
      <c r="N14" s="110">
        <f t="shared" si="3"/>
        <v>185866632.46000001</v>
      </c>
      <c r="O14" s="110">
        <f t="shared" si="4"/>
        <v>163783625.01000002</v>
      </c>
      <c r="P14" s="110">
        <f>((+'Anexo 2'!K14*12)-(('Anexo 2'!M14)*12))/M14</f>
        <v>-2.397144135429996</v>
      </c>
      <c r="Q14" s="189">
        <f t="shared" si="5"/>
        <v>1</v>
      </c>
      <c r="R14" s="161"/>
    </row>
    <row r="15" spans="1:22" s="26" customFormat="1" ht="27.6">
      <c r="A15" s="29" t="s">
        <v>46</v>
      </c>
      <c r="B15" s="30" t="s">
        <v>267</v>
      </c>
      <c r="C15" s="36" t="str">
        <f>+'Anexo 1'!C15</f>
        <v>AyA</v>
      </c>
      <c r="D15" s="110">
        <f>+'Anexo 1'!E15</f>
        <v>111128810</v>
      </c>
      <c r="E15" s="32">
        <v>3966341.7850000001</v>
      </c>
      <c r="F15" s="32">
        <v>3901341.7850000001</v>
      </c>
      <c r="G15" s="32">
        <v>3901341.7850000001</v>
      </c>
      <c r="H15" s="32">
        <v>139863535</v>
      </c>
      <c r="I15" s="110">
        <f>F15-G15</f>
        <v>0</v>
      </c>
      <c r="J15" s="110">
        <f t="shared" si="1"/>
        <v>-65000</v>
      </c>
      <c r="K15" s="110">
        <f t="shared" si="2"/>
        <v>0</v>
      </c>
      <c r="L15" s="110">
        <f t="shared" si="7"/>
        <v>1</v>
      </c>
      <c r="M15" s="110">
        <f t="shared" si="6"/>
        <v>0.98361210316120051</v>
      </c>
      <c r="N15" s="110">
        <f t="shared" si="3"/>
        <v>139863535</v>
      </c>
      <c r="O15" s="110">
        <f t="shared" si="4"/>
        <v>135962193.215</v>
      </c>
      <c r="P15" s="110">
        <f>((+'Anexo 2'!K15*12)-(('Anexo 2'!M15)*12))/M15</f>
        <v>10.361585414781654</v>
      </c>
      <c r="Q15" s="189">
        <f t="shared" si="5"/>
        <v>1</v>
      </c>
      <c r="R15" s="161"/>
    </row>
    <row r="16" spans="1:22" s="26" customFormat="1">
      <c r="A16" s="394">
        <v>2198</v>
      </c>
      <c r="B16" s="213" t="s">
        <v>49</v>
      </c>
      <c r="C16" s="36" t="str">
        <f>+'Anexo 1'!C16</f>
        <v>AyA/SENARA</v>
      </c>
      <c r="D16" s="110">
        <f>+'Anexo 1'!E16</f>
        <v>55080000</v>
      </c>
      <c r="E16" s="32">
        <v>5343011.7829999998</v>
      </c>
      <c r="F16" s="32">
        <v>1841835.8689999999</v>
      </c>
      <c r="G16" s="32">
        <v>1841835.8689999999</v>
      </c>
      <c r="H16" s="32">
        <v>57184700</v>
      </c>
      <c r="I16" s="110">
        <f t="shared" si="0"/>
        <v>0</v>
      </c>
      <c r="J16" s="110">
        <f t="shared" si="1"/>
        <v>-3501175.9139999999</v>
      </c>
      <c r="K16" s="110">
        <f t="shared" si="2"/>
        <v>0</v>
      </c>
      <c r="L16" s="110" t="s">
        <v>36</v>
      </c>
      <c r="M16" s="110" t="s">
        <v>36</v>
      </c>
      <c r="N16" s="110">
        <f t="shared" si="3"/>
        <v>57184700</v>
      </c>
      <c r="O16" s="110">
        <f t="shared" si="4"/>
        <v>55342864.130999997</v>
      </c>
      <c r="P16" s="110" t="s">
        <v>36</v>
      </c>
      <c r="Q16" s="189" t="s">
        <v>36</v>
      </c>
      <c r="R16" s="161"/>
    </row>
    <row r="17" spans="1:18" s="26" customFormat="1">
      <c r="A17" s="394">
        <v>2270</v>
      </c>
      <c r="B17" s="213" t="s">
        <v>52</v>
      </c>
      <c r="C17" s="36" t="str">
        <f>+'Anexo 1'!C17</f>
        <v>CNE</v>
      </c>
      <c r="D17" s="110">
        <f>+'Anexo 1'!E17</f>
        <v>80000000</v>
      </c>
      <c r="E17" s="32" t="s">
        <v>36</v>
      </c>
      <c r="F17" s="32" t="s">
        <v>36</v>
      </c>
      <c r="G17" s="32" t="s">
        <v>36</v>
      </c>
      <c r="H17" s="32" t="s">
        <v>36</v>
      </c>
      <c r="I17" s="110" t="s">
        <v>36</v>
      </c>
      <c r="J17" s="110" t="s">
        <v>36</v>
      </c>
      <c r="K17" s="110" t="s">
        <v>36</v>
      </c>
      <c r="L17" s="110" t="s">
        <v>36</v>
      </c>
      <c r="M17" s="110" t="s">
        <v>36</v>
      </c>
      <c r="N17" s="110" t="s">
        <v>36</v>
      </c>
      <c r="O17" s="110" t="s">
        <v>36</v>
      </c>
      <c r="P17" s="110" t="s">
        <v>36</v>
      </c>
      <c r="Q17" s="189" t="s">
        <v>36</v>
      </c>
      <c r="R17" s="161"/>
    </row>
    <row r="18" spans="1:18" s="26" customFormat="1" ht="27.6">
      <c r="A18" s="394">
        <v>2220</v>
      </c>
      <c r="B18" s="30" t="s">
        <v>54</v>
      </c>
      <c r="C18" s="36" t="str">
        <f>+'Anexo 1'!C18</f>
        <v xml:space="preserve">SENARA </v>
      </c>
      <c r="D18" s="110">
        <f>+'Anexo 1'!E18</f>
        <v>425000000</v>
      </c>
      <c r="E18" s="32">
        <v>7337436.3899999997</v>
      </c>
      <c r="F18" s="32">
        <v>5290823.18</v>
      </c>
      <c r="G18" s="32">
        <v>5290823.18</v>
      </c>
      <c r="H18" s="32">
        <v>457797287.81</v>
      </c>
      <c r="I18" s="110">
        <f t="shared" si="0"/>
        <v>0</v>
      </c>
      <c r="J18" s="110">
        <f t="shared" ref="J18" si="8">F18-E18</f>
        <v>-2046613.21</v>
      </c>
      <c r="K18" s="110">
        <f t="shared" ref="K18" si="9">H18-N18</f>
        <v>0</v>
      </c>
      <c r="L18" s="110">
        <f t="shared" ref="L18" si="10">F18/G18</f>
        <v>1</v>
      </c>
      <c r="M18" s="110">
        <f t="shared" ref="M18" si="11">F18/E18</f>
        <v>0.72107244257827219</v>
      </c>
      <c r="N18" s="110">
        <f t="shared" ref="N18" si="12">G18+H18-F18</f>
        <v>457797287.81</v>
      </c>
      <c r="O18" s="110">
        <f t="shared" ref="O18" si="13">N18-G18</f>
        <v>452506464.63</v>
      </c>
      <c r="P18" s="110">
        <f>((+'Anexo 2'!K18*12)-(('Anexo 2'!M18)*12))/M18</f>
        <v>64.287804728482172</v>
      </c>
      <c r="Q18" s="189">
        <f t="shared" ref="Q18" si="14">(H18-F18)/(H18-G18)</f>
        <v>1</v>
      </c>
      <c r="R18" s="161"/>
    </row>
    <row r="19" spans="1:18" s="26" customFormat="1">
      <c r="A19" s="394"/>
      <c r="B19" s="395"/>
      <c r="C19" s="63"/>
      <c r="D19" s="117">
        <f>SUM(D9:D18)</f>
        <v>1755279957.29</v>
      </c>
      <c r="E19" s="32"/>
      <c r="F19" s="32"/>
      <c r="G19" s="32"/>
      <c r="H19" s="32"/>
      <c r="I19" s="110"/>
      <c r="J19" s="110"/>
      <c r="K19" s="110"/>
      <c r="L19" s="110"/>
      <c r="M19" s="110"/>
      <c r="N19" s="110"/>
      <c r="O19" s="110"/>
      <c r="P19" s="110"/>
      <c r="Q19" s="189"/>
      <c r="R19" s="161"/>
    </row>
    <row r="20" spans="1:18" s="26" customFormat="1">
      <c r="A20" s="394"/>
      <c r="B20" s="395"/>
      <c r="C20" s="63"/>
      <c r="D20" s="110"/>
      <c r="E20" s="32"/>
      <c r="F20" s="32"/>
      <c r="G20" s="32"/>
      <c r="H20" s="32"/>
      <c r="I20" s="110"/>
      <c r="J20" s="110"/>
      <c r="K20" s="110"/>
      <c r="L20" s="110"/>
      <c r="M20" s="110"/>
      <c r="N20" s="110"/>
      <c r="O20" s="110"/>
      <c r="P20" s="110"/>
      <c r="Q20" s="189"/>
      <c r="R20" s="161"/>
    </row>
    <row r="21" spans="1:18" s="26" customFormat="1">
      <c r="A21" s="396" t="s">
        <v>58</v>
      </c>
      <c r="B21" s="213"/>
      <c r="C21" s="36"/>
      <c r="D21" s="110"/>
      <c r="E21" s="32"/>
      <c r="F21" s="32"/>
      <c r="G21" s="32"/>
      <c r="H21" s="32"/>
      <c r="I21" s="110"/>
      <c r="J21" s="110"/>
      <c r="K21" s="110"/>
      <c r="L21" s="110"/>
      <c r="M21" s="110"/>
      <c r="N21" s="110"/>
      <c r="O21" s="110"/>
      <c r="P21" s="110"/>
      <c r="Q21" s="189"/>
      <c r="R21" s="161"/>
    </row>
    <row r="22" spans="1:18" s="26" customFormat="1">
      <c r="A22" s="394" t="s">
        <v>59</v>
      </c>
      <c r="B22" s="397" t="s">
        <v>268</v>
      </c>
      <c r="C22" s="36" t="s">
        <v>34</v>
      </c>
      <c r="D22" s="110">
        <f>'Anexo 1'!E22</f>
        <v>73000000</v>
      </c>
      <c r="E22" s="32">
        <v>100088610</v>
      </c>
      <c r="F22" s="32">
        <v>99655610.030000001</v>
      </c>
      <c r="G22" s="32">
        <v>99655610.030000001</v>
      </c>
      <c r="H22" s="32">
        <v>109340816.2</v>
      </c>
      <c r="I22" s="110">
        <f>F22-G22</f>
        <v>0</v>
      </c>
      <c r="J22" s="110">
        <f>F22-E22</f>
        <v>-432999.96999999881</v>
      </c>
      <c r="K22" s="110">
        <f>H22-N22</f>
        <v>0</v>
      </c>
      <c r="L22" s="110">
        <f>F22/G22</f>
        <v>1</v>
      </c>
      <c r="M22" s="110">
        <f>F22/E22</f>
        <v>0.99567383371594431</v>
      </c>
      <c r="N22" s="110">
        <f>G22+H22-F22</f>
        <v>109340816.20000002</v>
      </c>
      <c r="O22" s="110">
        <f>N22-G22</f>
        <v>9685206.1700000167</v>
      </c>
      <c r="P22" s="110">
        <f>((+'Anexo 2'!L22*12)-(('Anexo 2'!M22)*12))/M22</f>
        <v>12.877628570760599</v>
      </c>
      <c r="Q22" s="189">
        <f>(H22-F22)/(H22-G22)</f>
        <v>1</v>
      </c>
      <c r="R22" s="161"/>
    </row>
    <row r="23" spans="1:18" s="9" customFormat="1" ht="12" customHeight="1">
      <c r="A23" s="54" t="s">
        <v>62</v>
      </c>
      <c r="B23" s="39" t="s">
        <v>63</v>
      </c>
      <c r="C23" s="55" t="s">
        <v>64</v>
      </c>
      <c r="D23" s="110">
        <f>'Anexo 1'!E23</f>
        <v>400000000</v>
      </c>
      <c r="E23" s="232">
        <v>230000000</v>
      </c>
      <c r="F23" s="232">
        <v>220000000</v>
      </c>
      <c r="G23" s="232">
        <v>216585065.80000001</v>
      </c>
      <c r="H23" s="232">
        <v>450000000</v>
      </c>
      <c r="I23" s="121">
        <f>F23-G23</f>
        <v>3414934.1999999881</v>
      </c>
      <c r="J23" s="121">
        <f>F23-E23</f>
        <v>-10000000</v>
      </c>
      <c r="K23" s="121">
        <f>H23-N23</f>
        <v>3414934.2000000477</v>
      </c>
      <c r="L23" s="121">
        <f>F23/G23</f>
        <v>1.0157671729922202</v>
      </c>
      <c r="M23" s="121">
        <f>F23/E23</f>
        <v>0.95652173913043481</v>
      </c>
      <c r="N23" s="121">
        <f>G23+H23-F23</f>
        <v>446585065.79999995</v>
      </c>
      <c r="O23" s="121">
        <f>N23-G23</f>
        <v>229999999.99999994</v>
      </c>
      <c r="P23" s="121">
        <f>((+'Anexo 2'!K23*12)-(('Anexo 2'!M23)*12))/M23</f>
        <v>-33.030635118306371</v>
      </c>
      <c r="Q23" s="233">
        <f>(H23-F23)/(H23-G23)</f>
        <v>0.98536968419906701</v>
      </c>
      <c r="R23" s="161"/>
    </row>
    <row r="24" spans="1:18" s="9" customFormat="1">
      <c r="A24" s="54" t="s">
        <v>65</v>
      </c>
      <c r="B24" s="39" t="s">
        <v>63</v>
      </c>
      <c r="C24" s="55"/>
      <c r="D24" s="110">
        <f>'Anexo 1'!E24</f>
        <v>50000000</v>
      </c>
      <c r="E24" s="232"/>
      <c r="F24" s="232"/>
      <c r="G24" s="232"/>
      <c r="H24" s="232"/>
      <c r="I24" s="121"/>
      <c r="J24" s="121"/>
      <c r="K24" s="121"/>
      <c r="L24" s="121"/>
      <c r="M24" s="121"/>
      <c r="N24" s="121"/>
      <c r="O24" s="121"/>
      <c r="P24" s="121"/>
      <c r="Q24" s="233"/>
      <c r="R24" s="161"/>
    </row>
    <row r="25" spans="1:18" s="26" customFormat="1">
      <c r="A25" s="60" t="s">
        <v>66</v>
      </c>
      <c r="B25" s="85" t="s">
        <v>67</v>
      </c>
      <c r="C25" s="36" t="s">
        <v>68</v>
      </c>
      <c r="D25" s="110">
        <f>'Anexo 1'!E25</f>
        <v>100000000</v>
      </c>
      <c r="E25" s="32">
        <v>52644128.979999997</v>
      </c>
      <c r="F25" s="32">
        <v>63364896.030000001</v>
      </c>
      <c r="G25" s="32">
        <v>52790768.960000001</v>
      </c>
      <c r="H25" s="32">
        <v>100000000</v>
      </c>
      <c r="I25" s="110">
        <f>F25-G25</f>
        <v>10574127.07</v>
      </c>
      <c r="J25" s="110">
        <f>F25-E25</f>
        <v>10720767.050000004</v>
      </c>
      <c r="K25" s="110">
        <f>H25-N25</f>
        <v>10574127.069999993</v>
      </c>
      <c r="L25" s="110">
        <f>F25/G25</f>
        <v>1.2003025771041922</v>
      </c>
      <c r="M25" s="110">
        <f>F25/E25</f>
        <v>1.2036460144315984</v>
      </c>
      <c r="N25" s="110">
        <f>G25+H25-F25</f>
        <v>89425872.930000007</v>
      </c>
      <c r="O25" s="110">
        <f>N25-G25</f>
        <v>36635103.970000006</v>
      </c>
      <c r="P25" s="110">
        <f>((+'Anexo 2'!K25*12)-(('Anexo 2'!M25)*12))/M25</f>
        <v>-10.816450954926207</v>
      </c>
      <c r="Q25" s="189">
        <f>(H25-F25)/(H25-G25)</f>
        <v>0.77601568936717846</v>
      </c>
      <c r="R25" s="161"/>
    </row>
    <row r="26" spans="1:18" s="26" customFormat="1">
      <c r="A26" s="60" t="s">
        <v>69</v>
      </c>
      <c r="B26" s="85" t="s">
        <v>70</v>
      </c>
      <c r="C26" s="36" t="s">
        <v>64</v>
      </c>
      <c r="D26" s="110">
        <f>'Anexo 1'!E26</f>
        <v>144036000</v>
      </c>
      <c r="E26" s="32">
        <v>72760398.049999997</v>
      </c>
      <c r="F26" s="32">
        <v>65997146.219999999</v>
      </c>
      <c r="G26" s="32">
        <v>48877818.920000002</v>
      </c>
      <c r="H26" s="32">
        <v>152036000</v>
      </c>
      <c r="I26" s="110">
        <f>F26-G26</f>
        <v>17119327.299999997</v>
      </c>
      <c r="J26" s="110">
        <f>F26-E26</f>
        <v>-6763251.8299999982</v>
      </c>
      <c r="K26" s="110">
        <f>H26-N26</f>
        <v>17119327.299999982</v>
      </c>
      <c r="L26" s="110">
        <f>F26/G26</f>
        <v>1.3502473653339522</v>
      </c>
      <c r="M26" s="110">
        <f>F26/E26</f>
        <v>0.90704762465218536</v>
      </c>
      <c r="N26" s="110">
        <f>G26+H26-F26</f>
        <v>134916672.70000002</v>
      </c>
      <c r="O26" s="110">
        <f>N26-G26</f>
        <v>86038853.780000016</v>
      </c>
      <c r="P26" s="110">
        <f>((+'Anexo 2'!K26*12)-(('Anexo 2'!M26)*12))/M26</f>
        <v>2.9359138663212883</v>
      </c>
      <c r="Q26" s="189">
        <f>(H26-F26)/(H26-G26)</f>
        <v>0.8340477980440173</v>
      </c>
      <c r="R26" s="161"/>
    </row>
    <row r="27" spans="1:18" s="26" customFormat="1" ht="27.6">
      <c r="A27" s="60" t="str">
        <f>+'Anexo 1'!A27</f>
        <v>3589/OC-CR</v>
      </c>
      <c r="B27" s="213" t="s">
        <v>72</v>
      </c>
      <c r="C27" s="36" t="str">
        <f>+'Anexo 1'!C27</f>
        <v>ICE</v>
      </c>
      <c r="D27" s="110">
        <f>+'Anexo 1'!E27</f>
        <v>134500000</v>
      </c>
      <c r="E27" s="32">
        <v>88543920.780000001</v>
      </c>
      <c r="F27" s="32">
        <v>112679944.45</v>
      </c>
      <c r="G27" s="32">
        <v>90513480.719999999</v>
      </c>
      <c r="H27" s="32">
        <v>226200000</v>
      </c>
      <c r="I27" s="110">
        <f>F27-G27</f>
        <v>22166463.730000004</v>
      </c>
      <c r="J27" s="110">
        <f>F27-E27</f>
        <v>24136023.670000002</v>
      </c>
      <c r="K27" s="110">
        <f>H27-N27</f>
        <v>22166463.729999959</v>
      </c>
      <c r="L27" s="110">
        <f>F27/G27</f>
        <v>1.244896821486416</v>
      </c>
      <c r="M27" s="110">
        <f>F27/E27</f>
        <v>1.2725881512517319</v>
      </c>
      <c r="N27" s="110">
        <f>G27+H27-F27</f>
        <v>204033536.27000004</v>
      </c>
      <c r="O27" s="110">
        <f>N27-G27</f>
        <v>113520055.55000004</v>
      </c>
      <c r="P27" s="110">
        <f>((+'Anexo 2'!K27*12)-(('Anexo 2'!M27)*12))/M27</f>
        <v>5.709430358526328</v>
      </c>
      <c r="Q27" s="189">
        <f>(H27-F27)/(H27-G27)</f>
        <v>0.83663473830987045</v>
      </c>
      <c r="R27" s="161"/>
    </row>
    <row r="28" spans="1:18" s="26" customFormat="1" ht="27.6">
      <c r="A28" s="60" t="str">
        <f>+'Anexo 1'!A28</f>
        <v>4864/OC-CR</v>
      </c>
      <c r="B28" s="52" t="s">
        <v>76</v>
      </c>
      <c r="C28" s="36" t="str">
        <f>+'Anexo 1'!C28</f>
        <v>MOPT</v>
      </c>
      <c r="D28" s="110">
        <f>+'Anexo 1'!E28</f>
        <v>125000000</v>
      </c>
      <c r="E28" s="32">
        <v>133238976.64</v>
      </c>
      <c r="F28" s="32">
        <v>47418063.270000003</v>
      </c>
      <c r="G28" s="32">
        <v>1712955.19</v>
      </c>
      <c r="H28" s="32">
        <v>178000000</v>
      </c>
      <c r="I28" s="110">
        <f>F28-G28</f>
        <v>45705108.080000006</v>
      </c>
      <c r="J28" s="110">
        <f>F28-E28</f>
        <v>-85820913.370000005</v>
      </c>
      <c r="K28" s="110">
        <f>H28-N28</f>
        <v>45705108.080000013</v>
      </c>
      <c r="L28" s="110" t="s">
        <v>36</v>
      </c>
      <c r="M28" s="110">
        <f>F28/E28</f>
        <v>0.35588732716042576</v>
      </c>
      <c r="N28" s="110">
        <f>G28+H28-F28</f>
        <v>132294891.91999999</v>
      </c>
      <c r="O28" s="110">
        <f>N28-G28</f>
        <v>130581936.72999999</v>
      </c>
      <c r="P28" s="110">
        <f>((+'Anexo 2'!K28*12)-(('Anexo 2'!M28)*12))/M28</f>
        <v>75.84361330672094</v>
      </c>
      <c r="Q28" s="189">
        <f>(H28-F28)/(H28-G28)</f>
        <v>0.74073473107873344</v>
      </c>
      <c r="R28" s="161"/>
    </row>
    <row r="29" spans="1:18" s="26" customFormat="1">
      <c r="A29" s="60" t="str">
        <f>+'Anexo 1'!A29</f>
        <v>4871/OC-CR</v>
      </c>
      <c r="B29" s="52" t="s">
        <v>78</v>
      </c>
      <c r="C29" s="36" t="str">
        <f>+'Anexo 1'!C29</f>
        <v>MJP</v>
      </c>
      <c r="D29" s="110">
        <f>+'Anexo 1'!E29</f>
        <v>100000000</v>
      </c>
      <c r="E29" s="32">
        <v>11423616.76</v>
      </c>
      <c r="F29" s="32">
        <v>5923616.7599999998</v>
      </c>
      <c r="G29" s="32">
        <v>4080733.61</v>
      </c>
      <c r="H29" s="32">
        <v>100000000</v>
      </c>
      <c r="I29" s="110">
        <f>F29-G29</f>
        <v>1842883.15</v>
      </c>
      <c r="J29" s="110">
        <f>F29-E29</f>
        <v>-5500000</v>
      </c>
      <c r="K29" s="110">
        <f>H29-N29</f>
        <v>1842883.150000006</v>
      </c>
      <c r="L29" s="110" t="s">
        <v>36</v>
      </c>
      <c r="M29" s="110">
        <f>F29/E29</f>
        <v>0.5185412715123332</v>
      </c>
      <c r="N29" s="110">
        <f>G29+H29-F29</f>
        <v>98157116.849999994</v>
      </c>
      <c r="O29" s="110">
        <f>N29-G29</f>
        <v>94076383.239999995</v>
      </c>
      <c r="P29" s="110">
        <f>((+'Anexo 2'!K29*12)-(('Anexo 2'!M29)*12))/M29</f>
        <v>62.768282861174953</v>
      </c>
      <c r="Q29" s="189">
        <f>(H29-F29)/(H29-G29)</f>
        <v>0.9807871429864049</v>
      </c>
      <c r="R29" s="161"/>
    </row>
    <row r="30" spans="1:18" s="26" customFormat="1">
      <c r="A30" s="394"/>
      <c r="B30" s="395"/>
      <c r="C30" s="63"/>
      <c r="D30" s="117">
        <f>SUM(D22:D29)</f>
        <v>1126536000</v>
      </c>
      <c r="E30" s="32"/>
      <c r="F30" s="32"/>
      <c r="G30" s="32"/>
      <c r="H30" s="32"/>
      <c r="I30" s="110"/>
      <c r="J30" s="110"/>
      <c r="K30" s="110"/>
      <c r="L30" s="110"/>
      <c r="M30" s="110"/>
      <c r="N30" s="110"/>
      <c r="O30" s="110"/>
      <c r="P30" s="110"/>
      <c r="Q30" s="189"/>
      <c r="R30" s="161"/>
    </row>
    <row r="31" spans="1:18" s="26" customFormat="1">
      <c r="A31" s="398"/>
      <c r="B31" s="213"/>
      <c r="C31" s="36"/>
      <c r="D31" s="110"/>
      <c r="E31" s="32"/>
      <c r="F31" s="32"/>
      <c r="G31" s="32"/>
      <c r="H31" s="32"/>
      <c r="I31" s="110"/>
      <c r="J31" s="110"/>
      <c r="K31" s="110"/>
      <c r="L31" s="110"/>
      <c r="M31" s="110"/>
      <c r="N31" s="110"/>
      <c r="O31" s="110"/>
      <c r="P31" s="110"/>
      <c r="Q31" s="189"/>
      <c r="R31" s="161"/>
    </row>
    <row r="32" spans="1:18" s="26" customFormat="1">
      <c r="A32" s="396" t="s">
        <v>80</v>
      </c>
      <c r="B32" s="213"/>
      <c r="C32" s="36"/>
      <c r="D32" s="110"/>
      <c r="E32" s="32"/>
      <c r="F32" s="32"/>
      <c r="G32" s="32"/>
      <c r="H32" s="32"/>
      <c r="I32" s="110"/>
      <c r="J32" s="110"/>
      <c r="K32" s="110"/>
      <c r="L32" s="110"/>
      <c r="M32" s="110"/>
      <c r="N32" s="110"/>
      <c r="O32" s="110"/>
      <c r="P32" s="110"/>
      <c r="Q32" s="189"/>
      <c r="R32" s="161"/>
    </row>
    <row r="33" spans="1:18" s="26" customFormat="1" ht="27.6">
      <c r="A33" s="394" t="s">
        <v>81</v>
      </c>
      <c r="B33" s="213" t="s">
        <v>82</v>
      </c>
      <c r="C33" s="36" t="s">
        <v>43</v>
      </c>
      <c r="D33" s="110">
        <f>'Anexo 1'!E33</f>
        <v>420000000</v>
      </c>
      <c r="E33" s="32">
        <v>420000000</v>
      </c>
      <c r="F33" s="32">
        <v>420000000</v>
      </c>
      <c r="G33" s="32">
        <v>394152136.88</v>
      </c>
      <c r="H33" s="32">
        <v>420000000</v>
      </c>
      <c r="I33" s="110">
        <f>F33-G33</f>
        <v>25847863.120000005</v>
      </c>
      <c r="J33" s="110">
        <f>F33-E33</f>
        <v>0</v>
      </c>
      <c r="K33" s="110">
        <f>H33-N33</f>
        <v>25847863.120000005</v>
      </c>
      <c r="L33" s="110">
        <f>F33/G33</f>
        <v>1.0655783914419559</v>
      </c>
      <c r="M33" s="110">
        <f>F33/E33</f>
        <v>1</v>
      </c>
      <c r="N33" s="110">
        <f>G33+H33-F33</f>
        <v>394152136.88</v>
      </c>
      <c r="O33" s="110">
        <f>N33-G33</f>
        <v>0</v>
      </c>
      <c r="P33" s="110">
        <f>((+'Anexo 2'!K33*12)-(('Anexo 2'!M33)*12))/M33</f>
        <v>-9.0739726027397296</v>
      </c>
      <c r="Q33" s="189">
        <f>(H33-F33)/(H33-G33)</f>
        <v>0</v>
      </c>
      <c r="R33" s="81"/>
    </row>
    <row r="34" spans="1:18" s="26" customFormat="1" ht="33.6" customHeight="1">
      <c r="A34" s="394" t="s">
        <v>83</v>
      </c>
      <c r="B34" s="213" t="s">
        <v>84</v>
      </c>
      <c r="C34" s="36" t="s">
        <v>85</v>
      </c>
      <c r="D34" s="110">
        <f>'Anexo 1'!E34</f>
        <v>156640000</v>
      </c>
      <c r="E34" s="32">
        <v>10455073.59</v>
      </c>
      <c r="F34" s="32">
        <v>10869468.26</v>
      </c>
      <c r="G34" s="32">
        <v>3709013.41</v>
      </c>
      <c r="H34" s="32">
        <v>157590000.08000001</v>
      </c>
      <c r="I34" s="110">
        <f>F34-G34</f>
        <v>7160454.8499999996</v>
      </c>
      <c r="J34" s="110">
        <f>F34-E34</f>
        <v>414394.66999999993</v>
      </c>
      <c r="K34" s="110">
        <f>H34-N34</f>
        <v>7160454.849999994</v>
      </c>
      <c r="L34" s="110" t="s">
        <v>36</v>
      </c>
      <c r="M34" s="110" t="s">
        <v>36</v>
      </c>
      <c r="N34" s="110">
        <f>G34+H34-F34</f>
        <v>150429545.23000002</v>
      </c>
      <c r="O34" s="110">
        <f>N34-G34</f>
        <v>146720531.82000002</v>
      </c>
      <c r="P34" s="110" t="s">
        <v>36</v>
      </c>
      <c r="Q34" s="189">
        <f>(H34-F34)/(H34-G34)</f>
        <v>0.95346757903654666</v>
      </c>
      <c r="R34" s="81"/>
    </row>
    <row r="35" spans="1:18" s="26" customFormat="1" ht="27.6">
      <c r="A35" s="394" t="s">
        <v>87</v>
      </c>
      <c r="B35" s="213" t="s">
        <v>88</v>
      </c>
      <c r="C35" s="36" t="s">
        <v>89</v>
      </c>
      <c r="D35" s="110">
        <v>75100500</v>
      </c>
      <c r="E35" s="32">
        <v>7533120.5470000003</v>
      </c>
      <c r="F35" s="32">
        <v>5319120.5470000003</v>
      </c>
      <c r="G35" s="32">
        <v>5319120.5470000003</v>
      </c>
      <c r="H35" s="32">
        <v>82100500</v>
      </c>
      <c r="I35" s="110">
        <f>F35-G35</f>
        <v>0</v>
      </c>
      <c r="J35" s="110">
        <f>F35-E35</f>
        <v>-2214000</v>
      </c>
      <c r="K35" s="110">
        <f>H35-N35</f>
        <v>0</v>
      </c>
      <c r="L35" s="110" t="s">
        <v>36</v>
      </c>
      <c r="M35" s="110" t="s">
        <v>36</v>
      </c>
      <c r="N35" s="110">
        <f>G35+H35-F35</f>
        <v>82100500</v>
      </c>
      <c r="O35" s="110">
        <f>N35-G35</f>
        <v>76781379.452999994</v>
      </c>
      <c r="P35" s="110" t="s">
        <v>36</v>
      </c>
      <c r="Q35" s="189">
        <f>(H35-F35)/(H35-G35)</f>
        <v>1</v>
      </c>
      <c r="R35" s="81"/>
    </row>
    <row r="36" spans="1:18" s="26" customFormat="1">
      <c r="A36" s="394"/>
      <c r="B36" s="85"/>
      <c r="C36" s="36"/>
      <c r="D36" s="117">
        <f>SUM(D33:D35)</f>
        <v>651740500</v>
      </c>
      <c r="E36" s="32"/>
      <c r="F36" s="32"/>
      <c r="G36" s="32"/>
      <c r="H36" s="32"/>
      <c r="I36" s="110"/>
      <c r="J36" s="110"/>
      <c r="K36" s="110"/>
      <c r="L36" s="110"/>
      <c r="M36" s="110"/>
      <c r="N36" s="110"/>
      <c r="O36" s="110"/>
      <c r="P36" s="110"/>
      <c r="Q36" s="189"/>
      <c r="R36" s="161"/>
    </row>
    <row r="37" spans="1:18" s="26" customFormat="1">
      <c r="A37" s="394"/>
      <c r="B37" s="85"/>
      <c r="C37" s="36"/>
      <c r="D37" s="117"/>
      <c r="E37" s="32"/>
      <c r="F37" s="32"/>
      <c r="G37" s="32"/>
      <c r="H37" s="32"/>
      <c r="I37" s="110"/>
      <c r="J37" s="110"/>
      <c r="K37" s="110"/>
      <c r="L37" s="110"/>
      <c r="M37" s="110"/>
      <c r="N37" s="110"/>
      <c r="O37" s="110"/>
      <c r="P37" s="110"/>
      <c r="Q37" s="189"/>
      <c r="R37" s="161"/>
    </row>
    <row r="38" spans="1:18" s="26" customFormat="1">
      <c r="A38" s="394" t="s">
        <v>90</v>
      </c>
      <c r="B38" s="213"/>
      <c r="C38" s="36"/>
      <c r="D38" s="110"/>
      <c r="E38" s="32"/>
      <c r="F38" s="32"/>
      <c r="G38" s="32"/>
      <c r="H38" s="32"/>
      <c r="I38" s="110"/>
      <c r="J38" s="110"/>
      <c r="K38" s="110"/>
      <c r="L38" s="110"/>
      <c r="M38" s="110"/>
      <c r="N38" s="110"/>
      <c r="O38" s="110"/>
      <c r="P38" s="110"/>
      <c r="Q38" s="189"/>
      <c r="R38" s="161"/>
    </row>
    <row r="39" spans="1:18" s="26" customFormat="1" ht="15.6">
      <c r="A39" s="394" t="s">
        <v>91</v>
      </c>
      <c r="B39" s="30" t="s">
        <v>269</v>
      </c>
      <c r="C39" s="57" t="s">
        <v>38</v>
      </c>
      <c r="D39" s="110">
        <f>'Anexo 1'!E39</f>
        <v>90542773.120000005</v>
      </c>
      <c r="E39" s="32"/>
      <c r="F39" s="32"/>
      <c r="G39" s="32"/>
      <c r="H39" s="32"/>
      <c r="I39" s="121">
        <f>F39-G39</f>
        <v>0</v>
      </c>
      <c r="J39" s="121">
        <f>F39-E39</f>
        <v>0</v>
      </c>
      <c r="K39" s="121">
        <f>H39-N39</f>
        <v>-541988589.00999999</v>
      </c>
      <c r="L39" s="121">
        <f>F40/G40</f>
        <v>1.0030071785175121</v>
      </c>
      <c r="M39" s="121">
        <f>F40/E40</f>
        <v>0.95629404029067855</v>
      </c>
      <c r="N39" s="121">
        <f>G40+H40-F40</f>
        <v>541988589.00999999</v>
      </c>
      <c r="O39" s="121">
        <f>N39-G39</f>
        <v>541988589.00999999</v>
      </c>
      <c r="P39" s="121">
        <f>((+'Anexo 2'!K39*12)-(('Anexo 2'!M39)*12))/M39</f>
        <v>19.630575899040259</v>
      </c>
      <c r="Q39" s="233">
        <f>(H40-F40)/(H40-G40)</f>
        <v>0.9863782031503433</v>
      </c>
      <c r="R39" s="161"/>
    </row>
    <row r="40" spans="1:18" s="26" customFormat="1">
      <c r="A40" s="394" t="s">
        <v>93</v>
      </c>
      <c r="B40" s="30" t="s">
        <v>170</v>
      </c>
      <c r="C40" s="57"/>
      <c r="D40" s="110">
        <f>'Anexo 1'!E40</f>
        <v>296000000</v>
      </c>
      <c r="E40" s="32">
        <v>466812834.81</v>
      </c>
      <c r="F40" s="32">
        <v>446410331.86000001</v>
      </c>
      <c r="G40" s="32">
        <v>445071921.13999999</v>
      </c>
      <c r="H40" s="32">
        <v>543326999.73000002</v>
      </c>
      <c r="I40" s="121"/>
      <c r="J40" s="121"/>
      <c r="K40" s="121"/>
      <c r="L40" s="121"/>
      <c r="M40" s="121"/>
      <c r="N40" s="121"/>
      <c r="O40" s="121"/>
      <c r="P40" s="121"/>
      <c r="Q40" s="233"/>
      <c r="R40" s="161"/>
    </row>
    <row r="41" spans="1:18" s="26" customFormat="1">
      <c r="A41" s="394"/>
      <c r="B41" s="213"/>
      <c r="C41" s="36"/>
      <c r="D41" s="117">
        <f>SUM(D39:D40)</f>
        <v>386542773.12</v>
      </c>
      <c r="E41" s="32"/>
      <c r="F41" s="32"/>
      <c r="G41" s="32"/>
      <c r="H41" s="32"/>
      <c r="I41" s="110"/>
      <c r="J41" s="110"/>
      <c r="K41" s="110"/>
      <c r="L41" s="110"/>
      <c r="M41" s="110"/>
      <c r="N41" s="110"/>
      <c r="O41" s="110"/>
      <c r="P41" s="110"/>
      <c r="Q41" s="189"/>
      <c r="R41" s="161"/>
    </row>
    <row r="42" spans="1:18" s="26" customFormat="1">
      <c r="A42" s="398"/>
      <c r="B42" s="213"/>
      <c r="C42" s="36"/>
      <c r="D42" s="110"/>
      <c r="E42" s="32"/>
      <c r="F42" s="32"/>
      <c r="G42" s="32"/>
      <c r="H42" s="32"/>
      <c r="I42" s="110"/>
      <c r="J42" s="110"/>
      <c r="K42" s="110"/>
      <c r="L42" s="110"/>
      <c r="M42" s="110"/>
      <c r="N42" s="110"/>
      <c r="O42" s="110"/>
      <c r="P42" s="110"/>
      <c r="Q42" s="189"/>
      <c r="R42" s="161"/>
    </row>
    <row r="43" spans="1:18" s="26" customFormat="1">
      <c r="A43" s="396" t="s">
        <v>95</v>
      </c>
      <c r="B43" s="213"/>
      <c r="C43" s="36"/>
      <c r="D43" s="110"/>
      <c r="E43" s="32"/>
      <c r="F43" s="32"/>
      <c r="G43" s="32"/>
      <c r="H43" s="32"/>
      <c r="I43" s="110"/>
      <c r="J43" s="110"/>
      <c r="K43" s="110"/>
      <c r="L43" s="110"/>
      <c r="M43" s="110"/>
      <c r="N43" s="110"/>
      <c r="O43" s="110"/>
      <c r="P43" s="110"/>
      <c r="Q43" s="189"/>
      <c r="R43" s="161"/>
    </row>
    <row r="44" spans="1:18" s="26" customFormat="1" ht="15.6">
      <c r="A44" s="394" t="s">
        <v>96</v>
      </c>
      <c r="B44" s="85" t="s">
        <v>270</v>
      </c>
      <c r="C44" s="36" t="s">
        <v>73</v>
      </c>
      <c r="D44" s="110">
        <f>'Anexo 1'!E44</f>
        <v>180018008.03435379</v>
      </c>
      <c r="E44" s="32">
        <v>63031004.789999999</v>
      </c>
      <c r="F44" s="32">
        <v>59473588.979999997</v>
      </c>
      <c r="G44" s="32">
        <v>58997866.020000003</v>
      </c>
      <c r="H44" s="32">
        <v>314343331.50999999</v>
      </c>
      <c r="I44" s="110">
        <f>F44-G44</f>
        <v>475722.95999999344</v>
      </c>
      <c r="J44" s="110">
        <f>F44-E44</f>
        <v>-3557415.8100000024</v>
      </c>
      <c r="K44" s="110">
        <f>H44-N44</f>
        <v>475722.96000003815</v>
      </c>
      <c r="L44" s="110">
        <f>F44/G44</f>
        <v>1.0080633926630282</v>
      </c>
      <c r="M44" s="110">
        <f>F44/E44</f>
        <v>0.9435608583132663</v>
      </c>
      <c r="N44" s="110">
        <f>G44+H44-F44</f>
        <v>313867608.54999995</v>
      </c>
      <c r="O44" s="110">
        <f>N44-G44</f>
        <v>254869742.52999994</v>
      </c>
      <c r="P44" s="110">
        <f>((+'Anexo 2'!K44*12)-(('Anexo 2'!M44)*12))/M44</f>
        <v>37.770066287077242</v>
      </c>
      <c r="Q44" s="189">
        <f>(H44-F44)/(H44-G44)</f>
        <v>0.99813694377110995</v>
      </c>
      <c r="R44" s="161"/>
    </row>
    <row r="45" spans="1:18" s="26" customFormat="1">
      <c r="A45" s="394"/>
      <c r="B45" s="213"/>
      <c r="C45" s="36"/>
      <c r="D45" s="117">
        <f>SUM(D44:D44)</f>
        <v>180018008.03435379</v>
      </c>
      <c r="E45" s="32"/>
      <c r="F45" s="32"/>
      <c r="G45" s="32"/>
      <c r="H45" s="32"/>
      <c r="I45" s="110"/>
      <c r="J45" s="110"/>
      <c r="K45" s="110"/>
      <c r="L45" s="110"/>
      <c r="M45" s="110"/>
      <c r="N45" s="110"/>
      <c r="O45" s="110"/>
      <c r="P45" s="110"/>
      <c r="Q45" s="189"/>
      <c r="R45" s="161"/>
    </row>
    <row r="46" spans="1:18" s="26" customFormat="1">
      <c r="A46" s="394"/>
      <c r="B46" s="325"/>
      <c r="C46" s="158"/>
      <c r="D46" s="110"/>
      <c r="E46" s="32"/>
      <c r="F46" s="32"/>
      <c r="G46" s="32"/>
      <c r="H46" s="32"/>
      <c r="I46" s="110"/>
      <c r="J46" s="110"/>
      <c r="K46" s="110"/>
      <c r="L46" s="110"/>
      <c r="M46" s="110"/>
      <c r="N46" s="110"/>
      <c r="O46" s="110"/>
      <c r="P46" s="110"/>
      <c r="Q46" s="189"/>
    </row>
    <row r="47" spans="1:18" s="26" customFormat="1">
      <c r="A47" s="394" t="s">
        <v>98</v>
      </c>
      <c r="B47" s="325"/>
      <c r="C47" s="158"/>
      <c r="D47" s="110"/>
      <c r="E47" s="32"/>
      <c r="F47" s="32"/>
      <c r="G47" s="32"/>
      <c r="H47" s="32"/>
      <c r="I47" s="110"/>
      <c r="J47" s="110"/>
      <c r="K47" s="110"/>
      <c r="L47" s="110"/>
      <c r="M47" s="110"/>
      <c r="N47" s="110"/>
      <c r="O47" s="110"/>
      <c r="P47" s="110"/>
      <c r="Q47" s="189"/>
    </row>
    <row r="48" spans="1:18" s="26" customFormat="1" ht="15.6">
      <c r="A48" s="398">
        <f>'Anexo 1'!A48</f>
        <v>28568</v>
      </c>
      <c r="B48" s="85" t="s">
        <v>271</v>
      </c>
      <c r="C48" s="36" t="str">
        <f>'Anexo 1'!C48</f>
        <v>AyA</v>
      </c>
      <c r="D48" s="110">
        <f>'Anexo 1'!E48</f>
        <v>86580149.231100008</v>
      </c>
      <c r="E48" s="32">
        <v>6457509.71</v>
      </c>
      <c r="F48" s="32">
        <v>5993288.0700000003</v>
      </c>
      <c r="G48" s="32">
        <v>5993288.0700000003</v>
      </c>
      <c r="H48" s="32">
        <v>96107758.5</v>
      </c>
      <c r="I48" s="32">
        <f>F48-G48</f>
        <v>0</v>
      </c>
      <c r="J48" s="110">
        <f>F48-E48</f>
        <v>-464221.63999999966</v>
      </c>
      <c r="K48" s="110">
        <f>H48-N48</f>
        <v>0</v>
      </c>
      <c r="L48" s="110">
        <f>F48/G48</f>
        <v>1</v>
      </c>
      <c r="M48" s="110">
        <f>F48/E48</f>
        <v>0.92811135238695608</v>
      </c>
      <c r="N48" s="110">
        <f>G48+H48-F48</f>
        <v>96107758.5</v>
      </c>
      <c r="O48" s="110">
        <f>N48-G48</f>
        <v>90114470.430000007</v>
      </c>
      <c r="P48" s="110">
        <f>((+'Anexo 2'!K48*12)-(('Anexo 2'!M48)*12))/M48</f>
        <v>16.046728279563297</v>
      </c>
      <c r="Q48" s="189">
        <f>(H48-F48)/(H48-G48)</f>
        <v>1</v>
      </c>
    </row>
    <row r="49" spans="1:22" s="26" customFormat="1">
      <c r="A49" s="394"/>
      <c r="B49" s="325"/>
      <c r="C49" s="158"/>
      <c r="D49" s="117">
        <f>SUM(D48)</f>
        <v>86580149.231100008</v>
      </c>
      <c r="E49" s="110"/>
      <c r="F49" s="110"/>
      <c r="G49" s="110"/>
      <c r="H49" s="110"/>
      <c r="I49" s="110"/>
      <c r="J49" s="110"/>
      <c r="K49" s="110"/>
      <c r="L49" s="110"/>
      <c r="M49" s="110"/>
      <c r="N49" s="110"/>
      <c r="O49" s="110"/>
      <c r="P49" s="110"/>
      <c r="Q49" s="189"/>
    </row>
    <row r="50" spans="1:22" s="26" customFormat="1">
      <c r="A50" s="394"/>
      <c r="B50" s="325"/>
      <c r="C50" s="158"/>
      <c r="D50" s="110"/>
      <c r="E50" s="110"/>
      <c r="F50" s="110"/>
      <c r="G50" s="110"/>
      <c r="H50" s="110"/>
      <c r="I50" s="110"/>
      <c r="J50" s="110"/>
      <c r="K50" s="110"/>
      <c r="L50" s="110"/>
      <c r="M50" s="110"/>
      <c r="N50" s="110"/>
      <c r="O50" s="110"/>
      <c r="P50" s="110"/>
      <c r="Q50" s="189"/>
    </row>
    <row r="51" spans="1:22" s="26" customFormat="1">
      <c r="A51" s="394"/>
      <c r="B51" s="325"/>
      <c r="C51" s="158"/>
      <c r="D51" s="110"/>
      <c r="E51" s="110"/>
      <c r="F51" s="110"/>
      <c r="G51" s="110"/>
      <c r="H51" s="110"/>
      <c r="I51" s="110"/>
      <c r="J51" s="110"/>
      <c r="K51" s="110"/>
      <c r="L51" s="110"/>
      <c r="M51" s="110"/>
      <c r="N51" s="110"/>
      <c r="O51" s="110"/>
      <c r="P51" s="110"/>
      <c r="Q51" s="189"/>
    </row>
    <row r="52" spans="1:22" s="26" customFormat="1">
      <c r="A52" s="394" t="s">
        <v>100</v>
      </c>
      <c r="B52" s="325"/>
      <c r="C52" s="158"/>
      <c r="D52" s="117">
        <f>D19+D30+D36+D41+D45+D49</f>
        <v>4186697387.6754537</v>
      </c>
      <c r="E52" s="110"/>
      <c r="F52" s="110"/>
      <c r="G52" s="110"/>
      <c r="H52" s="110"/>
      <c r="I52" s="110"/>
      <c r="J52" s="110"/>
      <c r="K52" s="110"/>
      <c r="L52" s="110"/>
      <c r="M52" s="110"/>
      <c r="N52" s="110"/>
      <c r="O52" s="110"/>
      <c r="P52" s="110"/>
      <c r="Q52" s="189"/>
    </row>
    <row r="53" spans="1:22" s="26" customFormat="1" ht="14.4" thickBot="1">
      <c r="A53" s="399"/>
      <c r="B53" s="400"/>
      <c r="C53" s="401"/>
      <c r="D53" s="402"/>
      <c r="E53" s="77"/>
      <c r="F53" s="77"/>
      <c r="G53" s="77"/>
      <c r="H53" s="77"/>
      <c r="I53" s="77"/>
      <c r="J53" s="77"/>
      <c r="K53" s="77"/>
      <c r="L53" s="77"/>
      <c r="M53" s="77"/>
      <c r="N53" s="77"/>
      <c r="O53" s="77"/>
      <c r="P53" s="77"/>
      <c r="Q53" s="205"/>
    </row>
    <row r="54" spans="1:22" s="26" customFormat="1">
      <c r="C54" s="158"/>
      <c r="D54" s="403"/>
    </row>
    <row r="55" spans="1:22" s="26" customFormat="1" ht="21" customHeight="1">
      <c r="A55" s="404" t="s">
        <v>102</v>
      </c>
      <c r="C55" s="158"/>
      <c r="D55" s="403"/>
      <c r="H55" s="161"/>
    </row>
    <row r="56" spans="1:22" s="26" customFormat="1" ht="25.2" customHeight="1">
      <c r="A56" s="49"/>
      <c r="B56" s="148"/>
      <c r="C56" s="36"/>
      <c r="D56" s="148"/>
      <c r="E56" s="148"/>
      <c r="F56" s="148"/>
      <c r="G56" s="148"/>
      <c r="H56" s="148"/>
      <c r="I56" s="148"/>
      <c r="J56" s="148"/>
      <c r="K56" s="148"/>
      <c r="L56" s="148"/>
      <c r="M56" s="148"/>
      <c r="N56" s="148"/>
      <c r="O56" s="148"/>
      <c r="P56" s="148"/>
      <c r="Q56" s="148"/>
      <c r="R56" s="148"/>
      <c r="S56" s="148"/>
      <c r="T56" s="148"/>
      <c r="U56" s="148"/>
    </row>
    <row r="57" spans="1:22" ht="25.2" customHeight="1">
      <c r="A57" s="49" t="s">
        <v>272</v>
      </c>
      <c r="B57" s="49"/>
      <c r="C57" s="31"/>
      <c r="D57" s="49"/>
      <c r="E57" s="49"/>
      <c r="F57" s="49"/>
      <c r="G57" s="49"/>
      <c r="H57" s="49"/>
      <c r="I57" s="49"/>
      <c r="J57" s="49"/>
      <c r="K57" s="49"/>
      <c r="L57" s="49"/>
      <c r="M57" s="49"/>
      <c r="N57" s="49"/>
      <c r="O57" s="49"/>
      <c r="P57" s="49"/>
      <c r="Q57" s="49"/>
      <c r="R57" s="49"/>
      <c r="S57" s="49"/>
      <c r="T57" s="49"/>
      <c r="U57" s="49"/>
      <c r="V57" s="9"/>
    </row>
    <row r="58" spans="1:22" ht="25.2" customHeight="1">
      <c r="A58" s="148" t="s">
        <v>273</v>
      </c>
      <c r="M58" s="405"/>
      <c r="N58" s="405"/>
      <c r="O58" s="405"/>
      <c r="P58" s="405"/>
      <c r="Q58" s="405"/>
      <c r="R58" s="405"/>
      <c r="S58" s="405"/>
      <c r="T58" s="405"/>
      <c r="U58" s="405"/>
      <c r="V58" s="9"/>
    </row>
    <row r="59" spans="1:22" ht="25.2" customHeight="1">
      <c r="A59" s="154" t="s">
        <v>274</v>
      </c>
      <c r="B59" s="154"/>
      <c r="C59" s="154"/>
      <c r="D59" s="154"/>
      <c r="E59" s="154"/>
      <c r="F59" s="154"/>
      <c r="G59" s="154"/>
      <c r="H59" s="154"/>
      <c r="I59" s="154"/>
      <c r="J59" s="154"/>
      <c r="K59" s="154"/>
      <c r="L59" s="154"/>
      <c r="M59" s="148"/>
      <c r="N59" s="148"/>
      <c r="O59" s="148"/>
      <c r="P59" s="148"/>
      <c r="Q59" s="148"/>
      <c r="R59" s="148"/>
      <c r="S59" s="148"/>
      <c r="T59" s="148"/>
      <c r="U59" s="148"/>
      <c r="V59" s="9"/>
    </row>
    <row r="60" spans="1:22" s="26" customFormat="1" ht="25.2" customHeight="1">
      <c r="A60" s="89" t="s">
        <v>275</v>
      </c>
      <c r="M60" s="69"/>
      <c r="N60" s="69"/>
      <c r="O60" s="69"/>
      <c r="P60" s="49"/>
      <c r="Q60" s="49"/>
      <c r="R60" s="148"/>
      <c r="S60" s="49"/>
      <c r="T60" s="49"/>
      <c r="U60" s="49"/>
    </row>
    <row r="61" spans="1:22" ht="30" customHeight="1">
      <c r="V61" s="9"/>
    </row>
    <row r="62" spans="1:22" ht="19.5" customHeight="1">
      <c r="D62" s="9"/>
      <c r="E62" s="9"/>
      <c r="F62" s="9"/>
      <c r="G62" s="9"/>
      <c r="H62" s="9"/>
      <c r="R62" s="9"/>
      <c r="S62" s="9"/>
      <c r="T62" s="9"/>
      <c r="U62" s="9"/>
      <c r="V62" s="9"/>
    </row>
    <row r="63" spans="1:22" ht="19.5" customHeight="1">
      <c r="D63" s="208"/>
      <c r="E63" s="9"/>
      <c r="F63" s="9"/>
      <c r="G63" s="9"/>
      <c r="H63" s="9"/>
      <c r="R63" s="9"/>
      <c r="S63" s="9"/>
      <c r="T63" s="9"/>
      <c r="U63" s="9"/>
      <c r="V63" s="9"/>
    </row>
    <row r="64" spans="1:22" ht="19.5" customHeight="1">
      <c r="D64" s="208"/>
      <c r="E64" s="9"/>
      <c r="F64" s="9"/>
      <c r="G64" s="9"/>
      <c r="H64" s="9"/>
      <c r="R64" s="9"/>
      <c r="S64" s="9"/>
      <c r="T64" s="9"/>
      <c r="U64" s="9"/>
      <c r="V64" s="9"/>
    </row>
    <row r="65" spans="3:4" s="9" customFormat="1">
      <c r="C65" s="16"/>
      <c r="D65" s="208"/>
    </row>
    <row r="66" spans="3:4" s="26" customFormat="1">
      <c r="C66" s="158"/>
      <c r="D66" s="403"/>
    </row>
    <row r="67" spans="3:4" s="26" customFormat="1">
      <c r="C67" s="158"/>
      <c r="D67" s="403"/>
    </row>
    <row r="68" spans="3:4" s="26" customFormat="1">
      <c r="C68" s="158"/>
      <c r="D68" s="403"/>
    </row>
    <row r="69" spans="3:4" s="26" customFormat="1">
      <c r="C69" s="158"/>
      <c r="D69" s="403"/>
    </row>
    <row r="70" spans="3:4" s="26" customFormat="1">
      <c r="C70" s="158"/>
      <c r="D70" s="403"/>
    </row>
    <row r="71" spans="3:4" s="26" customFormat="1">
      <c r="C71" s="158"/>
      <c r="D71" s="403"/>
    </row>
    <row r="72" spans="3:4" s="26" customFormat="1">
      <c r="C72" s="158"/>
      <c r="D72" s="403"/>
    </row>
    <row r="73" spans="3:4" s="26" customFormat="1">
      <c r="C73" s="158"/>
      <c r="D73" s="403"/>
    </row>
    <row r="74" spans="3:4" s="26" customFormat="1">
      <c r="C74" s="158"/>
      <c r="D74" s="403"/>
    </row>
    <row r="75" spans="3:4" s="26" customFormat="1">
      <c r="C75" s="158"/>
      <c r="D75" s="403"/>
    </row>
    <row r="76" spans="3:4" s="26" customFormat="1">
      <c r="C76" s="158"/>
      <c r="D76" s="403"/>
    </row>
    <row r="77" spans="3:4" s="26" customFormat="1">
      <c r="C77" s="158"/>
      <c r="D77" s="403"/>
    </row>
    <row r="78" spans="3:4" s="26" customFormat="1">
      <c r="C78" s="158"/>
      <c r="D78" s="403"/>
    </row>
    <row r="79" spans="3:4" s="26" customFormat="1">
      <c r="C79" s="158"/>
      <c r="D79" s="403"/>
    </row>
    <row r="80" spans="3:4" s="26" customFormat="1">
      <c r="C80" s="158"/>
      <c r="D80" s="403"/>
    </row>
    <row r="81" spans="3:4" s="26" customFormat="1">
      <c r="C81" s="158"/>
      <c r="D81" s="403"/>
    </row>
    <row r="82" spans="3:4" s="26" customFormat="1">
      <c r="C82" s="158"/>
      <c r="D82" s="403"/>
    </row>
    <row r="83" spans="3:4" s="26" customFormat="1">
      <c r="C83" s="158"/>
      <c r="D83" s="403"/>
    </row>
    <row r="84" spans="3:4" s="26" customFormat="1">
      <c r="C84" s="158"/>
      <c r="D84" s="403"/>
    </row>
    <row r="85" spans="3:4" s="26" customFormat="1">
      <c r="C85" s="158"/>
      <c r="D85" s="403"/>
    </row>
    <row r="86" spans="3:4" s="26" customFormat="1">
      <c r="C86" s="158"/>
      <c r="D86" s="403"/>
    </row>
    <row r="87" spans="3:4" s="26" customFormat="1">
      <c r="C87" s="158"/>
      <c r="D87" s="403"/>
    </row>
    <row r="88" spans="3:4" s="26" customFormat="1">
      <c r="C88" s="158"/>
      <c r="D88" s="403"/>
    </row>
    <row r="89" spans="3:4" s="26" customFormat="1">
      <c r="C89" s="158"/>
      <c r="D89" s="403"/>
    </row>
    <row r="90" spans="3:4" s="26" customFormat="1">
      <c r="C90" s="158"/>
      <c r="D90" s="403"/>
    </row>
    <row r="91" spans="3:4" s="26" customFormat="1">
      <c r="C91" s="158"/>
      <c r="D91" s="403"/>
    </row>
    <row r="92" spans="3:4" s="26" customFormat="1">
      <c r="C92" s="158"/>
      <c r="D92" s="403"/>
    </row>
    <row r="93" spans="3:4" s="26" customFormat="1">
      <c r="C93" s="158"/>
      <c r="D93" s="403"/>
    </row>
    <row r="94" spans="3:4" s="26" customFormat="1">
      <c r="C94" s="158"/>
      <c r="D94" s="403"/>
    </row>
    <row r="95" spans="3:4" s="26" customFormat="1">
      <c r="C95" s="158"/>
      <c r="D95" s="403"/>
    </row>
    <row r="96" spans="3:4" s="26" customFormat="1">
      <c r="C96" s="158"/>
      <c r="D96" s="403"/>
    </row>
    <row r="97" spans="3:4" s="26" customFormat="1">
      <c r="C97" s="158"/>
      <c r="D97" s="403"/>
    </row>
    <row r="98" spans="3:4" s="26" customFormat="1">
      <c r="C98" s="158"/>
      <c r="D98" s="403"/>
    </row>
    <row r="99" spans="3:4" s="26" customFormat="1">
      <c r="C99" s="158"/>
      <c r="D99" s="403"/>
    </row>
    <row r="100" spans="3:4" s="26" customFormat="1">
      <c r="C100" s="158"/>
      <c r="D100" s="403"/>
    </row>
    <row r="101" spans="3:4" s="26" customFormat="1">
      <c r="C101" s="158"/>
      <c r="D101" s="403"/>
    </row>
    <row r="102" spans="3:4" s="26" customFormat="1">
      <c r="C102" s="158"/>
      <c r="D102" s="403"/>
    </row>
    <row r="103" spans="3:4" s="26" customFormat="1">
      <c r="C103" s="158"/>
      <c r="D103" s="403"/>
    </row>
    <row r="104" spans="3:4" s="26" customFormat="1">
      <c r="C104" s="158"/>
      <c r="D104" s="403"/>
    </row>
    <row r="105" spans="3:4" s="26" customFormat="1">
      <c r="C105" s="158"/>
      <c r="D105" s="403"/>
    </row>
    <row r="106" spans="3:4" s="26" customFormat="1">
      <c r="C106" s="158"/>
      <c r="D106" s="403"/>
    </row>
    <row r="107" spans="3:4" s="26" customFormat="1">
      <c r="C107" s="158"/>
      <c r="D107" s="403"/>
    </row>
    <row r="108" spans="3:4" s="26" customFormat="1">
      <c r="C108" s="158"/>
      <c r="D108" s="403"/>
    </row>
    <row r="109" spans="3:4" s="26" customFormat="1">
      <c r="C109" s="158"/>
      <c r="D109" s="403"/>
    </row>
    <row r="110" spans="3:4" s="26" customFormat="1">
      <c r="C110" s="158"/>
      <c r="D110" s="403"/>
    </row>
    <row r="111" spans="3:4" s="26" customFormat="1">
      <c r="C111" s="158"/>
      <c r="D111" s="403"/>
    </row>
    <row r="112" spans="3:4" s="26" customFormat="1">
      <c r="C112" s="158"/>
      <c r="D112" s="403"/>
    </row>
    <row r="113" spans="3:4" s="26" customFormat="1">
      <c r="C113" s="158"/>
      <c r="D113" s="403"/>
    </row>
    <row r="114" spans="3:4" s="26" customFormat="1">
      <c r="C114" s="158"/>
      <c r="D114" s="403"/>
    </row>
    <row r="115" spans="3:4" s="26" customFormat="1">
      <c r="C115" s="158"/>
      <c r="D115" s="403"/>
    </row>
    <row r="116" spans="3:4" s="26" customFormat="1">
      <c r="C116" s="158"/>
      <c r="D116" s="403"/>
    </row>
    <row r="117" spans="3:4" s="26" customFormat="1">
      <c r="C117" s="158"/>
      <c r="D117" s="403"/>
    </row>
    <row r="118" spans="3:4" s="26" customFormat="1">
      <c r="C118" s="158"/>
      <c r="D118" s="403"/>
    </row>
    <row r="119" spans="3:4" s="26" customFormat="1">
      <c r="C119" s="158"/>
      <c r="D119" s="403"/>
    </row>
    <row r="120" spans="3:4" s="26" customFormat="1">
      <c r="C120" s="158"/>
      <c r="D120" s="403"/>
    </row>
    <row r="121" spans="3:4" s="26" customFormat="1">
      <c r="C121" s="158"/>
      <c r="D121" s="403"/>
    </row>
    <row r="122" spans="3:4" s="26" customFormat="1">
      <c r="C122" s="158"/>
      <c r="D122" s="403"/>
    </row>
    <row r="123" spans="3:4" s="26" customFormat="1">
      <c r="C123" s="158"/>
      <c r="D123" s="403"/>
    </row>
    <row r="124" spans="3:4" s="26" customFormat="1">
      <c r="C124" s="158"/>
      <c r="D124" s="403"/>
    </row>
    <row r="125" spans="3:4" s="26" customFormat="1">
      <c r="C125" s="158"/>
      <c r="D125" s="403"/>
    </row>
    <row r="126" spans="3:4" s="26" customFormat="1">
      <c r="C126" s="158"/>
      <c r="D126" s="403"/>
    </row>
    <row r="127" spans="3:4" s="26" customFormat="1">
      <c r="C127" s="158"/>
      <c r="D127" s="403"/>
    </row>
    <row r="128" spans="3:4" s="26" customFormat="1">
      <c r="C128" s="158"/>
      <c r="D128" s="403"/>
    </row>
    <row r="129" spans="3:4" s="26" customFormat="1">
      <c r="C129" s="158"/>
      <c r="D129" s="403"/>
    </row>
    <row r="130" spans="3:4" s="26" customFormat="1">
      <c r="C130" s="158"/>
      <c r="D130" s="403"/>
    </row>
    <row r="131" spans="3:4" s="26" customFormat="1">
      <c r="C131" s="158"/>
      <c r="D131" s="403"/>
    </row>
    <row r="132" spans="3:4" s="26" customFormat="1">
      <c r="C132" s="158"/>
      <c r="D132" s="403"/>
    </row>
    <row r="133" spans="3:4" s="26" customFormat="1">
      <c r="C133" s="158"/>
      <c r="D133" s="403"/>
    </row>
    <row r="134" spans="3:4" s="26" customFormat="1">
      <c r="C134" s="158"/>
      <c r="D134" s="403"/>
    </row>
    <row r="135" spans="3:4" s="26" customFormat="1">
      <c r="C135" s="158"/>
      <c r="D135" s="403"/>
    </row>
    <row r="136" spans="3:4" s="26" customFormat="1">
      <c r="C136" s="158"/>
      <c r="D136" s="403"/>
    </row>
    <row r="137" spans="3:4" s="26" customFormat="1">
      <c r="C137" s="158"/>
      <c r="D137" s="403"/>
    </row>
    <row r="138" spans="3:4" s="26" customFormat="1">
      <c r="C138" s="158"/>
      <c r="D138" s="403"/>
    </row>
    <row r="139" spans="3:4" s="26" customFormat="1">
      <c r="C139" s="158"/>
      <c r="D139" s="403"/>
    </row>
    <row r="140" spans="3:4" s="26" customFormat="1">
      <c r="C140" s="158"/>
      <c r="D140" s="403"/>
    </row>
    <row r="141" spans="3:4" s="26" customFormat="1">
      <c r="C141" s="158"/>
      <c r="D141" s="403"/>
    </row>
    <row r="142" spans="3:4" s="26" customFormat="1">
      <c r="C142" s="158"/>
      <c r="D142" s="403"/>
    </row>
    <row r="143" spans="3:4" s="26" customFormat="1">
      <c r="C143" s="158"/>
      <c r="D143" s="403"/>
    </row>
    <row r="144" spans="3:4" s="26" customFormat="1">
      <c r="C144" s="158"/>
      <c r="D144" s="403"/>
    </row>
    <row r="145" spans="3:8" s="26" customFormat="1">
      <c r="C145" s="158"/>
      <c r="D145" s="403"/>
    </row>
    <row r="146" spans="3:8" s="26" customFormat="1">
      <c r="C146" s="158"/>
      <c r="D146" s="403"/>
    </row>
    <row r="147" spans="3:8" s="26" customFormat="1">
      <c r="C147" s="158"/>
      <c r="D147" s="403"/>
    </row>
    <row r="148" spans="3:8" s="26" customFormat="1">
      <c r="C148" s="158"/>
      <c r="D148" s="403"/>
    </row>
    <row r="149" spans="3:8" s="26" customFormat="1">
      <c r="C149" s="158"/>
      <c r="D149" s="403"/>
    </row>
    <row r="150" spans="3:8" s="26" customFormat="1">
      <c r="C150" s="158"/>
      <c r="D150" s="403"/>
    </row>
    <row r="151" spans="3:8" s="26" customFormat="1">
      <c r="C151" s="158"/>
      <c r="D151" s="403"/>
    </row>
    <row r="152" spans="3:8" s="26" customFormat="1">
      <c r="C152" s="158"/>
      <c r="D152" s="403"/>
    </row>
    <row r="153" spans="3:8" s="26" customFormat="1">
      <c r="C153" s="158"/>
      <c r="D153" s="403"/>
    </row>
    <row r="154" spans="3:8" s="26" customFormat="1">
      <c r="C154" s="158"/>
      <c r="D154" s="403"/>
    </row>
    <row r="155" spans="3:8" s="26" customFormat="1">
      <c r="C155" s="158"/>
      <c r="D155" s="403"/>
    </row>
    <row r="156" spans="3:8" s="26" customFormat="1">
      <c r="C156" s="158"/>
      <c r="D156" s="403"/>
    </row>
    <row r="157" spans="3:8" s="26" customFormat="1">
      <c r="C157" s="158"/>
      <c r="D157" s="403"/>
    </row>
    <row r="158" spans="3:8" s="26" customFormat="1">
      <c r="C158" s="158"/>
      <c r="D158" s="403"/>
    </row>
    <row r="159" spans="3:8" s="26" customFormat="1">
      <c r="C159" s="158"/>
      <c r="D159" s="403"/>
      <c r="E159" s="323"/>
      <c r="F159" s="323"/>
      <c r="G159" s="323"/>
      <c r="H159" s="323"/>
    </row>
    <row r="160" spans="3:8" s="26" customFormat="1">
      <c r="C160" s="158"/>
      <c r="D160" s="403"/>
      <c r="E160" s="323"/>
      <c r="F160" s="323"/>
      <c r="G160" s="323"/>
      <c r="H160" s="323"/>
    </row>
    <row r="161" spans="3:8" s="26" customFormat="1">
      <c r="C161" s="158"/>
      <c r="D161" s="403"/>
      <c r="E161" s="323"/>
      <c r="F161" s="323"/>
      <c r="G161" s="323"/>
      <c r="H161" s="323"/>
    </row>
    <row r="162" spans="3:8" s="26" customFormat="1">
      <c r="C162" s="158"/>
      <c r="D162" s="403"/>
      <c r="E162" s="323"/>
      <c r="F162" s="323"/>
      <c r="G162" s="323"/>
      <c r="H162" s="323"/>
    </row>
    <row r="163" spans="3:8" s="26" customFormat="1">
      <c r="C163" s="158"/>
      <c r="D163" s="403"/>
      <c r="E163" s="323"/>
      <c r="F163" s="323"/>
      <c r="G163" s="323"/>
      <c r="H163" s="323"/>
    </row>
    <row r="164" spans="3:8" s="26" customFormat="1">
      <c r="C164" s="158"/>
      <c r="D164" s="403"/>
      <c r="E164" s="323"/>
      <c r="F164" s="323"/>
      <c r="G164" s="323"/>
      <c r="H164" s="323"/>
    </row>
    <row r="165" spans="3:8" s="26" customFormat="1">
      <c r="C165" s="158"/>
      <c r="D165" s="403"/>
      <c r="E165" s="323"/>
      <c r="F165" s="323"/>
      <c r="G165" s="323"/>
      <c r="H165" s="323"/>
    </row>
    <row r="166" spans="3:8" s="26" customFormat="1">
      <c r="C166" s="158"/>
      <c r="D166" s="403"/>
      <c r="E166" s="323"/>
      <c r="F166" s="323"/>
      <c r="G166" s="323"/>
      <c r="H166" s="323"/>
    </row>
    <row r="167" spans="3:8" s="26" customFormat="1">
      <c r="C167" s="158"/>
      <c r="D167" s="403"/>
      <c r="E167" s="323"/>
      <c r="F167" s="323"/>
      <c r="G167" s="323"/>
      <c r="H167" s="323"/>
    </row>
    <row r="168" spans="3:8" s="26" customFormat="1">
      <c r="C168" s="158"/>
      <c r="D168" s="403"/>
      <c r="E168" s="323"/>
      <c r="F168" s="323"/>
      <c r="G168" s="323"/>
      <c r="H168" s="323"/>
    </row>
    <row r="169" spans="3:8" s="26" customFormat="1">
      <c r="C169" s="158"/>
      <c r="D169" s="403"/>
      <c r="E169" s="323"/>
      <c r="F169" s="323"/>
      <c r="G169" s="323"/>
      <c r="H169" s="323"/>
    </row>
    <row r="170" spans="3:8" s="26" customFormat="1">
      <c r="C170" s="158"/>
      <c r="D170" s="403"/>
      <c r="E170" s="323"/>
      <c r="F170" s="323"/>
      <c r="G170" s="323"/>
      <c r="H170" s="323"/>
    </row>
    <row r="171" spans="3:8" s="26" customFormat="1">
      <c r="C171" s="158"/>
      <c r="D171" s="403"/>
      <c r="E171" s="323"/>
      <c r="F171" s="323"/>
      <c r="G171" s="323"/>
      <c r="H171" s="323"/>
    </row>
    <row r="172" spans="3:8" s="26" customFormat="1">
      <c r="C172" s="158"/>
      <c r="D172" s="403"/>
      <c r="E172" s="323"/>
      <c r="F172" s="323"/>
      <c r="G172" s="323"/>
      <c r="H172" s="323"/>
    </row>
    <row r="173" spans="3:8" s="26" customFormat="1">
      <c r="C173" s="158"/>
      <c r="D173" s="403"/>
      <c r="E173" s="323"/>
      <c r="F173" s="323"/>
      <c r="G173" s="323"/>
      <c r="H173" s="323"/>
    </row>
    <row r="174" spans="3:8" s="26" customFormat="1">
      <c r="C174" s="158"/>
      <c r="D174" s="403"/>
      <c r="E174" s="323"/>
      <c r="F174" s="323"/>
      <c r="G174" s="323"/>
      <c r="H174" s="323"/>
    </row>
    <row r="175" spans="3:8" s="26" customFormat="1">
      <c r="C175" s="158"/>
      <c r="D175" s="403"/>
      <c r="E175" s="323"/>
      <c r="F175" s="323"/>
      <c r="G175" s="323"/>
      <c r="H175" s="323"/>
    </row>
    <row r="176" spans="3:8" s="26" customFormat="1">
      <c r="C176" s="158"/>
      <c r="D176" s="403"/>
      <c r="E176" s="323"/>
      <c r="F176" s="323"/>
      <c r="G176" s="323"/>
      <c r="H176" s="323"/>
    </row>
    <row r="177" spans="3:8" s="26" customFormat="1">
      <c r="C177" s="158"/>
      <c r="D177" s="403"/>
      <c r="E177" s="323"/>
      <c r="F177" s="323"/>
      <c r="G177" s="323"/>
      <c r="H177" s="323"/>
    </row>
    <row r="178" spans="3:8" s="26" customFormat="1">
      <c r="C178" s="158"/>
      <c r="D178" s="403"/>
      <c r="E178" s="323"/>
      <c r="F178" s="323"/>
      <c r="G178" s="323"/>
      <c r="H178" s="323"/>
    </row>
    <row r="179" spans="3:8" s="26" customFormat="1">
      <c r="C179" s="158"/>
      <c r="D179" s="403"/>
      <c r="E179" s="323"/>
      <c r="F179" s="323"/>
      <c r="G179" s="323"/>
      <c r="H179" s="323"/>
    </row>
    <row r="180" spans="3:8" s="26" customFormat="1">
      <c r="C180" s="158"/>
      <c r="D180" s="403"/>
      <c r="E180" s="323"/>
      <c r="F180" s="323"/>
      <c r="G180" s="323"/>
      <c r="H180" s="323"/>
    </row>
    <row r="181" spans="3:8" s="26" customFormat="1">
      <c r="C181" s="158"/>
      <c r="D181" s="403"/>
      <c r="E181" s="323"/>
      <c r="F181" s="323"/>
      <c r="G181" s="323"/>
      <c r="H181" s="323"/>
    </row>
    <row r="182" spans="3:8" s="26" customFormat="1">
      <c r="C182" s="158"/>
      <c r="D182" s="403"/>
      <c r="E182" s="323"/>
      <c r="F182" s="323"/>
      <c r="G182" s="323"/>
      <c r="H182" s="323"/>
    </row>
    <row r="183" spans="3:8" s="26" customFormat="1">
      <c r="C183" s="158"/>
      <c r="D183" s="403"/>
      <c r="E183" s="323"/>
      <c r="F183" s="323"/>
      <c r="G183" s="323"/>
      <c r="H183" s="323"/>
    </row>
    <row r="184" spans="3:8" s="26" customFormat="1">
      <c r="C184" s="158"/>
      <c r="D184" s="403"/>
      <c r="E184" s="323"/>
      <c r="F184" s="323"/>
      <c r="G184" s="323"/>
      <c r="H184" s="323"/>
    </row>
    <row r="185" spans="3:8" s="26" customFormat="1">
      <c r="C185" s="158"/>
      <c r="D185" s="403"/>
      <c r="E185" s="323"/>
      <c r="F185" s="323"/>
      <c r="G185" s="323"/>
      <c r="H185" s="323"/>
    </row>
    <row r="186" spans="3:8" s="26" customFormat="1">
      <c r="C186" s="158"/>
      <c r="D186" s="403"/>
      <c r="E186" s="323"/>
      <c r="F186" s="323"/>
      <c r="G186" s="323"/>
      <c r="H186" s="323"/>
    </row>
    <row r="187" spans="3:8" s="26" customFormat="1">
      <c r="C187" s="158"/>
      <c r="D187" s="403"/>
      <c r="E187" s="323"/>
      <c r="F187" s="323"/>
      <c r="G187" s="323"/>
      <c r="H187" s="323"/>
    </row>
    <row r="188" spans="3:8" s="26" customFormat="1">
      <c r="C188" s="158"/>
      <c r="D188" s="403"/>
      <c r="E188" s="323"/>
      <c r="F188" s="323"/>
      <c r="G188" s="323"/>
      <c r="H188" s="323"/>
    </row>
    <row r="189" spans="3:8" s="26" customFormat="1">
      <c r="C189" s="158"/>
      <c r="D189" s="403"/>
      <c r="E189" s="323"/>
      <c r="F189" s="323"/>
      <c r="G189" s="323"/>
      <c r="H189" s="323"/>
    </row>
    <row r="190" spans="3:8" s="26" customFormat="1">
      <c r="C190" s="158"/>
      <c r="D190" s="403"/>
      <c r="E190" s="323"/>
      <c r="F190" s="323"/>
      <c r="G190" s="323"/>
      <c r="H190" s="323"/>
    </row>
    <row r="191" spans="3:8" s="26" customFormat="1">
      <c r="C191" s="158"/>
      <c r="D191" s="403"/>
      <c r="E191" s="323"/>
      <c r="F191" s="323"/>
      <c r="G191" s="323"/>
      <c r="H191" s="323"/>
    </row>
    <row r="192" spans="3:8" s="26" customFormat="1">
      <c r="C192" s="158"/>
      <c r="D192" s="403"/>
      <c r="E192" s="323"/>
      <c r="F192" s="323"/>
      <c r="G192" s="323"/>
      <c r="H192" s="323"/>
    </row>
    <row r="193" spans="3:8" s="26" customFormat="1">
      <c r="C193" s="158"/>
      <c r="D193" s="403"/>
      <c r="E193" s="323"/>
      <c r="F193" s="323"/>
      <c r="G193" s="323"/>
      <c r="H193" s="323"/>
    </row>
    <row r="194" spans="3:8" s="26" customFormat="1">
      <c r="C194" s="158"/>
      <c r="D194" s="403"/>
      <c r="E194" s="323"/>
      <c r="F194" s="323"/>
      <c r="G194" s="323"/>
      <c r="H194" s="323"/>
    </row>
    <row r="195" spans="3:8" s="26" customFormat="1">
      <c r="C195" s="158"/>
      <c r="D195" s="403"/>
      <c r="E195" s="323"/>
      <c r="F195" s="323"/>
      <c r="G195" s="323"/>
      <c r="H195" s="323"/>
    </row>
    <row r="196" spans="3:8" s="26" customFormat="1">
      <c r="C196" s="158"/>
      <c r="D196" s="403"/>
      <c r="E196" s="323"/>
      <c r="F196" s="323"/>
      <c r="G196" s="323"/>
      <c r="H196" s="323"/>
    </row>
    <row r="197" spans="3:8" s="26" customFormat="1">
      <c r="C197" s="158"/>
      <c r="D197" s="403"/>
      <c r="E197" s="323"/>
      <c r="F197" s="323"/>
      <c r="G197" s="323"/>
      <c r="H197" s="323"/>
    </row>
    <row r="198" spans="3:8" s="26" customFormat="1">
      <c r="C198" s="158"/>
      <c r="D198" s="403"/>
      <c r="E198" s="323"/>
      <c r="F198" s="323"/>
      <c r="G198" s="323"/>
      <c r="H198" s="323"/>
    </row>
    <row r="199" spans="3:8" s="26" customFormat="1">
      <c r="C199" s="158"/>
      <c r="D199" s="403"/>
      <c r="E199" s="323"/>
      <c r="F199" s="323"/>
      <c r="G199" s="323"/>
      <c r="H199" s="323"/>
    </row>
    <row r="200" spans="3:8" s="26" customFormat="1">
      <c r="C200" s="158"/>
      <c r="D200" s="403"/>
      <c r="E200" s="323"/>
      <c r="F200" s="323"/>
      <c r="G200" s="323"/>
      <c r="H200" s="323"/>
    </row>
    <row r="201" spans="3:8" s="26" customFormat="1">
      <c r="C201" s="158"/>
      <c r="D201" s="403"/>
      <c r="E201" s="323"/>
      <c r="F201" s="323"/>
      <c r="G201" s="323"/>
      <c r="H201" s="323"/>
    </row>
    <row r="202" spans="3:8" s="26" customFormat="1">
      <c r="C202" s="158"/>
      <c r="D202" s="403"/>
      <c r="E202" s="323"/>
      <c r="F202" s="323"/>
      <c r="G202" s="323"/>
      <c r="H202" s="323"/>
    </row>
    <row r="203" spans="3:8" s="26" customFormat="1">
      <c r="C203" s="158"/>
      <c r="D203" s="403"/>
      <c r="E203" s="323"/>
      <c r="F203" s="323"/>
      <c r="G203" s="323"/>
      <c r="H203" s="323"/>
    </row>
    <row r="204" spans="3:8" s="26" customFormat="1">
      <c r="C204" s="158"/>
      <c r="D204" s="403"/>
      <c r="E204" s="323"/>
      <c r="F204" s="323"/>
      <c r="G204" s="323"/>
      <c r="H204" s="323"/>
    </row>
    <row r="205" spans="3:8" s="26" customFormat="1">
      <c r="C205" s="158"/>
      <c r="D205" s="403"/>
      <c r="E205" s="323"/>
      <c r="F205" s="323"/>
      <c r="G205" s="323"/>
      <c r="H205" s="323"/>
    </row>
    <row r="206" spans="3:8" s="26" customFormat="1">
      <c r="C206" s="158"/>
      <c r="D206" s="403"/>
      <c r="E206" s="323"/>
      <c r="F206" s="323"/>
      <c r="G206" s="323"/>
      <c r="H206" s="323"/>
    </row>
    <row r="207" spans="3:8" s="26" customFormat="1">
      <c r="C207" s="158"/>
      <c r="D207" s="403"/>
      <c r="E207" s="323"/>
      <c r="F207" s="323"/>
      <c r="G207" s="323"/>
      <c r="H207" s="323"/>
    </row>
    <row r="208" spans="3:8" s="26" customFormat="1">
      <c r="C208" s="158"/>
      <c r="D208" s="403"/>
      <c r="E208" s="323"/>
      <c r="F208" s="323"/>
      <c r="G208" s="323"/>
      <c r="H208" s="323"/>
    </row>
  </sheetData>
  <sheetProtection algorithmName="SHA-512" hashValue="O82cH62KAYseF8Vm76CnqImK4NQkE2fEKJwzPP0nBySq3dSXw5Qy9gqEQpyhTn+nuK1xbFjmz3r2hKY0tWJ4Fw==" saltValue="aKInucoutdczZniCJD2aJA==" spinCount="100000" sheet="1" objects="1" scenarios="1"/>
  <mergeCells count="29">
    <mergeCell ref="A2:Q2"/>
    <mergeCell ref="A3:Q3"/>
    <mergeCell ref="A4:Q4"/>
    <mergeCell ref="A5:Q5"/>
    <mergeCell ref="K23:K24"/>
    <mergeCell ref="L23:L24"/>
    <mergeCell ref="M23:M24"/>
    <mergeCell ref="N23:N24"/>
    <mergeCell ref="Q23:Q24"/>
    <mergeCell ref="E23:E24"/>
    <mergeCell ref="F23:F24"/>
    <mergeCell ref="G23:G24"/>
    <mergeCell ref="H23:H24"/>
    <mergeCell ref="I23:I24"/>
    <mergeCell ref="P23:P24"/>
    <mergeCell ref="J23:J24"/>
    <mergeCell ref="C23:C24"/>
    <mergeCell ref="O23:O24"/>
    <mergeCell ref="A59:L59"/>
    <mergeCell ref="Q39:Q40"/>
    <mergeCell ref="N39:N40"/>
    <mergeCell ref="O39:O40"/>
    <mergeCell ref="P39:P40"/>
    <mergeCell ref="I39:I40"/>
    <mergeCell ref="J39:J40"/>
    <mergeCell ref="K39:K40"/>
    <mergeCell ref="L39:L40"/>
    <mergeCell ref="M39:M40"/>
    <mergeCell ref="C39:C40"/>
  </mergeCells>
  <pageMargins left="0.7" right="0.7" top="0.75" bottom="0.75" header="0.3" footer="0.3"/>
  <pageSetup scale="30" orientation="portrait" r:id="rId1"/>
  <colBreaks count="1" manualBreakCount="1">
    <brk id="17" max="1048575" man="1"/>
  </colBreaks>
  <ignoredErrors>
    <ignoredError sqref="I62:Q64 I57:Q57 G55:G57 A52:B52 I66:Q125 I65:M65 O65:Q65 C49:C52 A65:D125 A55:D55 K55:Q56 B62:D64 A53:C53 H56:H57 G62:H125 E62:F125 E55:F57 A41:A44 A48 C48 A45:C46 A47:C47 B41:C43 B57:D57 B56:D56 C44 A35:D35 I33 A17:D17 E8:F8 A54:C54 D44 I41:Q44 P48 M48 D41:D43 I45:Q47 D45:D48 I48:L48 N48:O48 Q48 E53:F54 H53:H54 D49:D53 Q50:Q51 J50:O51 J49:Q49 D54 I52:Q54 G53:G54 D36 E52:H52 R52 R53:R54 E50:I51 I49 R49 P50:P51 R50:R51 R48 R45:R47 R44 R41:R43 I35:Q35 C18:D18 D19 I17:O17 O18:P18 Q18 Q17 N18 J18:L18 I18 M18" unlockedFormula="1"/>
    <ignoredError sqref="B38:C38 A40:C40 A37:C37 A38:A39 C39 A36:C36 G8:Q8 A8:D8 A6:C6 A7:Q7 J33:Q33 I34:Q34 A22 I22:Q22 B22:D22 C34:D34 B19:C19 I23:Q25 D29:D30 A19:A21 A30:A34 A26:D28 I26:Q26 I19:Q21 A1:Q2 B20:D21 A9:D16 B23:D25 A29:C29 B30:C30 B31:D33 I39:K39 I40:Q40 I36:Q38 D39 D37 D40 D38 R36 R38:R39 R37 R40 I9:Q9 A4:Q5 B3:Q3 I16:K16 N16:O16 A23:A25 I12:Q14 I11:L11 N11:Q11 I28:L28 I27 K27:Q27 I30:Q32 I29:L29 N29:O29 N28:O28 I10:L10 N10:Q10 Q29 Q28 J15:Q15 O39:P39" numberStoredAsText="1" unlockedFormula="1"/>
    <ignoredError sqref="R1:R5 R31:R33 R29 R28 R19:R21 R34 R12:R13 R10 R14 R30 R26 R27 R23:R25 R22 R15:R16 R11 R9 R7:R8 R6" numberStoredAsText="1"/>
    <ignoredError sqref="M11 M28" evalError="1" numberStoredAsText="1"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68055-EA42-4694-95FA-72169F865DB9}">
  <dimension ref="A1:Q105"/>
  <sheetViews>
    <sheetView showGridLines="0" tabSelected="1" topLeftCell="A2" zoomScale="90" zoomScaleNormal="90" zoomScaleSheetLayoutView="55" workbookViewId="0">
      <pane ySplit="7" topLeftCell="A9" activePane="bottomLeft" state="frozen"/>
      <selection pane="bottomLeft" activeCell="F8" sqref="F8"/>
    </sheetView>
  </sheetViews>
  <sheetFormatPr baseColWidth="10" defaultColWidth="11" defaultRowHeight="12"/>
  <cols>
    <col min="1" max="1" width="19.44140625" style="409" customWidth="1"/>
    <col min="2" max="2" width="52.6640625" style="409" bestFit="1" customWidth="1"/>
    <col min="3" max="3" width="13" style="409" customWidth="1"/>
    <col min="4" max="4" width="14" style="409" customWidth="1"/>
    <col min="5" max="5" width="16.109375" style="466" bestFit="1" customWidth="1"/>
    <col min="6" max="6" width="16.21875" style="466" customWidth="1"/>
    <col min="7" max="7" width="17" style="466" customWidth="1"/>
    <col min="8" max="8" width="21.44140625" style="466" bestFit="1" customWidth="1"/>
    <col min="9" max="9" width="46.88671875" style="409" customWidth="1"/>
    <col min="10" max="10" width="67.88671875" style="409" customWidth="1"/>
    <col min="11" max="11" width="12.88671875" style="467" customWidth="1"/>
    <col min="12" max="12" width="10.21875" style="467" customWidth="1"/>
    <col min="13" max="13" width="13.21875" style="467" customWidth="1"/>
    <col min="14" max="14" width="38.33203125" style="409" customWidth="1"/>
    <col min="15" max="15" width="19.21875" style="467" customWidth="1"/>
    <col min="16" max="16" width="16.44140625" style="467" customWidth="1"/>
    <col min="17" max="17" width="22.6640625" style="409" customWidth="1"/>
    <col min="18" max="16384" width="11" style="409"/>
  </cols>
  <sheetData>
    <row r="1" spans="1:17">
      <c r="A1" s="406"/>
      <c r="B1" s="406"/>
      <c r="C1" s="406"/>
      <c r="D1" s="406"/>
      <c r="E1" s="407"/>
      <c r="F1" s="407"/>
      <c r="G1" s="407"/>
      <c r="H1" s="407"/>
      <c r="I1" s="406"/>
      <c r="J1" s="406"/>
      <c r="K1" s="408"/>
      <c r="L1" s="408"/>
      <c r="M1" s="408"/>
      <c r="N1" s="406"/>
      <c r="O1" s="408"/>
      <c r="P1" s="408"/>
      <c r="Q1" s="406"/>
    </row>
    <row r="2" spans="1:17" ht="28.2" customHeight="1">
      <c r="A2" s="382" t="s">
        <v>276</v>
      </c>
      <c r="B2" s="382"/>
      <c r="C2" s="382"/>
      <c r="D2" s="382"/>
      <c r="E2" s="382"/>
      <c r="F2" s="382"/>
      <c r="G2" s="382"/>
      <c r="H2" s="382"/>
      <c r="I2" s="382"/>
      <c r="J2" s="382"/>
      <c r="K2" s="382"/>
      <c r="L2" s="382"/>
      <c r="M2" s="382"/>
      <c r="N2" s="382"/>
      <c r="O2" s="382"/>
      <c r="P2" s="382"/>
      <c r="Q2" s="382"/>
    </row>
    <row r="3" spans="1:17" ht="23.4" customHeight="1">
      <c r="A3" s="382" t="s">
        <v>16</v>
      </c>
      <c r="B3" s="382"/>
      <c r="C3" s="382"/>
      <c r="D3" s="382"/>
      <c r="E3" s="382"/>
      <c r="F3" s="382"/>
      <c r="G3" s="382"/>
      <c r="H3" s="382"/>
      <c r="I3" s="382"/>
      <c r="J3" s="382"/>
      <c r="K3" s="382"/>
      <c r="L3" s="382"/>
      <c r="M3" s="382"/>
      <c r="N3" s="382"/>
      <c r="O3" s="382"/>
      <c r="P3" s="382"/>
      <c r="Q3" s="382"/>
    </row>
    <row r="4" spans="1:17" ht="19.95" customHeight="1">
      <c r="A4" s="382" t="s">
        <v>18</v>
      </c>
      <c r="B4" s="382"/>
      <c r="C4" s="382"/>
      <c r="D4" s="382"/>
      <c r="E4" s="382"/>
      <c r="F4" s="382"/>
      <c r="G4" s="382"/>
      <c r="H4" s="382"/>
      <c r="I4" s="382"/>
      <c r="J4" s="382"/>
      <c r="K4" s="382"/>
      <c r="L4" s="382"/>
      <c r="M4" s="382"/>
      <c r="N4" s="382"/>
      <c r="O4" s="382"/>
      <c r="P4" s="382"/>
      <c r="Q4" s="382"/>
    </row>
    <row r="5" spans="1:17" ht="19.95" customHeight="1">
      <c r="A5" s="382">
        <v>45107</v>
      </c>
      <c r="B5" s="382"/>
      <c r="C5" s="382"/>
      <c r="D5" s="382"/>
      <c r="E5" s="382"/>
      <c r="F5" s="382"/>
      <c r="G5" s="382"/>
      <c r="H5" s="382"/>
      <c r="I5" s="382"/>
      <c r="J5" s="382"/>
      <c r="K5" s="382"/>
      <c r="L5" s="382"/>
      <c r="M5" s="382"/>
      <c r="N5" s="382"/>
      <c r="O5" s="382"/>
      <c r="P5" s="382"/>
      <c r="Q5" s="382"/>
    </row>
    <row r="6" spans="1:17" ht="14.4" customHeight="1">
      <c r="A6" s="406"/>
      <c r="B6" s="406"/>
      <c r="C6" s="406"/>
      <c r="D6" s="406"/>
      <c r="E6" s="407"/>
      <c r="F6" s="407"/>
      <c r="G6" s="407"/>
      <c r="H6" s="407"/>
      <c r="I6" s="406"/>
      <c r="J6" s="406"/>
      <c r="K6" s="408"/>
      <c r="L6" s="408"/>
      <c r="M6" s="408"/>
      <c r="N6" s="406"/>
      <c r="O6" s="408"/>
      <c r="P6" s="408"/>
      <c r="Q6" s="406"/>
    </row>
    <row r="7" spans="1:17" s="159" customFormat="1" ht="21.6" customHeight="1">
      <c r="E7" s="410"/>
      <c r="F7" s="411"/>
      <c r="G7" s="411"/>
      <c r="H7" s="411"/>
      <c r="K7" s="412"/>
      <c r="L7" s="412"/>
      <c r="M7" s="412"/>
      <c r="O7" s="412"/>
      <c r="P7" s="412"/>
    </row>
    <row r="8" spans="1:17" s="91" customFormat="1" ht="113.4" customHeight="1">
      <c r="A8" s="13" t="s">
        <v>19</v>
      </c>
      <c r="B8" s="13" t="s">
        <v>20</v>
      </c>
      <c r="C8" s="13" t="s">
        <v>277</v>
      </c>
      <c r="D8" s="13" t="s">
        <v>21</v>
      </c>
      <c r="E8" s="13" t="s">
        <v>278</v>
      </c>
      <c r="F8" s="13" t="s">
        <v>279</v>
      </c>
      <c r="G8" s="13" t="s">
        <v>280</v>
      </c>
      <c r="H8" s="13" t="s">
        <v>281</v>
      </c>
      <c r="I8" s="13" t="s">
        <v>282</v>
      </c>
      <c r="J8" s="13" t="s">
        <v>283</v>
      </c>
      <c r="K8" s="13" t="s">
        <v>284</v>
      </c>
      <c r="L8" s="13" t="s">
        <v>285</v>
      </c>
      <c r="M8" s="13" t="s">
        <v>286</v>
      </c>
      <c r="N8" s="13" t="s">
        <v>287</v>
      </c>
      <c r="O8" s="13" t="s">
        <v>288</v>
      </c>
      <c r="P8" s="13" t="s">
        <v>289</v>
      </c>
    </row>
    <row r="9" spans="1:17" s="91" customFormat="1" ht="15.6" customHeight="1">
      <c r="A9" s="413"/>
      <c r="B9" s="414"/>
      <c r="C9" s="415"/>
      <c r="D9" s="415"/>
      <c r="E9" s="416"/>
      <c r="F9" s="417"/>
      <c r="G9" s="417"/>
      <c r="H9" s="417"/>
      <c r="I9" s="417"/>
      <c r="J9" s="418"/>
      <c r="K9" s="419"/>
      <c r="L9" s="419"/>
      <c r="M9" s="419"/>
      <c r="N9" s="419"/>
      <c r="O9" s="419"/>
      <c r="P9" s="420"/>
      <c r="Q9" s="421"/>
    </row>
    <row r="10" spans="1:17" s="91" customFormat="1" ht="18.600000000000001" customHeight="1">
      <c r="A10" s="422" t="s">
        <v>32</v>
      </c>
      <c r="B10" s="423"/>
      <c r="C10" s="424"/>
      <c r="D10" s="424"/>
      <c r="E10" s="424"/>
      <c r="F10" s="424"/>
      <c r="G10" s="424"/>
      <c r="H10" s="424"/>
      <c r="I10" s="423"/>
      <c r="J10" s="423"/>
      <c r="K10" s="424"/>
      <c r="L10" s="424"/>
      <c r="M10" s="424"/>
      <c r="N10" s="423"/>
      <c r="O10" s="424"/>
      <c r="P10" s="420"/>
      <c r="Q10" s="425"/>
    </row>
    <row r="11" spans="1:17" s="91" customFormat="1" ht="70.5" customHeight="1">
      <c r="A11" s="426">
        <v>2198</v>
      </c>
      <c r="B11" s="423" t="s">
        <v>290</v>
      </c>
      <c r="C11" s="424" t="s">
        <v>32</v>
      </c>
      <c r="D11" s="424" t="s">
        <v>291</v>
      </c>
      <c r="E11" s="427" t="s">
        <v>292</v>
      </c>
      <c r="F11" s="427" t="s">
        <v>293</v>
      </c>
      <c r="G11" s="427" t="s">
        <v>182</v>
      </c>
      <c r="H11" s="428">
        <v>1450000</v>
      </c>
      <c r="I11" s="423" t="s">
        <v>294</v>
      </c>
      <c r="J11" s="423" t="s">
        <v>295</v>
      </c>
      <c r="K11" s="427" t="s">
        <v>296</v>
      </c>
      <c r="L11" s="427" t="s">
        <v>297</v>
      </c>
      <c r="M11" s="424">
        <v>21</v>
      </c>
      <c r="N11" s="423"/>
      <c r="O11" s="424" t="s">
        <v>298</v>
      </c>
      <c r="P11" s="420" t="s">
        <v>299</v>
      </c>
      <c r="Q11" s="425"/>
    </row>
    <row r="12" spans="1:17" s="91" customFormat="1" ht="14.4" customHeight="1">
      <c r="A12" s="429"/>
      <c r="B12" s="423"/>
      <c r="C12" s="424"/>
      <c r="D12" s="424"/>
      <c r="E12" s="427"/>
      <c r="F12" s="427"/>
      <c r="G12" s="427"/>
      <c r="H12" s="424"/>
      <c r="I12" s="423"/>
      <c r="J12" s="423"/>
      <c r="K12" s="427"/>
      <c r="L12" s="427"/>
      <c r="M12" s="424"/>
      <c r="N12" s="423"/>
      <c r="O12" s="424"/>
      <c r="P12" s="420" t="s">
        <v>300</v>
      </c>
      <c r="Q12" s="425"/>
    </row>
    <row r="13" spans="1:17" s="91" customFormat="1" ht="13.8">
      <c r="A13" s="422" t="s">
        <v>58</v>
      </c>
      <c r="B13" s="430"/>
      <c r="C13" s="431"/>
      <c r="D13" s="431"/>
      <c r="E13" s="427"/>
      <c r="F13" s="427"/>
      <c r="G13" s="427"/>
      <c r="H13" s="431"/>
      <c r="I13" s="430"/>
      <c r="J13" s="430"/>
      <c r="K13" s="427"/>
      <c r="L13" s="427"/>
      <c r="M13" s="431"/>
      <c r="N13" s="430"/>
      <c r="O13" s="431"/>
      <c r="P13" s="432" t="s">
        <v>300</v>
      </c>
      <c r="Q13" s="433"/>
    </row>
    <row r="14" spans="1:17" s="91" customFormat="1" ht="90" customHeight="1">
      <c r="A14" s="434" t="s">
        <v>59</v>
      </c>
      <c r="B14" s="423" t="s">
        <v>134</v>
      </c>
      <c r="C14" s="424" t="s">
        <v>58</v>
      </c>
      <c r="D14" s="424" t="s">
        <v>34</v>
      </c>
      <c r="E14" s="427" t="s">
        <v>292</v>
      </c>
      <c r="F14" s="427" t="s">
        <v>293</v>
      </c>
      <c r="G14" s="427" t="s">
        <v>301</v>
      </c>
      <c r="H14" s="428">
        <v>254551803.03999999</v>
      </c>
      <c r="I14" s="423" t="s">
        <v>302</v>
      </c>
      <c r="J14" s="423" t="s">
        <v>303</v>
      </c>
      <c r="K14" s="427" t="s">
        <v>296</v>
      </c>
      <c r="L14" s="427" t="s">
        <v>297</v>
      </c>
      <c r="M14" s="424" t="s">
        <v>304</v>
      </c>
      <c r="N14" s="423" t="s">
        <v>305</v>
      </c>
      <c r="O14" s="424" t="s">
        <v>306</v>
      </c>
      <c r="P14" s="420" t="s">
        <v>299</v>
      </c>
      <c r="Q14" s="425"/>
    </row>
    <row r="15" spans="1:17" s="91" customFormat="1" ht="79.5" customHeight="1">
      <c r="A15" s="434" t="s">
        <v>66</v>
      </c>
      <c r="B15" s="423" t="s">
        <v>67</v>
      </c>
      <c r="C15" s="424" t="s">
        <v>58</v>
      </c>
      <c r="D15" s="424" t="s">
        <v>307</v>
      </c>
      <c r="E15" s="427" t="s">
        <v>292</v>
      </c>
      <c r="F15" s="427" t="s">
        <v>293</v>
      </c>
      <c r="G15" s="427" t="s">
        <v>182</v>
      </c>
      <c r="H15" s="428">
        <v>10000000</v>
      </c>
      <c r="I15" s="423" t="s">
        <v>308</v>
      </c>
      <c r="J15" s="423" t="s">
        <v>297</v>
      </c>
      <c r="K15" s="427" t="s">
        <v>297</v>
      </c>
      <c r="L15" s="427" t="s">
        <v>297</v>
      </c>
      <c r="M15" s="424">
        <v>12</v>
      </c>
      <c r="N15" s="423" t="s">
        <v>309</v>
      </c>
      <c r="O15" s="424" t="s">
        <v>310</v>
      </c>
      <c r="P15" s="420" t="s">
        <v>311</v>
      </c>
      <c r="Q15" s="425"/>
    </row>
    <row r="16" spans="1:17" s="91" customFormat="1" ht="15.6" customHeight="1">
      <c r="A16" s="429"/>
      <c r="B16" s="116"/>
      <c r="C16" s="435"/>
      <c r="D16" s="435"/>
      <c r="E16" s="436" t="s">
        <v>300</v>
      </c>
      <c r="F16" s="436" t="s">
        <v>300</v>
      </c>
      <c r="G16" s="436" t="s">
        <v>300</v>
      </c>
      <c r="H16" s="435" t="s">
        <v>300</v>
      </c>
      <c r="I16" s="437" t="s">
        <v>300</v>
      </c>
      <c r="J16" s="437" t="s">
        <v>300</v>
      </c>
      <c r="K16" s="427"/>
      <c r="L16" s="427"/>
      <c r="M16" s="435" t="s">
        <v>300</v>
      </c>
      <c r="N16" s="423" t="s">
        <v>300</v>
      </c>
      <c r="O16" s="435" t="s">
        <v>300</v>
      </c>
      <c r="P16" s="438" t="s">
        <v>300</v>
      </c>
      <c r="Q16" s="425"/>
    </row>
    <row r="17" spans="1:17" s="91" customFormat="1" ht="24.6" customHeight="1">
      <c r="A17" s="439" t="s">
        <v>90</v>
      </c>
      <c r="B17" s="440"/>
      <c r="C17" s="441"/>
      <c r="D17" s="441"/>
      <c r="E17" s="436" t="s">
        <v>300</v>
      </c>
      <c r="F17" s="436" t="s">
        <v>300</v>
      </c>
      <c r="G17" s="436" t="s">
        <v>300</v>
      </c>
      <c r="H17" s="435" t="s">
        <v>300</v>
      </c>
      <c r="I17" s="437" t="s">
        <v>300</v>
      </c>
      <c r="J17" s="437" t="s">
        <v>300</v>
      </c>
      <c r="K17" s="427"/>
      <c r="L17" s="427"/>
      <c r="M17" s="435" t="s">
        <v>300</v>
      </c>
      <c r="N17" s="423"/>
      <c r="O17" s="424"/>
      <c r="P17" s="420" t="s">
        <v>300</v>
      </c>
      <c r="Q17" s="425"/>
    </row>
    <row r="18" spans="1:17" s="91" customFormat="1" ht="102.6" customHeight="1">
      <c r="A18" s="442" t="s">
        <v>312</v>
      </c>
      <c r="B18" s="443" t="s">
        <v>313</v>
      </c>
      <c r="C18" s="444" t="s">
        <v>90</v>
      </c>
      <c r="D18" s="444" t="s">
        <v>38</v>
      </c>
      <c r="E18" s="436" t="s">
        <v>292</v>
      </c>
      <c r="F18" s="436" t="s">
        <v>293</v>
      </c>
      <c r="G18" s="436" t="s">
        <v>182</v>
      </c>
      <c r="H18" s="428">
        <v>159211605.81999999</v>
      </c>
      <c r="I18" s="437" t="s">
        <v>314</v>
      </c>
      <c r="J18" s="437" t="s">
        <v>315</v>
      </c>
      <c r="K18" s="427" t="s">
        <v>297</v>
      </c>
      <c r="L18" s="427" t="s">
        <v>297</v>
      </c>
      <c r="M18" s="435">
        <v>6</v>
      </c>
      <c r="N18" s="423" t="s">
        <v>316</v>
      </c>
      <c r="O18" s="445" t="s">
        <v>298</v>
      </c>
      <c r="P18" s="446" t="s">
        <v>317</v>
      </c>
      <c r="Q18" s="447"/>
    </row>
    <row r="19" spans="1:17" s="91" customFormat="1" ht="71.25" customHeight="1">
      <c r="A19" s="442"/>
      <c r="B19" s="443"/>
      <c r="C19" s="444"/>
      <c r="D19" s="444"/>
      <c r="E19" s="448" t="s">
        <v>318</v>
      </c>
      <c r="F19" s="436" t="s">
        <v>293</v>
      </c>
      <c r="G19" s="436" t="s">
        <v>182</v>
      </c>
      <c r="H19" s="428">
        <v>2727047.69</v>
      </c>
      <c r="I19" s="437" t="s">
        <v>319</v>
      </c>
      <c r="J19" s="437" t="s">
        <v>320</v>
      </c>
      <c r="K19" s="427" t="s">
        <v>296</v>
      </c>
      <c r="L19" s="427" t="s">
        <v>296</v>
      </c>
      <c r="M19" s="435" t="s">
        <v>169</v>
      </c>
      <c r="N19" s="423" t="s">
        <v>321</v>
      </c>
      <c r="O19" s="445"/>
      <c r="P19" s="446"/>
      <c r="Q19" s="447"/>
    </row>
    <row r="20" spans="1:17" s="91" customFormat="1" ht="13.8">
      <c r="A20" s="449"/>
      <c r="B20" s="423"/>
      <c r="C20" s="435"/>
      <c r="D20" s="435"/>
      <c r="E20" s="436" t="s">
        <v>300</v>
      </c>
      <c r="F20" s="436" t="s">
        <v>300</v>
      </c>
      <c r="G20" s="436" t="s">
        <v>300</v>
      </c>
      <c r="H20" s="435" t="s">
        <v>300</v>
      </c>
      <c r="I20" s="437" t="s">
        <v>300</v>
      </c>
      <c r="J20" s="437" t="s">
        <v>300</v>
      </c>
      <c r="K20" s="427"/>
      <c r="L20" s="427"/>
      <c r="M20" s="435" t="s">
        <v>300</v>
      </c>
      <c r="N20" s="423"/>
      <c r="O20" s="435" t="s">
        <v>300</v>
      </c>
      <c r="P20" s="438" t="s">
        <v>300</v>
      </c>
      <c r="Q20" s="450"/>
    </row>
    <row r="21" spans="1:17" s="91" customFormat="1" ht="13.8">
      <c r="A21" s="451" t="s">
        <v>98</v>
      </c>
      <c r="B21" s="440"/>
      <c r="C21" s="441"/>
      <c r="D21" s="441"/>
      <c r="E21" s="436" t="s">
        <v>300</v>
      </c>
      <c r="F21" s="436" t="s">
        <v>300</v>
      </c>
      <c r="G21" s="436" t="s">
        <v>300</v>
      </c>
      <c r="H21" s="435" t="s">
        <v>300</v>
      </c>
      <c r="I21" s="437" t="s">
        <v>300</v>
      </c>
      <c r="J21" s="437" t="s">
        <v>300</v>
      </c>
      <c r="K21" s="427"/>
      <c r="L21" s="427"/>
      <c r="M21" s="435" t="s">
        <v>300</v>
      </c>
      <c r="N21" s="423"/>
      <c r="O21" s="435" t="s">
        <v>300</v>
      </c>
      <c r="P21" s="438" t="s">
        <v>300</v>
      </c>
      <c r="Q21" s="450"/>
    </row>
    <row r="22" spans="1:17" s="91" customFormat="1" ht="82.2" customHeight="1">
      <c r="A22" s="434">
        <v>28568</v>
      </c>
      <c r="B22" s="116" t="s">
        <v>244</v>
      </c>
      <c r="C22" s="435" t="s">
        <v>98</v>
      </c>
      <c r="D22" s="435" t="s">
        <v>35</v>
      </c>
      <c r="E22" s="436" t="s">
        <v>292</v>
      </c>
      <c r="F22" s="436" t="s">
        <v>293</v>
      </c>
      <c r="G22" s="436" t="s">
        <v>301</v>
      </c>
      <c r="H22" s="452">
        <v>106462250.94</v>
      </c>
      <c r="I22" s="437" t="s">
        <v>308</v>
      </c>
      <c r="J22" s="437" t="s">
        <v>322</v>
      </c>
      <c r="K22" s="435" t="s">
        <v>297</v>
      </c>
      <c r="L22" s="435" t="s">
        <v>297</v>
      </c>
      <c r="M22" s="435" t="s">
        <v>323</v>
      </c>
      <c r="N22" s="423" t="s">
        <v>324</v>
      </c>
      <c r="O22" s="424" t="s">
        <v>325</v>
      </c>
      <c r="P22" s="438" t="s">
        <v>299</v>
      </c>
      <c r="Q22" s="425"/>
    </row>
    <row r="23" spans="1:17" s="91" customFormat="1" ht="13.8">
      <c r="A23" s="453"/>
      <c r="B23" s="454"/>
      <c r="C23" s="455"/>
      <c r="D23" s="455"/>
      <c r="E23" s="456"/>
      <c r="F23" s="456"/>
      <c r="G23" s="456"/>
      <c r="H23" s="455"/>
      <c r="I23" s="457"/>
      <c r="J23" s="457"/>
      <c r="K23" s="458"/>
      <c r="L23" s="458"/>
      <c r="M23" s="455"/>
      <c r="N23" s="459"/>
      <c r="O23" s="455"/>
      <c r="P23" s="460"/>
      <c r="Q23" s="450"/>
    </row>
    <row r="24" spans="1:17" s="159" customFormat="1" ht="13.8">
      <c r="A24" s="436"/>
      <c r="B24" s="461"/>
      <c r="C24" s="436"/>
      <c r="D24" s="436"/>
      <c r="E24" s="436"/>
      <c r="F24" s="436"/>
      <c r="G24" s="436"/>
      <c r="H24" s="436"/>
      <c r="I24" s="461"/>
      <c r="J24" s="462"/>
      <c r="K24" s="436"/>
      <c r="L24" s="436"/>
      <c r="M24" s="436"/>
      <c r="N24" s="461"/>
      <c r="O24" s="436"/>
      <c r="P24" s="436"/>
    </row>
    <row r="25" spans="1:17" s="159" customFormat="1" ht="13.8">
      <c r="A25" s="463" t="s">
        <v>326</v>
      </c>
      <c r="B25" s="461"/>
      <c r="C25" s="436"/>
      <c r="D25" s="436"/>
      <c r="E25" s="436"/>
      <c r="F25" s="436"/>
      <c r="G25" s="436"/>
      <c r="H25" s="436"/>
      <c r="I25" s="461"/>
      <c r="J25" s="462"/>
      <c r="K25" s="436"/>
      <c r="L25" s="436"/>
      <c r="M25" s="436"/>
      <c r="N25" s="461"/>
      <c r="O25" s="436"/>
      <c r="P25" s="436"/>
    </row>
    <row r="26" spans="1:17" s="159" customFormat="1" ht="13.8">
      <c r="A26" s="436"/>
      <c r="B26" s="461"/>
      <c r="C26" s="436"/>
      <c r="D26" s="436"/>
      <c r="E26" s="436"/>
      <c r="F26" s="436"/>
      <c r="G26" s="436"/>
      <c r="H26" s="436"/>
      <c r="I26" s="461"/>
      <c r="J26" s="462"/>
      <c r="K26" s="427"/>
      <c r="L26" s="427"/>
      <c r="M26" s="436"/>
      <c r="N26" s="461"/>
      <c r="O26" s="436"/>
      <c r="P26" s="436"/>
    </row>
    <row r="27" spans="1:17" s="159" customFormat="1" ht="30.6" customHeight="1">
      <c r="A27" s="464" t="s">
        <v>327</v>
      </c>
      <c r="B27" s="461"/>
      <c r="C27" s="436"/>
      <c r="D27" s="436"/>
      <c r="E27" s="436"/>
      <c r="F27" s="436"/>
      <c r="G27" s="436"/>
      <c r="H27" s="436"/>
      <c r="I27" s="461"/>
      <c r="J27" s="461"/>
      <c r="K27" s="427"/>
      <c r="L27" s="427"/>
      <c r="M27" s="436"/>
      <c r="N27" s="461"/>
      <c r="O27" s="436"/>
      <c r="P27" s="436"/>
    </row>
    <row r="28" spans="1:17" s="159" customFormat="1" ht="13.8">
      <c r="A28" s="465" t="s">
        <v>328</v>
      </c>
      <c r="B28" s="461"/>
      <c r="C28" s="436"/>
      <c r="D28" s="436"/>
      <c r="E28" s="436"/>
      <c r="F28" s="436"/>
      <c r="G28" s="436"/>
      <c r="H28" s="436"/>
      <c r="I28" s="461"/>
      <c r="J28" s="461"/>
      <c r="K28" s="427"/>
      <c r="L28" s="427"/>
      <c r="M28" s="436"/>
      <c r="N28" s="461"/>
      <c r="O28" s="436"/>
      <c r="P28" s="436"/>
    </row>
    <row r="29" spans="1:17" s="159" customFormat="1" ht="13.8">
      <c r="A29" s="465" t="s">
        <v>329</v>
      </c>
      <c r="B29" s="461"/>
      <c r="C29" s="436"/>
      <c r="D29" s="436"/>
      <c r="E29" s="436"/>
      <c r="F29" s="436"/>
      <c r="G29" s="436"/>
      <c r="H29" s="436"/>
      <c r="I29" s="461"/>
      <c r="J29" s="461"/>
      <c r="K29" s="427"/>
      <c r="L29" s="427"/>
      <c r="M29" s="436"/>
      <c r="N29" s="461"/>
      <c r="O29" s="436"/>
      <c r="P29" s="436"/>
    </row>
    <row r="30" spans="1:17" s="159" customFormat="1" ht="24" customHeight="1">
      <c r="A30" s="436"/>
      <c r="B30" s="461"/>
      <c r="C30" s="436"/>
      <c r="D30" s="436"/>
      <c r="E30" s="436"/>
      <c r="F30" s="436"/>
      <c r="G30" s="436"/>
      <c r="H30" s="436"/>
      <c r="I30" s="461"/>
      <c r="J30" s="461"/>
      <c r="K30" s="427"/>
      <c r="L30" s="427"/>
      <c r="M30" s="436"/>
      <c r="N30" s="461"/>
      <c r="O30" s="436"/>
      <c r="P30" s="436"/>
    </row>
    <row r="31" spans="1:17" s="159" customFormat="1" ht="13.8">
      <c r="A31" s="436"/>
      <c r="B31" s="461"/>
      <c r="C31" s="436"/>
      <c r="D31" s="436"/>
      <c r="E31" s="436"/>
      <c r="F31" s="436"/>
      <c r="G31" s="436"/>
      <c r="H31" s="436"/>
      <c r="I31" s="461"/>
      <c r="J31" s="461"/>
      <c r="K31" s="427"/>
      <c r="L31" s="427"/>
      <c r="M31" s="436"/>
      <c r="N31" s="461"/>
      <c r="O31" s="436"/>
      <c r="P31" s="436"/>
    </row>
    <row r="32" spans="1:17" s="159" customFormat="1" ht="13.8">
      <c r="A32" s="436"/>
      <c r="B32" s="461"/>
      <c r="C32" s="436"/>
      <c r="D32" s="436"/>
      <c r="E32" s="436"/>
      <c r="F32" s="436"/>
      <c r="G32" s="436"/>
      <c r="H32" s="436"/>
      <c r="I32" s="461"/>
      <c r="J32" s="461"/>
      <c r="K32" s="427"/>
      <c r="L32" s="427"/>
      <c r="M32" s="436"/>
      <c r="N32" s="461"/>
      <c r="O32" s="436"/>
      <c r="P32" s="436"/>
    </row>
    <row r="33" spans="1:16" s="159" customFormat="1" ht="13.8">
      <c r="A33" s="436"/>
      <c r="B33" s="461"/>
      <c r="C33" s="436"/>
      <c r="D33" s="436"/>
      <c r="E33" s="436"/>
      <c r="F33" s="436"/>
      <c r="G33" s="436"/>
      <c r="H33" s="436"/>
      <c r="I33" s="461"/>
      <c r="J33" s="461"/>
      <c r="K33" s="427"/>
      <c r="L33" s="427"/>
      <c r="M33" s="436"/>
      <c r="N33" s="461"/>
      <c r="O33" s="436"/>
      <c r="P33" s="436"/>
    </row>
    <row r="34" spans="1:16" s="159" customFormat="1" ht="13.8">
      <c r="A34" s="436"/>
      <c r="B34" s="461"/>
      <c r="C34" s="436"/>
      <c r="D34" s="436"/>
      <c r="E34" s="436"/>
      <c r="F34" s="436"/>
      <c r="G34" s="436"/>
      <c r="H34" s="436"/>
      <c r="I34" s="461"/>
      <c r="J34" s="461"/>
      <c r="K34" s="427"/>
      <c r="L34" s="427"/>
      <c r="M34" s="436"/>
      <c r="N34" s="461"/>
      <c r="O34" s="436"/>
      <c r="P34" s="436"/>
    </row>
    <row r="35" spans="1:16" s="159" customFormat="1" ht="13.8">
      <c r="A35" s="436"/>
      <c r="B35" s="461"/>
      <c r="C35" s="436"/>
      <c r="D35" s="436"/>
      <c r="E35" s="436"/>
      <c r="F35" s="436"/>
      <c r="G35" s="436"/>
      <c r="H35" s="436"/>
      <c r="I35" s="461"/>
      <c r="J35" s="461"/>
      <c r="K35" s="427"/>
      <c r="L35" s="427"/>
      <c r="M35" s="436"/>
      <c r="N35" s="461"/>
      <c r="O35" s="436"/>
      <c r="P35" s="436"/>
    </row>
    <row r="36" spans="1:16" s="159" customFormat="1" ht="13.8">
      <c r="A36" s="436"/>
      <c r="B36" s="461"/>
      <c r="C36" s="436"/>
      <c r="D36" s="436"/>
      <c r="E36" s="436"/>
      <c r="F36" s="436"/>
      <c r="G36" s="436"/>
      <c r="H36" s="436"/>
      <c r="I36" s="461"/>
      <c r="J36" s="461"/>
      <c r="K36" s="427"/>
      <c r="L36" s="427"/>
      <c r="M36" s="436"/>
      <c r="N36" s="461"/>
      <c r="O36" s="436"/>
      <c r="P36" s="436"/>
    </row>
    <row r="37" spans="1:16" s="159" customFormat="1" ht="13.8">
      <c r="A37" s="436"/>
      <c r="B37" s="461"/>
      <c r="C37" s="436"/>
      <c r="D37" s="436"/>
      <c r="E37" s="436"/>
      <c r="F37" s="436"/>
      <c r="G37" s="436"/>
      <c r="H37" s="436"/>
      <c r="I37" s="461"/>
      <c r="J37" s="461"/>
      <c r="K37" s="427"/>
      <c r="L37" s="427"/>
      <c r="M37" s="436"/>
      <c r="N37" s="461"/>
      <c r="O37" s="436"/>
      <c r="P37" s="436"/>
    </row>
    <row r="38" spans="1:16" s="159" customFormat="1" ht="13.8">
      <c r="A38" s="436"/>
      <c r="B38" s="461"/>
      <c r="C38" s="436"/>
      <c r="D38" s="436"/>
      <c r="E38" s="436"/>
      <c r="F38" s="436"/>
      <c r="G38" s="436"/>
      <c r="H38" s="436"/>
      <c r="I38" s="461"/>
      <c r="J38" s="461"/>
      <c r="K38" s="427"/>
      <c r="L38" s="427"/>
      <c r="M38" s="436"/>
      <c r="N38" s="461"/>
      <c r="O38" s="436"/>
      <c r="P38" s="436"/>
    </row>
    <row r="39" spans="1:16" s="159" customFormat="1" ht="13.8">
      <c r="A39" s="436"/>
      <c r="B39" s="461"/>
      <c r="C39" s="436"/>
      <c r="D39" s="436"/>
      <c r="E39" s="436"/>
      <c r="F39" s="436"/>
      <c r="G39" s="436"/>
      <c r="H39" s="436"/>
      <c r="I39" s="461"/>
      <c r="J39" s="461"/>
      <c r="K39" s="427"/>
      <c r="L39" s="427"/>
      <c r="M39" s="436"/>
      <c r="N39" s="461"/>
      <c r="O39" s="436"/>
      <c r="P39" s="436"/>
    </row>
    <row r="40" spans="1:16" s="159" customFormat="1" ht="13.8">
      <c r="E40" s="411"/>
      <c r="F40" s="411"/>
      <c r="G40" s="411"/>
      <c r="H40" s="411"/>
      <c r="K40" s="412"/>
      <c r="L40" s="427"/>
      <c r="M40" s="427"/>
      <c r="O40" s="412"/>
      <c r="P40" s="412"/>
    </row>
    <row r="41" spans="1:16" s="159" customFormat="1" ht="13.8">
      <c r="E41" s="411"/>
      <c r="F41" s="411"/>
      <c r="G41" s="411"/>
      <c r="H41" s="411"/>
      <c r="K41" s="412"/>
      <c r="L41" s="427"/>
      <c r="M41" s="427"/>
      <c r="O41" s="412"/>
      <c r="P41" s="412"/>
    </row>
    <row r="42" spans="1:16" s="159" customFormat="1" ht="13.8">
      <c r="E42" s="411"/>
      <c r="F42" s="411"/>
      <c r="G42" s="411"/>
      <c r="H42" s="411"/>
      <c r="K42" s="412"/>
      <c r="L42" s="427"/>
      <c r="M42" s="427"/>
      <c r="O42" s="412"/>
      <c r="P42" s="412"/>
    </row>
    <row r="43" spans="1:16" s="159" customFormat="1" ht="13.8">
      <c r="E43" s="411"/>
      <c r="F43" s="411"/>
      <c r="G43" s="411"/>
      <c r="H43" s="411"/>
      <c r="K43" s="412"/>
      <c r="L43" s="427"/>
      <c r="M43" s="427"/>
      <c r="O43" s="412"/>
      <c r="P43" s="412"/>
    </row>
    <row r="44" spans="1:16" s="159" customFormat="1" ht="13.8">
      <c r="E44" s="411"/>
      <c r="F44" s="411"/>
      <c r="G44" s="411"/>
      <c r="H44" s="411"/>
      <c r="K44" s="412"/>
      <c r="L44" s="427"/>
      <c r="M44" s="427"/>
      <c r="O44" s="412"/>
      <c r="P44" s="412"/>
    </row>
    <row r="45" spans="1:16" s="159" customFormat="1" ht="13.8">
      <c r="E45" s="411"/>
      <c r="F45" s="411"/>
      <c r="G45" s="411"/>
      <c r="H45" s="411"/>
      <c r="K45" s="412"/>
      <c r="L45" s="427"/>
      <c r="M45" s="427"/>
      <c r="O45" s="412"/>
      <c r="P45" s="412"/>
    </row>
    <row r="46" spans="1:16" s="159" customFormat="1" ht="13.8">
      <c r="E46" s="411"/>
      <c r="F46" s="411"/>
      <c r="G46" s="411"/>
      <c r="H46" s="411"/>
      <c r="K46" s="412"/>
      <c r="L46" s="427"/>
      <c r="M46" s="427"/>
      <c r="O46" s="412"/>
      <c r="P46" s="412"/>
    </row>
    <row r="47" spans="1:16" s="159" customFormat="1" ht="13.8">
      <c r="E47" s="411"/>
      <c r="F47" s="411"/>
      <c r="G47" s="411"/>
      <c r="H47" s="411"/>
      <c r="K47" s="412"/>
      <c r="L47" s="427"/>
      <c r="M47" s="427"/>
      <c r="O47" s="412"/>
      <c r="P47" s="412"/>
    </row>
    <row r="48" spans="1:16" s="159" customFormat="1" ht="13.8">
      <c r="E48" s="411"/>
      <c r="F48" s="411"/>
      <c r="G48" s="411"/>
      <c r="H48" s="411"/>
      <c r="K48" s="412"/>
      <c r="L48" s="427"/>
      <c r="M48" s="427"/>
      <c r="O48" s="412"/>
      <c r="P48" s="412"/>
    </row>
    <row r="49" spans="5:16" s="159" customFormat="1" ht="13.8">
      <c r="E49" s="411"/>
      <c r="F49" s="411"/>
      <c r="G49" s="411"/>
      <c r="H49" s="411"/>
      <c r="K49" s="412"/>
      <c r="L49" s="412"/>
      <c r="M49" s="412"/>
      <c r="O49" s="412"/>
      <c r="P49" s="412"/>
    </row>
    <row r="50" spans="5:16" s="159" customFormat="1" ht="13.8">
      <c r="E50" s="411"/>
      <c r="F50" s="411"/>
      <c r="G50" s="411"/>
      <c r="H50" s="411"/>
      <c r="K50" s="412"/>
      <c r="L50" s="412"/>
      <c r="M50" s="412"/>
      <c r="O50" s="412"/>
      <c r="P50" s="412"/>
    </row>
    <row r="51" spans="5:16" s="159" customFormat="1" ht="13.8">
      <c r="E51" s="411"/>
      <c r="F51" s="411"/>
      <c r="G51" s="411"/>
      <c r="H51" s="411"/>
      <c r="K51" s="412"/>
      <c r="L51" s="412"/>
      <c r="M51" s="412"/>
      <c r="O51" s="412"/>
      <c r="P51" s="412"/>
    </row>
    <row r="52" spans="5:16" s="159" customFormat="1" ht="13.8">
      <c r="E52" s="411"/>
      <c r="F52" s="411"/>
      <c r="G52" s="411"/>
      <c r="H52" s="411"/>
      <c r="K52" s="412"/>
      <c r="L52" s="412"/>
      <c r="M52" s="412"/>
      <c r="O52" s="412"/>
      <c r="P52" s="412"/>
    </row>
    <row r="53" spans="5:16" s="159" customFormat="1" ht="13.8">
      <c r="E53" s="411"/>
      <c r="F53" s="411"/>
      <c r="G53" s="411"/>
      <c r="H53" s="411"/>
      <c r="K53" s="412"/>
      <c r="L53" s="412"/>
      <c r="M53" s="412"/>
      <c r="O53" s="412"/>
      <c r="P53" s="412"/>
    </row>
    <row r="54" spans="5:16" s="159" customFormat="1" ht="13.8">
      <c r="E54" s="411"/>
      <c r="F54" s="411"/>
      <c r="G54" s="411"/>
      <c r="H54" s="411"/>
      <c r="K54" s="412"/>
      <c r="L54" s="412"/>
      <c r="M54" s="412"/>
      <c r="O54" s="412"/>
      <c r="P54" s="412"/>
    </row>
    <row r="55" spans="5:16" s="159" customFormat="1" ht="13.8">
      <c r="E55" s="411"/>
      <c r="F55" s="411"/>
      <c r="G55" s="411"/>
      <c r="H55" s="411"/>
      <c r="K55" s="412"/>
      <c r="L55" s="412"/>
      <c r="M55" s="412"/>
      <c r="O55" s="412"/>
      <c r="P55" s="412"/>
    </row>
    <row r="56" spans="5:16" s="159" customFormat="1" ht="13.8">
      <c r="E56" s="411"/>
      <c r="F56" s="411"/>
      <c r="G56" s="411"/>
      <c r="H56" s="411"/>
      <c r="K56" s="412"/>
      <c r="L56" s="412"/>
      <c r="M56" s="412"/>
      <c r="O56" s="412"/>
      <c r="P56" s="412"/>
    </row>
    <row r="57" spans="5:16" s="159" customFormat="1" ht="13.8">
      <c r="E57" s="411"/>
      <c r="F57" s="411"/>
      <c r="G57" s="411"/>
      <c r="H57" s="411"/>
      <c r="K57" s="412"/>
      <c r="L57" s="412"/>
      <c r="M57" s="412"/>
      <c r="O57" s="412"/>
      <c r="P57" s="412"/>
    </row>
    <row r="58" spans="5:16" s="159" customFormat="1" ht="13.8">
      <c r="E58" s="411"/>
      <c r="F58" s="411"/>
      <c r="G58" s="411"/>
      <c r="H58" s="411"/>
      <c r="K58" s="412"/>
      <c r="L58" s="412"/>
      <c r="M58" s="412"/>
      <c r="O58" s="412"/>
      <c r="P58" s="412"/>
    </row>
    <row r="59" spans="5:16" s="159" customFormat="1" ht="13.8">
      <c r="E59" s="411"/>
      <c r="F59" s="411"/>
      <c r="G59" s="411"/>
      <c r="H59" s="411"/>
      <c r="K59" s="412"/>
      <c r="L59" s="412"/>
      <c r="M59" s="412"/>
      <c r="O59" s="412"/>
      <c r="P59" s="412"/>
    </row>
    <row r="60" spans="5:16" s="159" customFormat="1" ht="13.8">
      <c r="E60" s="411"/>
      <c r="F60" s="411"/>
      <c r="G60" s="411"/>
      <c r="H60" s="411"/>
      <c r="K60" s="412"/>
      <c r="L60" s="412"/>
      <c r="M60" s="412"/>
      <c r="O60" s="412"/>
      <c r="P60" s="412"/>
    </row>
    <row r="61" spans="5:16" s="159" customFormat="1" ht="13.8">
      <c r="E61" s="411"/>
      <c r="F61" s="411"/>
      <c r="G61" s="411"/>
      <c r="H61" s="411"/>
      <c r="K61" s="412"/>
      <c r="L61" s="412"/>
      <c r="M61" s="412"/>
      <c r="O61" s="412"/>
      <c r="P61" s="412"/>
    </row>
    <row r="62" spans="5:16" s="159" customFormat="1" ht="13.8">
      <c r="E62" s="411"/>
      <c r="F62" s="411"/>
      <c r="G62" s="411"/>
      <c r="H62" s="411"/>
      <c r="K62" s="412"/>
      <c r="L62" s="412"/>
      <c r="M62" s="412"/>
      <c r="O62" s="412"/>
      <c r="P62" s="412"/>
    </row>
    <row r="63" spans="5:16" s="159" customFormat="1" ht="13.8">
      <c r="E63" s="411"/>
      <c r="F63" s="411"/>
      <c r="G63" s="411"/>
      <c r="H63" s="411"/>
      <c r="K63" s="412"/>
      <c r="L63" s="412"/>
      <c r="M63" s="412"/>
      <c r="O63" s="412"/>
      <c r="P63" s="412"/>
    </row>
    <row r="64" spans="5:16" s="159" customFormat="1" ht="13.8">
      <c r="E64" s="411"/>
      <c r="F64" s="411"/>
      <c r="G64" s="411"/>
      <c r="H64" s="411"/>
      <c r="K64" s="412"/>
      <c r="L64" s="412"/>
      <c r="M64" s="412"/>
      <c r="O64" s="412"/>
      <c r="P64" s="412"/>
    </row>
    <row r="65" spans="5:16" s="159" customFormat="1" ht="13.8">
      <c r="E65" s="411"/>
      <c r="F65" s="411"/>
      <c r="G65" s="411"/>
      <c r="H65" s="411"/>
      <c r="K65" s="412"/>
      <c r="L65" s="412"/>
      <c r="M65" s="412"/>
      <c r="O65" s="412"/>
      <c r="P65" s="412"/>
    </row>
    <row r="66" spans="5:16" s="159" customFormat="1" ht="13.8">
      <c r="E66" s="411"/>
      <c r="F66" s="411"/>
      <c r="G66" s="411"/>
      <c r="H66" s="411"/>
      <c r="K66" s="412"/>
      <c r="L66" s="412"/>
      <c r="M66" s="412"/>
      <c r="O66" s="412"/>
      <c r="P66" s="412"/>
    </row>
    <row r="67" spans="5:16" s="159" customFormat="1" ht="13.8">
      <c r="E67" s="411"/>
      <c r="F67" s="411"/>
      <c r="G67" s="411"/>
      <c r="H67" s="411"/>
      <c r="K67" s="412"/>
      <c r="L67" s="412"/>
      <c r="M67" s="412"/>
      <c r="O67" s="412"/>
      <c r="P67" s="412"/>
    </row>
    <row r="68" spans="5:16" s="159" customFormat="1" ht="13.8">
      <c r="E68" s="411"/>
      <c r="F68" s="411"/>
      <c r="G68" s="411"/>
      <c r="H68" s="411"/>
      <c r="K68" s="412"/>
      <c r="L68" s="412"/>
      <c r="M68" s="412"/>
      <c r="O68" s="412"/>
      <c r="P68" s="412"/>
    </row>
    <row r="69" spans="5:16" s="159" customFormat="1" ht="13.8">
      <c r="E69" s="411"/>
      <c r="F69" s="411"/>
      <c r="G69" s="411"/>
      <c r="H69" s="411"/>
      <c r="K69" s="412"/>
      <c r="L69" s="412"/>
      <c r="M69" s="412"/>
      <c r="O69" s="412"/>
      <c r="P69" s="412"/>
    </row>
    <row r="70" spans="5:16" s="159" customFormat="1" ht="13.8">
      <c r="E70" s="411"/>
      <c r="F70" s="411"/>
      <c r="G70" s="411"/>
      <c r="H70" s="411"/>
      <c r="K70" s="412"/>
      <c r="L70" s="412"/>
      <c r="M70" s="412"/>
      <c r="O70" s="412"/>
      <c r="P70" s="412"/>
    </row>
    <row r="71" spans="5:16" s="159" customFormat="1" ht="13.8">
      <c r="E71" s="411"/>
      <c r="F71" s="411"/>
      <c r="G71" s="411"/>
      <c r="H71" s="411"/>
      <c r="K71" s="412"/>
      <c r="L71" s="412"/>
      <c r="M71" s="412"/>
      <c r="O71" s="412"/>
      <c r="P71" s="412"/>
    </row>
    <row r="72" spans="5:16" s="159" customFormat="1" ht="13.8">
      <c r="E72" s="411"/>
      <c r="F72" s="411"/>
      <c r="G72" s="411"/>
      <c r="H72" s="411"/>
      <c r="K72" s="412"/>
      <c r="L72" s="412"/>
      <c r="M72" s="412"/>
      <c r="O72" s="412"/>
      <c r="P72" s="412"/>
    </row>
    <row r="73" spans="5:16" s="159" customFormat="1" ht="13.8">
      <c r="E73" s="411"/>
      <c r="F73" s="411"/>
      <c r="G73" s="411"/>
      <c r="H73" s="411"/>
      <c r="K73" s="412"/>
      <c r="L73" s="412"/>
      <c r="M73" s="412"/>
      <c r="O73" s="412"/>
      <c r="P73" s="412"/>
    </row>
    <row r="74" spans="5:16" s="159" customFormat="1" ht="13.8">
      <c r="E74" s="411"/>
      <c r="F74" s="411"/>
      <c r="G74" s="411"/>
      <c r="H74" s="411"/>
      <c r="K74" s="412"/>
      <c r="L74" s="412"/>
      <c r="M74" s="412"/>
      <c r="O74" s="412"/>
      <c r="P74" s="412"/>
    </row>
    <row r="75" spans="5:16" s="159" customFormat="1" ht="13.8">
      <c r="E75" s="411"/>
      <c r="F75" s="411"/>
      <c r="G75" s="411"/>
      <c r="H75" s="411"/>
      <c r="K75" s="412"/>
      <c r="L75" s="412"/>
      <c r="M75" s="412"/>
      <c r="O75" s="412"/>
      <c r="P75" s="412"/>
    </row>
    <row r="76" spans="5:16" s="159" customFormat="1" ht="13.8">
      <c r="E76" s="411"/>
      <c r="F76" s="411"/>
      <c r="G76" s="411"/>
      <c r="H76" s="411"/>
      <c r="K76" s="412"/>
      <c r="L76" s="412"/>
      <c r="M76" s="412"/>
      <c r="O76" s="412"/>
      <c r="P76" s="412"/>
    </row>
    <row r="77" spans="5:16" s="159" customFormat="1" ht="13.8">
      <c r="E77" s="411"/>
      <c r="F77" s="411"/>
      <c r="G77" s="411"/>
      <c r="H77" s="411"/>
      <c r="K77" s="412"/>
      <c r="L77" s="412"/>
      <c r="M77" s="412"/>
      <c r="O77" s="412"/>
      <c r="P77" s="412"/>
    </row>
    <row r="78" spans="5:16" s="159" customFormat="1" ht="13.8">
      <c r="E78" s="411"/>
      <c r="F78" s="411"/>
      <c r="G78" s="411"/>
      <c r="H78" s="411"/>
      <c r="K78" s="412"/>
      <c r="L78" s="412"/>
      <c r="M78" s="412"/>
      <c r="O78" s="412"/>
      <c r="P78" s="412"/>
    </row>
    <row r="79" spans="5:16" s="159" customFormat="1" ht="13.8">
      <c r="E79" s="411"/>
      <c r="F79" s="411"/>
      <c r="G79" s="411"/>
      <c r="H79" s="411"/>
      <c r="K79" s="412"/>
      <c r="L79" s="412"/>
      <c r="M79" s="412"/>
      <c r="O79" s="412"/>
      <c r="P79" s="412"/>
    </row>
    <row r="80" spans="5:16" s="159" customFormat="1" ht="13.8">
      <c r="E80" s="411"/>
      <c r="F80" s="411"/>
      <c r="G80" s="411"/>
      <c r="H80" s="411"/>
      <c r="K80" s="412"/>
      <c r="L80" s="412"/>
      <c r="M80" s="412"/>
      <c r="O80" s="412"/>
      <c r="P80" s="412"/>
    </row>
    <row r="81" spans="5:16" s="159" customFormat="1" ht="13.8">
      <c r="E81" s="411"/>
      <c r="F81" s="411"/>
      <c r="G81" s="411"/>
      <c r="H81" s="411"/>
      <c r="K81" s="412"/>
      <c r="L81" s="412"/>
      <c r="M81" s="412"/>
      <c r="O81" s="412"/>
      <c r="P81" s="412"/>
    </row>
    <row r="82" spans="5:16" s="159" customFormat="1" ht="13.8">
      <c r="E82" s="411"/>
      <c r="F82" s="411"/>
      <c r="G82" s="411"/>
      <c r="H82" s="411"/>
      <c r="K82" s="412"/>
      <c r="L82" s="412"/>
      <c r="M82" s="412"/>
      <c r="O82" s="412"/>
      <c r="P82" s="412"/>
    </row>
    <row r="83" spans="5:16" s="159" customFormat="1" ht="13.8">
      <c r="E83" s="411"/>
      <c r="F83" s="411"/>
      <c r="G83" s="411"/>
      <c r="H83" s="411"/>
      <c r="K83" s="412"/>
      <c r="L83" s="412"/>
      <c r="M83" s="412"/>
      <c r="O83" s="412"/>
      <c r="P83" s="412"/>
    </row>
    <row r="84" spans="5:16" s="159" customFormat="1" ht="13.8">
      <c r="E84" s="411"/>
      <c r="F84" s="411"/>
      <c r="G84" s="411"/>
      <c r="H84" s="411"/>
      <c r="K84" s="412"/>
      <c r="L84" s="412"/>
      <c r="M84" s="412"/>
      <c r="O84" s="412"/>
      <c r="P84" s="412"/>
    </row>
    <row r="85" spans="5:16" s="159" customFormat="1" ht="13.8">
      <c r="E85" s="411"/>
      <c r="F85" s="411"/>
      <c r="G85" s="411"/>
      <c r="H85" s="411"/>
      <c r="K85" s="412"/>
      <c r="L85" s="412"/>
      <c r="M85" s="412"/>
      <c r="O85" s="412"/>
      <c r="P85" s="412"/>
    </row>
    <row r="86" spans="5:16" s="159" customFormat="1" ht="13.8">
      <c r="E86" s="411"/>
      <c r="F86" s="411"/>
      <c r="G86" s="411"/>
      <c r="H86" s="411"/>
      <c r="K86" s="412"/>
      <c r="L86" s="412"/>
      <c r="M86" s="412"/>
      <c r="O86" s="412"/>
      <c r="P86" s="412"/>
    </row>
    <row r="87" spans="5:16" s="159" customFormat="1" ht="13.8">
      <c r="E87" s="411"/>
      <c r="F87" s="411"/>
      <c r="G87" s="411"/>
      <c r="H87" s="411"/>
      <c r="K87" s="412"/>
      <c r="L87" s="412"/>
      <c r="M87" s="412"/>
      <c r="O87" s="412"/>
      <c r="P87" s="412"/>
    </row>
    <row r="88" spans="5:16" s="159" customFormat="1" ht="13.8">
      <c r="E88" s="411"/>
      <c r="F88" s="411"/>
      <c r="G88" s="411"/>
      <c r="H88" s="411"/>
      <c r="K88" s="412"/>
      <c r="L88" s="412"/>
      <c r="M88" s="412"/>
      <c r="O88" s="412"/>
      <c r="P88" s="412"/>
    </row>
    <row r="89" spans="5:16" s="159" customFormat="1" ht="13.8">
      <c r="E89" s="411"/>
      <c r="F89" s="411"/>
      <c r="G89" s="411"/>
      <c r="H89" s="411"/>
      <c r="K89" s="412"/>
      <c r="L89" s="412"/>
      <c r="M89" s="412"/>
      <c r="O89" s="412"/>
      <c r="P89" s="412"/>
    </row>
    <row r="90" spans="5:16" s="159" customFormat="1" ht="13.8">
      <c r="E90" s="411"/>
      <c r="F90" s="411"/>
      <c r="G90" s="411"/>
      <c r="H90" s="411"/>
      <c r="K90" s="412"/>
      <c r="L90" s="412"/>
      <c r="M90" s="412"/>
      <c r="O90" s="412"/>
      <c r="P90" s="412"/>
    </row>
    <row r="91" spans="5:16" s="159" customFormat="1" ht="13.8">
      <c r="E91" s="411"/>
      <c r="F91" s="411"/>
      <c r="G91" s="411"/>
      <c r="H91" s="411"/>
      <c r="K91" s="412"/>
      <c r="L91" s="412"/>
      <c r="M91" s="412"/>
      <c r="O91" s="412"/>
      <c r="P91" s="412"/>
    </row>
    <row r="92" spans="5:16" s="159" customFormat="1" ht="13.8">
      <c r="E92" s="411"/>
      <c r="F92" s="411"/>
      <c r="G92" s="411"/>
      <c r="H92" s="411"/>
      <c r="K92" s="412"/>
      <c r="L92" s="412"/>
      <c r="M92" s="412"/>
      <c r="O92" s="412"/>
      <c r="P92" s="412"/>
    </row>
    <row r="93" spans="5:16" s="159" customFormat="1" ht="13.8">
      <c r="E93" s="411"/>
      <c r="F93" s="411"/>
      <c r="G93" s="411"/>
      <c r="H93" s="411"/>
      <c r="K93" s="412"/>
      <c r="L93" s="412"/>
      <c r="M93" s="412"/>
      <c r="O93" s="412"/>
      <c r="P93" s="412"/>
    </row>
    <row r="94" spans="5:16" s="159" customFormat="1" ht="13.8">
      <c r="E94" s="411"/>
      <c r="F94" s="411"/>
      <c r="G94" s="411"/>
      <c r="H94" s="411"/>
      <c r="K94" s="412"/>
      <c r="L94" s="412"/>
      <c r="M94" s="412"/>
      <c r="O94" s="412"/>
      <c r="P94" s="412"/>
    </row>
    <row r="95" spans="5:16" s="159" customFormat="1" ht="13.8">
      <c r="E95" s="411"/>
      <c r="F95" s="411"/>
      <c r="G95" s="411"/>
      <c r="H95" s="411"/>
      <c r="K95" s="412"/>
      <c r="L95" s="412"/>
      <c r="M95" s="412"/>
      <c r="O95" s="412"/>
      <c r="P95" s="412"/>
    </row>
    <row r="96" spans="5:16" s="406" customFormat="1">
      <c r="E96" s="407"/>
      <c r="F96" s="407"/>
      <c r="G96" s="407"/>
      <c r="H96" s="407"/>
      <c r="K96" s="408"/>
      <c r="L96" s="408"/>
      <c r="M96" s="408"/>
      <c r="O96" s="408"/>
      <c r="P96" s="408"/>
    </row>
    <row r="97" spans="5:16" s="406" customFormat="1">
      <c r="E97" s="407"/>
      <c r="F97" s="407"/>
      <c r="G97" s="407"/>
      <c r="H97" s="407"/>
      <c r="K97" s="408"/>
      <c r="L97" s="408"/>
      <c r="M97" s="408"/>
      <c r="O97" s="408"/>
      <c r="P97" s="408"/>
    </row>
    <row r="98" spans="5:16" s="406" customFormat="1">
      <c r="E98" s="407"/>
      <c r="F98" s="407"/>
      <c r="G98" s="407"/>
      <c r="H98" s="407"/>
      <c r="K98" s="408"/>
      <c r="L98" s="408"/>
      <c r="M98" s="408"/>
      <c r="O98" s="408"/>
      <c r="P98" s="408"/>
    </row>
    <row r="99" spans="5:16" s="406" customFormat="1">
      <c r="E99" s="407"/>
      <c r="F99" s="407"/>
      <c r="G99" s="407"/>
      <c r="H99" s="407"/>
      <c r="K99" s="408"/>
      <c r="L99" s="408"/>
      <c r="M99" s="408"/>
      <c r="O99" s="408"/>
      <c r="P99" s="408"/>
    </row>
    <row r="100" spans="5:16" s="406" customFormat="1">
      <c r="E100" s="407"/>
      <c r="F100" s="407"/>
      <c r="G100" s="407"/>
      <c r="H100" s="407"/>
      <c r="K100" s="408"/>
      <c r="L100" s="408"/>
      <c r="M100" s="408"/>
      <c r="O100" s="408"/>
      <c r="P100" s="408"/>
    </row>
    <row r="101" spans="5:16" s="406" customFormat="1">
      <c r="E101" s="407"/>
      <c r="F101" s="407"/>
      <c r="G101" s="407"/>
      <c r="H101" s="407"/>
      <c r="K101" s="408"/>
      <c r="L101" s="408"/>
      <c r="M101" s="408"/>
      <c r="O101" s="408"/>
      <c r="P101" s="408"/>
    </row>
    <row r="102" spans="5:16" s="406" customFormat="1">
      <c r="E102" s="407"/>
      <c r="F102" s="407"/>
      <c r="G102" s="407"/>
      <c r="H102" s="407"/>
      <c r="K102" s="408"/>
      <c r="L102" s="408"/>
      <c r="M102" s="408"/>
      <c r="O102" s="408"/>
      <c r="P102" s="408"/>
    </row>
    <row r="103" spans="5:16" s="406" customFormat="1">
      <c r="E103" s="407"/>
      <c r="F103" s="407"/>
      <c r="G103" s="407"/>
      <c r="H103" s="407"/>
      <c r="K103" s="408"/>
      <c r="L103" s="408"/>
      <c r="M103" s="408"/>
      <c r="O103" s="408"/>
      <c r="P103" s="408"/>
    </row>
    <row r="104" spans="5:16" s="406" customFormat="1">
      <c r="E104" s="407"/>
      <c r="F104" s="407"/>
      <c r="G104" s="407"/>
      <c r="H104" s="407"/>
      <c r="K104" s="408"/>
      <c r="L104" s="408"/>
      <c r="M104" s="408"/>
      <c r="O104" s="408"/>
      <c r="P104" s="408"/>
    </row>
    <row r="105" spans="5:16" s="406" customFormat="1">
      <c r="E105" s="407"/>
      <c r="F105" s="407"/>
      <c r="G105" s="407"/>
      <c r="H105" s="407"/>
      <c r="K105" s="408"/>
      <c r="L105" s="408"/>
      <c r="M105" s="408"/>
      <c r="O105" s="408"/>
      <c r="P105" s="408"/>
    </row>
  </sheetData>
  <sheetProtection algorithmName="SHA-512" hashValue="BuPTMvfVwuwn8ti+0tRrCWz25VhW7kzFJAHHR5tWQwqiOFprwHR1fnFu3LiuEIjXuIuRnS4HjGftFKNJH/qT/A==" saltValue="lsJEtLHir2onfsgf73heJA==" spinCount="100000" sheet="1" objects="1" scenarios="1"/>
  <mergeCells count="11">
    <mergeCell ref="A2:Q2"/>
    <mergeCell ref="A3:Q3"/>
    <mergeCell ref="A4:Q4"/>
    <mergeCell ref="A5:Q5"/>
    <mergeCell ref="A18:A19"/>
    <mergeCell ref="B18:B19"/>
    <mergeCell ref="C18:C19"/>
    <mergeCell ref="D18:D19"/>
    <mergeCell ref="P18:P19"/>
    <mergeCell ref="Q18:Q19"/>
    <mergeCell ref="O18:O19"/>
  </mergeCells>
  <dataValidations count="4">
    <dataValidation type="list" allowBlank="1" showInputMessage="1" showErrorMessage="1" sqref="F9" xr:uid="{57A283D5-BF90-42DD-BD34-5E7D6969771D}">
      <formula1>$C$44:$C$46</formula1>
    </dataValidation>
    <dataValidation type="list" allowBlank="1" showInputMessage="1" showErrorMessage="1" sqref="G9" xr:uid="{F59FFF57-045C-4611-A377-89F65BE2DDDB}">
      <formula1>$C$35:$C$37</formula1>
    </dataValidation>
    <dataValidation type="list" allowBlank="1" showInputMessage="1" showErrorMessage="1" sqref="H9" xr:uid="{5F746696-25C8-46B8-BC7B-C0D7D1787BD2}">
      <formula1>$C$39:$C$42</formula1>
    </dataValidation>
    <dataValidation type="list" allowBlank="1" showInputMessage="1" showErrorMessage="1" sqref="L9:M9" xr:uid="{847C04B7-8790-458C-A8BF-70AE57880199}">
      <formula1>$C$48:$C$50</formula1>
    </dataValidation>
  </dataValidations>
  <pageMargins left="0.7" right="0.7" top="0.75" bottom="0.75" header="0.3" footer="0.3"/>
  <pageSetup paperSize="9" scale="16" orientation="portrait" r:id="rId1"/>
  <rowBreaks count="1" manualBreakCount="1">
    <brk id="33"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87C57DD77938241BE7610FFEDEC4905" ma:contentTypeVersion="3" ma:contentTypeDescription="Crear nuevo documento." ma:contentTypeScope="" ma:versionID="30d09f49dd3851b5d4c3655d750024f0">
  <xsd:schema xmlns:xsd="http://www.w3.org/2001/XMLSchema" xmlns:xs="http://www.w3.org/2001/XMLSchema" xmlns:p="http://schemas.microsoft.com/office/2006/metadata/properties" xmlns:ns2="4a38218d-a0ac-4009-9b6b-32053275cbda" targetNamespace="http://schemas.microsoft.com/office/2006/metadata/properties" ma:root="true" ma:fieldsID="681dc58b53ea8d49cf023102654a7f22" ns2:_="">
    <xsd:import namespace="4a38218d-a0ac-4009-9b6b-32053275cbda"/>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38218d-a0ac-4009-9b6b-32053275cb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564107-87A0-40CB-8A84-D9225B4FE081}">
  <ds:schemaRefs>
    <ds:schemaRef ds:uri="http://schemas.microsoft.com/sharepoint/v3/contenttype/forms"/>
  </ds:schemaRefs>
</ds:datastoreItem>
</file>

<file path=customXml/itemProps2.xml><?xml version="1.0" encoding="utf-8"?>
<ds:datastoreItem xmlns:ds="http://schemas.openxmlformats.org/officeDocument/2006/customXml" ds:itemID="{107D03F8-39C7-481E-AB0B-DEBAEA2175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38218d-a0ac-4009-9b6b-32053275cb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C34E8C-756F-4074-8715-81697614F12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13</vt:i4>
      </vt:variant>
    </vt:vector>
  </HeadingPairs>
  <TitlesOfParts>
    <vt:vector size="22" baseType="lpstr">
      <vt:lpstr>Índice</vt:lpstr>
      <vt:lpstr>Anexo 1</vt:lpstr>
      <vt:lpstr>Anexo 2</vt:lpstr>
      <vt:lpstr>Anexo 3</vt:lpstr>
      <vt:lpstr>Anexo 4</vt:lpstr>
      <vt:lpstr>Anexo 5</vt:lpstr>
      <vt:lpstr>Anexo 5.1</vt:lpstr>
      <vt:lpstr>Anexo 6</vt:lpstr>
      <vt:lpstr>Anexo 7</vt:lpstr>
      <vt:lpstr>'Anexo 1'!Área_de_impresión</vt:lpstr>
      <vt:lpstr>'Anexo 2'!Área_de_impresión</vt:lpstr>
      <vt:lpstr>'Anexo 3'!Área_de_impresión</vt:lpstr>
      <vt:lpstr>'Anexo 4'!Área_de_impresión</vt:lpstr>
      <vt:lpstr>'Anexo 5'!Área_de_impresión</vt:lpstr>
      <vt:lpstr>'Anexo 5.1'!Área_de_impresión</vt:lpstr>
      <vt:lpstr>'Anexo 6'!Área_de_impresión</vt:lpstr>
      <vt:lpstr>'Anexo 7'!Área_de_impresión</vt:lpstr>
      <vt:lpstr>Índice!Área_de_impresión</vt:lpstr>
      <vt:lpstr>'Anexo 1'!Títulos_a_imprimir</vt:lpstr>
      <vt:lpstr>'Anexo 2'!Títulos_a_imprimir</vt:lpstr>
      <vt:lpstr>'Anexo 3'!Títulos_a_imprimir</vt:lpstr>
      <vt:lpstr>'Anexo 4'!Títulos_a_imprimir</vt:lpstr>
    </vt:vector>
  </TitlesOfParts>
  <Manager/>
  <Company>Ministerio de Hacienda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W&amp;W</dc:creator>
  <cp:keywords/>
  <dc:description/>
  <cp:lastModifiedBy>Fabio Gamboa Naranjo</cp:lastModifiedBy>
  <cp:revision/>
  <cp:lastPrinted>2023-10-17T20:19:59Z</cp:lastPrinted>
  <dcterms:created xsi:type="dcterms:W3CDTF">2004-05-21T17:50:07Z</dcterms:created>
  <dcterms:modified xsi:type="dcterms:W3CDTF">2023-10-19T21:25:50Z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0x010100A87C57DD77938241BE7610FFEDEC4905</vt:lpwstr>
  </property>
  <property fmtid="{D5CDD505-2E9C-101B-9397-08002B2CF9AE}" pid="3" name="MediaServiceImageTags">
    <vt:lpwstr/>
  </property>
</Properties>
</file>