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hidePivotFieldList="1"/>
  <mc:AlternateContent xmlns:mc="http://schemas.openxmlformats.org/markup-compatibility/2006">
    <mc:Choice Requires="x15">
      <x15ac:absPath xmlns:x15ac="http://schemas.microsoft.com/office/spreadsheetml/2010/11/ac" url="https://mhaciendacr-my.sharepoint.com/personal/corralesra_hacienda_go_cr/Documents/Escritorio/"/>
    </mc:Choice>
  </mc:AlternateContent>
  <xr:revisionPtr revIDLastSave="0" documentId="8_{8DA43A45-E049-4F66-B72F-C0B903AE850E}" xr6:coauthVersionLast="36" xr6:coauthVersionMax="36" xr10:uidLastSave="{00000000-0000-0000-0000-000000000000}"/>
  <bookViews>
    <workbookView xWindow="0" yWindow="0" windowWidth="11520" windowHeight="8748" tabRatio="652" xr2:uid="{00000000-000D-0000-FFFF-FFFF00000000}"/>
  </bookViews>
  <sheets>
    <sheet name="Índice" sheetId="51" r:id="rId1"/>
    <sheet name="Anexo 1" sheetId="46" r:id="rId2"/>
    <sheet name="Anexo 2" sheetId="14" r:id="rId3"/>
    <sheet name="Anexo 3" sheetId="42" r:id="rId4"/>
    <sheet name="Anexo 4" sheetId="16" r:id="rId5"/>
    <sheet name="Anexo 5" sheetId="17" r:id="rId6"/>
    <sheet name="Anexo 5.1" sheetId="47" r:id="rId7"/>
    <sheet name="Anexo 6" sheetId="48" r:id="rId8"/>
    <sheet name="Anexo 7" sheetId="50" r:id="rId9"/>
    <sheet name="Anexo 8" sheetId="49" r:id="rId10"/>
  </sheets>
  <definedNames>
    <definedName name="_xlnm._FilterDatabase" localSheetId="1" hidden="1">'Anexo 1'!$A$6:$M$52</definedName>
    <definedName name="_xlnm._FilterDatabase" localSheetId="6" hidden="1">'Anexo 5.1'!$A$6:$AO$7</definedName>
    <definedName name="_xlnm.Print_Area" localSheetId="1">'Anexo 1'!$A$2:$M$65</definedName>
    <definedName name="_xlnm.Print_Area" localSheetId="2">'Anexo 2'!$A$2:$O$68</definedName>
    <definedName name="_xlnm.Print_Area" localSheetId="3">'Anexo 3'!$A$2:$U$67</definedName>
    <definedName name="_xlnm.Print_Area" localSheetId="4">'Anexo 4'!$A$2:$M$61</definedName>
    <definedName name="_xlnm.Print_Area" localSheetId="5">'Anexo 5'!$A$2:$AS$69</definedName>
    <definedName name="_xlnm.Print_Area" localSheetId="6">'Anexo 5.1'!$A$1:$AS$38</definedName>
    <definedName name="_xlnm.Print_Area" localSheetId="7">'Anexo 6'!$A$1:$Q$61</definedName>
    <definedName name="_xlnm.Print_Area" localSheetId="8">'Anexo 7'!$A$1:$Q$33</definedName>
    <definedName name="_xlnm.Print_Area" localSheetId="9">'Anexo 8'!$A$1:$M$27</definedName>
    <definedName name="_xlnm.Print_Titles" localSheetId="1">'Anexo 1'!$2:$6</definedName>
    <definedName name="_xlnm.Print_Titles" localSheetId="2">'Anexo 2'!$1:$7</definedName>
    <definedName name="_xlnm.Print_Titles" localSheetId="3">'Anexo 3'!$2:$7</definedName>
    <definedName name="_xlnm.Print_Titles" localSheetId="4">'Anexo 4'!$2:$7</definedName>
  </definedNames>
  <calcPr calcId="191029"/>
</workbook>
</file>

<file path=xl/calcChain.xml><?xml version="1.0" encoding="utf-8"?>
<calcChain xmlns="http://schemas.openxmlformats.org/spreadsheetml/2006/main">
  <c r="L18" i="48" l="1"/>
  <c r="K24" i="49" l="1"/>
  <c r="M14" i="16" l="1"/>
  <c r="K14" i="16"/>
  <c r="J14" i="16"/>
  <c r="O16" i="17" l="1"/>
  <c r="G16" i="42"/>
  <c r="F15" i="14"/>
  <c r="E15" i="14"/>
  <c r="E8" i="49" l="1"/>
  <c r="F44" i="14" l="1"/>
  <c r="F50" i="42"/>
  <c r="F46" i="42"/>
  <c r="T46" i="42" l="1"/>
  <c r="T50" i="42"/>
  <c r="E44" i="14"/>
  <c r="N11" i="14"/>
  <c r="L33" i="14"/>
  <c r="L25" i="14"/>
  <c r="L12" i="14"/>
  <c r="E24" i="49" l="1"/>
  <c r="N20" i="17"/>
  <c r="H20" i="17"/>
  <c r="I20" i="17"/>
  <c r="J20" i="17"/>
  <c r="K20" i="17"/>
  <c r="L20" i="17"/>
  <c r="M20" i="17"/>
  <c r="G20" i="17"/>
  <c r="R46" i="17"/>
  <c r="S46" i="17"/>
  <c r="T46" i="17"/>
  <c r="U46" i="17"/>
  <c r="V46" i="17"/>
  <c r="W46" i="17"/>
  <c r="X46" i="17"/>
  <c r="H46" i="17"/>
  <c r="I46" i="17"/>
  <c r="J46" i="17"/>
  <c r="N46" i="17"/>
  <c r="R42" i="17"/>
  <c r="S42" i="17"/>
  <c r="T42" i="17"/>
  <c r="U42" i="17"/>
  <c r="V42" i="17"/>
  <c r="W42" i="17"/>
  <c r="X42" i="17"/>
  <c r="H42" i="17"/>
  <c r="I42" i="17"/>
  <c r="J42" i="17"/>
  <c r="K42" i="17"/>
  <c r="L42" i="17"/>
  <c r="M42" i="17"/>
  <c r="N42" i="17"/>
  <c r="R37" i="17"/>
  <c r="S37" i="17"/>
  <c r="T37" i="17"/>
  <c r="U37" i="17"/>
  <c r="V37" i="17"/>
  <c r="W37" i="17"/>
  <c r="X37" i="17"/>
  <c r="G37" i="17"/>
  <c r="H37" i="17"/>
  <c r="I37" i="17"/>
  <c r="J37" i="17"/>
  <c r="K37" i="17"/>
  <c r="L37" i="17"/>
  <c r="M37" i="17"/>
  <c r="N37" i="17"/>
  <c r="H31" i="17"/>
  <c r="I31" i="17"/>
  <c r="J31" i="17"/>
  <c r="K31" i="17"/>
  <c r="L31" i="17"/>
  <c r="M31" i="17"/>
  <c r="N31" i="17"/>
  <c r="P31" i="17"/>
  <c r="Q31" i="17"/>
  <c r="R31" i="17"/>
  <c r="S31" i="17"/>
  <c r="T31" i="17"/>
  <c r="U31" i="17"/>
  <c r="V31" i="17"/>
  <c r="W31" i="17"/>
  <c r="X31" i="17"/>
  <c r="Y20" i="17"/>
  <c r="R20" i="17"/>
  <c r="S20" i="17"/>
  <c r="T20" i="17"/>
  <c r="U20" i="17"/>
  <c r="V20" i="17"/>
  <c r="W20" i="17"/>
  <c r="X20" i="17"/>
  <c r="Q20" i="17"/>
  <c r="F20" i="17"/>
  <c r="J50" i="16"/>
  <c r="K50" i="16"/>
  <c r="L50" i="16"/>
  <c r="E46" i="16"/>
  <c r="F46" i="16"/>
  <c r="G46" i="16"/>
  <c r="I46" i="16"/>
  <c r="J46" i="16"/>
  <c r="K46" i="16"/>
  <c r="L46" i="16"/>
  <c r="F42" i="16"/>
  <c r="G42" i="16"/>
  <c r="I42" i="16"/>
  <c r="J42" i="16"/>
  <c r="K42" i="16"/>
  <c r="L42" i="16"/>
  <c r="E37" i="16"/>
  <c r="F37" i="16"/>
  <c r="G37" i="16"/>
  <c r="I37" i="16"/>
  <c r="J37" i="16"/>
  <c r="K37" i="16"/>
  <c r="L37" i="16"/>
  <c r="E31" i="16"/>
  <c r="F31" i="16"/>
  <c r="G31" i="16"/>
  <c r="I31" i="16"/>
  <c r="J31" i="16"/>
  <c r="K31" i="16"/>
  <c r="E20" i="16"/>
  <c r="F20" i="16"/>
  <c r="G20" i="16"/>
  <c r="I20" i="16"/>
  <c r="O43" i="42"/>
  <c r="P43" i="42"/>
  <c r="Q43" i="42"/>
  <c r="R43" i="42"/>
  <c r="S43" i="42"/>
  <c r="T43" i="42"/>
  <c r="O37" i="42"/>
  <c r="P37" i="42"/>
  <c r="Q37" i="42"/>
  <c r="R37" i="42"/>
  <c r="S37" i="42"/>
  <c r="T37" i="42"/>
  <c r="O31" i="42"/>
  <c r="P31" i="42"/>
  <c r="Q31" i="42"/>
  <c r="R31" i="42"/>
  <c r="S31" i="42"/>
  <c r="T31" i="42"/>
  <c r="U20" i="42"/>
  <c r="O20" i="42"/>
  <c r="P20" i="42"/>
  <c r="Q20" i="42"/>
  <c r="R20" i="42"/>
  <c r="S20" i="42"/>
  <c r="T20" i="42"/>
  <c r="N20" i="42"/>
  <c r="F43" i="42"/>
  <c r="F37" i="42"/>
  <c r="F31" i="42"/>
  <c r="F20" i="42"/>
  <c r="F49" i="14"/>
  <c r="G49" i="14"/>
  <c r="G45" i="14"/>
  <c r="E41" i="14"/>
  <c r="F41" i="14"/>
  <c r="G41" i="14"/>
  <c r="E36" i="14"/>
  <c r="F36" i="14"/>
  <c r="E30" i="14"/>
  <c r="F30" i="14"/>
  <c r="E19" i="14"/>
  <c r="F19" i="14"/>
  <c r="E19" i="46" l="1"/>
  <c r="K22" i="49" l="1"/>
  <c r="A4" i="49"/>
  <c r="K20" i="16" l="1"/>
  <c r="K53" i="16" s="1"/>
  <c r="T47" i="42"/>
  <c r="S46" i="42"/>
  <c r="S47" i="42" s="1"/>
  <c r="R46" i="42"/>
  <c r="R47" i="42" s="1"/>
  <c r="Q46" i="42"/>
  <c r="Q47" i="42" s="1"/>
  <c r="P46" i="42"/>
  <c r="P47" i="42" s="1"/>
  <c r="O46" i="42"/>
  <c r="O47" i="42" s="1"/>
  <c r="N46" i="42"/>
  <c r="H48" i="48" l="1"/>
  <c r="G48" i="48"/>
  <c r="F48" i="48"/>
  <c r="E48" i="48"/>
  <c r="AS49" i="17" l="1"/>
  <c r="AS45" i="17"/>
  <c r="AS40" i="17"/>
  <c r="AS36" i="17"/>
  <c r="AS35" i="17"/>
  <c r="AS34" i="17"/>
  <c r="AS30" i="17"/>
  <c r="AS29" i="17"/>
  <c r="AS28" i="17"/>
  <c r="AS27" i="17"/>
  <c r="AS26" i="17"/>
  <c r="AS24" i="17"/>
  <c r="AS23" i="17"/>
  <c r="AS19" i="17"/>
  <c r="AS18" i="17"/>
  <c r="AS17" i="17"/>
  <c r="AS16" i="17"/>
  <c r="AS15" i="17"/>
  <c r="AS14" i="17"/>
  <c r="AS13" i="17"/>
  <c r="AS12" i="17"/>
  <c r="AS11" i="17"/>
  <c r="AS10" i="17"/>
  <c r="O49" i="17" l="1"/>
  <c r="O41" i="17"/>
  <c r="O40" i="17"/>
  <c r="O36" i="17"/>
  <c r="O35" i="17"/>
  <c r="O34" i="17"/>
  <c r="O30" i="17"/>
  <c r="O29" i="17"/>
  <c r="O28" i="17"/>
  <c r="O27" i="17"/>
  <c r="O26" i="17"/>
  <c r="O25" i="17"/>
  <c r="O24" i="17"/>
  <c r="O23" i="17"/>
  <c r="O19" i="17"/>
  <c r="O18" i="17"/>
  <c r="O17" i="17"/>
  <c r="O15" i="17"/>
  <c r="O14" i="17"/>
  <c r="O13" i="17"/>
  <c r="O12" i="17"/>
  <c r="O11" i="17"/>
  <c r="O10" i="17"/>
  <c r="F51" i="42"/>
  <c r="O50" i="42"/>
  <c r="O51" i="42" s="1"/>
  <c r="O55" i="42" s="1"/>
  <c r="F47" i="42"/>
  <c r="O20" i="17" l="1"/>
  <c r="F55" i="42"/>
  <c r="O37" i="17"/>
  <c r="O31" i="17"/>
  <c r="T51" i="42"/>
  <c r="S50" i="42"/>
  <c r="S51" i="42" s="1"/>
  <c r="S55" i="42" s="1"/>
  <c r="R50" i="42"/>
  <c r="R51" i="42" s="1"/>
  <c r="R55" i="42" s="1"/>
  <c r="Q50" i="42"/>
  <c r="Q51" i="42" s="1"/>
  <c r="Q55" i="42" s="1"/>
  <c r="P50" i="42"/>
  <c r="P51" i="42" s="1"/>
  <c r="P55" i="42" s="1"/>
  <c r="I49" i="16"/>
  <c r="I50" i="16" s="1"/>
  <c r="I53" i="16" s="1"/>
  <c r="G49" i="16"/>
  <c r="G50" i="16" s="1"/>
  <c r="G53" i="16" s="1"/>
  <c r="F49" i="16"/>
  <c r="F50" i="16" s="1"/>
  <c r="F53" i="16" s="1"/>
  <c r="E49" i="16"/>
  <c r="E50" i="16" s="1"/>
  <c r="T55" i="42" l="1"/>
  <c r="Q18" i="48"/>
  <c r="N18" i="48"/>
  <c r="K18" i="48" s="1"/>
  <c r="J18" i="48"/>
  <c r="I18" i="48"/>
  <c r="D18" i="48"/>
  <c r="C18" i="48"/>
  <c r="E19" i="17"/>
  <c r="D19" i="17"/>
  <c r="C19" i="17"/>
  <c r="B19" i="17"/>
  <c r="H19" i="16"/>
  <c r="D19" i="16"/>
  <c r="C19" i="16"/>
  <c r="B19" i="16"/>
  <c r="G18" i="42"/>
  <c r="G19" i="42"/>
  <c r="D19" i="42"/>
  <c r="C19" i="42"/>
  <c r="B19" i="42"/>
  <c r="D18" i="14"/>
  <c r="H18" i="14" s="1"/>
  <c r="E19" i="42" s="1"/>
  <c r="B18" i="14"/>
  <c r="E48" i="46"/>
  <c r="I18" i="14" l="1"/>
  <c r="AI19" i="17" s="1"/>
  <c r="O18" i="48"/>
  <c r="E45" i="14" l="1"/>
  <c r="E44" i="46"/>
  <c r="F45" i="14" l="1"/>
  <c r="F51" i="14" s="1"/>
  <c r="O45" i="17"/>
  <c r="Y31" i="17"/>
  <c r="Y37" i="17"/>
  <c r="Y42" i="17"/>
  <c r="Y46" i="17"/>
  <c r="Y50" i="17"/>
  <c r="Y53" i="17" l="1"/>
  <c r="O42" i="17" l="1"/>
  <c r="O46" i="17"/>
  <c r="O50" i="17"/>
  <c r="N9" i="14"/>
  <c r="A5" i="14"/>
  <c r="O11" i="14" s="1"/>
  <c r="G9" i="14"/>
  <c r="G10" i="14"/>
  <c r="G14" i="14"/>
  <c r="G15" i="14"/>
  <c r="G23" i="14"/>
  <c r="G24" i="14"/>
  <c r="G28" i="14"/>
  <c r="G34" i="14"/>
  <c r="G36" i="14" s="1"/>
  <c r="G30" i="14" l="1"/>
  <c r="G19" i="14"/>
  <c r="G51" i="14" s="1"/>
  <c r="M9" i="14"/>
  <c r="M18" i="14"/>
  <c r="O53" i="17"/>
  <c r="M20" i="16" l="1"/>
  <c r="J20" i="16"/>
  <c r="J53" i="16" s="1"/>
  <c r="I51" i="42" l="1"/>
  <c r="I43" i="42"/>
  <c r="I37" i="42"/>
  <c r="I31" i="42"/>
  <c r="I20" i="42"/>
  <c r="I47" i="42"/>
  <c r="I33" i="48" l="1"/>
  <c r="H36" i="16" l="1"/>
  <c r="H37" i="16" s="1"/>
  <c r="M37" i="16"/>
  <c r="M20" i="42"/>
  <c r="L20" i="42"/>
  <c r="L31" i="42"/>
  <c r="U43" i="42"/>
  <c r="U31" i="42"/>
  <c r="U51" i="42"/>
  <c r="U47" i="42"/>
  <c r="L47" i="42"/>
  <c r="L43" i="42"/>
  <c r="L51" i="42"/>
  <c r="J50" i="42"/>
  <c r="J42" i="42"/>
  <c r="J35" i="42"/>
  <c r="J36" i="42"/>
  <c r="J34" i="42"/>
  <c r="J24" i="42"/>
  <c r="J25" i="42"/>
  <c r="J26" i="42"/>
  <c r="J27" i="42"/>
  <c r="J28" i="42"/>
  <c r="J29" i="42"/>
  <c r="J30" i="42"/>
  <c r="J23" i="42"/>
  <c r="J18" i="42"/>
  <c r="J11" i="42"/>
  <c r="J12" i="42"/>
  <c r="J13" i="42"/>
  <c r="J14" i="42"/>
  <c r="J15" i="42"/>
  <c r="J16" i="42"/>
  <c r="J17" i="42"/>
  <c r="J10" i="42"/>
  <c r="G50" i="42"/>
  <c r="G51" i="42" s="1"/>
  <c r="G42" i="42"/>
  <c r="G35" i="42"/>
  <c r="G34" i="42"/>
  <c r="G24" i="42"/>
  <c r="H24" i="42" s="1"/>
  <c r="G25" i="42"/>
  <c r="G26" i="42"/>
  <c r="H26" i="42" s="1"/>
  <c r="G27" i="42"/>
  <c r="H27" i="42" s="1"/>
  <c r="G28" i="42"/>
  <c r="G29" i="42"/>
  <c r="G30" i="42"/>
  <c r="G23" i="42"/>
  <c r="G11" i="42"/>
  <c r="G12" i="42"/>
  <c r="H12" i="42" s="1"/>
  <c r="G13" i="42"/>
  <c r="H13" i="42" s="1"/>
  <c r="G14" i="42"/>
  <c r="H14" i="42" s="1"/>
  <c r="G15" i="42"/>
  <c r="H15" i="42" s="1"/>
  <c r="H16" i="42"/>
  <c r="G17" i="42"/>
  <c r="G10" i="42"/>
  <c r="N29" i="14"/>
  <c r="G20" i="42" l="1"/>
  <c r="G37" i="42"/>
  <c r="H23" i="42"/>
  <c r="G31" i="42"/>
  <c r="H42" i="42"/>
  <c r="G43" i="42"/>
  <c r="H50" i="42"/>
  <c r="U37" i="42"/>
  <c r="J31" i="42"/>
  <c r="J20" i="42"/>
  <c r="E45" i="17"/>
  <c r="U55" i="42" l="1"/>
  <c r="I35" i="48" l="1"/>
  <c r="J35" i="48"/>
  <c r="N35" i="48"/>
  <c r="O35" i="48" s="1"/>
  <c r="Q35" i="48"/>
  <c r="Q37" i="17"/>
  <c r="P37" i="17"/>
  <c r="F37" i="17"/>
  <c r="E36" i="17"/>
  <c r="D36" i="16"/>
  <c r="L37" i="42"/>
  <c r="L55" i="42" s="1"/>
  <c r="M37" i="42"/>
  <c r="N37" i="42"/>
  <c r="D36" i="42"/>
  <c r="D35" i="14"/>
  <c r="E36" i="46"/>
  <c r="K35" i="48" l="1"/>
  <c r="H35" i="14"/>
  <c r="E36" i="42" s="1"/>
  <c r="I35" i="14"/>
  <c r="AI36" i="17" l="1"/>
  <c r="C17" i="48"/>
  <c r="D17" i="48"/>
  <c r="B18" i="17"/>
  <c r="C18" i="17"/>
  <c r="D18" i="17"/>
  <c r="E18" i="17"/>
  <c r="B18" i="16"/>
  <c r="C18" i="16"/>
  <c r="D18" i="16"/>
  <c r="N17" i="14"/>
  <c r="B18" i="42"/>
  <c r="C18" i="42"/>
  <c r="D18" i="42"/>
  <c r="E48" i="14"/>
  <c r="E49" i="14" s="1"/>
  <c r="E51" i="14" s="1"/>
  <c r="C17" i="14" l="1"/>
  <c r="D17" i="14"/>
  <c r="H17" i="14" l="1"/>
  <c r="E18" i="42" s="1"/>
  <c r="I17" i="14"/>
  <c r="AI18" i="17" l="1"/>
  <c r="N43" i="42"/>
  <c r="N31" i="42"/>
  <c r="E30" i="46"/>
  <c r="A5" i="47" l="1"/>
  <c r="O29" i="14" l="1"/>
  <c r="M35" i="14"/>
  <c r="O17" i="14"/>
  <c r="M17" i="14"/>
  <c r="M31" i="42"/>
  <c r="Q10" i="48" l="1"/>
  <c r="Q11" i="48"/>
  <c r="Q12" i="48"/>
  <c r="Q13" i="48"/>
  <c r="Q14" i="48"/>
  <c r="Q15" i="48"/>
  <c r="Q34" i="48"/>
  <c r="N34" i="48"/>
  <c r="K34" i="48" s="1"/>
  <c r="J34" i="48"/>
  <c r="I34" i="48"/>
  <c r="O34" i="48" l="1"/>
  <c r="I29" i="48"/>
  <c r="J29" i="48"/>
  <c r="N29" i="48"/>
  <c r="K29" i="48" s="1"/>
  <c r="Q29" i="48"/>
  <c r="M46" i="16"/>
  <c r="M42" i="16"/>
  <c r="E42" i="16"/>
  <c r="E53" i="16" s="1"/>
  <c r="M50" i="16"/>
  <c r="M31" i="16"/>
  <c r="M53" i="16" l="1"/>
  <c r="M48" i="48"/>
  <c r="O29" i="48"/>
  <c r="N34" i="14" l="1"/>
  <c r="O34" i="14"/>
  <c r="N28" i="14"/>
  <c r="O28" i="14"/>
  <c r="M29" i="14"/>
  <c r="C29" i="48" l="1"/>
  <c r="D29" i="48"/>
  <c r="A29" i="48"/>
  <c r="X50" i="17"/>
  <c r="X53" i="17" s="1"/>
  <c r="G31" i="17"/>
  <c r="F31" i="17"/>
  <c r="A30" i="17"/>
  <c r="C30" i="17"/>
  <c r="D30" i="17"/>
  <c r="E30" i="17"/>
  <c r="A30" i="16"/>
  <c r="C30" i="16"/>
  <c r="D30" i="16"/>
  <c r="A30" i="42"/>
  <c r="C30" i="42"/>
  <c r="D30" i="42"/>
  <c r="D29" i="14"/>
  <c r="H29" i="14" s="1"/>
  <c r="E30" i="42" s="1"/>
  <c r="A29" i="14"/>
  <c r="B29" i="14"/>
  <c r="C29" i="14"/>
  <c r="I29" i="14" l="1"/>
  <c r="M45" i="17"/>
  <c r="M46" i="17" s="1"/>
  <c r="M50" i="17"/>
  <c r="K35" i="42"/>
  <c r="K24" i="42"/>
  <c r="K25" i="42"/>
  <c r="K27" i="42"/>
  <c r="K28" i="42"/>
  <c r="K29" i="42"/>
  <c r="K12" i="42"/>
  <c r="K13" i="42"/>
  <c r="K14" i="42"/>
  <c r="K16" i="42"/>
  <c r="K17" i="42"/>
  <c r="AI30" i="17" l="1"/>
  <c r="M53" i="17"/>
  <c r="G46" i="42"/>
  <c r="H46" i="42" l="1"/>
  <c r="G47" i="42"/>
  <c r="G55" i="42" s="1"/>
  <c r="J46" i="42"/>
  <c r="O15" i="14"/>
  <c r="N15" i="14"/>
  <c r="M39" i="14" l="1"/>
  <c r="L23" i="14"/>
  <c r="M40" i="14"/>
  <c r="M25" i="14"/>
  <c r="Q42" i="17" l="1"/>
  <c r="M28" i="14"/>
  <c r="H12" i="16" l="1"/>
  <c r="E12" i="17" l="1"/>
  <c r="I28" i="48"/>
  <c r="J28" i="48"/>
  <c r="M28" i="48"/>
  <c r="N28" i="48"/>
  <c r="O28" i="48" s="1"/>
  <c r="Q28" i="48"/>
  <c r="K28" i="48" l="1"/>
  <c r="C28" i="48" l="1"/>
  <c r="D28" i="48"/>
  <c r="A28" i="48"/>
  <c r="D29" i="17"/>
  <c r="E29" i="17"/>
  <c r="C29" i="17"/>
  <c r="A29" i="17"/>
  <c r="C29" i="16"/>
  <c r="D29" i="16"/>
  <c r="H29" i="16"/>
  <c r="A29" i="16"/>
  <c r="C29" i="42"/>
  <c r="D29" i="42"/>
  <c r="A29" i="42"/>
  <c r="B28" i="14" l="1"/>
  <c r="C28" i="14"/>
  <c r="D28" i="14"/>
  <c r="I28" i="14" s="1"/>
  <c r="A28" i="14"/>
  <c r="AI29" i="17" l="1"/>
  <c r="H28" i="14"/>
  <c r="E29" i="42" l="1"/>
  <c r="D34" i="48" l="1"/>
  <c r="I11" i="48"/>
  <c r="J11" i="48"/>
  <c r="M11" i="48"/>
  <c r="N11" i="48"/>
  <c r="K11" i="48" s="1"/>
  <c r="D11" i="48"/>
  <c r="E35" i="17"/>
  <c r="D12" i="17"/>
  <c r="H13" i="16"/>
  <c r="O11" i="48" l="1"/>
  <c r="D12" i="16"/>
  <c r="D12" i="42"/>
  <c r="M11" i="14"/>
  <c r="D11" i="14"/>
  <c r="I11" i="14" s="1"/>
  <c r="AI12" i="17" l="1"/>
  <c r="H11" i="14"/>
  <c r="D35" i="16"/>
  <c r="E12" i="42" l="1"/>
  <c r="D35" i="42"/>
  <c r="A35" i="42"/>
  <c r="M34" i="14"/>
  <c r="D34" i="14"/>
  <c r="I34" i="14" s="1"/>
  <c r="A34" i="14"/>
  <c r="AI35" i="17" l="1"/>
  <c r="H34" i="14"/>
  <c r="E35" i="42" l="1"/>
  <c r="I15" i="48" l="1"/>
  <c r="J15" i="48"/>
  <c r="L15" i="48"/>
  <c r="M15" i="48"/>
  <c r="N15" i="48"/>
  <c r="K15" i="48" s="1"/>
  <c r="I16" i="48"/>
  <c r="J16" i="48"/>
  <c r="N16" i="48"/>
  <c r="K16" i="48" s="1"/>
  <c r="I9" i="48"/>
  <c r="J9" i="48"/>
  <c r="L9" i="48"/>
  <c r="M9" i="48"/>
  <c r="N9" i="48"/>
  <c r="O9" i="48" s="1"/>
  <c r="Q9" i="48"/>
  <c r="O16" i="48" l="1"/>
  <c r="O15" i="48"/>
  <c r="K9" i="48"/>
  <c r="P50" i="17"/>
  <c r="Q50" i="17"/>
  <c r="R50" i="17"/>
  <c r="R53" i="17" s="1"/>
  <c r="S50" i="17"/>
  <c r="S53" i="17" s="1"/>
  <c r="T50" i="17"/>
  <c r="T53" i="17" s="1"/>
  <c r="U50" i="17"/>
  <c r="U53" i="17" s="1"/>
  <c r="V50" i="17"/>
  <c r="V53" i="17" s="1"/>
  <c r="P46" i="17"/>
  <c r="Q46" i="17"/>
  <c r="P42" i="17"/>
  <c r="G50" i="17"/>
  <c r="H50" i="17"/>
  <c r="H53" i="17" s="1"/>
  <c r="I50" i="17"/>
  <c r="I53" i="17" s="1"/>
  <c r="J50" i="17"/>
  <c r="J53" i="17" s="1"/>
  <c r="K50" i="17"/>
  <c r="L50" i="17"/>
  <c r="G42" i="17"/>
  <c r="N51" i="42"/>
  <c r="Q53" i="17" l="1"/>
  <c r="N47" i="42"/>
  <c r="M43" i="42"/>
  <c r="D9" i="14"/>
  <c r="D10" i="14"/>
  <c r="I10" i="14" s="1"/>
  <c r="D12" i="14"/>
  <c r="D13" i="14"/>
  <c r="D14" i="14"/>
  <c r="D15" i="14"/>
  <c r="D16" i="14"/>
  <c r="D22" i="14"/>
  <c r="D23" i="14"/>
  <c r="D24" i="14"/>
  <c r="D25" i="14"/>
  <c r="D26" i="14"/>
  <c r="D27" i="14"/>
  <c r="D33" i="14"/>
  <c r="D36" i="14" s="1"/>
  <c r="E41" i="46"/>
  <c r="D40" i="14"/>
  <c r="I40" i="14" s="1"/>
  <c r="AI41" i="17" s="1"/>
  <c r="E49" i="46"/>
  <c r="W50" i="17"/>
  <c r="W53" i="17" s="1"/>
  <c r="N50" i="17"/>
  <c r="N53" i="17" s="1"/>
  <c r="N16" i="14"/>
  <c r="O16" i="14"/>
  <c r="D9" i="48"/>
  <c r="D10" i="48"/>
  <c r="D12" i="48"/>
  <c r="D13" i="48"/>
  <c r="D14" i="48"/>
  <c r="D15" i="48"/>
  <c r="D16" i="48"/>
  <c r="D22" i="48"/>
  <c r="D23" i="48"/>
  <c r="D24" i="48"/>
  <c r="D25" i="48"/>
  <c r="D26" i="48"/>
  <c r="D27" i="48"/>
  <c r="D33" i="48"/>
  <c r="D36" i="48" s="1"/>
  <c r="D40" i="48"/>
  <c r="P11" i="17"/>
  <c r="P20" i="17" s="1"/>
  <c r="L45" i="17"/>
  <c r="L46" i="17" s="1"/>
  <c r="L53" i="17" s="1"/>
  <c r="K45" i="17"/>
  <c r="K46" i="17" s="1"/>
  <c r="K53" i="17" s="1"/>
  <c r="G46" i="17"/>
  <c r="G53" i="17" s="1"/>
  <c r="F42" i="17"/>
  <c r="F46" i="17"/>
  <c r="F50" i="17"/>
  <c r="E10" i="17"/>
  <c r="E11" i="17"/>
  <c r="E13" i="17"/>
  <c r="E14" i="17"/>
  <c r="E15" i="17"/>
  <c r="E16" i="17"/>
  <c r="E17" i="17"/>
  <c r="E23" i="17"/>
  <c r="E24" i="17"/>
  <c r="E25" i="17"/>
  <c r="E26" i="17"/>
  <c r="E27" i="17"/>
  <c r="E28" i="17"/>
  <c r="E34" i="17"/>
  <c r="E37" i="17" s="1"/>
  <c r="E41" i="17"/>
  <c r="E49" i="17"/>
  <c r="E50" i="17" s="1"/>
  <c r="D10" i="17"/>
  <c r="D11" i="17"/>
  <c r="D13" i="17"/>
  <c r="D14" i="17"/>
  <c r="D15" i="17"/>
  <c r="D16" i="17"/>
  <c r="D17" i="17"/>
  <c r="D23" i="17"/>
  <c r="D24" i="17"/>
  <c r="D25" i="17"/>
  <c r="D26" i="17"/>
  <c r="D27" i="17"/>
  <c r="D28" i="17"/>
  <c r="D34" i="17"/>
  <c r="D37" i="17" s="1"/>
  <c r="D41" i="17"/>
  <c r="M51" i="42"/>
  <c r="Q26" i="48"/>
  <c r="Q27" i="48"/>
  <c r="Q22" i="48"/>
  <c r="N26" i="48"/>
  <c r="O26" i="48" s="1"/>
  <c r="N27" i="48"/>
  <c r="K27" i="48" s="1"/>
  <c r="L25" i="48"/>
  <c r="I22" i="48"/>
  <c r="J26" i="48"/>
  <c r="J27" i="48"/>
  <c r="J22" i="48"/>
  <c r="L27" i="48"/>
  <c r="L26" i="48"/>
  <c r="M27" i="48"/>
  <c r="M26" i="48"/>
  <c r="M25" i="48"/>
  <c r="P25" i="48" s="1"/>
  <c r="M23" i="48"/>
  <c r="N14" i="48"/>
  <c r="O14" i="48" s="1"/>
  <c r="M14" i="48"/>
  <c r="N13" i="48"/>
  <c r="O13" i="48" s="1"/>
  <c r="M13" i="48"/>
  <c r="N12" i="48"/>
  <c r="O12" i="48" s="1"/>
  <c r="M12" i="48"/>
  <c r="N10" i="48"/>
  <c r="O10" i="48" s="1"/>
  <c r="L14" i="48"/>
  <c r="J14" i="48"/>
  <c r="I14" i="48"/>
  <c r="D16" i="16"/>
  <c r="K42" i="42"/>
  <c r="J37" i="42"/>
  <c r="N22" i="14"/>
  <c r="N10" i="14"/>
  <c r="O22" i="14"/>
  <c r="O9" i="14"/>
  <c r="O10" i="14"/>
  <c r="O12" i="14"/>
  <c r="O13" i="14"/>
  <c r="O14" i="14"/>
  <c r="N23" i="14"/>
  <c r="N25" i="14"/>
  <c r="N26" i="14"/>
  <c r="N27" i="14"/>
  <c r="N14" i="14"/>
  <c r="N13" i="14"/>
  <c r="N12" i="14"/>
  <c r="L22" i="14"/>
  <c r="M48" i="14"/>
  <c r="P48" i="48" s="1"/>
  <c r="O48" i="14"/>
  <c r="N48" i="14"/>
  <c r="O27" i="14"/>
  <c r="N48" i="48"/>
  <c r="O48" i="48" s="1"/>
  <c r="AP25" i="17"/>
  <c r="I48" i="48"/>
  <c r="C48" i="48"/>
  <c r="A48" i="48"/>
  <c r="C48" i="14"/>
  <c r="C50" i="42" s="1"/>
  <c r="C49" i="16" s="1"/>
  <c r="C49" i="17" s="1"/>
  <c r="A48" i="14"/>
  <c r="A50" i="42" s="1"/>
  <c r="A49" i="16" s="1"/>
  <c r="A49" i="17" s="1"/>
  <c r="L23" i="16"/>
  <c r="L31" i="16" s="1"/>
  <c r="H23" i="16"/>
  <c r="H27" i="16"/>
  <c r="H28" i="16"/>
  <c r="D23" i="16"/>
  <c r="D24" i="16"/>
  <c r="D25" i="16"/>
  <c r="D26" i="16"/>
  <c r="D27" i="16"/>
  <c r="D28" i="16"/>
  <c r="M27" i="14"/>
  <c r="O40" i="14"/>
  <c r="N40" i="14"/>
  <c r="H45" i="16"/>
  <c r="H46" i="16" s="1"/>
  <c r="Q33" i="48"/>
  <c r="N33" i="48"/>
  <c r="K33" i="48" s="1"/>
  <c r="N22" i="48"/>
  <c r="K22" i="48" s="1"/>
  <c r="M22" i="48"/>
  <c r="M22" i="14"/>
  <c r="L22" i="48"/>
  <c r="L10" i="48"/>
  <c r="L12" i="48"/>
  <c r="L13" i="48"/>
  <c r="J10" i="48"/>
  <c r="J12" i="48"/>
  <c r="J13" i="48"/>
  <c r="I27" i="48"/>
  <c r="M16" i="14"/>
  <c r="M15" i="14"/>
  <c r="P15" i="48" s="1"/>
  <c r="C27" i="48"/>
  <c r="A27" i="48"/>
  <c r="C28" i="17"/>
  <c r="A28" i="17"/>
  <c r="C28" i="16"/>
  <c r="A28" i="16"/>
  <c r="D28" i="42"/>
  <c r="C28" i="42"/>
  <c r="A28" i="42"/>
  <c r="C27" i="14"/>
  <c r="A27" i="14"/>
  <c r="C16" i="48"/>
  <c r="C15" i="48"/>
  <c r="C17" i="17"/>
  <c r="C16" i="17"/>
  <c r="B17" i="17"/>
  <c r="H16" i="16"/>
  <c r="H17" i="16"/>
  <c r="D17" i="16"/>
  <c r="B17" i="16"/>
  <c r="C17" i="16"/>
  <c r="C16" i="16"/>
  <c r="D16" i="42"/>
  <c r="D17" i="42"/>
  <c r="C17" i="42"/>
  <c r="C16" i="42"/>
  <c r="C16" i="14"/>
  <c r="C15" i="14"/>
  <c r="B16" i="14"/>
  <c r="A5" i="48"/>
  <c r="A5" i="17"/>
  <c r="A5" i="16"/>
  <c r="A5" i="42"/>
  <c r="O26" i="14"/>
  <c r="M26" i="14"/>
  <c r="I26" i="48"/>
  <c r="D27" i="42"/>
  <c r="N44" i="48"/>
  <c r="O44" i="48" s="1"/>
  <c r="M44" i="48"/>
  <c r="I10" i="48"/>
  <c r="I12" i="48"/>
  <c r="I13" i="48"/>
  <c r="N25" i="48"/>
  <c r="K25" i="48" s="1"/>
  <c r="Q25" i="48"/>
  <c r="J25" i="48"/>
  <c r="I25" i="48"/>
  <c r="H10" i="16"/>
  <c r="H11" i="16"/>
  <c r="H14" i="16"/>
  <c r="H15" i="16"/>
  <c r="M33" i="14"/>
  <c r="M23" i="14"/>
  <c r="M14" i="14"/>
  <c r="I23" i="48"/>
  <c r="O44" i="14"/>
  <c r="N44" i="14"/>
  <c r="O25" i="14"/>
  <c r="I44" i="48"/>
  <c r="J44" i="48"/>
  <c r="L44" i="48"/>
  <c r="Q44" i="48"/>
  <c r="D41" i="16"/>
  <c r="D34" i="16"/>
  <c r="D37" i="16" s="1"/>
  <c r="D15" i="16"/>
  <c r="D14" i="16"/>
  <c r="D13" i="16"/>
  <c r="D11" i="16"/>
  <c r="D10" i="16"/>
  <c r="D42" i="42"/>
  <c r="D34" i="42"/>
  <c r="D37" i="42" s="1"/>
  <c r="D26" i="42"/>
  <c r="D25" i="42"/>
  <c r="D24" i="42"/>
  <c r="D23" i="42"/>
  <c r="D15" i="42"/>
  <c r="D14" i="42"/>
  <c r="D13" i="42"/>
  <c r="D11" i="42"/>
  <c r="D10" i="42"/>
  <c r="L10" i="14"/>
  <c r="M10" i="14"/>
  <c r="L9" i="14"/>
  <c r="H40" i="16"/>
  <c r="H42" i="16" s="1"/>
  <c r="Q39" i="48"/>
  <c r="Q23" i="48"/>
  <c r="N39" i="48"/>
  <c r="K39" i="48" s="1"/>
  <c r="M39" i="48"/>
  <c r="L39" i="48"/>
  <c r="J39" i="48"/>
  <c r="I39" i="48"/>
  <c r="M33" i="48"/>
  <c r="L33" i="48"/>
  <c r="J33" i="48"/>
  <c r="N23" i="48"/>
  <c r="K23" i="48" s="1"/>
  <c r="L23" i="48"/>
  <c r="J23" i="48"/>
  <c r="O39" i="14"/>
  <c r="O33" i="14"/>
  <c r="O23" i="14"/>
  <c r="N39" i="14"/>
  <c r="N33" i="14"/>
  <c r="M44" i="14"/>
  <c r="P9" i="48"/>
  <c r="M12" i="14"/>
  <c r="M13" i="14"/>
  <c r="L48" i="48"/>
  <c r="J48" i="48"/>
  <c r="Q48" i="48"/>
  <c r="H20" i="16" l="1"/>
  <c r="H31" i="16"/>
  <c r="D20" i="16"/>
  <c r="AI11" i="17"/>
  <c r="H9" i="14"/>
  <c r="E10" i="42" s="1"/>
  <c r="D19" i="14"/>
  <c r="D19" i="48"/>
  <c r="F53" i="17"/>
  <c r="D20" i="17"/>
  <c r="E20" i="17"/>
  <c r="N55" i="42"/>
  <c r="D20" i="42"/>
  <c r="P53" i="17"/>
  <c r="D31" i="17"/>
  <c r="E31" i="17"/>
  <c r="J43" i="42"/>
  <c r="D30" i="14"/>
  <c r="O25" i="48"/>
  <c r="J51" i="42"/>
  <c r="K50" i="42"/>
  <c r="D31" i="42"/>
  <c r="D31" i="16"/>
  <c r="D30" i="48"/>
  <c r="H27" i="14"/>
  <c r="E28" i="42" s="1"/>
  <c r="I27" i="14"/>
  <c r="H16" i="14"/>
  <c r="E17" i="42" s="1"/>
  <c r="I16" i="14"/>
  <c r="H26" i="14"/>
  <c r="E27" i="42" s="1"/>
  <c r="I26" i="14"/>
  <c r="H15" i="14"/>
  <c r="E16" i="42" s="1"/>
  <c r="I15" i="14"/>
  <c r="H25" i="14"/>
  <c r="E26" i="42" s="1"/>
  <c r="I25" i="14"/>
  <c r="H14" i="14"/>
  <c r="E15" i="42" s="1"/>
  <c r="I14" i="14"/>
  <c r="H24" i="14"/>
  <c r="E25" i="42" s="1"/>
  <c r="I24" i="14"/>
  <c r="H13" i="14"/>
  <c r="E14" i="42" s="1"/>
  <c r="I13" i="14"/>
  <c r="H23" i="14"/>
  <c r="E24" i="42" s="1"/>
  <c r="I23" i="14"/>
  <c r="H12" i="14"/>
  <c r="E13" i="42" s="1"/>
  <c r="I12" i="14"/>
  <c r="K23" i="42"/>
  <c r="H40" i="14"/>
  <c r="E42" i="42" s="1"/>
  <c r="H22" i="14"/>
  <c r="I22" i="14"/>
  <c r="E45" i="46"/>
  <c r="E51" i="46" s="1"/>
  <c r="D39" i="14"/>
  <c r="D41" i="14" s="1"/>
  <c r="D48" i="14"/>
  <c r="D49" i="14" s="1"/>
  <c r="D44" i="14"/>
  <c r="I44" i="14" s="1"/>
  <c r="I9" i="14"/>
  <c r="O33" i="48"/>
  <c r="K48" i="48"/>
  <c r="P23" i="48"/>
  <c r="O27" i="48"/>
  <c r="K13" i="48"/>
  <c r="K10" i="48"/>
  <c r="K14" i="48"/>
  <c r="O23" i="48"/>
  <c r="D50" i="42"/>
  <c r="D49" i="16" s="1"/>
  <c r="L14" i="16"/>
  <c r="L20" i="16" s="1"/>
  <c r="L53" i="16" s="1"/>
  <c r="K46" i="42"/>
  <c r="P39" i="48"/>
  <c r="D45" i="16"/>
  <c r="H49" i="16"/>
  <c r="H50" i="16" s="1"/>
  <c r="H53" i="16" s="1"/>
  <c r="M47" i="42"/>
  <c r="M55" i="42" s="1"/>
  <c r="E46" i="17"/>
  <c r="E40" i="17"/>
  <c r="E42" i="17" s="1"/>
  <c r="P44" i="48"/>
  <c r="K44" i="48"/>
  <c r="O39" i="48"/>
  <c r="P33" i="48"/>
  <c r="P26" i="48"/>
  <c r="P27" i="48"/>
  <c r="K12" i="48"/>
  <c r="P13" i="48"/>
  <c r="D45" i="17"/>
  <c r="H10" i="14"/>
  <c r="E11" i="42" s="1"/>
  <c r="I33" i="14"/>
  <c r="D40" i="17"/>
  <c r="D42" i="17" s="1"/>
  <c r="D44" i="48"/>
  <c r="D46" i="42"/>
  <c r="D39" i="48"/>
  <c r="D41" i="42"/>
  <c r="D43" i="42" s="1"/>
  <c r="D40" i="16"/>
  <c r="D42" i="16" s="1"/>
  <c r="P22" i="48"/>
  <c r="P14" i="48"/>
  <c r="D48" i="48"/>
  <c r="D49" i="48" s="1"/>
  <c r="P12" i="48"/>
  <c r="H33" i="14"/>
  <c r="H36" i="14" s="1"/>
  <c r="K26" i="48"/>
  <c r="O22" i="48"/>
  <c r="H30" i="14" l="1"/>
  <c r="E20" i="42"/>
  <c r="AI23" i="17"/>
  <c r="AI24" i="17"/>
  <c r="AI26" i="17"/>
  <c r="AI28" i="17"/>
  <c r="AI14" i="17"/>
  <c r="AI16" i="17"/>
  <c r="AI10" i="17"/>
  <c r="AI27" i="17"/>
  <c r="AI34" i="17"/>
  <c r="H19" i="14"/>
  <c r="AI13" i="17"/>
  <c r="AI15" i="17"/>
  <c r="AI17" i="17"/>
  <c r="AI25" i="17"/>
  <c r="E53" i="17"/>
  <c r="D41" i="48"/>
  <c r="H44" i="14"/>
  <c r="H45" i="14" s="1"/>
  <c r="D50" i="16"/>
  <c r="E23" i="42"/>
  <c r="E31" i="42" s="1"/>
  <c r="H48" i="14"/>
  <c r="H49" i="14" s="1"/>
  <c r="I48" i="14"/>
  <c r="D46" i="16"/>
  <c r="D45" i="14"/>
  <c r="D51" i="14" s="1"/>
  <c r="I39" i="14"/>
  <c r="H39" i="14"/>
  <c r="H41" i="14" s="1"/>
  <c r="J47" i="42"/>
  <c r="J55" i="42" s="1"/>
  <c r="D51" i="42"/>
  <c r="D49" i="17"/>
  <c r="D50" i="17" s="1"/>
  <c r="E34" i="42"/>
  <c r="E37" i="42" s="1"/>
  <c r="D45" i="48"/>
  <c r="D47" i="42"/>
  <c r="D46" i="17"/>
  <c r="AI40" i="17" l="1"/>
  <c r="D52" i="48"/>
  <c r="AI45" i="17"/>
  <c r="H51" i="14"/>
  <c r="AI49" i="17"/>
  <c r="D53" i="16"/>
  <c r="D55" i="42"/>
  <c r="E46" i="42"/>
  <c r="E47" i="42" s="1"/>
  <c r="E50" i="42"/>
  <c r="E51" i="42" s="1"/>
  <c r="E41" i="42"/>
  <c r="E43" i="42" s="1"/>
  <c r="D53" i="17"/>
  <c r="E55" i="42" l="1"/>
  <c r="E58" i="42" l="1"/>
</calcChain>
</file>

<file path=xl/sharedStrings.xml><?xml version="1.0" encoding="utf-8"?>
<sst xmlns="http://schemas.openxmlformats.org/spreadsheetml/2006/main" count="2034" uniqueCount="355">
  <si>
    <t>CCSS</t>
  </si>
  <si>
    <t>BCIE</t>
  </si>
  <si>
    <t>BID</t>
  </si>
  <si>
    <t>BIRF</t>
  </si>
  <si>
    <t>MOPT</t>
  </si>
  <si>
    <t>N/A</t>
  </si>
  <si>
    <t>N/D</t>
  </si>
  <si>
    <t>ICE</t>
  </si>
  <si>
    <t>Años de Ejecución</t>
  </si>
  <si>
    <t>ANEXO N° 1:</t>
  </si>
  <si>
    <t>Unidad Ejecutora</t>
  </si>
  <si>
    <t>Referencia del Acreedor</t>
  </si>
  <si>
    <t>ANEXO N° 2:</t>
  </si>
  <si>
    <t>G. TOTAL en US$</t>
  </si>
  <si>
    <t>ANEXO N° 3:</t>
  </si>
  <si>
    <t>Contrapartida Nacional</t>
  </si>
  <si>
    <t>Donación</t>
  </si>
  <si>
    <t>ANEXO N° 4:</t>
  </si>
  <si>
    <t>Número de Ley</t>
  </si>
  <si>
    <t>Años de Ejecución (Presupuestario)</t>
  </si>
  <si>
    <t>2493/OC-CR</t>
  </si>
  <si>
    <t>Programa de Agua Potable y Saneamiento</t>
  </si>
  <si>
    <t>Fecha suscripción del Contrato</t>
  </si>
  <si>
    <t>Fecha de aprobación de Ley</t>
  </si>
  <si>
    <t>Fecha incorporación de recursos al Presupuesto Nacional y/o Institucional</t>
  </si>
  <si>
    <t>Fecha de vencimiento del período de desembolso original</t>
  </si>
  <si>
    <t>Fecha de vencimiento del período de desembolso con prórrogas</t>
  </si>
  <si>
    <t>Fecha de vencimiento del período de vigencia del crédito</t>
  </si>
  <si>
    <t xml:space="preserve">Monto pendiente por desembolsar </t>
  </si>
  <si>
    <t xml:space="preserve">Periodo estipulado en Contrato </t>
  </si>
  <si>
    <t>Periodo de desembolsos estipulado en el Contrato desde la incorporación presupuestaria (en años)</t>
  </si>
  <si>
    <t>Periodo de ejecución real desde la fecha en que se aprobó el presupuesto</t>
  </si>
  <si>
    <t>Monto de donación</t>
  </si>
  <si>
    <t>Programa de Infraestructura de Transporte</t>
  </si>
  <si>
    <t>EXIMBANK</t>
  </si>
  <si>
    <t>CONAVI</t>
  </si>
  <si>
    <t>1420202052013211015</t>
  </si>
  <si>
    <t xml:space="preserve">1420203052013111013
</t>
  </si>
  <si>
    <t>Nombre del Programa / Proyecto</t>
  </si>
  <si>
    <t>Programa Obras Estratégicas de Infraestructura Vial</t>
  </si>
  <si>
    <t>Programa de Renovación de la Infraestructura y Equipamiento Hospitalario</t>
  </si>
  <si>
    <t>Cantidad de prórrogas otorgadas al período de desembolso</t>
  </si>
  <si>
    <t xml:space="preserve">Unidad Ejecutora </t>
  </si>
  <si>
    <t>JICA</t>
  </si>
  <si>
    <t>FUENTE: BASE DE DATOS SIGADE v. 6.1 / INFORMES DE SEGUIMIENTO DE LAS UNIDADES EJECUTORAS (UE)</t>
  </si>
  <si>
    <t>FUENTE: BASE DE DATOS SIGADE v. 6.1 / INFORMES DE SEGUIMIENTO SEMESTRAL DE LAS UNIDADES EJECUTORAS (UE)</t>
  </si>
  <si>
    <t>8593-CR</t>
  </si>
  <si>
    <t>Programa por Resultados para el Fortalecimiento del Seguro Universal de Salud en Costa Rica</t>
  </si>
  <si>
    <t>ND</t>
  </si>
  <si>
    <t>3488/OC-CR</t>
  </si>
  <si>
    <t>Programa de Integración Fronteriza de Costa Rica</t>
  </si>
  <si>
    <t>CR-P5-2</t>
  </si>
  <si>
    <t xml:space="preserve">3071/OC-CR  
</t>
  </si>
  <si>
    <t xml:space="preserve">3072/CH-CR </t>
  </si>
  <si>
    <t xml:space="preserve">COMEX </t>
  </si>
  <si>
    <t xml:space="preserve">
3072/CH-CR </t>
  </si>
  <si>
    <t>ANEXO N° 6:</t>
  </si>
  <si>
    <t>Proyecto de Reducción de Agua No Contabilizada y Optimización de la Eficiencia Energética en el GAM</t>
  </si>
  <si>
    <t>Programa de Abastecimiento del Área Metropolitana de San José, Acueductos Urbanos II y Alcantarillado Sanitario de Juanito Mora de Puntarenas</t>
  </si>
  <si>
    <t>TIPOS DE CAMBIO</t>
  </si>
  <si>
    <t>Euros a $</t>
  </si>
  <si>
    <t>Yenes a $</t>
  </si>
  <si>
    <t>Yuanes a $</t>
  </si>
  <si>
    <t>ANEXO N° 5</t>
  </si>
  <si>
    <t xml:space="preserve">Programa de Abastecimiento del Área Metropolitana de San José, Acueductos Urbanos II y Alcantarillado Sanitario de Juanito Mora de Puntarenas </t>
  </si>
  <si>
    <t>3072/CH-CR</t>
  </si>
  <si>
    <t>3071/OC-CR</t>
  </si>
  <si>
    <t>4507/OC-CR</t>
  </si>
  <si>
    <t>Programa Red Vial Cantonal II</t>
  </si>
  <si>
    <t>Programa de Alcantarillado y Control de Inundaciones para Limón</t>
  </si>
  <si>
    <t>Programa de Agua Potable y Saneamiento de Zonas Costeras, Gestión de la Calidad y Eficiencia del Servicio</t>
  </si>
  <si>
    <t>3589/OC-CR</t>
  </si>
  <si>
    <t xml:space="preserve">Primer Programa de Energía Renovable, Transmisión y Distribución de Electricidad </t>
  </si>
  <si>
    <t>Periodo estipulado con Prórrogas</t>
  </si>
  <si>
    <t>2188-A</t>
  </si>
  <si>
    <t>Rehabilitación y Ampliación de la Ruta Nacional No. 32</t>
  </si>
  <si>
    <t xml:space="preserve">Rehabilitación y Ampliación de la Ruta Nacional No. 32 </t>
  </si>
  <si>
    <t>AyA</t>
  </si>
  <si>
    <t>AyA/SENARA</t>
  </si>
  <si>
    <t>Primer Programa de Energía Renovable, Transmisión y Distribución de Electricidad</t>
  </si>
  <si>
    <t>KFW</t>
  </si>
  <si>
    <t xml:space="preserve">Monto proyectado por desembolsar </t>
  </si>
  <si>
    <t xml:space="preserve">Monto real desembolsado </t>
  </si>
  <si>
    <t>% Realizado sobre lo Programado</t>
  </si>
  <si>
    <r>
      <t>NOTAS:</t>
    </r>
    <r>
      <rPr>
        <b/>
        <sz val="10"/>
        <color theme="1"/>
        <rFont val="Arial Narrow"/>
        <family val="2"/>
      </rPr>
      <t xml:space="preserve"> </t>
    </r>
  </si>
  <si>
    <t xml:space="preserve">Programa de Agua Potable y Saneamiento </t>
  </si>
  <si>
    <t>MH</t>
  </si>
  <si>
    <t xml:space="preserve">Programa de Renovación de la Infraestructura y Equipamiento Hospitalario </t>
  </si>
  <si>
    <t xml:space="preserve">Monto del préstamo (en US$)  </t>
  </si>
  <si>
    <t xml:space="preserve">Monto del préstamo 
(en US$) </t>
  </si>
  <si>
    <t xml:space="preserve">Programa de Agua Potable y Saneamiento de Zonas Costeras, Gestión de la Calidad y Eficiencia del Servicio </t>
  </si>
  <si>
    <t>Monto proyectado por desembolsar</t>
  </si>
  <si>
    <t xml:space="preserve">PROGRAMAS DE APOYO PRESUPUESTARIO </t>
  </si>
  <si>
    <t xml:space="preserve">Deudor / Garante </t>
  </si>
  <si>
    <t xml:space="preserve">Fecha de desembolso realizado </t>
  </si>
  <si>
    <t xml:space="preserve">MH </t>
  </si>
  <si>
    <t>9075-CR</t>
  </si>
  <si>
    <t>9922</t>
  </si>
  <si>
    <t>AM 2080</t>
  </si>
  <si>
    <t xml:space="preserve">CONAVI </t>
  </si>
  <si>
    <t>DEG a $</t>
  </si>
  <si>
    <t>4864/OC-CR</t>
  </si>
  <si>
    <t xml:space="preserve">Programa de Infraestructura Vial y Promoción de Asociaciones Público-Privadas </t>
  </si>
  <si>
    <t>Programa Abastecimiento del Área Metropolitana de San José, Acueductos Urbanos y Alcantarillado Sanitario de Puerto Viejo de Limón</t>
  </si>
  <si>
    <t>Ampliación Programa de Obras Estratégicas de Infraestructura Vial</t>
  </si>
  <si>
    <t>Monto del préstamo
(en US$)</t>
  </si>
  <si>
    <t>(cifras expresadas en valores absolutos en US$)</t>
  </si>
  <si>
    <t xml:space="preserve">Monto pendiente por ejecutar </t>
  </si>
  <si>
    <t>PROGRAMACIÓN DE DESEMBOLSOS DE LOS CRÉDITOS EXTERNOS DE INVERSIÓN EN EJECUCIÓN</t>
  </si>
  <si>
    <t>4871/OC-CR</t>
  </si>
  <si>
    <t>Programa de Seguridad Ciudadana y Prevención de Violencia</t>
  </si>
  <si>
    <t>MJP</t>
  </si>
  <si>
    <r>
      <t>Programa de Agua Potable y Saneamiento</t>
    </r>
    <r>
      <rPr>
        <vertAlign val="superscript"/>
        <sz val="10"/>
        <color theme="1"/>
        <rFont val="Arial Narrow"/>
        <family val="2"/>
      </rPr>
      <t xml:space="preserve"> </t>
    </r>
  </si>
  <si>
    <r>
      <t>N/A=</t>
    </r>
    <r>
      <rPr>
        <sz val="10"/>
        <color theme="1"/>
        <rFont val="Arial Narrow"/>
        <family val="2"/>
      </rPr>
      <t xml:space="preserve"> No aplica.</t>
    </r>
  </si>
  <si>
    <r>
      <t xml:space="preserve">Programa Abastecimiento del Área Metropolitana de San José, Acueductos Urbanos y Alcantarillado Sanitario de Puerto Viejo de Limón </t>
    </r>
    <r>
      <rPr>
        <vertAlign val="superscript"/>
        <sz val="10"/>
        <color theme="1"/>
        <rFont val="Arial Narrow"/>
        <family val="2"/>
      </rPr>
      <t>1/</t>
    </r>
  </si>
  <si>
    <r>
      <t xml:space="preserve">Programa Obras Estratégicas de Infraestructura Vial </t>
    </r>
    <r>
      <rPr>
        <vertAlign val="superscript"/>
        <sz val="10"/>
        <color theme="1"/>
        <rFont val="Arial Narrow"/>
        <family val="2"/>
      </rPr>
      <t>1/</t>
    </r>
  </si>
  <si>
    <r>
      <t xml:space="preserve">Programa de Renovación de la Infraestructura y Equipamiento Hospitalario </t>
    </r>
    <r>
      <rPr>
        <vertAlign val="superscript"/>
        <sz val="10"/>
        <color theme="1"/>
        <rFont val="Arial Narrow"/>
        <family val="2"/>
      </rPr>
      <t>1/</t>
    </r>
  </si>
  <si>
    <r>
      <t xml:space="preserve">Proyecto de Reducción de Agua No Contabilizada y Optimización de la Eficiencia Energética en el GAM </t>
    </r>
    <r>
      <rPr>
        <vertAlign val="superscript"/>
        <sz val="10"/>
        <color theme="1"/>
        <rFont val="Arial Narrow"/>
        <family val="2"/>
      </rPr>
      <t>1/</t>
    </r>
  </si>
  <si>
    <r>
      <t xml:space="preserve">Programa de Abastecimiento del Área Metropolitana de San José, Acueductos Urbanos II y Alcantarillado Sanitario de Juanito Mora de Puntarenas </t>
    </r>
    <r>
      <rPr>
        <vertAlign val="superscript"/>
        <sz val="10"/>
        <color theme="1"/>
        <rFont val="Arial Narrow"/>
        <family val="2"/>
      </rPr>
      <t>1/</t>
    </r>
  </si>
  <si>
    <r>
      <rPr>
        <b/>
        <sz val="10"/>
        <color theme="1"/>
        <rFont val="Arial Narrow"/>
        <family val="2"/>
      </rPr>
      <t>N/A</t>
    </r>
    <r>
      <rPr>
        <sz val="10"/>
        <color theme="1"/>
        <rFont val="Arial Narrow"/>
        <family val="2"/>
      </rPr>
      <t>= No aplica</t>
    </r>
  </si>
  <si>
    <r>
      <rPr>
        <b/>
        <sz val="10"/>
        <color theme="1"/>
        <rFont val="Arial Narrow"/>
        <family val="2"/>
      </rPr>
      <t>N/D</t>
    </r>
    <r>
      <rPr>
        <sz val="10"/>
        <color theme="1"/>
        <rFont val="Arial Narrow"/>
        <family val="2"/>
      </rPr>
      <t>= No disponible</t>
    </r>
  </si>
  <si>
    <r>
      <t>Proyecto de Reducción de Agua No Contabilizada y Optimización de la Eficiencia Energética en el GAM</t>
    </r>
    <r>
      <rPr>
        <b/>
        <vertAlign val="superscript"/>
        <sz val="10"/>
        <color theme="1"/>
        <rFont val="Arial Narrow"/>
        <family val="2"/>
      </rPr>
      <t xml:space="preserve"> </t>
    </r>
  </si>
  <si>
    <r>
      <t xml:space="preserve">Proyecto Geotérmico Borinquen I </t>
    </r>
    <r>
      <rPr>
        <vertAlign val="superscript"/>
        <sz val="10"/>
        <color theme="1"/>
        <rFont val="Arial Narrow"/>
        <family val="2"/>
      </rPr>
      <t>1/</t>
    </r>
  </si>
  <si>
    <r>
      <t xml:space="preserve">Programa de Saneamiento en Zonas Prioritarias </t>
    </r>
    <r>
      <rPr>
        <vertAlign val="superscript"/>
        <sz val="10"/>
        <color theme="1"/>
        <rFont val="Arial Narrow"/>
        <family val="2"/>
      </rPr>
      <t>1/</t>
    </r>
  </si>
  <si>
    <r>
      <t>N/A=</t>
    </r>
    <r>
      <rPr>
        <sz val="10"/>
        <color theme="1"/>
        <rFont val="Arial Narrow"/>
        <family val="2"/>
      </rPr>
      <t xml:space="preserve"> No aplica</t>
    </r>
  </si>
  <si>
    <r>
      <t>Rehabilitación y Ampliación de la Ruta Nacional No. 32</t>
    </r>
    <r>
      <rPr>
        <vertAlign val="superscript"/>
        <sz val="10"/>
        <color theme="1"/>
        <rFont val="Arial Narrow"/>
        <family val="2"/>
      </rPr>
      <t xml:space="preserve"> 5</t>
    </r>
    <r>
      <rPr>
        <b/>
        <vertAlign val="superscript"/>
        <sz val="10"/>
        <color theme="1"/>
        <rFont val="Arial Narrow"/>
        <family val="2"/>
      </rPr>
      <t>/</t>
    </r>
  </si>
  <si>
    <r>
      <rPr>
        <b/>
        <sz val="10"/>
        <color theme="1"/>
        <rFont val="Arial Narrow"/>
        <family val="2"/>
      </rPr>
      <t>ND:</t>
    </r>
    <r>
      <rPr>
        <sz val="10"/>
        <color theme="1"/>
        <rFont val="Arial Narrow"/>
        <family val="2"/>
      </rPr>
      <t xml:space="preserve"> No disponible</t>
    </r>
  </si>
  <si>
    <r>
      <rPr>
        <b/>
        <sz val="10"/>
        <color theme="1"/>
        <rFont val="Arial Narrow"/>
        <family val="2"/>
      </rPr>
      <t>N/A:</t>
    </r>
    <r>
      <rPr>
        <sz val="10"/>
        <color theme="1"/>
        <rFont val="Arial Narrow"/>
        <family val="2"/>
      </rPr>
      <t xml:space="preserve"> No Aplica</t>
    </r>
  </si>
  <si>
    <t>9146-CR</t>
  </si>
  <si>
    <t>GOBNO</t>
  </si>
  <si>
    <t>NA</t>
  </si>
  <si>
    <r>
      <t xml:space="preserve">Desembolsos </t>
    </r>
    <r>
      <rPr>
        <b/>
        <vertAlign val="superscript"/>
        <sz val="10"/>
        <color theme="1"/>
        <rFont val="Arial Narrow"/>
        <family val="2"/>
      </rPr>
      <t>6/</t>
    </r>
  </si>
  <si>
    <r>
      <rPr>
        <b/>
        <sz val="10"/>
        <color theme="1"/>
        <rFont val="Arial Narrow"/>
        <family val="2"/>
      </rPr>
      <t>6/</t>
    </r>
    <r>
      <rPr>
        <sz val="10"/>
        <color theme="1"/>
        <rFont val="Arial Narrow"/>
        <family val="2"/>
      </rPr>
      <t xml:space="preserve"> Los valores corresponden al comportamiento de cada año y periodo en particular (no son acumulados).</t>
    </r>
  </si>
  <si>
    <r>
      <rPr>
        <b/>
        <sz val="10"/>
        <color theme="1"/>
        <rFont val="Arial Narrow"/>
        <family val="2"/>
      </rPr>
      <t>7/</t>
    </r>
    <r>
      <rPr>
        <sz val="10"/>
        <color theme="1"/>
        <rFont val="Arial Narrow"/>
        <family val="2"/>
      </rPr>
      <t xml:space="preserve"> Los valores corresponden al avance acumulado desde que inició el Programa/Proyecto hasta el final de cada periodo.</t>
    </r>
  </si>
  <si>
    <r>
      <t xml:space="preserve">Avance financiero (%) </t>
    </r>
    <r>
      <rPr>
        <b/>
        <vertAlign val="superscript"/>
        <sz val="10"/>
        <color theme="1"/>
        <rFont val="Arial Narrow"/>
        <family val="2"/>
      </rPr>
      <t>7/</t>
    </r>
  </si>
  <si>
    <r>
      <t xml:space="preserve">Avance físico (%) </t>
    </r>
    <r>
      <rPr>
        <b/>
        <vertAlign val="superscript"/>
        <sz val="10"/>
        <color theme="1"/>
        <rFont val="Arial Narrow"/>
        <family val="2"/>
      </rPr>
      <t>7/</t>
    </r>
  </si>
  <si>
    <r>
      <t xml:space="preserve">Programa Obras Estratégicas de Infraestructura Vial </t>
    </r>
    <r>
      <rPr>
        <vertAlign val="superscript"/>
        <sz val="10"/>
        <color theme="1"/>
        <rFont val="Arial Narrow"/>
        <family val="2"/>
      </rPr>
      <t>2/</t>
    </r>
  </si>
  <si>
    <t>ANEXO N° 5.1:</t>
  </si>
  <si>
    <t>(cifras expresadas en US$)</t>
  </si>
  <si>
    <t xml:space="preserve">FUENTE: BASE DE DATOS SIGADE v. 6.1 </t>
  </si>
  <si>
    <r>
      <rPr>
        <b/>
        <sz val="10"/>
        <color theme="1"/>
        <rFont val="Arial Narrow"/>
        <family val="2"/>
      </rPr>
      <t xml:space="preserve">3/ </t>
    </r>
    <r>
      <rPr>
        <sz val="10"/>
        <color theme="1"/>
        <rFont val="Arial Narrow"/>
        <family val="2"/>
      </rPr>
      <t>Para el caso del Crédito Concesional (¥628.000.000,00) el monto del préstamo en dólares responde al monto desembolsado (utilizando las referencias cambiarias del acreedor), y al pagado a la empresa contratista a cargo del proyecto. Este crédito se desembolsó en su totalidad en el año 2019.</t>
    </r>
  </si>
  <si>
    <t>AYA</t>
  </si>
  <si>
    <t xml:space="preserve">AYA </t>
  </si>
  <si>
    <t>AYA / GOBNO</t>
  </si>
  <si>
    <t>ICE / GOBNO</t>
  </si>
  <si>
    <t>AJUSTES EN EL MONTO TOTAL DEL PLAN DE INVERSIÓN DE LOS PROGRAMAS/PROYECTOS EN EJECUCIÓN</t>
  </si>
  <si>
    <t>Acreedor</t>
  </si>
  <si>
    <t>Costo Total Programa/ Proyecto (US$)</t>
  </si>
  <si>
    <t>Ajuste a reportar</t>
  </si>
  <si>
    <t>Tipo de ajuste en el Plan de Inversión Vigente (PIV)</t>
  </si>
  <si>
    <t>Fuente financiamiento que respalda ajuste en el PIV</t>
  </si>
  <si>
    <t>Monto a ser modificado (US$)</t>
  </si>
  <si>
    <t>Causas del ajuste en el Plan de Inversión Vigente (PIV)</t>
  </si>
  <si>
    <t>Impacto del ajuste del PIV del Programa/Proyecto</t>
  </si>
  <si>
    <t>¿Alcance afectado?</t>
  </si>
  <si>
    <t>¿Plazo afectado?</t>
  </si>
  <si>
    <t>Afectación en meses</t>
  </si>
  <si>
    <t>Información o detalles adicionales a compartir</t>
  </si>
  <si>
    <t>Ubicación del Programa/ Proyecto</t>
  </si>
  <si>
    <t>Sector</t>
  </si>
  <si>
    <t>Previsión</t>
  </si>
  <si>
    <t>Aumento</t>
  </si>
  <si>
    <t>Si</t>
  </si>
  <si>
    <t>No</t>
  </si>
  <si>
    <t>Salud, Nutrición y Deporte</t>
  </si>
  <si>
    <t>Cambio formalizado</t>
  </si>
  <si>
    <t>Infraestructura y Transporte</t>
  </si>
  <si>
    <t>SENARA</t>
  </si>
  <si>
    <t>ANEXO N° 7:</t>
  </si>
  <si>
    <t>Limón</t>
  </si>
  <si>
    <r>
      <t xml:space="preserve">Ampliación Programa de Obras Estratégicas de Infraestructura Vial </t>
    </r>
    <r>
      <rPr>
        <vertAlign val="superscript"/>
        <sz val="10"/>
        <color theme="1"/>
        <rFont val="Arial Narrow"/>
        <family val="2"/>
      </rPr>
      <t>1/</t>
    </r>
  </si>
  <si>
    <t>Monto Original 
(en US$)</t>
  </si>
  <si>
    <t>Monto Vigente 
(en US$)</t>
  </si>
  <si>
    <r>
      <t xml:space="preserve">Monto del préstamo 
(en US$) </t>
    </r>
    <r>
      <rPr>
        <b/>
        <vertAlign val="superscript"/>
        <sz val="10"/>
        <color theme="1"/>
        <rFont val="Arial Narrow"/>
        <family val="2"/>
      </rPr>
      <t>3/</t>
    </r>
  </si>
  <si>
    <t xml:space="preserve">Monto del préstamo 
(en US$)  </t>
  </si>
  <si>
    <r>
      <t>N/D=</t>
    </r>
    <r>
      <rPr>
        <sz val="10"/>
        <color theme="1"/>
        <rFont val="Arial Narrow"/>
        <family val="2"/>
      </rPr>
      <t xml:space="preserve"> Información no disponible</t>
    </r>
    <r>
      <rPr>
        <b/>
        <sz val="10"/>
        <color theme="1"/>
        <rFont val="Arial Narrow"/>
        <family val="2"/>
      </rPr>
      <t>.</t>
    </r>
  </si>
  <si>
    <r>
      <t>N/A=</t>
    </r>
    <r>
      <rPr>
        <sz val="10"/>
        <color theme="1"/>
        <rFont val="Arial Narrow"/>
        <family val="2"/>
      </rPr>
      <t xml:space="preserve"> No aplica</t>
    </r>
    <r>
      <rPr>
        <b/>
        <sz val="10"/>
        <color theme="1"/>
        <rFont val="Arial Narrow"/>
        <family val="2"/>
      </rPr>
      <t>.</t>
    </r>
  </si>
  <si>
    <r>
      <rPr>
        <b/>
        <sz val="10"/>
        <color theme="1"/>
        <rFont val="Arial Narrow"/>
        <family val="2"/>
      </rPr>
      <t>ND:</t>
    </r>
    <r>
      <rPr>
        <sz val="10"/>
        <color theme="1"/>
        <rFont val="Arial Narrow"/>
        <family val="2"/>
      </rPr>
      <t xml:space="preserve"> No disponible.</t>
    </r>
  </si>
  <si>
    <r>
      <rPr>
        <b/>
        <sz val="10"/>
        <color theme="1"/>
        <rFont val="Arial Narrow"/>
        <family val="2"/>
      </rPr>
      <t>N/A:</t>
    </r>
    <r>
      <rPr>
        <sz val="10"/>
        <color theme="1"/>
        <rFont val="Arial Narrow"/>
        <family val="2"/>
      </rPr>
      <t xml:space="preserve"> No Aplica.</t>
    </r>
  </si>
  <si>
    <t>III Trimestre 2022</t>
  </si>
  <si>
    <t>IV Trimestre 2022</t>
  </si>
  <si>
    <t>Programado a Ejecutarse en el 2022</t>
  </si>
  <si>
    <t>Adquisición y Aplicación de Vacunas COVID-19</t>
  </si>
  <si>
    <t>CNE</t>
  </si>
  <si>
    <t>En proceso de incorporación</t>
  </si>
  <si>
    <t>9050-CR</t>
  </si>
  <si>
    <t>INCOPESCA</t>
  </si>
  <si>
    <t>Programa de Desarrollo Sostenible de la Pesca y Acuicultura en Costa Rica</t>
  </si>
  <si>
    <t>5264/OC-CR</t>
  </si>
  <si>
    <t>Programa de  Emergencia y  Fortalecimiento  Fiscal  SDL</t>
  </si>
  <si>
    <t xml:space="preserve">5263/OC-CR </t>
  </si>
  <si>
    <t>Programa de Apoyo a la Sostenibilidad Fiscal II (PBP)</t>
  </si>
  <si>
    <t>FMI</t>
  </si>
  <si>
    <t>Apoyo para la recuperación post pandemia y consolidación fiscal</t>
  </si>
  <si>
    <r>
      <t>Adquisición y Aplicación de Vacunas COVID-19</t>
    </r>
    <r>
      <rPr>
        <vertAlign val="superscript"/>
        <sz val="10"/>
        <color theme="1"/>
        <rFont val="Arial Narrow"/>
        <family val="2"/>
      </rPr>
      <t xml:space="preserve"> 2/</t>
    </r>
  </si>
  <si>
    <r>
      <t xml:space="preserve">Programa por Resultados para el Fortalecimiento del Seguro Universal de Salud en Costa Rica </t>
    </r>
    <r>
      <rPr>
        <vertAlign val="superscript"/>
        <sz val="10"/>
        <color theme="1"/>
        <rFont val="Arial Narrow"/>
        <family val="2"/>
      </rPr>
      <t>4/</t>
    </r>
  </si>
  <si>
    <r>
      <rPr>
        <b/>
        <sz val="10"/>
        <color theme="1"/>
        <rFont val="Arial Narrow"/>
        <family val="2"/>
      </rPr>
      <t>4/</t>
    </r>
    <r>
      <rPr>
        <sz val="10"/>
        <color theme="1"/>
        <rFont val="Arial Narrow"/>
        <family val="2"/>
      </rPr>
      <t xml:space="preserve"> El avance físico corresponde a avance global de los indicadores del Programa, calculado por la CCSS. </t>
    </r>
  </si>
  <si>
    <r>
      <t xml:space="preserve">Proyecto Geotérmico Borinquen I </t>
    </r>
    <r>
      <rPr>
        <vertAlign val="superscript"/>
        <sz val="10"/>
        <color theme="1"/>
        <rFont val="Arial Narrow"/>
        <family val="2"/>
      </rPr>
      <t>1/ 5/</t>
    </r>
  </si>
  <si>
    <r>
      <t xml:space="preserve">Programa de Saneamiento en Zonas Prioritarias </t>
    </r>
    <r>
      <rPr>
        <b/>
        <vertAlign val="superscript"/>
        <sz val="10"/>
        <color theme="1"/>
        <rFont val="Arial Narrow"/>
        <family val="2"/>
      </rPr>
      <t>5/</t>
    </r>
  </si>
  <si>
    <r>
      <t>Financiero</t>
    </r>
    <r>
      <rPr>
        <b/>
        <vertAlign val="superscript"/>
        <sz val="10"/>
        <color theme="1"/>
        <rFont val="Arial Narrow"/>
        <family val="2"/>
      </rPr>
      <t xml:space="preserve"> 7/</t>
    </r>
  </si>
  <si>
    <r>
      <t xml:space="preserve">Físico según información de UE </t>
    </r>
    <r>
      <rPr>
        <b/>
        <vertAlign val="superscript"/>
        <sz val="10"/>
        <rFont val="Arial Narrow"/>
        <family val="2"/>
      </rPr>
      <t>7/</t>
    </r>
  </si>
  <si>
    <t>Programa de Agua Potable y Saneamiento de Zonas Costeras, Gestión de la Calidad y Eficiencia del Servicio.</t>
  </si>
  <si>
    <r>
      <rPr>
        <b/>
        <sz val="10"/>
        <color theme="1"/>
        <rFont val="Arial Narrow"/>
        <family val="2"/>
      </rPr>
      <t xml:space="preserve">2/ </t>
    </r>
    <r>
      <rPr>
        <sz val="10"/>
        <color theme="1"/>
        <rFont val="Arial Narrow"/>
        <family val="2"/>
      </rPr>
      <t>Para efectos de medir el indicador TTC se utilizan las fechas vigentes de finalización de los contratos de préstamo.</t>
    </r>
  </si>
  <si>
    <r>
      <t xml:space="preserve">Rehabilitación y Ampliación de la Ruta Nacional No. 32 </t>
    </r>
    <r>
      <rPr>
        <vertAlign val="superscript"/>
        <sz val="10"/>
        <color theme="1"/>
        <rFont val="Arial Narrow"/>
        <family val="2"/>
      </rPr>
      <t>3</t>
    </r>
    <r>
      <rPr>
        <b/>
        <vertAlign val="superscript"/>
        <sz val="10"/>
        <color theme="1"/>
        <rFont val="Arial Narrow"/>
        <family val="2"/>
      </rPr>
      <t>/</t>
    </r>
  </si>
  <si>
    <t>Por definir</t>
  </si>
  <si>
    <t>COMEX</t>
  </si>
  <si>
    <t>Comercio Exterior</t>
  </si>
  <si>
    <t>1420203052013111013 &amp; 1420202052013211015</t>
  </si>
  <si>
    <t xml:space="preserve">Programa de Saneamiento en Zonas Prioritarias </t>
  </si>
  <si>
    <t xml:space="preserve">Avance físico (%) </t>
  </si>
  <si>
    <r>
      <t xml:space="preserve">Programa Red Vial Cantonal II </t>
    </r>
    <r>
      <rPr>
        <vertAlign val="superscript"/>
        <sz val="10"/>
        <color theme="1"/>
        <rFont val="Arial Narrow"/>
        <family val="2"/>
      </rPr>
      <t>1/</t>
    </r>
  </si>
  <si>
    <r>
      <t xml:space="preserve">Rehabilitación y Ampliación de la Ruta Nacional No. 32 </t>
    </r>
    <r>
      <rPr>
        <vertAlign val="superscript"/>
        <sz val="10"/>
        <color theme="1"/>
        <rFont val="Arial Narrow"/>
        <family val="2"/>
      </rPr>
      <t>6/</t>
    </r>
  </si>
  <si>
    <t xml:space="preserve">NOTAS: </t>
  </si>
  <si>
    <t>1/ Aplica el mismo detalle de las notas que forman parte del Anexo 5.</t>
  </si>
  <si>
    <t>Cartago, Huertar Norte y San José</t>
  </si>
  <si>
    <t>Proyecto Hacienda Digital para el Bicentenario</t>
  </si>
  <si>
    <t>Monto desembolsado acumulado a Junio 2022 de la fuente externa</t>
  </si>
  <si>
    <t xml:space="preserve">Monto desembolsado solo en el I Sem. 2022 de la fuente externa </t>
  </si>
  <si>
    <t xml:space="preserve">Monto desembolsado solo en el II Sem. 2022 de la fuente externa </t>
  </si>
  <si>
    <t>% de Avance 30/06/2022</t>
  </si>
  <si>
    <t>Periodo de ejecución real al 30-06-2022</t>
  </si>
  <si>
    <t>I Semestre 2022</t>
  </si>
  <si>
    <t>II Semestre 2022</t>
  </si>
  <si>
    <t>I Trimestre 2023</t>
  </si>
  <si>
    <t>II Trimestre 2023</t>
  </si>
  <si>
    <t>Monto ejecutado a Junio 2022</t>
  </si>
  <si>
    <t>Monto desembolsado a Junio 2022</t>
  </si>
  <si>
    <t xml:space="preserve">Monto acumulado desembolsado a Junio 2022 
(en US$)  </t>
  </si>
  <si>
    <t>I Sem 2022</t>
  </si>
  <si>
    <t xml:space="preserve">Avance financiero (%) </t>
  </si>
  <si>
    <t xml:space="preserve">Desembolsos </t>
  </si>
  <si>
    <t xml:space="preserve">SENARA </t>
  </si>
  <si>
    <t>60 meses a partir del primer desembolso</t>
  </si>
  <si>
    <t>Proyecto de Abastecimiento de Agua para la Cuenca Media del río Tempisque y Comunidades Costeras (PAACUME)</t>
  </si>
  <si>
    <r>
      <rPr>
        <b/>
        <sz val="10"/>
        <color theme="1"/>
        <rFont val="Arial Narrow"/>
        <family val="2"/>
      </rPr>
      <t>7/</t>
    </r>
    <r>
      <rPr>
        <sz val="10"/>
        <color theme="1"/>
        <rFont val="Arial Narrow"/>
        <family val="2"/>
      </rPr>
      <t xml:space="preserve"> Los valores corresponden al avance físico y financiero acumulado desde que inició el Programa/Proyecto hasta el 30 de junio del 2022.</t>
    </r>
  </si>
  <si>
    <r>
      <rPr>
        <b/>
        <sz val="10"/>
        <color theme="1"/>
        <rFont val="Arial Narrow"/>
        <family val="2"/>
      </rPr>
      <t>5/</t>
    </r>
    <r>
      <rPr>
        <sz val="10"/>
        <color theme="1"/>
        <rFont val="Arial Narrow"/>
        <family val="2"/>
      </rPr>
      <t xml:space="preserve"> El ICE realizó un ajuste a lo interno del Proyecto, por lo tanto están realizando programaciones hasta el año 2027 (no obstante es una proyección pues no se ha formalizado ninguna extensión del plazo).</t>
    </r>
  </si>
  <si>
    <t>AFD</t>
  </si>
  <si>
    <t xml:space="preserve">CCR 1025 01L </t>
  </si>
  <si>
    <t>Programa de Apoyo Presupuestario basado en Políticas para Implementar la Trayectoria Sostenible e Inclusiva de Costa Rica</t>
  </si>
  <si>
    <t>Monto desembolsado acumulado a junio 2022
(en US$)</t>
  </si>
  <si>
    <t>9279-CR</t>
  </si>
  <si>
    <t>Segundo Préstamo para Políticas de Desarrollo para la Gestión Fiscal y Descarbonización, entre el Banco Internacional de Reconstrucción y Fomento</t>
  </si>
  <si>
    <t>FECHAS IMPORTANTES ASOCIADAS A LOS CONTRATOS DE PRÉSTAMO DE INVERSIÓN EN EJECUCIÓN</t>
  </si>
  <si>
    <t>ESTADO FINANCIERO, FÍSICO Y DE PLAZOS ASOCIADOS A LOS CRÉDITOS DE INVERSIÓN EN EJECUCIÓN</t>
  </si>
  <si>
    <t>CUADRO COMPARATIVO 2013 - I SEM 2022</t>
  </si>
  <si>
    <t>ESTADO FINANCIERO DE LA CONTRAPARTIDA NACIONAL/INSTITUCIONAL Y DONACIÓN ASOCIADOS A LOS CRÉDITOS DE INVERSIÓN EN EJECUCIÓN</t>
  </si>
  <si>
    <t>DESEMBOLSOS, AVANCE FINANCIERO Y AVANCE FISICO 2013 - I SEM 2022 DE LOS CRÉDITOS DE INVERSIÓN EN EJECUCIÓN</t>
  </si>
  <si>
    <t xml:space="preserve">PROGRAMAS/PROYECTOS EN EJECUCIÓN ORDENADOS DE MENOR A MAYOR SEGÚN AVANCE FINANCIERO </t>
  </si>
  <si>
    <t>GESTIÓN DEL VALOR PLANIFICADO DE LOS CRÉDITOS DE INVERSIÓN EN EJECUCIÓN</t>
  </si>
  <si>
    <r>
      <rPr>
        <b/>
        <sz val="10"/>
        <color theme="1"/>
        <rFont val="Arial Narrow"/>
        <family val="2"/>
      </rPr>
      <t>2/</t>
    </r>
    <r>
      <rPr>
        <sz val="10"/>
        <color theme="1"/>
        <rFont val="Arial Narrow"/>
        <family val="2"/>
      </rPr>
      <t xml:space="preserve"> El Programa alcanza el 100% del monto del crédito desembolsado en Mayo 2021, sin embargo, continua ejecutando las obras pendientes, como lo es el Corredor de Circunvalación Norte. </t>
    </r>
  </si>
  <si>
    <r>
      <t>2/</t>
    </r>
    <r>
      <rPr>
        <sz val="10"/>
        <color theme="1"/>
        <rFont val="Arial Narrow"/>
        <family val="2"/>
      </rPr>
      <t xml:space="preserve"> Los desembolsos del crédito corresponden a reembolsos de los gastos efectuados por el Prestatario con recursos propios para financiar el Plan de Vacunación contra el COVID 19, por lo que no aplica la medición de un avance físico del Proyecto.</t>
    </r>
  </si>
  <si>
    <r>
      <rPr>
        <b/>
        <sz val="10"/>
        <color theme="1"/>
        <rFont val="Arial Narrow"/>
        <family val="2"/>
      </rPr>
      <t>5/</t>
    </r>
    <r>
      <rPr>
        <sz val="10"/>
        <color theme="1"/>
        <rFont val="Arial Narrow"/>
        <family val="2"/>
      </rPr>
      <t xml:space="preserve"> Para dolarizar los montos de los préstamos cuya moneda contractual no fue pactada en dólares, se utilizó como referencia el valor del tipo de cambio al 30 de junio del 2022 de dicha moneda con respecto al dólar.</t>
    </r>
  </si>
  <si>
    <t>Monto pendiente por desembolsar a junio 2022</t>
  </si>
  <si>
    <r>
      <t xml:space="preserve">Comisiones de compromisos pagadas </t>
    </r>
    <r>
      <rPr>
        <b/>
        <vertAlign val="superscript"/>
        <sz val="10"/>
        <color theme="1"/>
        <rFont val="Arial Narrow"/>
        <family val="2"/>
      </rPr>
      <t>6/</t>
    </r>
  </si>
  <si>
    <r>
      <rPr>
        <b/>
        <sz val="10"/>
        <color theme="1"/>
        <rFont val="Arial Narrow"/>
        <family val="2"/>
      </rPr>
      <t>5/</t>
    </r>
    <r>
      <rPr>
        <sz val="10"/>
        <color theme="1"/>
        <rFont val="Arial Narrow"/>
        <family val="2"/>
      </rPr>
      <t xml:space="preserve"> El avance físico acumulado reportado para el Proyecto incluye los dos créditos del EXIMBANK. </t>
    </r>
  </si>
  <si>
    <t xml:space="preserve">Comisiones de compromisos pagadas </t>
  </si>
  <si>
    <r>
      <rPr>
        <b/>
        <sz val="10"/>
        <rFont val="Arial Narrow"/>
        <family val="2"/>
      </rPr>
      <t xml:space="preserve">1/ </t>
    </r>
    <r>
      <rPr>
        <sz val="10"/>
        <rFont val="Arial Narrow"/>
        <family val="2"/>
      </rPr>
      <t>Para dolarizar los montos de los préstamos cuya moneda contractual no fue pactada en dólares, se utilizó como referencia el valor del tipo de cambio al 30 de junio del 2022 de dicha moneda con respecto al dólar.</t>
    </r>
  </si>
  <si>
    <t>Índice de Desempeño del Costo 
(CPI)</t>
  </si>
  <si>
    <t>Variación a la Conclusión 
(VAC)</t>
  </si>
  <si>
    <t>Valor Planificado 
(PV)</t>
  </si>
  <si>
    <t>Valor Ganado 
(EV)</t>
  </si>
  <si>
    <t>Costo Real 
(AC)</t>
  </si>
  <si>
    <t>Presupuesto Hasta la Conclusión 
(BAC)</t>
  </si>
  <si>
    <t>Variación del Costo 
(CV)</t>
  </si>
  <si>
    <t>Variación del Cronograma 
(SV)</t>
  </si>
  <si>
    <t>Índice de Desempeño del Cronograma 
(SPI)</t>
  </si>
  <si>
    <t>Estimación a la conclusión 
(EAC)</t>
  </si>
  <si>
    <t>Estimación Hasta la Conclusión 
(ETC)</t>
  </si>
  <si>
    <r>
      <t xml:space="preserve">Estimación de tiempo hasta la Conclusión 
(TTC) </t>
    </r>
    <r>
      <rPr>
        <b/>
        <vertAlign val="superscript"/>
        <sz val="10"/>
        <color theme="1"/>
        <rFont val="Arial Narrow"/>
        <family val="2"/>
      </rPr>
      <t xml:space="preserve"> 2/</t>
    </r>
  </si>
  <si>
    <t>Índice de Desempeño del Trabajo por Completar 
(TCPI)</t>
  </si>
  <si>
    <t>ANEXO N° 8</t>
  </si>
  <si>
    <t>Anexo 1</t>
  </si>
  <si>
    <t>Anexo 2</t>
  </si>
  <si>
    <t>Anexo 3</t>
  </si>
  <si>
    <t>Anexo 4</t>
  </si>
  <si>
    <t>Anexo 5</t>
  </si>
  <si>
    <t>Anexo 6</t>
  </si>
  <si>
    <t>Anexo 7</t>
  </si>
  <si>
    <t>Anexo 8</t>
  </si>
  <si>
    <t>Anexo 5.1</t>
  </si>
  <si>
    <r>
      <t xml:space="preserve">
1/ </t>
    </r>
    <r>
      <rPr>
        <sz val="10"/>
        <color theme="1"/>
        <rFont val="Arial Narrow"/>
        <family val="2"/>
      </rPr>
      <t xml:space="preserve">Para determinar los años de ejecución (tanto para el período estipulado en el Contrato como para el período de ejecución real) se utilizó la fecha de suscripción del Contrato de Préstamo dado que éstos no requirieron de aprobación legislativa.
</t>
    </r>
  </si>
  <si>
    <r>
      <t xml:space="preserve">Rehabilitación y Ampliación de la Ruta Nacional No. 32 </t>
    </r>
    <r>
      <rPr>
        <vertAlign val="superscript"/>
        <sz val="10"/>
        <color theme="1"/>
        <rFont val="Arial Narrow"/>
        <family val="2"/>
      </rPr>
      <t>1/</t>
    </r>
  </si>
  <si>
    <r>
      <rPr>
        <b/>
        <sz val="10"/>
        <color theme="1"/>
        <rFont val="Arial Narrow"/>
        <family val="2"/>
      </rPr>
      <t xml:space="preserve">1/ </t>
    </r>
    <r>
      <rPr>
        <sz val="10"/>
        <color theme="1"/>
        <rFont val="Arial Narrow"/>
        <family val="2"/>
      </rPr>
      <t>Para el caso del Crédito Concesional (¥628.000.000,00) el monto del préstamo en dólares responde al monto desembolsado (utilizando las referencias cambiarias del acreedor), y al pagado a la empresa contratista a cargo del proyecto. Este crédito se desembolsó en su totalidad en el año 2019.</t>
    </r>
  </si>
  <si>
    <r>
      <rPr>
        <b/>
        <sz val="10"/>
        <rFont val="Arial Narrow"/>
        <family val="2"/>
      </rPr>
      <t>2/</t>
    </r>
    <r>
      <rPr>
        <sz val="10"/>
        <rFont val="Arial Narrow"/>
        <family val="2"/>
      </rPr>
      <t xml:space="preserve"> Para dolarizar los montos de los préstamos cuya moneda contractual no fue pactada en dólares, se utilizó como referencia el valor del tipo de cambio al 30 de junio del 2022 de dicha moneda con respecto al dólar.</t>
    </r>
  </si>
  <si>
    <r>
      <t xml:space="preserve">Proyecto Geotérmico Borinquen I </t>
    </r>
    <r>
      <rPr>
        <vertAlign val="superscript"/>
        <sz val="10"/>
        <color theme="1"/>
        <rFont val="Arial Narrow"/>
        <family val="2"/>
      </rPr>
      <t>2/</t>
    </r>
  </si>
  <si>
    <r>
      <t xml:space="preserve">Programa de Saneamiento en Zonas Prioritarias </t>
    </r>
    <r>
      <rPr>
        <vertAlign val="superscript"/>
        <sz val="10"/>
        <color theme="1"/>
        <rFont val="Arial Narrow"/>
        <family val="2"/>
      </rPr>
      <t>2/</t>
    </r>
  </si>
  <si>
    <t>Programa Abastecimiento del Área Metropolitana de San José, Acueductos Urbanos y Alcantarillado Sanitario de Puerto Viejo de Limón 1/</t>
  </si>
  <si>
    <t xml:space="preserve">Programa de Infraestructura de Transporte </t>
  </si>
  <si>
    <t xml:space="preserve">Programa por Resultados para el Fortalecimiento del Seguro Universal de Salud en Costa Rica </t>
  </si>
  <si>
    <t xml:space="preserve">Proyecto Geotérmico Borinquen I </t>
  </si>
  <si>
    <r>
      <rPr>
        <b/>
        <sz val="10"/>
        <color theme="1"/>
        <rFont val="Arial Narrow"/>
        <family val="2"/>
      </rPr>
      <t>6/</t>
    </r>
    <r>
      <rPr>
        <sz val="10"/>
        <color theme="1"/>
        <rFont val="Arial Narrow"/>
        <family val="2"/>
      </rPr>
      <t xml:space="preserve"> El Crédito Concesional que financia el Proyecto Ruta 32, se desembolsó en su totalidad (avance financiero: 100%) el 15 de mayo 2019. El monto del préstamo en dólares responde al monto desembolsado (utilizando las referencias cambiarias del acreedor), y pagado a la empresa contratista a cargo del Proyecto. Para efectos de calcular el periodo de ejecución real de dicho crédito, se utiliza la fecha de entrada en vigencia (efectividad dada por el Acreedor) y la fecha del último desembolso realizado por el Acreedor.</t>
    </r>
  </si>
  <si>
    <t>Anexos al Informe de Seguimiento de los Créditos Externos en Periodo de Ejecución 
del Gobierno Central y Resto del Sector Público
I Semestre 2022</t>
  </si>
  <si>
    <r>
      <rPr>
        <b/>
        <sz val="10"/>
        <color theme="1"/>
        <rFont val="Arial Narrow"/>
        <family val="2"/>
      </rPr>
      <t>1/</t>
    </r>
    <r>
      <rPr>
        <sz val="10"/>
        <color theme="1"/>
        <rFont val="Arial Narrow"/>
        <family val="2"/>
      </rPr>
      <t xml:space="preserve"> El Programa presentó un menor porcentaje de avance físico del 2017 al 2018 debido a que realizó un cambio al PGI en el cual se incluyen nuevos Proyectos, por lo cual se realizó un ajuste interno en los pesos de cada unos de los Proyectos afectando el avance físico. Adicionalmente, en el I trimestre 2022 nuevamente la UEN ajustó el avance físico, por ello, los avances son menores que el dato reportado a finales del 2021.</t>
    </r>
  </si>
  <si>
    <r>
      <rPr>
        <b/>
        <sz val="10"/>
        <color theme="1"/>
        <rFont val="Arial Narrow"/>
        <family val="2"/>
      </rPr>
      <t xml:space="preserve">2/ </t>
    </r>
    <r>
      <rPr>
        <sz val="10"/>
        <color theme="1"/>
        <rFont val="Arial Narrow"/>
        <family val="2"/>
      </rPr>
      <t>Se realiza una reprogramación de los proyectos del Programa BCIE 2164 Juanito Mora y BCIE2188-A PAACC, dado que se han materializado algunos incidentes que impactan de manera negativa la ejecución de los objetivos inicialmente planteados en la restricción de tiempo, por lo que el Gerente de Proyecto en conjunto con el equipo del proyecto: Diseñadores, Contratistas, Consultores, Abogados, Sociológos, envian a la Gerencia General la justificación de los ajustes en los avances físicos a la baja, para este periodo y la de los siguientes periodos y se da el V°B° de la Gerencia General.</t>
    </r>
  </si>
  <si>
    <r>
      <t xml:space="preserve">Programa de Abastecimiento del Área Metropolitana de San José, Acueductos Urbanos II y Alcantarillado Sanitario de Juanito Mora de Puntarenas </t>
    </r>
    <r>
      <rPr>
        <b/>
        <vertAlign val="superscript"/>
        <sz val="10"/>
        <color theme="1"/>
        <rFont val="Arial Narrow"/>
        <family val="2"/>
      </rPr>
      <t>2/</t>
    </r>
  </si>
  <si>
    <r>
      <t xml:space="preserve">Programa de Agua Potable y Saneamiento de Zonas Costeras, Gestión de la Calidad y Eficiencia del Servicio. </t>
    </r>
    <r>
      <rPr>
        <b/>
        <vertAlign val="superscript"/>
        <sz val="10"/>
        <color theme="1"/>
        <rFont val="Arial Narrow"/>
        <family val="2"/>
      </rPr>
      <t>2/</t>
    </r>
  </si>
  <si>
    <r>
      <rPr>
        <b/>
        <sz val="10"/>
        <rFont val="Arial Narrow"/>
        <family val="2"/>
      </rPr>
      <t>3/</t>
    </r>
    <r>
      <rPr>
        <sz val="10"/>
        <rFont val="Arial Narrow"/>
        <family val="2"/>
      </rPr>
      <t xml:space="preserve"> Durante el I Trimestre 2021, el Ejecutor aplicó un cambio a la metodología que venía implementando para estimar de avance físico del Programa, considerando las mejoras implementadas por parte del PIT para el cumplimiento de las disposiciones establecidas por la CGR.</t>
    </r>
  </si>
  <si>
    <r>
      <t xml:space="preserve">Programa de Infraestructura de Transporte </t>
    </r>
    <r>
      <rPr>
        <vertAlign val="superscript"/>
        <sz val="10"/>
        <color theme="1"/>
        <rFont val="Arial Narrow"/>
        <family val="2"/>
      </rPr>
      <t>3/</t>
    </r>
  </si>
  <si>
    <r>
      <rPr>
        <b/>
        <sz val="10"/>
        <color theme="1"/>
        <rFont val="Arial Narrow"/>
        <family val="2"/>
      </rPr>
      <t>4/</t>
    </r>
    <r>
      <rPr>
        <sz val="10"/>
        <color theme="1"/>
        <rFont val="Arial Narrow"/>
        <family val="2"/>
      </rPr>
      <t xml:space="preserve"> El avance físico corresponde al avance global de los indicadores del Programa, calculado por la CCSS. </t>
    </r>
  </si>
  <si>
    <r>
      <t xml:space="preserve">Programa por Resultados para el Fortalecimiento del Seguro Universal de Salud en Costa Rica </t>
    </r>
    <r>
      <rPr>
        <vertAlign val="superscript"/>
        <sz val="10"/>
        <color theme="1"/>
        <rFont val="Arial Narrow"/>
        <family val="2"/>
      </rPr>
      <t>4</t>
    </r>
    <r>
      <rPr>
        <b/>
        <vertAlign val="superscript"/>
        <sz val="10"/>
        <color theme="1"/>
        <rFont val="Arial Narrow"/>
        <family val="2"/>
      </rPr>
      <t>/</t>
    </r>
  </si>
  <si>
    <r>
      <t xml:space="preserve">Rehabilitación y Ampliación de la Ruta Nacional No. 32 </t>
    </r>
    <r>
      <rPr>
        <vertAlign val="superscript"/>
        <sz val="10"/>
        <color theme="1"/>
        <rFont val="Arial Narrow"/>
        <family val="2"/>
      </rPr>
      <t>5</t>
    </r>
    <r>
      <rPr>
        <b/>
        <vertAlign val="superscript"/>
        <sz val="10"/>
        <color theme="1"/>
        <rFont val="Arial Narrow"/>
        <family val="2"/>
      </rPr>
      <t xml:space="preserve">/ </t>
    </r>
    <r>
      <rPr>
        <vertAlign val="superscript"/>
        <sz val="10"/>
        <color theme="1"/>
        <rFont val="Arial Narrow"/>
        <family val="2"/>
      </rPr>
      <t>8/</t>
    </r>
  </si>
  <si>
    <r>
      <rPr>
        <b/>
        <sz val="10"/>
        <color theme="1"/>
        <rFont val="Arial Narrow"/>
        <family val="2"/>
      </rPr>
      <t xml:space="preserve">8/ </t>
    </r>
    <r>
      <rPr>
        <sz val="10"/>
        <color theme="1"/>
        <rFont val="Arial Narrow"/>
        <family val="2"/>
      </rPr>
      <t>Para el caso del Crédito Concesional (¥628.000.000,00) el monto del préstamo en dólares responde al monto desembolsado (utilizando las referencias cambiarias del acreedor), y al pagado a la empresa contratista a cargo del proyecto. Este crédito se desembolsó en su totalidad en el año 2019.</t>
    </r>
  </si>
  <si>
    <r>
      <rPr>
        <b/>
        <sz val="10"/>
        <color theme="1"/>
        <rFont val="Arial Narrow"/>
        <family val="2"/>
      </rPr>
      <t xml:space="preserve">9/ </t>
    </r>
    <r>
      <rPr>
        <sz val="10"/>
        <color theme="1"/>
        <rFont val="Arial Narrow"/>
        <family val="2"/>
      </rPr>
      <t>Para dolarizar los montos de los préstamos cuya moneda contractual no fue pactada en dólares, se utilizó como referencia el valor del tipo de cambio al 30 junio del 2022 de dicha moneda con respecto al dólar.</t>
    </r>
  </si>
  <si>
    <r>
      <t xml:space="preserve">Proyecto Geotérmico Borinquen I </t>
    </r>
    <r>
      <rPr>
        <vertAlign val="superscript"/>
        <sz val="10"/>
        <color theme="1"/>
        <rFont val="Arial Narrow"/>
        <family val="2"/>
      </rPr>
      <t>9/</t>
    </r>
  </si>
  <si>
    <r>
      <t xml:space="preserve">Programa de Saneamiento en Zonas Prioritarias </t>
    </r>
    <r>
      <rPr>
        <vertAlign val="superscript"/>
        <sz val="10"/>
        <color theme="1"/>
        <rFont val="Arial Narrow"/>
        <family val="2"/>
      </rPr>
      <t>9/</t>
    </r>
  </si>
  <si>
    <t>Programa de Acueductos y Alcantarillados en Ciudades Costeras y construcción del Laboratorio Nacional de Aguas (PAACC)</t>
  </si>
  <si>
    <r>
      <t xml:space="preserve">Programa de Agua Potable y Saneamiento de Zonas Costeras, Gestión de la Calidad y Eficiencia del Servicio </t>
    </r>
    <r>
      <rPr>
        <vertAlign val="superscript"/>
        <sz val="10"/>
        <color theme="1"/>
        <rFont val="Arial Narrow"/>
        <family val="2"/>
      </rPr>
      <t>1/</t>
    </r>
  </si>
  <si>
    <t>Programa de Alcantarillado y Control de Inundaciones para Limón/SENARA</t>
  </si>
  <si>
    <t>El monto considerado en la formulación de la Ley 9690, es insuficiente para poder cumplir con los objetivos del proyecto, en cuanto a los gastos operativos se refiere.</t>
  </si>
  <si>
    <t>No impacta el alcance del Proyecto, hay un compromiso institucional para la gestión e incorporación de los recursos adicionales de contrapartida para los periodos de 2022 a 2025, en los resultados presentados en este informe de avance se presenta unajuste con los recursos disponibles a la fecha, los recurso se iran integrando en la programación enorme estén aprobados e incorporados en el presupuesto institucional.</t>
  </si>
  <si>
    <t>Cabe resaltar que se espera incoporar para el 2022 parte del monto requerido para cubrir las obras sustantivas y se proyecto al 2022 US$646,000</t>
  </si>
  <si>
    <t>Posterior a la atualización del cuadro de costos en octubre del 2021 , durante el periodo 2021 la Unidad Ejecutora-PAPS (UE-PAPS) realizó una actualización de los presupuestos de las obras pendientes de ejecutar para efectos del trámite del estudios de factibilidad que necesitan enviar a MIDEPLAN para la aprobación del crédito en trámite con el BNCR para cubrir parte de las obras sin financiamiento. Este estudio determino un incremento en los costos de las obras pendientes de financiar.</t>
  </si>
  <si>
    <t>El resultado de esa actualización aumenta los costos del proyecto a US$697,387,927.19, presentando variación la línea “pendiente de financiamiento” que aumenta a US$255,047,973.14 (US$33,558,642.88 aumento marginal) y el “aporte local” que disminuye a US$139,562,549.78, debido al ajuste de las proyecciones de la gestión del Programa y del contrato de Inspección.</t>
  </si>
  <si>
    <t xml:space="preserve">Se presento según el estudio de actualización de costos a diciembre 2021 un incremento por US$33,558,642,88, lo cual son recursos pendientes de financiar y que pueden impactar en el objetivo de poner a trabajar la Planta de Tratamiento Los Tajos al menos en un 65%. </t>
  </si>
  <si>
    <t>Las dos obras de mayor alcance e impacto del Programa son Paso Canoas y Peñas Blancas, en ambos casos, se excedió el presupuesto estimado/previsto para la construcción y equipamiento del ambos Pyestos Fronterizos, el sobrecosto es atribuido al incremento en los materiales de la construcción por la guerra entre Rusia y Ucrania.</t>
  </si>
  <si>
    <t>Se daría un aumento de US$10 Millones producto de los sobrecostos del Programa, mismo que se realizaría en el componente I del Programa.</t>
  </si>
  <si>
    <t>La UC mantenía tres propuestas al Gobierno para enfrentar el sobrecosto, por ello se escogió la de menor monto( $10 millones) para cumplir con todos los productos incluidos en el alcance del Programa, sin embargo,  las intervenciones en Sabalito y Las Tablillas serán de menor escala.</t>
  </si>
  <si>
    <t>Paso Canoas-Peñas Blancas-Sabalito y Las Tablillas</t>
  </si>
  <si>
    <t>Proyecto Rehabilitación y Ampliación de la Ruta Nacional N°32, Sección: Intersección con la Ruta Nacional 4 - Limón. */</t>
  </si>
  <si>
    <t>Inclusión de obras adicionales al proyecto, requeridas por las comunidades que se encuentrar cercanas al mismo. Estas obras podrían incluir: retornos, puentes peatonales, calles margionales, ciclovias, bahías de autobuses, aceras, rotondas y accesosa a fincas que no estaban contemplados en el alcance inicial del proyecto</t>
  </si>
  <si>
    <t>El alcance del proyecto se ampliaría con la inclusión de estas obras adicionales.</t>
  </si>
  <si>
    <t>No Disponible</t>
  </si>
  <si>
    <t>La UE lo que tiene es una estimación de lo que podrían costar las obras adicionales.  Se está llevando a cabo un estudio de prefactibilidad para analizar y tomar una decisión al respecto.  Dada la indefinición al respecto, se desconoce el plazo que tomaria su construcción y la fuente que las financiaría, sin embargo, de momento se contempla que podrían ser pagadas con recursos del CONAVI (no se descarta buscar un financiamiento).</t>
  </si>
  <si>
    <t>1) Ampliación en el plazo de ejecución del contrato del Gestor del Proyecto, lo cual a su vez generó un incremento en el costo. 2) aumento en la partida de relocalización de servicios.  Todo financiado con CN</t>
  </si>
  <si>
    <t>No afecta los objetivos o resultados del Proyecto</t>
  </si>
  <si>
    <t>Se modiica el Plan de Inversión Vigente en cuanto a la fuente de contrapartida, que se incrementó para este periodo</t>
  </si>
  <si>
    <t>El aumento en los costos, según la UEN es debido a las secuelas de la pandemia del COVID-19, el conflicto Ucrania-Rusia, lo cual ha afectado tanto, el precio de los combustibles como el de los transportes internacionales; además el precio del dólar y el Euro, las cadenas de producción y precios finales de productos. Además se indica que los Presupuestos referenciales del Programa estaban subestimados, lo cual a traerlos a los precios actuales se dio un aumento importante.</t>
  </si>
  <si>
    <t>El Programa con el presupuesto actual no podría cubrir todas las obras, por lo que el aumento permitiría lograr el alcance.</t>
  </si>
  <si>
    <t>El Banco está enterado de la situación, sin embargo, dado el monto que estiman estaría faltando, se estpan valorando las opciones posibles para financiarlo.</t>
  </si>
  <si>
    <t>Jacó/ Quepos/ Golfito y Palmares</t>
  </si>
  <si>
    <t>*/ En el costo total del Proyecto se incluye US$9,211,605.85 correspondientes al  diferencial cambiario del Crédito Concesional, que la administración deberá cubrir, para cumplir con los pagos a la empresa contratista.  A la fecha, no se tiene definida formalmente, la fuente que financiará este monto.</t>
  </si>
  <si>
    <t xml:space="preserve">20 años a partir del primer desembolso </t>
  </si>
  <si>
    <r>
      <rPr>
        <b/>
        <sz val="10"/>
        <color theme="1"/>
        <rFont val="Arial Narrow"/>
        <family val="2"/>
      </rPr>
      <t>1/</t>
    </r>
    <r>
      <rPr>
        <sz val="10"/>
        <color theme="1"/>
        <rFont val="Arial Narrow"/>
        <family val="2"/>
      </rPr>
      <t xml:space="preserve"> El Programa BCIE 1725 y BID 2852/OC-CR concluyeron con el plazo de desembolso establecido por el Acreedor. Los recursos no se desembolsaron al 100%, por lo tanto se prescindieron por el Banco respecivo.</t>
    </r>
  </si>
  <si>
    <r>
      <t xml:space="preserve">Programa Abastecimiento del Área Metropolitana de San José, Acueductos Urbanos y Alcantarillado Sanitario de Puerto Viejo de Limón </t>
    </r>
    <r>
      <rPr>
        <b/>
        <vertAlign val="superscript"/>
        <sz val="10"/>
        <color theme="1"/>
        <rFont val="Arial Narrow"/>
        <family val="2"/>
      </rPr>
      <t>1/</t>
    </r>
  </si>
  <si>
    <t xml:space="preserve">Monto del préstamo (en US$) </t>
  </si>
  <si>
    <r>
      <rPr>
        <b/>
        <sz val="10"/>
        <color theme="1"/>
        <rFont val="Arial Narrow"/>
        <family val="2"/>
      </rPr>
      <t xml:space="preserve">3/ </t>
    </r>
    <r>
      <rPr>
        <sz val="10"/>
        <color theme="1"/>
        <rFont val="Arial Narrow"/>
        <family val="2"/>
      </rPr>
      <t>Se esta gestionando una prorroga del programa para el Programa el cual se extendería por 24 meses adicionales para la gestión de los desembolsos. .</t>
    </r>
  </si>
  <si>
    <r>
      <t xml:space="preserve">Programa de Infraestructura de Transporte </t>
    </r>
    <r>
      <rPr>
        <b/>
        <vertAlign val="superscript"/>
        <sz val="10"/>
        <color theme="1"/>
        <rFont val="Arial Narrow"/>
        <family val="2"/>
      </rPr>
      <t>3/</t>
    </r>
  </si>
  <si>
    <r>
      <t xml:space="preserve">4/ </t>
    </r>
    <r>
      <rPr>
        <sz val="10"/>
        <color theme="1"/>
        <rFont val="Arial Narrow"/>
        <family val="2"/>
      </rPr>
      <t>La fecha de pago de conformidad con los plazos establecidos en el contrato de préstamo es el 07/12/2036, las cláusulas establecen que los pagos deben realizarse el 21 de marzo y 21 de setiembre, por lo que la última amortización se realizaría el 21 de setiembre del 2036.</t>
    </r>
  </si>
  <si>
    <r>
      <rPr>
        <b/>
        <sz val="10"/>
        <color theme="1"/>
        <rFont val="Arial Narrow"/>
        <family val="2"/>
      </rPr>
      <t>5/</t>
    </r>
    <r>
      <rPr>
        <sz val="10"/>
        <color theme="1"/>
        <rFont val="Arial Narrow"/>
        <family val="2"/>
      </rPr>
      <t xml:space="preserve"> Para el caso del Crédito Concesional (¥628.000.000,00) el monto del préstamo en dólares responde al monto desembolsado (utilizando las referencias cambiarias del acreedor), y al pagado a la empresa contratista a cargo del proyecto. Este crédito se desembolsó en su totalidad en el año 2019.</t>
    </r>
  </si>
  <si>
    <r>
      <t>Rehabilitación y Ampliación de la Ruta Nacional No. 32</t>
    </r>
    <r>
      <rPr>
        <b/>
        <sz val="10"/>
        <color theme="1"/>
        <rFont val="Arial Narrow"/>
        <family val="2"/>
      </rPr>
      <t xml:space="preserve"> </t>
    </r>
    <r>
      <rPr>
        <b/>
        <vertAlign val="superscript"/>
        <sz val="10"/>
        <color theme="1"/>
        <rFont val="Arial Narrow"/>
        <family val="2"/>
      </rPr>
      <t>3/4</t>
    </r>
    <r>
      <rPr>
        <vertAlign val="superscript"/>
        <sz val="10"/>
        <color theme="1"/>
        <rFont val="Arial Narrow"/>
        <family val="2"/>
      </rPr>
      <t>/</t>
    </r>
  </si>
  <si>
    <r>
      <t xml:space="preserve">Rehabilitación y Ampliación de la Ruta Nacional No. 32 </t>
    </r>
    <r>
      <rPr>
        <b/>
        <vertAlign val="superscript"/>
        <sz val="10"/>
        <color theme="1"/>
        <rFont val="Arial Narrow"/>
        <family val="2"/>
      </rPr>
      <t>4/</t>
    </r>
  </si>
  <si>
    <r>
      <rPr>
        <b/>
        <sz val="10"/>
        <color theme="1"/>
        <rFont val="Arial Narrow"/>
        <family val="2"/>
      </rPr>
      <t>6/</t>
    </r>
    <r>
      <rPr>
        <sz val="10"/>
        <color theme="1"/>
        <rFont val="Arial Narrow"/>
        <family val="2"/>
      </rPr>
      <t xml:space="preserve"> Para dolarizar los montos de los préstamos cuya moneda contractual no fue pactada en dólares, se utilizó como referencia el valor del tipo de cambio al 30 de junio del 2022 de dicha moneda con respecto al dólar.</t>
    </r>
  </si>
  <si>
    <r>
      <t xml:space="preserve">Proyecto Geotérmico Borinquen I </t>
    </r>
    <r>
      <rPr>
        <b/>
        <vertAlign val="superscript"/>
        <sz val="10"/>
        <color theme="1"/>
        <rFont val="Arial Narrow"/>
        <family val="2"/>
      </rPr>
      <t>6/</t>
    </r>
  </si>
  <si>
    <r>
      <t xml:space="preserve">Programa de Saneamiento en Zonas Prioritarias </t>
    </r>
    <r>
      <rPr>
        <b/>
        <vertAlign val="superscript"/>
        <sz val="10"/>
        <color theme="1"/>
        <rFont val="Arial Narrow"/>
        <family val="2"/>
      </rPr>
      <t>6/</t>
    </r>
  </si>
  <si>
    <r>
      <rPr>
        <b/>
        <sz val="10"/>
        <color theme="1"/>
        <rFont val="Arial Narrow"/>
        <family val="2"/>
      </rPr>
      <t xml:space="preserve">3/ </t>
    </r>
    <r>
      <rPr>
        <sz val="10"/>
        <color theme="1"/>
        <rFont val="Arial Narrow"/>
        <family val="2"/>
      </rPr>
      <t>De acuerdo a la metodología de cálculo del avance físico que utiliza la UE, el porcentaje de avance se mide en actividades (iniciales, convocatorias y adjudicaciones) siendo que la metodología contempla contabilizar todo el trabajo realizado previamente por la UE y no solamente la meta de beneficiarios acordada por el Banco; en razón de esto el porcentaje físico alcanzó el 100% al 30 de setiembre de 2021.</t>
    </r>
  </si>
  <si>
    <r>
      <t xml:space="preserve">Rehabilitación y Ampliación de la Ruta Nacional No. 32 </t>
    </r>
    <r>
      <rPr>
        <vertAlign val="superscript"/>
        <sz val="10"/>
        <color theme="1"/>
        <rFont val="Arial Narrow"/>
        <family val="2"/>
      </rPr>
      <t>3/</t>
    </r>
  </si>
  <si>
    <r>
      <rPr>
        <b/>
        <sz val="10"/>
        <color theme="1"/>
        <rFont val="Arial Narrow"/>
        <family val="2"/>
      </rPr>
      <t xml:space="preserve">3/ </t>
    </r>
    <r>
      <rPr>
        <sz val="10"/>
        <color theme="1"/>
        <rFont val="Arial Narrow"/>
        <family val="2"/>
      </rPr>
      <t>Para el caso del Crédito Concesional (¥628.000.000,00) el monto del préstamo en dólares responde al monto desembolsado (utilizando las referencias cambiarias del acreedor), y al pagado a la empresa contratista a cargo del Proyecto. Este crédito se desembolsó en su totalidad en el año 2019.</t>
    </r>
  </si>
  <si>
    <r>
      <rPr>
        <b/>
        <sz val="10"/>
        <color theme="1"/>
        <rFont val="Arial Narrow"/>
        <family val="2"/>
      </rPr>
      <t>1/</t>
    </r>
    <r>
      <rPr>
        <sz val="10"/>
        <color theme="1"/>
        <rFont val="Arial Narrow"/>
        <family val="2"/>
      </rPr>
      <t xml:space="preserve"> El Programa no desembolsó US$4.051.243 por lo que el Banco procedió a desobligar dicho monto del Contrato de Préstamo.</t>
    </r>
  </si>
  <si>
    <r>
      <rPr>
        <b/>
        <sz val="10"/>
        <color theme="1"/>
        <rFont val="Arial Narrow"/>
        <family val="2"/>
      </rPr>
      <t xml:space="preserve">2/ </t>
    </r>
    <r>
      <rPr>
        <sz val="10"/>
        <color theme="1"/>
        <rFont val="Arial Narrow"/>
        <family val="2"/>
      </rPr>
      <t>Se esta gestionando una prorroga del programa para el Programa el cual se extendería por 24 meses adicionales para la gestión de los desembolsos. .</t>
    </r>
  </si>
  <si>
    <t xml:space="preserve">Programa de Alcantarillado y Control de Inundaciones para Limón </t>
  </si>
  <si>
    <r>
      <t xml:space="preserve">Programa de Infraestructura de Transporte </t>
    </r>
    <r>
      <rPr>
        <b/>
        <vertAlign val="superscript"/>
        <sz val="10"/>
        <color theme="1"/>
        <rFont val="Arial Narrow"/>
        <family val="2"/>
      </rPr>
      <t>2/</t>
    </r>
  </si>
  <si>
    <r>
      <rPr>
        <b/>
        <sz val="10"/>
        <rFont val="Arial Narrow"/>
        <family val="2"/>
      </rPr>
      <t>4/</t>
    </r>
    <r>
      <rPr>
        <sz val="10"/>
        <rFont val="Arial Narrow"/>
        <family val="2"/>
      </rPr>
      <t xml:space="preserve"> Para dolarizar los montos de los préstamos cuya moneda contractual no fue pactada en dólares, se utilizó como referencia el valor del tipo de cambio al 30 de junio del 2022 de dicha moneda con respecto al dólar.</t>
    </r>
  </si>
  <si>
    <r>
      <t xml:space="preserve">Proyecto Geotérmico Borinquen I </t>
    </r>
    <r>
      <rPr>
        <vertAlign val="superscript"/>
        <sz val="10"/>
        <color theme="1"/>
        <rFont val="Arial Narrow"/>
        <family val="2"/>
      </rPr>
      <t>4/ 5/</t>
    </r>
  </si>
  <si>
    <r>
      <t xml:space="preserve">Programa de Saneamiento en Zonas Prioritarias </t>
    </r>
    <r>
      <rPr>
        <vertAlign val="superscript"/>
        <sz val="10"/>
        <color theme="1"/>
        <rFont val="Arial Narrow"/>
        <family val="2"/>
      </rPr>
      <t>4/</t>
    </r>
  </si>
  <si>
    <t>Programa de Gestión Fiscal y de Descarbonización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</si>
</sst>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dd/mm/yyyy;@"/>
    <numFmt numFmtId="167" formatCode="_([$€-2]* #,##0.00_);_([$€-2]* \(#,##0.00\);_([$€-2]* &quot;-&quot;??_)"/>
    <numFmt numFmtId="168" formatCode="_-* #,##0.00\ &quot;€&quot;_-;\-* #,##0.00\ &quot;€&quot;_-;_-* &quot;-&quot;??\ &quot;€&quot;_-;_-@_-"/>
    <numFmt numFmtId="169" formatCode="#,##0.0000"/>
    <numFmt numFmtId="170" formatCode="_(* #,##0.0000_);_(* \(#,##0.0000\);_(* &quot;-&quot;??_);_(@_)"/>
    <numFmt numFmtId="171" formatCode="_(* #,##0.0000_);_(* \(#,##0.0000\);_(* &quot;-&quot;????_);_(@_)"/>
    <numFmt numFmtId="172" formatCode="_(* #,##0.000_);_(* \(#,##0.000\);_(* &quot;-&quot;??_);_(@_)"/>
    <numFmt numFmtId="173" formatCode="_-* #,##0.000_-;\-* #,##0.000_-;_-* &quot;-&quot;???_-;_-@_-"/>
    <numFmt numFmtId="174" formatCode="0.00_ ;[Red]\-0.00\ "/>
    <numFmt numFmtId="175" formatCode="#,##0.0"/>
    <numFmt numFmtId="176" formatCode="#,##0.00000"/>
  </numFmts>
  <fonts count="54">
    <font>
      <sz val="10"/>
      <name val="Courie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8"/>
      <name val="Courier"/>
      <family val="3"/>
    </font>
    <font>
      <sz val="10"/>
      <name val="Courier"/>
      <family val="3"/>
    </font>
    <font>
      <sz val="10"/>
      <name val="Courier"/>
      <family val="3"/>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sz val="11"/>
      <color theme="1"/>
      <name val="Calibri"/>
      <family val="2"/>
      <scheme val="minor"/>
    </font>
    <font>
      <sz val="12"/>
      <name val="ＭＳ ゴシック"/>
      <family val="3"/>
      <charset val="128"/>
    </font>
    <font>
      <sz val="10"/>
      <name val="Arial"/>
      <family val="2"/>
    </font>
    <font>
      <b/>
      <sz val="10"/>
      <color theme="1"/>
      <name val="Arial Narrow"/>
      <family val="2"/>
    </font>
    <font>
      <sz val="10"/>
      <color theme="1"/>
      <name val="Arial Narrow"/>
      <family val="2"/>
    </font>
    <font>
      <b/>
      <sz val="10"/>
      <name val="Arial Narrow"/>
      <family val="2"/>
    </font>
    <font>
      <sz val="10"/>
      <name val="Arial Narrow"/>
      <family val="2"/>
    </font>
    <font>
      <b/>
      <u/>
      <sz val="10"/>
      <color theme="1"/>
      <name val="Arial Narrow"/>
      <family val="2"/>
    </font>
    <font>
      <b/>
      <vertAlign val="superscript"/>
      <sz val="10"/>
      <color theme="1"/>
      <name val="Arial Narrow"/>
      <family val="2"/>
    </font>
    <font>
      <sz val="10"/>
      <color rgb="FFFF0000"/>
      <name val="Arial Narrow"/>
      <family val="2"/>
    </font>
    <font>
      <b/>
      <vertAlign val="superscript"/>
      <sz val="10"/>
      <name val="Arial Narrow"/>
      <family val="2"/>
    </font>
    <font>
      <b/>
      <sz val="9"/>
      <color theme="1"/>
      <name val="Arial"/>
      <family val="2"/>
    </font>
    <font>
      <vertAlign val="superscript"/>
      <sz val="10"/>
      <color theme="1"/>
      <name val="Arial Narrow"/>
      <family val="2"/>
    </font>
    <font>
      <sz val="8"/>
      <color theme="1"/>
      <name val="Arial Narrow"/>
      <family val="2"/>
    </font>
    <font>
      <sz val="8"/>
      <color rgb="FF000000"/>
      <name val="Arial Narrow"/>
      <family val="2"/>
    </font>
    <font>
      <b/>
      <sz val="8"/>
      <color theme="1"/>
      <name val="Arial Narrow"/>
      <family val="2"/>
    </font>
    <font>
      <sz val="10"/>
      <color rgb="FF000000"/>
      <name val="Arial Narrow"/>
      <family val="2"/>
    </font>
    <font>
      <b/>
      <sz val="10"/>
      <color theme="0"/>
      <name val="Arial Narrow"/>
      <family val="2"/>
    </font>
    <font>
      <u/>
      <sz val="10"/>
      <color theme="10"/>
      <name val="Courier"/>
    </font>
    <font>
      <b/>
      <sz val="16"/>
      <name val="Arial"/>
      <family val="2"/>
    </font>
    <font>
      <b/>
      <sz val="10"/>
      <name val="Arial"/>
      <family val="2"/>
    </font>
    <font>
      <u/>
      <sz val="10"/>
      <color theme="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s>
  <cellStyleXfs count="515">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0" fillId="21" borderId="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23" fillId="7" borderId="1" applyNumberFormat="0" applyAlignment="0" applyProtection="0"/>
    <xf numFmtId="0" fontId="23" fillId="7" borderId="1" applyNumberFormat="0" applyAlignment="0" applyProtection="0"/>
    <xf numFmtId="0" fontId="23" fillId="7" borderId="1" applyNumberFormat="0" applyAlignment="0" applyProtection="0"/>
    <xf numFmtId="0" fontId="23" fillId="7" borderId="1" applyNumberFormat="0" applyAlignment="0" applyProtection="0"/>
    <xf numFmtId="167" fontId="14" fillId="0" borderId="0" applyFont="0" applyFill="0" applyBorder="0" applyAlignment="0" applyProtection="0"/>
    <xf numFmtId="167" fontId="13" fillId="0" borderId="0" applyFont="0" applyFill="0" applyBorder="0" applyAlignment="0" applyProtection="0"/>
    <xf numFmtId="0" fontId="24" fillId="0" borderId="0" applyNumberFormat="0" applyFill="0" applyBorder="0" applyAlignment="0" applyProtection="0"/>
    <xf numFmtId="0" fontId="18" fillId="4"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3" fillId="7" borderId="1" applyNumberFormat="0" applyAlignment="0" applyProtection="0"/>
    <xf numFmtId="0" fontId="21" fillId="0" borderId="3" applyNumberFormat="0" applyFill="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3" fillId="0" borderId="0"/>
    <xf numFmtId="0" fontId="11" fillId="0" borderId="0"/>
    <xf numFmtId="0" fontId="13" fillId="0" borderId="0"/>
    <xf numFmtId="0" fontId="32" fillId="0" borderId="0"/>
    <xf numFmtId="0" fontId="11" fillId="0" borderId="0"/>
    <xf numFmtId="0" fontId="10" fillId="0" borderId="0"/>
    <xf numFmtId="0" fontId="14" fillId="0" borderId="0"/>
    <xf numFmtId="0" fontId="10" fillId="0" borderId="0"/>
    <xf numFmtId="0" fontId="10"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10" fillId="23" borderId="7" applyNumberFormat="0" applyFont="0" applyAlignment="0" applyProtection="0"/>
    <xf numFmtId="0" fontId="11" fillId="23" borderId="7" applyNumberFormat="0" applyFont="0" applyAlignment="0" applyProtection="0"/>
    <xf numFmtId="0" fontId="28" fillId="20" borderId="8"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28" fillId="20" borderId="8" applyNumberFormat="0" applyAlignment="0" applyProtection="0"/>
    <xf numFmtId="0" fontId="28" fillId="20" borderId="8" applyNumberFormat="0" applyAlignment="0" applyProtection="0"/>
    <xf numFmtId="0" fontId="28" fillId="20" borderId="8" applyNumberFormat="0" applyAlignment="0" applyProtection="0"/>
    <xf numFmtId="0" fontId="28" fillId="20" borderId="8"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29" fillId="0" borderId="0" applyNumberFormat="0" applyFill="0" applyBorder="0" applyAlignment="0" applyProtection="0"/>
    <xf numFmtId="0" fontId="9" fillId="0" borderId="0"/>
    <xf numFmtId="165" fontId="9" fillId="0" borderId="0" applyFont="0" applyFill="0" applyBorder="0" applyAlignment="0" applyProtection="0"/>
    <xf numFmtId="9" fontId="9" fillId="0" borderId="0" applyFont="0" applyFill="0" applyBorder="0" applyAlignment="0" applyProtection="0"/>
    <xf numFmtId="0" fontId="13"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8" fillId="4"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21" fillId="0" borderId="3" applyNumberFormat="0" applyFill="0" applyAlignment="0" applyProtection="0"/>
    <xf numFmtId="0" fontId="22" fillId="0" borderId="0" applyNumberFormat="0" applyFill="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23" fillId="7" borderId="1" applyNumberFormat="0" applyAlignment="0" applyProtection="0"/>
    <xf numFmtId="0" fontId="17" fillId="3" borderId="0" applyNumberFormat="0" applyBorder="0" applyAlignment="0" applyProtection="0"/>
    <xf numFmtId="165" fontId="11" fillId="0" borderId="0" applyFont="0" applyFill="0" applyBorder="0" applyAlignment="0" applyProtection="0"/>
    <xf numFmtId="0" fontId="27" fillId="22" borderId="0" applyNumberFormat="0" applyBorder="0" applyAlignment="0" applyProtection="0"/>
    <xf numFmtId="0" fontId="9" fillId="0" borderId="0"/>
    <xf numFmtId="0" fontId="11" fillId="0" borderId="0"/>
    <xf numFmtId="0" fontId="11" fillId="23" borderId="7" applyNumberFormat="0" applyFont="0" applyAlignment="0" applyProtection="0"/>
    <xf numFmtId="9" fontId="11" fillId="0" borderId="0" applyFont="0" applyFill="0" applyBorder="0" applyAlignment="0" applyProtection="0"/>
    <xf numFmtId="0" fontId="28" fillId="20" borderId="8" applyNumberFormat="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30"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2" fillId="0" borderId="6" applyNumberFormat="0" applyFill="0" applyAlignment="0" applyProtection="0"/>
    <xf numFmtId="0" fontId="31" fillId="0" borderId="9" applyNumberFormat="0" applyFill="0" applyAlignment="0" applyProtection="0"/>
    <xf numFmtId="0" fontId="11" fillId="23" borderId="7" applyNumberFormat="0" applyFont="0" applyAlignment="0" applyProtection="0"/>
    <xf numFmtId="0" fontId="8" fillId="0" borderId="0"/>
    <xf numFmtId="165" fontId="8" fillId="0" borderId="0" applyFont="0" applyFill="0" applyBorder="0" applyAlignment="0" applyProtection="0"/>
    <xf numFmtId="9" fontId="8"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0" fontId="33" fillId="0" borderId="0">
      <alignment vertical="center"/>
    </xf>
    <xf numFmtId="0" fontId="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alignment vertical="center"/>
    </xf>
    <xf numFmtId="0" fontId="34" fillId="0" borderId="0"/>
    <xf numFmtId="168"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0" fontId="10" fillId="0" borderId="0"/>
    <xf numFmtId="0" fontId="10" fillId="0" borderId="0"/>
    <xf numFmtId="0" fontId="10" fillId="0" borderId="0"/>
    <xf numFmtId="0" fontId="7"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6" fillId="0" borderId="0"/>
    <xf numFmtId="0" fontId="10" fillId="0" borderId="0"/>
    <xf numFmtId="9" fontId="10" fillId="0" borderId="0" applyFont="0" applyFill="0" applyBorder="0" applyAlignment="0" applyProtection="0"/>
    <xf numFmtId="0" fontId="10"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13" fillId="0" borderId="0"/>
    <xf numFmtId="164" fontId="13" fillId="0" borderId="0" applyFont="0" applyFill="0" applyBorder="0" applyAlignment="0" applyProtection="0"/>
    <xf numFmtId="165" fontId="10" fillId="0" borderId="0" applyFont="0" applyFill="0" applyBorder="0" applyAlignment="0" applyProtection="0"/>
    <xf numFmtId="0" fontId="5" fillId="0" borderId="0"/>
    <xf numFmtId="0" fontId="10" fillId="0" borderId="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10" fillId="0" borderId="0"/>
    <xf numFmtId="0" fontId="10" fillId="23" borderId="7" applyNumberFormat="0" applyFont="0" applyAlignment="0" applyProtection="0"/>
    <xf numFmtId="9" fontId="10" fillId="0" borderId="0" applyFont="0" applyFill="0" applyBorder="0" applyAlignment="0" applyProtection="0"/>
    <xf numFmtId="0" fontId="10" fillId="23" borderId="7" applyNumberFormat="0" applyFont="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8" fontId="10" fillId="0" borderId="0" applyFont="0" applyFill="0" applyBorder="0" applyAlignment="0" applyProtection="0"/>
    <xf numFmtId="0" fontId="5" fillId="0" borderId="0"/>
    <xf numFmtId="0" fontId="10"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4"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2" fillId="0" borderId="0"/>
    <xf numFmtId="165" fontId="2" fillId="0" borderId="0" applyFont="0" applyFill="0" applyBorder="0" applyAlignment="0" applyProtection="0"/>
    <xf numFmtId="0" fontId="13"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 fillId="0" borderId="0"/>
    <xf numFmtId="43" fontId="10"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3"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50" fillId="0" borderId="0" applyNumberFormat="0" applyFill="0" applyBorder="0" applyAlignment="0" applyProtection="0"/>
  </cellStyleXfs>
  <cellXfs count="726">
    <xf numFmtId="0" fontId="0" fillId="0" borderId="0" xfId="0"/>
    <xf numFmtId="0" fontId="36" fillId="0" borderId="0" xfId="0" applyFont="1" applyFill="1"/>
    <xf numFmtId="0" fontId="35" fillId="26" borderId="12" xfId="0" applyFont="1" applyFill="1" applyBorder="1" applyAlignment="1" applyProtection="1">
      <alignment horizontal="center" vertical="center" wrapText="1"/>
      <protection locked="0"/>
    </xf>
    <xf numFmtId="0" fontId="37" fillId="26" borderId="12" xfId="0" applyFont="1" applyFill="1" applyBorder="1" applyAlignment="1" applyProtection="1">
      <alignment horizontal="center" vertical="center" wrapText="1"/>
      <protection locked="0"/>
    </xf>
    <xf numFmtId="0" fontId="36" fillId="0" borderId="0" xfId="0" applyFont="1" applyFill="1" applyAlignment="1">
      <alignment horizontal="center"/>
    </xf>
    <xf numFmtId="0" fontId="36" fillId="0" borderId="15" xfId="0" applyFont="1" applyFill="1" applyBorder="1" applyAlignment="1">
      <alignment horizontal="left"/>
    </xf>
    <xf numFmtId="0" fontId="36" fillId="0" borderId="16" xfId="0" applyFont="1" applyFill="1" applyBorder="1" applyAlignment="1">
      <alignment horizontal="left"/>
    </xf>
    <xf numFmtId="0" fontId="36" fillId="0" borderId="16" xfId="0" applyFont="1" applyFill="1" applyBorder="1" applyAlignment="1"/>
    <xf numFmtId="0" fontId="38" fillId="0" borderId="16" xfId="0" applyFont="1" applyFill="1" applyBorder="1"/>
    <xf numFmtId="0" fontId="36" fillId="0" borderId="16" xfId="0" applyFont="1" applyFill="1" applyBorder="1"/>
    <xf numFmtId="0" fontId="36" fillId="0" borderId="20" xfId="0" applyFont="1" applyFill="1" applyBorder="1"/>
    <xf numFmtId="0" fontId="36" fillId="0" borderId="0" xfId="0" applyFont="1" applyFill="1" applyBorder="1" applyAlignment="1">
      <alignment horizontal="right"/>
    </xf>
    <xf numFmtId="0" fontId="38" fillId="0" borderId="0" xfId="0" applyFont="1" applyFill="1" applyBorder="1"/>
    <xf numFmtId="0" fontId="36" fillId="0" borderId="0" xfId="0" applyFont="1" applyFill="1" applyBorder="1"/>
    <xf numFmtId="3" fontId="36" fillId="0" borderId="0" xfId="0" applyNumberFormat="1" applyFont="1" applyFill="1" applyBorder="1" applyAlignment="1">
      <alignment horizontal="right"/>
    </xf>
    <xf numFmtId="0" fontId="36" fillId="0" borderId="17" xfId="0" applyFont="1" applyFill="1" applyBorder="1"/>
    <xf numFmtId="0" fontId="36" fillId="25" borderId="0" xfId="0" applyFont="1" applyFill="1"/>
    <xf numFmtId="0" fontId="35" fillId="0" borderId="0" xfId="0" applyFont="1" applyFill="1"/>
    <xf numFmtId="0" fontId="36" fillId="0" borderId="0" xfId="0" applyFont="1" applyFill="1" applyBorder="1" applyAlignment="1" applyProtection="1">
      <protection locked="0"/>
    </xf>
    <xf numFmtId="0" fontId="36" fillId="0" borderId="17" xfId="0" applyFont="1" applyFill="1" applyBorder="1" applyAlignment="1">
      <alignment horizontal="center" vertical="center"/>
    </xf>
    <xf numFmtId="3" fontId="35" fillId="0" borderId="0" xfId="0" applyNumberFormat="1" applyFont="1" applyFill="1" applyBorder="1" applyAlignment="1">
      <alignment horizontal="center" vertical="center"/>
    </xf>
    <xf numFmtId="0" fontId="36" fillId="0" borderId="0" xfId="0" applyFont="1" applyFill="1" applyBorder="1" applyAlignment="1">
      <alignment horizontal="center" vertical="center"/>
    </xf>
    <xf numFmtId="0" fontId="35" fillId="0" borderId="0" xfId="0" applyFont="1" applyFill="1" applyBorder="1" applyAlignment="1" applyProtection="1">
      <alignment horizontal="left"/>
      <protection locked="0"/>
    </xf>
    <xf numFmtId="0" fontId="35" fillId="0" borderId="13" xfId="0" applyFont="1" applyFill="1" applyBorder="1" applyAlignment="1" applyProtection="1">
      <alignment horizontal="left"/>
      <protection locked="0"/>
    </xf>
    <xf numFmtId="0" fontId="35" fillId="0" borderId="10" xfId="0" applyFont="1" applyFill="1" applyBorder="1" applyAlignment="1" applyProtection="1">
      <alignment horizontal="left"/>
      <protection locked="0"/>
    </xf>
    <xf numFmtId="0" fontId="35" fillId="0" borderId="10" xfId="0" applyFont="1" applyFill="1" applyBorder="1" applyAlignment="1" applyProtection="1">
      <protection locked="0"/>
    </xf>
    <xf numFmtId="0" fontId="35" fillId="0" borderId="10" xfId="0" applyFont="1" applyFill="1" applyBorder="1" applyAlignment="1">
      <alignment horizontal="center" vertical="center"/>
    </xf>
    <xf numFmtId="3" fontId="35" fillId="0" borderId="10" xfId="0" applyNumberFormat="1" applyFont="1" applyFill="1" applyBorder="1" applyAlignment="1" applyProtection="1">
      <alignment horizontal="center" vertical="center"/>
      <protection locked="0"/>
    </xf>
    <xf numFmtId="0" fontId="35" fillId="0" borderId="18" xfId="0" applyFont="1" applyFill="1" applyBorder="1" applyAlignment="1">
      <alignment horizontal="center" vertical="center"/>
    </xf>
    <xf numFmtId="0" fontId="35" fillId="0" borderId="0" xfId="0" applyFont="1" applyFill="1" applyBorder="1" applyAlignment="1"/>
    <xf numFmtId="4" fontId="38" fillId="0" borderId="0" xfId="0" applyNumberFormat="1" applyFont="1" applyFill="1"/>
    <xf numFmtId="0" fontId="38" fillId="0" borderId="0" xfId="0" applyFont="1" applyFill="1"/>
    <xf numFmtId="0" fontId="39" fillId="25" borderId="0" xfId="0" applyFont="1" applyFill="1" applyBorder="1" applyAlignment="1">
      <alignment horizontal="left"/>
    </xf>
    <xf numFmtId="0" fontId="36" fillId="25" borderId="0" xfId="0" applyFont="1" applyFill="1" applyBorder="1"/>
    <xf numFmtId="165" fontId="36" fillId="25" borderId="0" xfId="308" applyFont="1" applyFill="1"/>
    <xf numFmtId="0" fontId="35" fillId="25" borderId="0" xfId="0" applyFont="1" applyFill="1" applyAlignment="1">
      <alignment horizontal="left" vertical="center"/>
    </xf>
    <xf numFmtId="0" fontId="36" fillId="25" borderId="0" xfId="0" applyFont="1" applyFill="1" applyAlignment="1">
      <alignment horizontal="left" vertical="center"/>
    </xf>
    <xf numFmtId="10" fontId="36" fillId="25" borderId="0" xfId="343" applyNumberFormat="1" applyFont="1" applyFill="1" applyAlignment="1">
      <alignment horizontal="left" vertical="center"/>
    </xf>
    <xf numFmtId="0" fontId="36" fillId="0" borderId="0" xfId="0" applyFont="1" applyFill="1" applyAlignment="1">
      <alignment horizontal="left"/>
    </xf>
    <xf numFmtId="0" fontId="41" fillId="25" borderId="0" xfId="0" applyFont="1" applyFill="1" applyAlignment="1">
      <alignment horizontal="left" vertical="center"/>
    </xf>
    <xf numFmtId="0" fontId="41" fillId="0" borderId="0" xfId="0" applyFont="1" applyFill="1" applyAlignment="1">
      <alignment horizontal="left"/>
    </xf>
    <xf numFmtId="0" fontId="41" fillId="0" borderId="0" xfId="0" applyFont="1" applyFill="1"/>
    <xf numFmtId="0" fontId="36" fillId="0" borderId="0" xfId="0" applyFont="1"/>
    <xf numFmtId="4" fontId="36" fillId="0" borderId="0" xfId="0" applyNumberFormat="1" applyFont="1" applyFill="1" applyBorder="1"/>
    <xf numFmtId="4" fontId="36" fillId="0" borderId="17" xfId="0" applyNumberFormat="1" applyFont="1" applyFill="1" applyBorder="1"/>
    <xf numFmtId="10" fontId="35" fillId="0" borderId="0" xfId="186" applyNumberFormat="1" applyFont="1" applyFill="1" applyBorder="1" applyAlignment="1">
      <alignment horizontal="center" vertical="center"/>
    </xf>
    <xf numFmtId="0" fontId="35" fillId="25" borderId="0" xfId="0" applyFont="1" applyFill="1"/>
    <xf numFmtId="4" fontId="36" fillId="0" borderId="0" xfId="0" applyNumberFormat="1" applyFont="1" applyFill="1" applyAlignment="1">
      <alignment horizontal="left"/>
    </xf>
    <xf numFmtId="0" fontId="39" fillId="0" borderId="0" xfId="0" applyFont="1" applyFill="1" applyBorder="1" applyAlignment="1">
      <alignment horizontal="left"/>
    </xf>
    <xf numFmtId="165" fontId="36" fillId="0" borderId="0" xfId="162" applyFont="1" applyFill="1"/>
    <xf numFmtId="4" fontId="36" fillId="0" borderId="0" xfId="0" applyNumberFormat="1" applyFont="1" applyFill="1"/>
    <xf numFmtId="0" fontId="36" fillId="0" borderId="0" xfId="0" applyFont="1" applyFill="1" applyBorder="1" applyAlignment="1">
      <alignment horizontal="left"/>
    </xf>
    <xf numFmtId="0" fontId="36" fillId="0" borderId="0" xfId="0" applyFont="1" applyFill="1" applyAlignment="1">
      <alignment wrapText="1"/>
    </xf>
    <xf numFmtId="0" fontId="36" fillId="0" borderId="0" xfId="0" applyFont="1" applyFill="1" applyAlignment="1">
      <alignment horizontal="center" vertical="center"/>
    </xf>
    <xf numFmtId="4" fontId="35" fillId="26" borderId="24" xfId="0" applyNumberFormat="1" applyFont="1" applyFill="1" applyBorder="1" applyAlignment="1" applyProtection="1">
      <alignment horizontal="center" vertical="center" wrapText="1"/>
      <protection locked="0"/>
    </xf>
    <xf numFmtId="10" fontId="35" fillId="26" borderId="24" xfId="186" applyNumberFormat="1" applyFont="1" applyFill="1" applyBorder="1" applyAlignment="1" applyProtection="1">
      <alignment horizontal="center" vertical="center" wrapText="1"/>
      <protection locked="0"/>
    </xf>
    <xf numFmtId="10" fontId="36" fillId="0" borderId="16" xfId="186" applyNumberFormat="1" applyFont="1" applyFill="1" applyBorder="1"/>
    <xf numFmtId="0" fontId="35" fillId="0" borderId="14" xfId="0" applyFont="1" applyFill="1" applyBorder="1" applyAlignment="1" applyProtection="1">
      <alignment horizontal="left"/>
      <protection locked="0"/>
    </xf>
    <xf numFmtId="4" fontId="36" fillId="25" borderId="0" xfId="0" applyNumberFormat="1" applyFont="1" applyFill="1" applyBorder="1" applyAlignment="1">
      <alignment horizontal="center" vertical="center"/>
    </xf>
    <xf numFmtId="9" fontId="36" fillId="0" borderId="0" xfId="186" applyFont="1" applyFill="1"/>
    <xf numFmtId="10" fontId="36" fillId="0" borderId="0" xfId="186" applyNumberFormat="1" applyFont="1" applyFill="1"/>
    <xf numFmtId="0" fontId="36" fillId="24" borderId="0" xfId="0" applyFont="1" applyFill="1" applyBorder="1"/>
    <xf numFmtId="0" fontId="36" fillId="24" borderId="0" xfId="0" applyFont="1" applyFill="1"/>
    <xf numFmtId="0" fontId="36" fillId="24" borderId="0" xfId="0" applyFont="1" applyFill="1" applyAlignment="1">
      <alignment horizontal="center"/>
    </xf>
    <xf numFmtId="0" fontId="36" fillId="0" borderId="20" xfId="0" applyFont="1" applyFill="1" applyBorder="1" applyAlignment="1">
      <alignment horizontal="left"/>
    </xf>
    <xf numFmtId="0" fontId="39" fillId="0" borderId="14" xfId="0" applyFont="1" applyFill="1" applyBorder="1" applyAlignment="1" applyProtection="1">
      <protection locked="0"/>
    </xf>
    <xf numFmtId="0" fontId="36" fillId="24" borderId="0" xfId="0" applyFont="1" applyFill="1" applyAlignment="1">
      <alignment horizontal="left"/>
    </xf>
    <xf numFmtId="14" fontId="35" fillId="25" borderId="25" xfId="0" applyNumberFormat="1" applyFont="1" applyFill="1" applyBorder="1" applyAlignment="1">
      <alignment horizontal="center"/>
    </xf>
    <xf numFmtId="0" fontId="36" fillId="25" borderId="0" xfId="0" applyFont="1" applyFill="1" applyAlignment="1">
      <alignment horizontal="center"/>
    </xf>
    <xf numFmtId="0" fontId="36" fillId="24" borderId="15" xfId="0" applyFont="1" applyFill="1" applyBorder="1" applyAlignment="1">
      <alignment horizontal="left"/>
    </xf>
    <xf numFmtId="0" fontId="36" fillId="24" borderId="16" xfId="0" applyFont="1" applyFill="1" applyBorder="1" applyAlignment="1">
      <alignment horizontal="left"/>
    </xf>
    <xf numFmtId="0" fontId="36" fillId="24" borderId="16" xfId="0" applyFont="1" applyFill="1" applyBorder="1" applyAlignment="1"/>
    <xf numFmtId="0" fontId="36" fillId="24" borderId="16" xfId="0" applyFont="1" applyFill="1" applyBorder="1"/>
    <xf numFmtId="0" fontId="36" fillId="25" borderId="15" xfId="0" applyFont="1" applyFill="1" applyBorder="1" applyAlignment="1">
      <alignment horizontal="left"/>
    </xf>
    <xf numFmtId="0" fontId="36" fillId="25" borderId="16" xfId="0" applyFont="1" applyFill="1" applyBorder="1" applyAlignment="1">
      <alignment horizontal="left"/>
    </xf>
    <xf numFmtId="10" fontId="36" fillId="25" borderId="0" xfId="0" applyNumberFormat="1" applyFont="1" applyFill="1"/>
    <xf numFmtId="0" fontId="35" fillId="24" borderId="0" xfId="0" applyFont="1" applyFill="1"/>
    <xf numFmtId="0" fontId="35" fillId="24" borderId="0" xfId="0" applyFont="1" applyFill="1" applyBorder="1" applyAlignment="1"/>
    <xf numFmtId="0" fontId="35" fillId="25" borderId="0" xfId="0" applyFont="1" applyFill="1" applyBorder="1" applyAlignment="1"/>
    <xf numFmtId="4" fontId="36" fillId="24" borderId="0" xfId="0" applyNumberFormat="1" applyFont="1" applyFill="1"/>
    <xf numFmtId="0" fontId="36" fillId="0" borderId="0" xfId="414" applyNumberFormat="1" applyFont="1" applyFill="1"/>
    <xf numFmtId="4" fontId="36" fillId="0" borderId="0" xfId="414" applyNumberFormat="1" applyFont="1" applyFill="1"/>
    <xf numFmtId="165" fontId="36" fillId="0" borderId="0" xfId="0" applyNumberFormat="1" applyFont="1" applyFill="1" applyBorder="1"/>
    <xf numFmtId="0" fontId="39" fillId="24" borderId="0" xfId="0" applyFont="1" applyFill="1" applyBorder="1" applyAlignment="1">
      <alignment horizontal="left"/>
    </xf>
    <xf numFmtId="165" fontId="36" fillId="24" borderId="0" xfId="308" applyFont="1" applyFill="1" applyBorder="1"/>
    <xf numFmtId="14" fontId="35" fillId="25" borderId="0" xfId="0" applyNumberFormat="1" applyFont="1" applyFill="1" applyBorder="1" applyAlignment="1">
      <alignment horizontal="center"/>
    </xf>
    <xf numFmtId="0" fontId="35" fillId="24" borderId="0" xfId="0" applyFont="1" applyFill="1" applyAlignment="1">
      <alignment horizontal="center"/>
    </xf>
    <xf numFmtId="0" fontId="35" fillId="0" borderId="0" xfId="0" applyFont="1" applyFill="1" applyAlignment="1">
      <alignment horizontal="center" wrapText="1"/>
    </xf>
    <xf numFmtId="170" fontId="36" fillId="25" borderId="0" xfId="308" applyNumberFormat="1" applyFont="1" applyFill="1" applyBorder="1" applyAlignment="1">
      <alignment horizontal="left" vertical="top"/>
    </xf>
    <xf numFmtId="165" fontId="36" fillId="25" borderId="0" xfId="308" applyNumberFormat="1" applyFont="1" applyFill="1" applyBorder="1" applyAlignment="1">
      <alignment horizontal="left" vertical="top"/>
    </xf>
    <xf numFmtId="0" fontId="36" fillId="25" borderId="14" xfId="0" applyFont="1" applyFill="1" applyBorder="1"/>
    <xf numFmtId="165" fontId="36" fillId="25" borderId="0" xfId="162" applyFont="1" applyFill="1" applyBorder="1"/>
    <xf numFmtId="39" fontId="36" fillId="25" borderId="0" xfId="0" applyNumberFormat="1" applyFont="1" applyFill="1" applyBorder="1" applyAlignment="1">
      <alignment horizontal="center" vertical="center"/>
    </xf>
    <xf numFmtId="39" fontId="36" fillId="25" borderId="20" xfId="0" applyNumberFormat="1" applyFont="1" applyFill="1" applyBorder="1" applyAlignment="1">
      <alignment horizontal="center" vertical="center"/>
    </xf>
    <xf numFmtId="0" fontId="39" fillId="25" borderId="14" xfId="0" applyFont="1" applyFill="1" applyBorder="1" applyAlignment="1" applyProtection="1">
      <alignment vertical="center"/>
      <protection locked="0"/>
    </xf>
    <xf numFmtId="0" fontId="36" fillId="25" borderId="0" xfId="0" applyFont="1" applyFill="1" applyBorder="1" applyAlignment="1">
      <alignment horizontal="right"/>
    </xf>
    <xf numFmtId="39" fontId="36" fillId="25" borderId="17" xfId="0" applyNumberFormat="1" applyFont="1" applyFill="1" applyBorder="1" applyAlignment="1">
      <alignment horizontal="center" vertical="center"/>
    </xf>
    <xf numFmtId="4" fontId="36" fillId="25" borderId="0" xfId="0" applyNumberFormat="1" applyFont="1" applyFill="1"/>
    <xf numFmtId="0" fontId="36" fillId="0" borderId="0" xfId="0" applyFont="1" applyFill="1" applyAlignment="1">
      <alignment vertical="center"/>
    </xf>
    <xf numFmtId="0" fontId="36" fillId="25" borderId="0" xfId="0" applyFont="1" applyFill="1" applyAlignment="1">
      <alignment vertical="center"/>
    </xf>
    <xf numFmtId="165" fontId="36" fillId="25" borderId="0" xfId="162" applyFont="1" applyFill="1"/>
    <xf numFmtId="0" fontId="39" fillId="25" borderId="0" xfId="415" applyFont="1" applyFill="1" applyBorder="1" applyAlignment="1">
      <alignment horizontal="left"/>
    </xf>
    <xf numFmtId="165" fontId="36" fillId="0" borderId="0" xfId="162" applyFont="1"/>
    <xf numFmtId="0" fontId="36" fillId="25" borderId="0" xfId="0" applyFont="1" applyFill="1" applyAlignment="1"/>
    <xf numFmtId="0" fontId="41" fillId="0" borderId="0" xfId="0" applyFont="1" applyFill="1" applyAlignment="1">
      <alignment wrapText="1"/>
    </xf>
    <xf numFmtId="0" fontId="36" fillId="25" borderId="17" xfId="0" applyFont="1" applyFill="1" applyBorder="1"/>
    <xf numFmtId="170" fontId="36" fillId="25" borderId="25" xfId="308" applyNumberFormat="1" applyFont="1" applyFill="1" applyBorder="1" applyAlignment="1">
      <alignment horizontal="left" vertical="center"/>
    </xf>
    <xf numFmtId="170" fontId="36" fillId="0" borderId="25" xfId="308" applyNumberFormat="1" applyFont="1" applyFill="1" applyBorder="1" applyAlignment="1">
      <alignment horizontal="left" vertical="center"/>
    </xf>
    <xf numFmtId="39" fontId="41" fillId="25" borderId="0" xfId="0" applyNumberFormat="1" applyFont="1" applyFill="1" applyBorder="1" applyAlignment="1">
      <alignment horizontal="center" vertical="center"/>
    </xf>
    <xf numFmtId="0" fontId="41" fillId="25" borderId="0" xfId="0" applyFont="1" applyFill="1"/>
    <xf numFmtId="0" fontId="41" fillId="0" borderId="0" xfId="0" applyFont="1"/>
    <xf numFmtId="0" fontId="38" fillId="25" borderId="0" xfId="0" applyFont="1" applyFill="1" applyAlignment="1"/>
    <xf numFmtId="0" fontId="38" fillId="0" borderId="0" xfId="0" applyFont="1" applyFill="1" applyAlignment="1">
      <alignment wrapText="1"/>
    </xf>
    <xf numFmtId="0" fontId="36" fillId="0" borderId="0" xfId="0" applyFont="1" applyFill="1" applyBorder="1" applyAlignment="1">
      <alignment horizontal="center"/>
    </xf>
    <xf numFmtId="0" fontId="36" fillId="25" borderId="0" xfId="0" applyFont="1" applyFill="1" applyBorder="1" applyAlignment="1">
      <alignment horizontal="center"/>
    </xf>
    <xf numFmtId="0" fontId="36" fillId="0" borderId="0" xfId="0" applyFont="1" applyAlignment="1">
      <alignment horizontal="center"/>
    </xf>
    <xf numFmtId="0" fontId="36" fillId="0" borderId="0" xfId="0" applyFont="1" applyFill="1" applyAlignment="1">
      <alignment horizontal="center" wrapText="1"/>
    </xf>
    <xf numFmtId="0" fontId="36" fillId="0" borderId="16" xfId="0" applyFont="1" applyFill="1" applyBorder="1" applyAlignment="1">
      <alignment horizontal="center" vertical="center"/>
    </xf>
    <xf numFmtId="0" fontId="36" fillId="24" borderId="0" xfId="0" applyFont="1" applyFill="1" applyAlignment="1">
      <alignment horizontal="center" vertical="center"/>
    </xf>
    <xf numFmtId="0" fontId="38" fillId="0" borderId="16" xfId="0" applyFont="1" applyFill="1" applyBorder="1" applyAlignment="1">
      <alignment horizontal="left"/>
    </xf>
    <xf numFmtId="3" fontId="38" fillId="0" borderId="0" xfId="0" applyNumberFormat="1" applyFont="1" applyFill="1" applyBorder="1" applyAlignment="1">
      <alignment horizontal="right"/>
    </xf>
    <xf numFmtId="0" fontId="38" fillId="24" borderId="0" xfId="0" applyFont="1" applyFill="1"/>
    <xf numFmtId="0" fontId="36" fillId="24" borderId="20" xfId="0" applyFont="1" applyFill="1" applyBorder="1"/>
    <xf numFmtId="0" fontId="36" fillId="0" borderId="0" xfId="0" applyFont="1" applyFill="1" applyBorder="1" applyAlignment="1">
      <alignment horizontal="center" vertical="center"/>
    </xf>
    <xf numFmtId="0" fontId="35" fillId="26" borderId="22" xfId="162" applyNumberFormat="1" applyFont="1" applyFill="1" applyBorder="1" applyAlignment="1" applyProtection="1">
      <alignment horizontal="center" vertical="center" wrapText="1"/>
      <protection locked="0"/>
    </xf>
    <xf numFmtId="0" fontId="35" fillId="26" borderId="21" xfId="162" applyNumberFormat="1" applyFont="1" applyFill="1" applyBorder="1" applyAlignment="1" applyProtection="1">
      <alignment horizontal="center" vertical="center" wrapText="1"/>
      <protection locked="0"/>
    </xf>
    <xf numFmtId="10" fontId="36" fillId="0" borderId="0" xfId="0" applyNumberFormat="1" applyFont="1" applyFill="1"/>
    <xf numFmtId="3" fontId="35" fillId="0" borderId="0" xfId="0" applyNumberFormat="1" applyFont="1" applyFill="1" applyBorder="1" applyAlignment="1"/>
    <xf numFmtId="3" fontId="36" fillId="0" borderId="0" xfId="0" applyNumberFormat="1" applyFont="1" applyFill="1" applyBorder="1"/>
    <xf numFmtId="0" fontId="36" fillId="25" borderId="16" xfId="0" applyFont="1" applyFill="1" applyBorder="1"/>
    <xf numFmtId="0" fontId="36" fillId="0" borderId="0" xfId="0" applyFont="1" applyFill="1" applyBorder="1" applyAlignment="1" applyProtection="1">
      <alignment horizontal="center" vertical="center"/>
      <protection locked="0"/>
    </xf>
    <xf numFmtId="0" fontId="43" fillId="26" borderId="12" xfId="0" applyFont="1" applyFill="1" applyBorder="1" applyAlignment="1" applyProtection="1">
      <alignment horizontal="center" vertical="center" wrapText="1"/>
      <protection locked="0"/>
    </xf>
    <xf numFmtId="0" fontId="35" fillId="0" borderId="17" xfId="0" applyFont="1" applyFill="1" applyBorder="1"/>
    <xf numFmtId="0" fontId="35" fillId="0" borderId="18" xfId="0" applyFont="1" applyFill="1" applyBorder="1"/>
    <xf numFmtId="0" fontId="36" fillId="24" borderId="0" xfId="0" applyFont="1" applyFill="1" applyBorder="1" applyAlignment="1">
      <alignment horizontal="left"/>
    </xf>
    <xf numFmtId="0" fontId="36" fillId="0" borderId="0" xfId="0" applyFont="1" applyFill="1" applyAlignment="1">
      <alignment horizontal="left" wrapText="1"/>
    </xf>
    <xf numFmtId="0" fontId="35" fillId="0" borderId="0" xfId="0" applyFont="1" applyFill="1" applyBorder="1" applyAlignment="1">
      <alignment horizontal="center"/>
    </xf>
    <xf numFmtId="0" fontId="35" fillId="0" borderId="0" xfId="0" applyFont="1" applyFill="1" applyBorder="1" applyAlignment="1">
      <alignment horizontal="center" vertical="center"/>
    </xf>
    <xf numFmtId="14" fontId="35" fillId="25" borderId="0" xfId="0" applyNumberFormat="1" applyFont="1" applyFill="1" applyBorder="1" applyAlignment="1">
      <alignment horizontal="center"/>
    </xf>
    <xf numFmtId="0" fontId="35" fillId="26" borderId="22" xfId="0" applyFont="1" applyFill="1" applyBorder="1" applyAlignment="1" applyProtection="1">
      <alignment horizontal="center" vertical="center" wrapText="1"/>
      <protection locked="0"/>
    </xf>
    <xf numFmtId="0" fontId="39" fillId="0" borderId="14" xfId="0" applyFont="1" applyFill="1" applyBorder="1" applyAlignment="1" applyProtection="1">
      <alignment vertical="center"/>
      <protection locked="0"/>
    </xf>
    <xf numFmtId="0" fontId="36" fillId="0" borderId="0" xfId="0" applyFont="1" applyFill="1" applyBorder="1" applyAlignment="1" applyProtection="1">
      <alignment horizontal="center"/>
      <protection locked="0"/>
    </xf>
    <xf numFmtId="0" fontId="35" fillId="0" borderId="14" xfId="0" applyFont="1" applyFill="1" applyBorder="1" applyAlignment="1" applyProtection="1">
      <alignment horizontal="left" vertical="center"/>
      <protection locked="0"/>
    </xf>
    <xf numFmtId="0" fontId="36" fillId="0" borderId="0" xfId="0" applyFont="1" applyFill="1" applyBorder="1" applyAlignment="1">
      <alignment horizontal="left" vertical="center" wrapText="1"/>
    </xf>
    <xf numFmtId="0" fontId="36" fillId="0" borderId="0" xfId="0" applyFont="1" applyFill="1" applyBorder="1" applyAlignment="1" applyProtection="1">
      <alignment vertical="center"/>
      <protection locked="0"/>
    </xf>
    <xf numFmtId="4" fontId="36" fillId="0" borderId="0" xfId="0" applyNumberFormat="1" applyFont="1" applyFill="1" applyBorder="1" applyAlignment="1" applyProtection="1">
      <alignment horizontal="center" vertical="center"/>
      <protection locked="0"/>
    </xf>
    <xf numFmtId="14" fontId="36" fillId="0" borderId="0" xfId="0" applyNumberFormat="1" applyFont="1" applyFill="1" applyBorder="1" applyAlignment="1">
      <alignment horizontal="center" vertical="center"/>
    </xf>
    <xf numFmtId="49" fontId="36" fillId="0" borderId="0" xfId="0" applyNumberFormat="1" applyFont="1" applyFill="1" applyBorder="1" applyAlignment="1">
      <alignment horizontal="center" vertical="center"/>
    </xf>
    <xf numFmtId="166" fontId="36" fillId="0" borderId="0" xfId="0" applyNumberFormat="1" applyFont="1" applyFill="1" applyBorder="1" applyAlignment="1">
      <alignment horizontal="center" vertical="center"/>
    </xf>
    <xf numFmtId="0" fontId="36" fillId="0" borderId="0" xfId="0" applyNumberFormat="1" applyFont="1" applyFill="1" applyBorder="1" applyAlignment="1">
      <alignment horizontal="center" vertical="center"/>
    </xf>
    <xf numFmtId="14" fontId="36" fillId="0" borderId="17" xfId="0" applyNumberFormat="1" applyFont="1" applyFill="1" applyBorder="1" applyAlignment="1">
      <alignment horizontal="center" vertical="center"/>
    </xf>
    <xf numFmtId="0" fontId="36" fillId="0" borderId="0" xfId="0" applyFont="1" applyFill="1" applyBorder="1" applyAlignment="1">
      <alignment horizontal="left" vertical="center"/>
    </xf>
    <xf numFmtId="0" fontId="35" fillId="0" borderId="0" xfId="0" applyFont="1" applyFill="1" applyBorder="1" applyAlignment="1" applyProtection="1">
      <alignment horizontal="left" vertical="center" wrapText="1"/>
      <protection locked="0"/>
    </xf>
    <xf numFmtId="0" fontId="35" fillId="0" borderId="0" xfId="0" applyFont="1" applyFill="1" applyBorder="1" applyAlignment="1" applyProtection="1">
      <alignment vertical="center"/>
      <protection locked="0"/>
    </xf>
    <xf numFmtId="4" fontId="35" fillId="0" borderId="0" xfId="0" applyNumberFormat="1" applyFont="1" applyFill="1" applyBorder="1" applyAlignment="1">
      <alignment horizontal="center" vertical="center"/>
    </xf>
    <xf numFmtId="166" fontId="35" fillId="0" borderId="0" xfId="0" applyNumberFormat="1" applyFont="1" applyFill="1" applyBorder="1" applyAlignment="1">
      <alignment horizontal="center" vertical="center"/>
    </xf>
    <xf numFmtId="0" fontId="39" fillId="0" borderId="14" xfId="0" applyFont="1" applyFill="1" applyBorder="1" applyAlignment="1" applyProtection="1">
      <alignment horizontal="left" vertical="center"/>
      <protection locked="0"/>
    </xf>
    <xf numFmtId="0" fontId="36" fillId="0" borderId="0" xfId="0" applyFont="1" applyFill="1" applyBorder="1" applyAlignment="1" applyProtection="1">
      <alignment horizontal="left" vertical="center" wrapText="1"/>
      <protection locked="0"/>
    </xf>
    <xf numFmtId="4" fontId="36" fillId="0" borderId="0" xfId="0" applyNumberFormat="1" applyFont="1" applyFill="1" applyBorder="1" applyAlignment="1">
      <alignment horizontal="center" vertical="center"/>
    </xf>
    <xf numFmtId="165" fontId="36" fillId="0" borderId="0" xfId="162" applyFont="1" applyFill="1" applyBorder="1" applyAlignment="1">
      <alignment horizontal="center" vertical="center"/>
    </xf>
    <xf numFmtId="166" fontId="36" fillId="0" borderId="0" xfId="0" applyNumberFormat="1" applyFont="1" applyFill="1" applyBorder="1" applyAlignment="1" applyProtection="1">
      <alignment horizontal="center" vertical="center"/>
      <protection locked="0"/>
    </xf>
    <xf numFmtId="0" fontId="36" fillId="0" borderId="0" xfId="176" applyFont="1" applyFill="1" applyBorder="1" applyAlignment="1" applyProtection="1">
      <alignment horizontal="left" vertical="center" wrapText="1"/>
      <protection locked="0"/>
    </xf>
    <xf numFmtId="14" fontId="36" fillId="0" borderId="0" xfId="177" applyNumberFormat="1" applyFont="1" applyFill="1" applyBorder="1" applyAlignment="1">
      <alignment horizontal="center" vertical="center"/>
    </xf>
    <xf numFmtId="0" fontId="36" fillId="0" borderId="0" xfId="0" applyFont="1" applyFill="1" applyBorder="1" applyAlignment="1"/>
    <xf numFmtId="0" fontId="35" fillId="0" borderId="14"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left" vertical="center"/>
      <protection locked="0"/>
    </xf>
    <xf numFmtId="166" fontId="36" fillId="0" borderId="0" xfId="0" applyNumberFormat="1" applyFont="1" applyFill="1" applyBorder="1" applyAlignment="1">
      <alignment horizontal="center" vertical="center"/>
    </xf>
    <xf numFmtId="0" fontId="35" fillId="25" borderId="14" xfId="0" applyFont="1" applyFill="1" applyBorder="1" applyAlignment="1" applyProtection="1">
      <alignment horizontal="left" vertical="center" wrapText="1"/>
      <protection locked="0"/>
    </xf>
    <xf numFmtId="0" fontId="35" fillId="0" borderId="14" xfId="0" applyFont="1" applyFill="1" applyBorder="1" applyAlignment="1">
      <alignment horizontal="left" vertical="center"/>
    </xf>
    <xf numFmtId="0" fontId="35" fillId="0" borderId="0" xfId="0" applyFont="1" applyFill="1" applyBorder="1" applyAlignment="1">
      <alignment horizontal="left" vertical="center" wrapText="1"/>
    </xf>
    <xf numFmtId="3" fontId="36" fillId="0" borderId="0" xfId="0" applyNumberFormat="1" applyFont="1" applyFill="1" applyBorder="1" applyAlignment="1">
      <alignment horizontal="center" vertical="center"/>
    </xf>
    <xf numFmtId="0" fontId="35" fillId="0" borderId="17" xfId="0" applyFont="1" applyFill="1" applyBorder="1" applyAlignment="1">
      <alignment horizontal="center" vertical="center"/>
    </xf>
    <xf numFmtId="0" fontId="36" fillId="0" borderId="14" xfId="0" applyFont="1" applyFill="1" applyBorder="1" applyAlignment="1">
      <alignment horizontal="left" vertical="center"/>
    </xf>
    <xf numFmtId="0" fontId="36" fillId="0" borderId="0" xfId="0" applyFont="1" applyFill="1" applyBorder="1" applyAlignment="1" applyProtection="1">
      <alignment vertical="center" wrapText="1"/>
      <protection locked="0"/>
    </xf>
    <xf numFmtId="0" fontId="36" fillId="0" borderId="14" xfId="0" applyFont="1" applyFill="1" applyBorder="1" applyAlignment="1" applyProtection="1">
      <alignment horizontal="left" vertical="center"/>
      <protection locked="0"/>
    </xf>
    <xf numFmtId="3" fontId="36" fillId="0" borderId="0" xfId="0" applyNumberFormat="1" applyFont="1" applyFill="1" applyBorder="1" applyAlignment="1" applyProtection="1">
      <alignment horizontal="center" vertical="center"/>
      <protection locked="0"/>
    </xf>
    <xf numFmtId="3" fontId="35" fillId="0" borderId="0" xfId="0" applyNumberFormat="1" applyFont="1" applyFill="1" applyBorder="1" applyAlignment="1" applyProtection="1">
      <alignment vertical="center"/>
      <protection locked="0"/>
    </xf>
    <xf numFmtId="4" fontId="35" fillId="0" borderId="0" xfId="0" applyNumberFormat="1" applyFont="1" applyFill="1" applyBorder="1" applyAlignment="1" applyProtection="1">
      <alignment horizontal="center" vertical="center"/>
      <protection locked="0"/>
    </xf>
    <xf numFmtId="0" fontId="35" fillId="0" borderId="0" xfId="0" applyNumberFormat="1" applyFont="1" applyFill="1" applyBorder="1" applyAlignment="1">
      <alignment horizontal="center" vertical="center"/>
    </xf>
    <xf numFmtId="0" fontId="36" fillId="0" borderId="10" xfId="0" applyFont="1" applyFill="1" applyBorder="1" applyAlignment="1">
      <alignment horizontal="center" vertical="center"/>
    </xf>
    <xf numFmtId="0" fontId="36" fillId="0" borderId="0" xfId="0" applyFont="1" applyFill="1" applyAlignment="1">
      <alignment horizontal="left" vertical="center"/>
    </xf>
    <xf numFmtId="4" fontId="36" fillId="0" borderId="0" xfId="0" applyNumberFormat="1" applyFont="1" applyFill="1" applyBorder="1" applyAlignment="1">
      <alignment horizontal="right"/>
    </xf>
    <xf numFmtId="4" fontId="36" fillId="0" borderId="0" xfId="0" applyNumberFormat="1" applyFont="1" applyFill="1" applyBorder="1" applyAlignment="1">
      <alignment horizontal="center"/>
    </xf>
    <xf numFmtId="10" fontId="36" fillId="0" borderId="0" xfId="186" applyNumberFormat="1" applyFont="1" applyFill="1" applyBorder="1" applyAlignment="1">
      <alignment horizontal="center"/>
    </xf>
    <xf numFmtId="10" fontId="36" fillId="0" borderId="0" xfId="186" applyNumberFormat="1" applyFont="1" applyFill="1" applyBorder="1" applyAlignment="1">
      <alignment horizontal="center" vertical="center"/>
    </xf>
    <xf numFmtId="3" fontId="36" fillId="0" borderId="17" xfId="0" applyNumberFormat="1" applyFont="1" applyFill="1" applyBorder="1" applyAlignment="1">
      <alignment horizontal="center" vertical="center"/>
    </xf>
    <xf numFmtId="3" fontId="36" fillId="0" borderId="0" xfId="0" applyNumberFormat="1" applyFont="1" applyFill="1" applyBorder="1" applyAlignment="1">
      <alignment horizontal="center" vertical="center" wrapText="1"/>
    </xf>
    <xf numFmtId="0" fontId="35" fillId="0" borderId="0" xfId="0" applyFont="1" applyFill="1" applyBorder="1" applyAlignment="1" applyProtection="1">
      <alignment horizontal="center" vertical="center"/>
      <protection locked="0"/>
    </xf>
    <xf numFmtId="0" fontId="36" fillId="0" borderId="0" xfId="0" applyFont="1" applyFill="1" applyBorder="1" applyAlignment="1">
      <alignment horizontal="center" vertical="center"/>
    </xf>
    <xf numFmtId="3" fontId="36" fillId="0" borderId="0" xfId="0" applyNumberFormat="1" applyFont="1" applyFill="1" applyBorder="1" applyAlignment="1">
      <alignment horizontal="center" vertical="center"/>
    </xf>
    <xf numFmtId="4" fontId="36" fillId="0" borderId="0" xfId="0" applyNumberFormat="1" applyFont="1" applyFill="1" applyBorder="1" applyAlignment="1">
      <alignment horizontal="center" vertical="center"/>
    </xf>
    <xf numFmtId="3" fontId="36" fillId="0" borderId="17" xfId="0" applyNumberFormat="1" applyFont="1" applyFill="1" applyBorder="1" applyAlignment="1">
      <alignment horizontal="center" vertical="center"/>
    </xf>
    <xf numFmtId="0" fontId="35" fillId="0" borderId="0" xfId="0" applyFont="1" applyFill="1" applyAlignment="1">
      <alignment horizontal="center"/>
    </xf>
    <xf numFmtId="3" fontId="35" fillId="0" borderId="17" xfId="0" applyNumberFormat="1" applyFont="1" applyFill="1" applyBorder="1" applyAlignment="1">
      <alignment horizontal="center" vertical="center"/>
    </xf>
    <xf numFmtId="0" fontId="36" fillId="0" borderId="0" xfId="0" applyFont="1" applyFill="1" applyBorder="1" applyAlignment="1" applyProtection="1">
      <alignment horizontal="center" vertical="center"/>
      <protection locked="0"/>
    </xf>
    <xf numFmtId="0" fontId="35" fillId="0" borderId="0" xfId="0" applyFont="1" applyFill="1" applyBorder="1" applyAlignment="1" applyProtection="1">
      <alignment horizontal="left" wrapText="1"/>
      <protection locked="0"/>
    </xf>
    <xf numFmtId="0" fontId="36" fillId="0" borderId="0" xfId="0" applyFont="1" applyFill="1" applyBorder="1" applyAlignment="1" applyProtection="1">
      <alignment horizontal="left" wrapText="1"/>
      <protection locked="0"/>
    </xf>
    <xf numFmtId="3" fontId="35" fillId="0" borderId="0" xfId="0" applyNumberFormat="1" applyFont="1" applyFill="1" applyBorder="1" applyAlignment="1" applyProtection="1">
      <alignment horizontal="center" vertical="center"/>
      <protection locked="0"/>
    </xf>
    <xf numFmtId="4" fontId="35" fillId="0" borderId="17" xfId="0" applyNumberFormat="1" applyFont="1" applyFill="1" applyBorder="1" applyAlignment="1">
      <alignment horizontal="center" vertical="center"/>
    </xf>
    <xf numFmtId="0" fontId="35" fillId="0" borderId="10" xfId="0" applyFont="1" applyFill="1" applyBorder="1" applyAlignment="1" applyProtection="1">
      <alignment horizontal="left" wrapText="1"/>
      <protection locked="0"/>
    </xf>
    <xf numFmtId="0" fontId="35" fillId="0" borderId="10" xfId="0" applyFont="1" applyFill="1" applyBorder="1" applyAlignment="1" applyProtection="1">
      <alignment horizontal="center" vertical="center"/>
      <protection locked="0"/>
    </xf>
    <xf numFmtId="4" fontId="36" fillId="0" borderId="10" xfId="0" applyNumberFormat="1" applyFont="1" applyFill="1" applyBorder="1" applyAlignment="1">
      <alignment horizontal="center" vertical="center"/>
    </xf>
    <xf numFmtId="10" fontId="36" fillId="0" borderId="10" xfId="0" applyNumberFormat="1" applyFont="1" applyFill="1" applyBorder="1" applyAlignment="1">
      <alignment horizontal="center" vertical="center"/>
    </xf>
    <xf numFmtId="1" fontId="36" fillId="0" borderId="10" xfId="0" applyNumberFormat="1" applyFont="1" applyFill="1" applyBorder="1" applyAlignment="1">
      <alignment horizontal="center" vertical="center"/>
    </xf>
    <xf numFmtId="3" fontId="36" fillId="0" borderId="10" xfId="0" applyNumberFormat="1" applyFont="1" applyFill="1" applyBorder="1" applyAlignment="1">
      <alignment horizontal="center" vertical="center"/>
    </xf>
    <xf numFmtId="1" fontId="36" fillId="0" borderId="18" xfId="0" applyNumberFormat="1" applyFont="1" applyFill="1" applyBorder="1" applyAlignment="1">
      <alignment horizontal="center" vertical="center"/>
    </xf>
    <xf numFmtId="0" fontId="35" fillId="0" borderId="0" xfId="0" applyFont="1" applyFill="1" applyAlignment="1">
      <alignment horizontal="left"/>
    </xf>
    <xf numFmtId="10" fontId="36" fillId="0" borderId="0" xfId="186" applyNumberFormat="1" applyFont="1" applyFill="1" applyBorder="1"/>
    <xf numFmtId="10" fontId="36" fillId="0" borderId="0" xfId="186" applyNumberFormat="1" applyFont="1" applyFill="1" applyBorder="1" applyAlignment="1" applyProtection="1">
      <alignment horizontal="center" vertical="center"/>
      <protection locked="0"/>
    </xf>
    <xf numFmtId="4" fontId="36" fillId="0" borderId="17" xfId="0" applyNumberFormat="1" applyFont="1" applyFill="1" applyBorder="1" applyAlignment="1">
      <alignment horizontal="center" vertical="center"/>
    </xf>
    <xf numFmtId="0" fontId="35" fillId="0" borderId="0" xfId="0" applyFont="1" applyFill="1" applyBorder="1" applyAlignment="1" applyProtection="1">
      <alignment horizontal="left" vertical="center"/>
      <protection locked="0"/>
    </xf>
    <xf numFmtId="4" fontId="36" fillId="0" borderId="0" xfId="162" applyNumberFormat="1" applyFont="1" applyFill="1" applyBorder="1" applyAlignment="1">
      <alignment horizontal="center" vertical="center"/>
    </xf>
    <xf numFmtId="0" fontId="36" fillId="0" borderId="0" xfId="0" applyFont="1" applyFill="1" applyBorder="1" applyAlignment="1">
      <alignment horizontal="left" vertical="center"/>
    </xf>
    <xf numFmtId="0" fontId="36" fillId="0" borderId="0" xfId="0" applyFont="1" applyFill="1" applyBorder="1" applyAlignment="1" applyProtection="1">
      <alignment horizontal="left" vertical="center"/>
      <protection locked="0"/>
    </xf>
    <xf numFmtId="3" fontId="35" fillId="0" borderId="0" xfId="0" applyNumberFormat="1" applyFont="1" applyFill="1" applyBorder="1" applyAlignment="1" applyProtection="1">
      <alignment horizontal="left" vertical="center"/>
      <protection locked="0"/>
    </xf>
    <xf numFmtId="4" fontId="35" fillId="0" borderId="10" xfId="0" applyNumberFormat="1" applyFont="1" applyFill="1" applyBorder="1" applyAlignment="1">
      <alignment horizontal="center" vertical="center"/>
    </xf>
    <xf numFmtId="10" fontId="35" fillId="0" borderId="10" xfId="186"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9" fillId="0" borderId="14" xfId="0" applyFont="1" applyFill="1" applyBorder="1" applyAlignment="1" applyProtection="1">
      <alignment horizontal="left"/>
      <protection locked="0"/>
    </xf>
    <xf numFmtId="0" fontId="36" fillId="0" borderId="0" xfId="0" applyFont="1" applyFill="1" applyBorder="1" applyAlignment="1" applyProtection="1">
      <alignment horizontal="left"/>
      <protection locked="0"/>
    </xf>
    <xf numFmtId="0" fontId="35" fillId="0" borderId="14" xfId="0" applyFont="1" applyFill="1" applyBorder="1" applyAlignment="1" applyProtection="1">
      <alignment horizontal="left" vertical="top" wrapText="1"/>
      <protection locked="0"/>
    </xf>
    <xf numFmtId="0" fontId="35" fillId="0" borderId="14" xfId="0" applyFont="1" applyFill="1" applyBorder="1" applyAlignment="1">
      <alignment horizontal="left"/>
    </xf>
    <xf numFmtId="0" fontId="35" fillId="0" borderId="0" xfId="0" applyFont="1" applyFill="1" applyBorder="1" applyAlignment="1">
      <alignment horizontal="left"/>
    </xf>
    <xf numFmtId="0" fontId="36" fillId="0" borderId="14" xfId="0" applyFont="1" applyFill="1" applyBorder="1" applyAlignment="1">
      <alignment horizontal="left"/>
    </xf>
    <xf numFmtId="0" fontId="36" fillId="0" borderId="0" xfId="0" applyFont="1" applyFill="1" applyBorder="1" applyAlignment="1" applyProtection="1">
      <alignment wrapText="1"/>
      <protection locked="0"/>
    </xf>
    <xf numFmtId="4" fontId="36" fillId="0" borderId="0" xfId="0" applyNumberFormat="1" applyFont="1" applyFill="1" applyBorder="1" applyAlignment="1" applyProtection="1">
      <alignment horizontal="center" vertical="center"/>
      <protection locked="0"/>
    </xf>
    <xf numFmtId="0" fontId="36" fillId="0" borderId="14" xfId="0" applyFont="1" applyFill="1" applyBorder="1" applyAlignment="1" applyProtection="1">
      <alignment horizontal="left"/>
      <protection locked="0"/>
    </xf>
    <xf numFmtId="0" fontId="36" fillId="0" borderId="14" xfId="0" applyFont="1" applyFill="1" applyBorder="1"/>
    <xf numFmtId="3" fontId="35" fillId="0" borderId="10" xfId="0" applyNumberFormat="1" applyFont="1" applyFill="1" applyBorder="1" applyAlignment="1">
      <alignment horizontal="center" vertical="center"/>
    </xf>
    <xf numFmtId="0" fontId="39" fillId="25" borderId="14" xfId="0" applyFont="1" applyFill="1" applyBorder="1" applyAlignment="1" applyProtection="1">
      <protection locked="0"/>
    </xf>
    <xf numFmtId="0" fontId="36" fillId="24" borderId="0" xfId="0" applyFont="1" applyFill="1" applyBorder="1" applyAlignment="1">
      <alignment horizontal="right"/>
    </xf>
    <xf numFmtId="0" fontId="36" fillId="24" borderId="0" xfId="0" applyFont="1" applyFill="1" applyBorder="1" applyAlignment="1" applyProtection="1">
      <protection locked="0"/>
    </xf>
    <xf numFmtId="4" fontId="36" fillId="24" borderId="0" xfId="0" applyNumberFormat="1" applyFont="1" applyFill="1" applyBorder="1"/>
    <xf numFmtId="0" fontId="36" fillId="24" borderId="17" xfId="0" applyFont="1" applyFill="1" applyBorder="1"/>
    <xf numFmtId="3" fontId="36" fillId="24" borderId="0" xfId="0" applyNumberFormat="1" applyFont="1" applyFill="1" applyBorder="1" applyAlignment="1">
      <alignment horizontal="right"/>
    </xf>
    <xf numFmtId="3" fontId="36" fillId="0" borderId="17" xfId="0" applyNumberFormat="1" applyFont="1" applyFill="1" applyBorder="1" applyAlignment="1">
      <alignment horizontal="right"/>
    </xf>
    <xf numFmtId="3" fontId="36" fillId="25" borderId="0" xfId="0" applyNumberFormat="1" applyFont="1" applyFill="1" applyBorder="1" applyAlignment="1">
      <alignment horizontal="right"/>
    </xf>
    <xf numFmtId="169" fontId="36" fillId="0" borderId="0" xfId="0" applyNumberFormat="1" applyFont="1" applyFill="1" applyBorder="1" applyAlignment="1">
      <alignment horizontal="right"/>
    </xf>
    <xf numFmtId="10" fontId="36" fillId="25" borderId="17" xfId="0" applyNumberFormat="1" applyFont="1" applyFill="1" applyBorder="1" applyAlignment="1">
      <alignment horizontal="right"/>
    </xf>
    <xf numFmtId="10" fontId="36" fillId="25" borderId="17" xfId="186" applyNumberFormat="1" applyFont="1" applyFill="1" applyBorder="1" applyAlignment="1">
      <alignment horizontal="center" vertical="center"/>
    </xf>
    <xf numFmtId="4" fontId="36" fillId="0" borderId="17" xfId="0" applyNumberFormat="1" applyFont="1" applyFill="1" applyBorder="1" applyAlignment="1" applyProtection="1">
      <alignment horizontal="center" vertical="center"/>
      <protection locked="0"/>
    </xf>
    <xf numFmtId="10" fontId="36" fillId="0" borderId="0" xfId="343" applyNumberFormat="1" applyFont="1" applyFill="1" applyBorder="1" applyAlignment="1" applyProtection="1">
      <alignment horizontal="center" vertical="center"/>
      <protection locked="0"/>
    </xf>
    <xf numFmtId="10" fontId="35" fillId="0" borderId="0" xfId="343" applyNumberFormat="1" applyFont="1" applyFill="1" applyBorder="1" applyAlignment="1">
      <alignment horizontal="center" vertical="center"/>
    </xf>
    <xf numFmtId="10" fontId="35" fillId="0" borderId="17" xfId="343" applyNumberFormat="1" applyFont="1" applyFill="1" applyBorder="1" applyAlignment="1">
      <alignment horizontal="center" vertical="center"/>
    </xf>
    <xf numFmtId="10" fontId="35" fillId="0" borderId="17" xfId="186" applyNumberFormat="1" applyFont="1" applyFill="1" applyBorder="1" applyAlignment="1">
      <alignment horizontal="center" vertical="center"/>
    </xf>
    <xf numFmtId="10" fontId="36" fillId="0" borderId="0" xfId="343" applyNumberFormat="1" applyFont="1" applyFill="1" applyBorder="1" applyAlignment="1">
      <alignment horizontal="center" vertical="center"/>
    </xf>
    <xf numFmtId="0" fontId="36" fillId="0" borderId="0" xfId="0" applyFont="1" applyFill="1" applyAlignment="1"/>
    <xf numFmtId="10" fontId="35" fillId="0" borderId="0" xfId="343" applyNumberFormat="1" applyFont="1" applyFill="1" applyBorder="1" applyAlignment="1" applyProtection="1">
      <alignment horizontal="center" vertical="center"/>
      <protection locked="0"/>
    </xf>
    <xf numFmtId="0" fontId="35" fillId="25" borderId="14" xfId="0" applyFont="1" applyFill="1" applyBorder="1" applyAlignment="1" applyProtection="1">
      <alignment horizontal="left"/>
      <protection locked="0"/>
    </xf>
    <xf numFmtId="0" fontId="36" fillId="25" borderId="0" xfId="0" applyFont="1" applyFill="1" applyBorder="1" applyAlignment="1" applyProtection="1">
      <alignment horizontal="left"/>
      <protection locked="0"/>
    </xf>
    <xf numFmtId="4" fontId="36" fillId="25" borderId="0" xfId="0" applyNumberFormat="1" applyFont="1" applyFill="1" applyBorder="1" applyAlignment="1" applyProtection="1">
      <alignment horizontal="center" vertical="center"/>
      <protection locked="0"/>
    </xf>
    <xf numFmtId="4" fontId="36" fillId="25" borderId="17" xfId="0" applyNumberFormat="1" applyFont="1" applyFill="1" applyBorder="1" applyAlignment="1" applyProtection="1">
      <alignment horizontal="center" vertical="center"/>
      <protection locked="0"/>
    </xf>
    <xf numFmtId="0" fontId="36" fillId="25" borderId="0" xfId="0" applyFont="1" applyFill="1" applyBorder="1" applyAlignment="1" applyProtection="1">
      <protection locked="0"/>
    </xf>
    <xf numFmtId="0" fontId="36" fillId="25" borderId="0" xfId="0" applyFont="1" applyFill="1" applyBorder="1" applyAlignment="1" applyProtection="1">
      <alignment horizontal="left" vertical="center"/>
      <protection locked="0"/>
    </xf>
    <xf numFmtId="4" fontId="35" fillId="25" borderId="0" xfId="0" applyNumberFormat="1" applyFont="1" applyFill="1" applyBorder="1" applyAlignment="1">
      <alignment horizontal="center" vertical="center"/>
    </xf>
    <xf numFmtId="4" fontId="35" fillId="25" borderId="17" xfId="0" applyNumberFormat="1" applyFont="1" applyFill="1" applyBorder="1" applyAlignment="1">
      <alignment horizontal="center" vertical="center"/>
    </xf>
    <xf numFmtId="0" fontId="35" fillId="24" borderId="14" xfId="0" applyFont="1" applyFill="1" applyBorder="1" applyAlignment="1" applyProtection="1">
      <alignment horizontal="left"/>
      <protection locked="0"/>
    </xf>
    <xf numFmtId="0" fontId="35" fillId="24" borderId="0" xfId="0" applyFont="1" applyFill="1" applyBorder="1" applyAlignment="1" applyProtection="1">
      <alignment horizontal="left"/>
      <protection locked="0"/>
    </xf>
    <xf numFmtId="0" fontId="36" fillId="24" borderId="0" xfId="0" applyFont="1" applyFill="1" applyBorder="1" applyAlignment="1" applyProtection="1">
      <alignment horizontal="left" vertical="center"/>
      <protection locked="0"/>
    </xf>
    <xf numFmtId="4" fontId="35" fillId="24" borderId="0" xfId="0" applyNumberFormat="1" applyFont="1" applyFill="1" applyBorder="1" applyAlignment="1">
      <alignment horizontal="center" vertical="center"/>
    </xf>
    <xf numFmtId="4" fontId="35" fillId="24" borderId="17" xfId="0" applyNumberFormat="1" applyFont="1" applyFill="1" applyBorder="1" applyAlignment="1">
      <alignment horizontal="center" vertical="center"/>
    </xf>
    <xf numFmtId="0" fontId="35" fillId="24" borderId="13" xfId="0" applyFont="1" applyFill="1" applyBorder="1" applyAlignment="1" applyProtection="1">
      <alignment horizontal="left"/>
      <protection locked="0"/>
    </xf>
    <xf numFmtId="0" fontId="35" fillId="24" borderId="10" xfId="0" applyFont="1" applyFill="1" applyBorder="1" applyAlignment="1" applyProtection="1">
      <alignment horizontal="left"/>
      <protection locked="0"/>
    </xf>
    <xf numFmtId="0" fontId="35" fillId="24" borderId="10" xfId="0" applyFont="1" applyFill="1" applyBorder="1" applyAlignment="1" applyProtection="1">
      <alignment horizontal="left" vertical="center"/>
      <protection locked="0"/>
    </xf>
    <xf numFmtId="4" fontId="36" fillId="24" borderId="10" xfId="0" applyNumberFormat="1" applyFont="1" applyFill="1" applyBorder="1" applyAlignment="1">
      <alignment horizontal="center" vertical="center"/>
    </xf>
    <xf numFmtId="4" fontId="36" fillId="24" borderId="18" xfId="0" applyNumberFormat="1" applyFont="1" applyFill="1" applyBorder="1" applyAlignment="1">
      <alignment horizontal="center" vertical="center"/>
    </xf>
    <xf numFmtId="4" fontId="35" fillId="24" borderId="10" xfId="0" applyNumberFormat="1" applyFont="1" applyFill="1" applyBorder="1" applyAlignment="1" applyProtection="1">
      <alignment horizontal="center" vertical="center"/>
      <protection locked="0"/>
    </xf>
    <xf numFmtId="4" fontId="35" fillId="0" borderId="10" xfId="0" applyNumberFormat="1" applyFont="1" applyFill="1" applyBorder="1" applyAlignment="1" applyProtection="1">
      <alignment horizontal="center" vertical="center"/>
      <protection locked="0"/>
    </xf>
    <xf numFmtId="4" fontId="35" fillId="0" borderId="18" xfId="0" applyNumberFormat="1" applyFont="1" applyFill="1" applyBorder="1" applyAlignment="1" applyProtection="1">
      <alignment horizontal="center" vertical="center"/>
      <protection locked="0"/>
    </xf>
    <xf numFmtId="10" fontId="35" fillId="25" borderId="10" xfId="343" applyNumberFormat="1" applyFont="1" applyFill="1" applyBorder="1" applyAlignment="1" applyProtection="1">
      <alignment horizontal="center" vertical="center"/>
      <protection locked="0"/>
    </xf>
    <xf numFmtId="10" fontId="35" fillId="0" borderId="10" xfId="343" applyNumberFormat="1" applyFont="1" applyFill="1" applyBorder="1" applyAlignment="1" applyProtection="1">
      <alignment horizontal="center" vertical="center"/>
      <protection locked="0"/>
    </xf>
    <xf numFmtId="10" fontId="35" fillId="24" borderId="10" xfId="343" applyNumberFormat="1" applyFont="1" applyFill="1" applyBorder="1" applyAlignment="1" applyProtection="1">
      <alignment horizontal="center" vertical="center"/>
      <protection locked="0"/>
    </xf>
    <xf numFmtId="10" fontId="35" fillId="24" borderId="10" xfId="343" applyNumberFormat="1" applyFont="1" applyFill="1" applyBorder="1" applyAlignment="1">
      <alignment horizontal="center" vertical="center"/>
    </xf>
    <xf numFmtId="10" fontId="36" fillId="25" borderId="10" xfId="343" applyNumberFormat="1" applyFont="1" applyFill="1" applyBorder="1" applyAlignment="1">
      <alignment horizontal="center" vertical="center"/>
    </xf>
    <xf numFmtId="39" fontId="36" fillId="0" borderId="0" xfId="0" applyNumberFormat="1" applyFont="1" applyFill="1" applyBorder="1" applyAlignment="1">
      <alignment horizontal="center" vertical="center"/>
    </xf>
    <xf numFmtId="0" fontId="35" fillId="25" borderId="14" xfId="0" applyFont="1" applyFill="1" applyBorder="1" applyAlignment="1" applyProtection="1">
      <alignment horizontal="left" vertical="center"/>
      <protection locked="0"/>
    </xf>
    <xf numFmtId="0" fontId="36" fillId="25" borderId="0" xfId="0" applyFont="1" applyFill="1" applyBorder="1" applyAlignment="1">
      <alignment horizontal="left" vertical="center" wrapText="1"/>
    </xf>
    <xf numFmtId="0" fontId="36" fillId="25" borderId="0" xfId="0" applyFont="1" applyFill="1" applyBorder="1" applyAlignment="1" applyProtection="1">
      <alignment horizontal="center" vertical="center"/>
      <protection locked="0"/>
    </xf>
    <xf numFmtId="0" fontId="35" fillId="25" borderId="0" xfId="0" applyFont="1" applyFill="1" applyBorder="1" applyAlignment="1" applyProtection="1">
      <alignment horizontal="left" vertical="center" wrapText="1"/>
      <protection locked="0"/>
    </xf>
    <xf numFmtId="0" fontId="35" fillId="25" borderId="0" xfId="0" applyFont="1" applyFill="1" applyBorder="1" applyAlignment="1" applyProtection="1">
      <alignment horizontal="center" vertical="center"/>
      <protection locked="0"/>
    </xf>
    <xf numFmtId="0" fontId="39" fillId="25" borderId="14" xfId="0" applyFont="1" applyFill="1" applyBorder="1" applyAlignment="1" applyProtection="1">
      <alignment horizontal="left" vertical="center"/>
      <protection locked="0"/>
    </xf>
    <xf numFmtId="0" fontId="36" fillId="25" borderId="0" xfId="0" applyFont="1" applyFill="1" applyBorder="1" applyAlignment="1" applyProtection="1">
      <alignment horizontal="left" vertical="center" wrapText="1"/>
      <protection locked="0"/>
    </xf>
    <xf numFmtId="0" fontId="36" fillId="25" borderId="0" xfId="176" applyFont="1" applyFill="1" applyBorder="1" applyAlignment="1" applyProtection="1">
      <alignment horizontal="left" vertical="center" wrapText="1"/>
      <protection locked="0"/>
    </xf>
    <xf numFmtId="0" fontId="36" fillId="25" borderId="0" xfId="0" applyFont="1" applyFill="1" applyBorder="1" applyAlignment="1">
      <alignment horizontal="center" vertical="center"/>
    </xf>
    <xf numFmtId="4" fontId="36" fillId="0" borderId="17" xfId="0" applyNumberFormat="1" applyFont="1" applyFill="1" applyBorder="1" applyAlignment="1" applyProtection="1">
      <alignment horizontal="center" vertical="center"/>
      <protection locked="0"/>
    </xf>
    <xf numFmtId="0" fontId="35" fillId="25" borderId="14" xfId="0" applyFont="1" applyFill="1" applyBorder="1" applyAlignment="1">
      <alignment horizontal="left" vertical="center"/>
    </xf>
    <xf numFmtId="0" fontId="35" fillId="25" borderId="0" xfId="0" applyFont="1" applyFill="1" applyBorder="1" applyAlignment="1">
      <alignment horizontal="left" vertical="center" wrapText="1"/>
    </xf>
    <xf numFmtId="0" fontId="36" fillId="25" borderId="14" xfId="0" applyFont="1" applyFill="1" applyBorder="1" applyAlignment="1">
      <alignment horizontal="left" vertical="center"/>
    </xf>
    <xf numFmtId="0" fontId="36" fillId="25" borderId="14" xfId="0" applyFont="1" applyFill="1" applyBorder="1" applyAlignment="1" applyProtection="1">
      <alignment horizontal="left" vertical="center"/>
      <protection locked="0"/>
    </xf>
    <xf numFmtId="0" fontId="35" fillId="25" borderId="0" xfId="0" applyFont="1" applyFill="1" applyBorder="1" applyAlignment="1" applyProtection="1">
      <alignment horizontal="left"/>
      <protection locked="0"/>
    </xf>
    <xf numFmtId="0" fontId="35" fillId="25" borderId="13" xfId="0" applyFont="1" applyFill="1" applyBorder="1" applyAlignment="1" applyProtection="1">
      <alignment horizontal="left"/>
      <protection locked="0"/>
    </xf>
    <xf numFmtId="0" fontId="35" fillId="25" borderId="10" xfId="0" applyFont="1" applyFill="1" applyBorder="1" applyAlignment="1" applyProtection="1">
      <alignment horizontal="left"/>
      <protection locked="0"/>
    </xf>
    <xf numFmtId="0" fontId="36" fillId="25" borderId="10" xfId="0" applyFont="1" applyFill="1" applyBorder="1" applyAlignment="1">
      <alignment horizontal="center"/>
    </xf>
    <xf numFmtId="4" fontId="36" fillId="0" borderId="10" xfId="162" applyNumberFormat="1" applyFont="1" applyFill="1" applyBorder="1" applyAlignment="1">
      <alignment horizontal="center" vertical="center"/>
    </xf>
    <xf numFmtId="4" fontId="36" fillId="0" borderId="18" xfId="0" applyNumberFormat="1" applyFont="1" applyFill="1" applyBorder="1" applyAlignment="1">
      <alignment horizontal="center" vertical="center"/>
    </xf>
    <xf numFmtId="0" fontId="35" fillId="25" borderId="10" xfId="0" applyFont="1" applyFill="1" applyBorder="1"/>
    <xf numFmtId="0" fontId="36" fillId="0" borderId="0" xfId="0" applyFont="1" applyFill="1" applyAlignment="1">
      <alignment horizontal="left" wrapText="1"/>
    </xf>
    <xf numFmtId="4" fontId="36" fillId="0" borderId="0" xfId="0" applyNumberFormat="1" applyFont="1" applyFill="1" applyBorder="1" applyAlignment="1">
      <alignment horizontal="center" vertical="center"/>
    </xf>
    <xf numFmtId="0" fontId="35" fillId="26" borderId="22"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left" vertical="center"/>
      <protection locked="0"/>
    </xf>
    <xf numFmtId="0" fontId="36" fillId="0" borderId="0" xfId="0" applyFont="1" applyFill="1" applyBorder="1" applyAlignment="1">
      <alignment horizontal="left" vertical="center"/>
    </xf>
    <xf numFmtId="4" fontId="36" fillId="0" borderId="0" xfId="0" applyNumberFormat="1" applyFont="1" applyFill="1" applyBorder="1" applyAlignment="1" applyProtection="1">
      <alignment horizontal="center" vertical="center"/>
      <protection locked="0"/>
    </xf>
    <xf numFmtId="4" fontId="36" fillId="0" borderId="17" xfId="0" applyNumberFormat="1" applyFont="1" applyFill="1" applyBorder="1" applyAlignment="1" applyProtection="1">
      <alignment horizontal="center" vertical="center"/>
      <protection locked="0"/>
    </xf>
    <xf numFmtId="3" fontId="36" fillId="0" borderId="14" xfId="0" applyNumberFormat="1" applyFont="1" applyFill="1" applyBorder="1" applyAlignment="1">
      <alignment horizontal="right"/>
    </xf>
    <xf numFmtId="4" fontId="36" fillId="0" borderId="14" xfId="0" applyNumberFormat="1" applyFont="1" applyFill="1" applyBorder="1" applyAlignment="1">
      <alignment horizontal="center" vertical="center"/>
    </xf>
    <xf numFmtId="4" fontId="35" fillId="0" borderId="14" xfId="0" applyNumberFormat="1" applyFont="1" applyFill="1" applyBorder="1" applyAlignment="1">
      <alignment horizontal="center" vertical="center"/>
    </xf>
    <xf numFmtId="4" fontId="36" fillId="0" borderId="14" xfId="0" applyNumberFormat="1" applyFont="1" applyFill="1" applyBorder="1" applyAlignment="1" applyProtection="1">
      <alignment horizontal="center" vertical="center"/>
      <protection locked="0"/>
    </xf>
    <xf numFmtId="4" fontId="36" fillId="25" borderId="14" xfId="0" applyNumberFormat="1" applyFont="1" applyFill="1" applyBorder="1" applyAlignment="1">
      <alignment horizontal="center" vertical="center"/>
    </xf>
    <xf numFmtId="4" fontId="35" fillId="25" borderId="14" xfId="0" applyNumberFormat="1" applyFont="1" applyFill="1" applyBorder="1" applyAlignment="1">
      <alignment horizontal="center" vertical="center"/>
    </xf>
    <xf numFmtId="4" fontId="35" fillId="0" borderId="13" xfId="0" applyNumberFormat="1" applyFont="1" applyFill="1" applyBorder="1" applyAlignment="1" applyProtection="1">
      <alignment horizontal="center" vertical="center"/>
      <protection locked="0"/>
    </xf>
    <xf numFmtId="3" fontId="36" fillId="25" borderId="14" xfId="0" applyNumberFormat="1" applyFont="1" applyFill="1" applyBorder="1" applyAlignment="1">
      <alignment horizontal="right"/>
    </xf>
    <xf numFmtId="10" fontId="36" fillId="0" borderId="14" xfId="343" applyNumberFormat="1" applyFont="1" applyFill="1" applyBorder="1" applyAlignment="1" applyProtection="1">
      <alignment horizontal="center" vertical="center"/>
      <protection locked="0"/>
    </xf>
    <xf numFmtId="10" fontId="36" fillId="0" borderId="14" xfId="343" applyNumberFormat="1" applyFont="1" applyFill="1" applyBorder="1" applyAlignment="1">
      <alignment horizontal="center" vertical="center"/>
    </xf>
    <xf numFmtId="10" fontId="35" fillId="0" borderId="14" xfId="343" applyNumberFormat="1" applyFont="1" applyFill="1" applyBorder="1" applyAlignment="1">
      <alignment horizontal="center" vertical="center"/>
    </xf>
    <xf numFmtId="10" fontId="35" fillId="0" borderId="14" xfId="343" applyNumberFormat="1" applyFont="1" applyFill="1" applyBorder="1" applyAlignment="1" applyProtection="1">
      <alignment horizontal="center" vertical="center"/>
      <protection locked="0"/>
    </xf>
    <xf numFmtId="10" fontId="35" fillId="25" borderId="13" xfId="343" applyNumberFormat="1" applyFont="1" applyFill="1" applyBorder="1" applyAlignment="1" applyProtection="1">
      <alignment horizontal="center" vertical="center"/>
      <protection locked="0"/>
    </xf>
    <xf numFmtId="0" fontId="35" fillId="0" borderId="0" xfId="0" applyFont="1" applyFill="1" applyBorder="1"/>
    <xf numFmtId="0" fontId="35" fillId="24" borderId="14" xfId="0" applyFont="1" applyFill="1" applyBorder="1" applyAlignment="1">
      <alignment horizontal="left"/>
    </xf>
    <xf numFmtId="4" fontId="36" fillId="24" borderId="0" xfId="0" applyNumberFormat="1" applyFont="1" applyFill="1" applyBorder="1" applyAlignment="1">
      <alignment horizontal="center" vertical="center"/>
    </xf>
    <xf numFmtId="0" fontId="36" fillId="24" borderId="0" xfId="0" applyFont="1" applyFill="1" applyBorder="1" applyAlignment="1">
      <alignment horizontal="center" vertical="center"/>
    </xf>
    <xf numFmtId="0" fontId="41" fillId="24" borderId="0" xfId="0" applyFont="1" applyFill="1"/>
    <xf numFmtId="0" fontId="35" fillId="25" borderId="14" xfId="0" applyFont="1" applyFill="1" applyBorder="1" applyAlignment="1">
      <alignment horizontal="left"/>
    </xf>
    <xf numFmtId="3" fontId="36" fillId="0" borderId="0" xfId="0" applyNumberFormat="1" applyFont="1" applyFill="1" applyBorder="1" applyAlignment="1">
      <alignment horizontal="center" vertical="center"/>
    </xf>
    <xf numFmtId="4"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left" vertical="center"/>
      <protection locked="0"/>
    </xf>
    <xf numFmtId="0" fontId="35" fillId="0" borderId="0" xfId="0" applyFont="1" applyFill="1" applyBorder="1" applyAlignment="1">
      <alignment horizontal="center" vertical="center"/>
    </xf>
    <xf numFmtId="4" fontId="36" fillId="0" borderId="17" xfId="0" applyNumberFormat="1" applyFont="1" applyFill="1" applyBorder="1" applyAlignment="1">
      <alignment horizontal="center" vertical="center"/>
    </xf>
    <xf numFmtId="4" fontId="36" fillId="0" borderId="0" xfId="0" applyNumberFormat="1" applyFont="1" applyFill="1" applyBorder="1" applyAlignment="1" applyProtection="1">
      <alignment horizontal="center" vertical="center"/>
      <protection locked="0"/>
    </xf>
    <xf numFmtId="14" fontId="36" fillId="0" borderId="0" xfId="0" applyNumberFormat="1" applyFont="1" applyFill="1" applyBorder="1" applyAlignment="1">
      <alignment horizontal="center" vertical="center" wrapText="1"/>
    </xf>
    <xf numFmtId="14" fontId="36" fillId="0" borderId="17" xfId="0" applyNumberFormat="1" applyFont="1" applyFill="1" applyBorder="1" applyAlignment="1">
      <alignment horizontal="center" vertical="center" wrapText="1"/>
    </xf>
    <xf numFmtId="166" fontId="36" fillId="0" borderId="0" xfId="177" applyNumberFormat="1" applyFont="1" applyFill="1" applyBorder="1" applyAlignment="1">
      <alignment horizontal="center" vertical="center"/>
    </xf>
    <xf numFmtId="166" fontId="36" fillId="0" borderId="0" xfId="0" applyNumberFormat="1" applyFont="1" applyFill="1" applyBorder="1" applyAlignment="1">
      <alignment horizontal="center" vertical="center" wrapText="1"/>
    </xf>
    <xf numFmtId="0" fontId="35" fillId="0" borderId="0" xfId="0" applyFont="1" applyFill="1" applyAlignment="1">
      <alignment horizontal="left" vertical="center"/>
    </xf>
    <xf numFmtId="4" fontId="37" fillId="0" borderId="0" xfId="0" applyNumberFormat="1" applyFont="1" applyFill="1" applyBorder="1" applyAlignment="1">
      <alignment horizontal="center" vertical="center"/>
    </xf>
    <xf numFmtId="0" fontId="35" fillId="26" borderId="12" xfId="162" applyNumberFormat="1" applyFont="1" applyFill="1" applyBorder="1" applyAlignment="1" applyProtection="1">
      <alignment horizontal="center" vertical="center" wrapText="1"/>
      <protection locked="0"/>
    </xf>
    <xf numFmtId="2" fontId="36" fillId="0" borderId="0" xfId="0" applyNumberFormat="1" applyFont="1" applyFill="1"/>
    <xf numFmtId="2" fontId="36" fillId="25" borderId="0" xfId="0" applyNumberFormat="1" applyFont="1" applyFill="1"/>
    <xf numFmtId="2" fontId="35" fillId="0" borderId="0" xfId="0" applyNumberFormat="1" applyFont="1" applyFill="1"/>
    <xf numFmtId="0" fontId="36" fillId="0" borderId="0" xfId="0" applyFont="1" applyFill="1" applyBorder="1" applyAlignment="1" applyProtection="1">
      <alignment horizontal="center" vertical="center"/>
      <protection locked="0"/>
    </xf>
    <xf numFmtId="4" fontId="36" fillId="0" borderId="0" xfId="0" applyNumberFormat="1" applyFont="1" applyFill="1" applyBorder="1" applyAlignment="1">
      <alignment horizontal="center" vertical="center"/>
    </xf>
    <xf numFmtId="4" fontId="36" fillId="0" borderId="0" xfId="0" applyNumberFormat="1" applyFont="1" applyFill="1" applyBorder="1" applyAlignment="1" applyProtection="1">
      <alignment horizontal="center" vertical="center"/>
      <protection locked="0"/>
    </xf>
    <xf numFmtId="4" fontId="36" fillId="0" borderId="17" xfId="0" applyNumberFormat="1" applyFont="1" applyFill="1" applyBorder="1" applyAlignment="1" applyProtection="1">
      <alignment horizontal="center" vertical="center"/>
      <protection locked="0"/>
    </xf>
    <xf numFmtId="0" fontId="0" fillId="25" borderId="0" xfId="0" applyFill="1"/>
    <xf numFmtId="0" fontId="0" fillId="25" borderId="0" xfId="0" applyFill="1" applyBorder="1"/>
    <xf numFmtId="0" fontId="35" fillId="0" borderId="0" xfId="0" applyFont="1" applyFill="1" applyBorder="1" applyAlignment="1" applyProtection="1">
      <alignment horizontal="center" vertical="center" wrapText="1"/>
      <protection locked="0"/>
    </xf>
    <xf numFmtId="0" fontId="46" fillId="27" borderId="0" xfId="0" applyFont="1" applyFill="1" applyBorder="1" applyAlignment="1">
      <alignment horizontal="left" vertical="center" wrapText="1"/>
    </xf>
    <xf numFmtId="0" fontId="46" fillId="27" borderId="0" xfId="0" applyFont="1" applyFill="1" applyBorder="1" applyAlignment="1">
      <alignment horizontal="center" vertical="center" wrapText="1"/>
    </xf>
    <xf numFmtId="0" fontId="45" fillId="27" borderId="0" xfId="0" applyFont="1" applyFill="1" applyBorder="1" applyAlignment="1">
      <alignment horizontal="left" vertical="center" wrapText="1"/>
    </xf>
    <xf numFmtId="0" fontId="45" fillId="27" borderId="0" xfId="0" applyFont="1" applyFill="1" applyBorder="1" applyAlignment="1">
      <alignment horizontal="center" vertical="center" wrapText="1"/>
    </xf>
    <xf numFmtId="0" fontId="45" fillId="25" borderId="0" xfId="0" applyFont="1" applyFill="1" applyBorder="1" applyAlignment="1">
      <alignment horizontal="center" vertical="center" wrapText="1"/>
    </xf>
    <xf numFmtId="4" fontId="45" fillId="27" borderId="0" xfId="0" applyNumberFormat="1" applyFont="1" applyFill="1" applyBorder="1" applyAlignment="1">
      <alignment horizontal="center" vertical="center" wrapText="1"/>
    </xf>
    <xf numFmtId="0" fontId="36" fillId="0" borderId="0" xfId="0" applyFont="1" applyFill="1" applyAlignment="1">
      <alignment horizontal="left" vertical="center" wrapText="1"/>
    </xf>
    <xf numFmtId="0" fontId="47" fillId="0" borderId="14" xfId="0" applyFont="1" applyFill="1" applyBorder="1" applyAlignment="1" applyProtection="1">
      <alignment horizontal="left" vertical="center" wrapText="1"/>
      <protection locked="0"/>
    </xf>
    <xf numFmtId="0" fontId="46" fillId="25" borderId="17" xfId="0" applyFont="1" applyFill="1" applyBorder="1" applyAlignment="1">
      <alignment horizontal="center" vertical="center" wrapText="1"/>
    </xf>
    <xf numFmtId="0" fontId="35" fillId="0" borderId="17" xfId="0" applyFont="1" applyFill="1" applyBorder="1" applyAlignment="1" applyProtection="1">
      <alignment horizontal="center" vertical="center" wrapText="1"/>
      <protection locked="0"/>
    </xf>
    <xf numFmtId="0" fontId="48" fillId="27" borderId="0" xfId="0" applyFont="1" applyFill="1" applyBorder="1" applyAlignment="1">
      <alignment horizontal="left" vertical="center" wrapText="1"/>
    </xf>
    <xf numFmtId="0" fontId="48" fillId="27" borderId="0" xfId="0" applyFont="1" applyFill="1" applyBorder="1" applyAlignment="1">
      <alignment horizontal="center" vertical="center" wrapText="1"/>
    </xf>
    <xf numFmtId="0" fontId="36" fillId="27" borderId="0" xfId="0" applyFont="1" applyFill="1" applyBorder="1" applyAlignment="1">
      <alignment horizontal="left" vertical="center" wrapText="1"/>
    </xf>
    <xf numFmtId="0" fontId="36" fillId="27" borderId="0" xfId="0" applyFont="1" applyFill="1" applyBorder="1" applyAlignment="1">
      <alignment horizontal="center" vertical="center" wrapText="1"/>
    </xf>
    <xf numFmtId="0" fontId="36" fillId="25" borderId="0" xfId="0" applyFont="1" applyFill="1" applyBorder="1" applyAlignment="1">
      <alignment horizontal="center" vertical="center" wrapText="1"/>
    </xf>
    <xf numFmtId="0" fontId="48" fillId="25" borderId="17" xfId="0" applyFont="1" applyFill="1" applyBorder="1" applyAlignment="1">
      <alignment horizontal="center" vertical="center" wrapText="1"/>
    </xf>
    <xf numFmtId="0" fontId="48" fillId="25" borderId="0" xfId="0" applyFont="1" applyFill="1" applyBorder="1" applyAlignment="1">
      <alignment horizontal="center" vertical="center" wrapText="1"/>
    </xf>
    <xf numFmtId="4" fontId="36" fillId="25" borderId="0" xfId="0" applyNumberFormat="1" applyFont="1" applyFill="1" applyBorder="1" applyAlignment="1">
      <alignment horizontal="left" vertical="center" wrapText="1"/>
    </xf>
    <xf numFmtId="0" fontId="38" fillId="0" borderId="0" xfId="0" applyFont="1" applyBorder="1" applyAlignment="1">
      <alignment horizontal="center" vertical="center"/>
    </xf>
    <xf numFmtId="4" fontId="36" fillId="25" borderId="17" xfId="0" applyNumberFormat="1" applyFont="1" applyFill="1" applyBorder="1" applyAlignment="1">
      <alignment horizontal="center" vertical="center" wrapText="1"/>
    </xf>
    <xf numFmtId="4" fontId="36" fillId="25" borderId="10" xfId="0" applyNumberFormat="1" applyFont="1" applyFill="1" applyBorder="1" applyAlignment="1">
      <alignment horizontal="left" vertical="center" wrapText="1"/>
    </xf>
    <xf numFmtId="0" fontId="38" fillId="0" borderId="10" xfId="0" applyFont="1" applyBorder="1" applyAlignment="1">
      <alignment horizontal="center" vertical="center"/>
    </xf>
    <xf numFmtId="0" fontId="36" fillId="25" borderId="10" xfId="0" applyFont="1" applyFill="1" applyBorder="1" applyAlignment="1">
      <alignment horizontal="center" vertical="center" wrapText="1"/>
    </xf>
    <xf numFmtId="4" fontId="36" fillId="25" borderId="18" xfId="0" applyNumberFormat="1" applyFont="1" applyFill="1" applyBorder="1" applyAlignment="1">
      <alignment horizontal="center" vertical="center" wrapText="1"/>
    </xf>
    <xf numFmtId="0" fontId="38" fillId="25" borderId="0" xfId="0" applyFont="1" applyFill="1" applyBorder="1" applyAlignment="1">
      <alignment horizontal="center" vertical="center"/>
    </xf>
    <xf numFmtId="0" fontId="38" fillId="25" borderId="10" xfId="0" applyFont="1" applyFill="1" applyBorder="1" applyAlignment="1">
      <alignment horizontal="center" vertical="center"/>
    </xf>
    <xf numFmtId="14" fontId="49" fillId="25" borderId="0" xfId="0" applyNumberFormat="1" applyFont="1" applyFill="1"/>
    <xf numFmtId="0" fontId="49" fillId="25" borderId="0" xfId="0" applyFont="1" applyFill="1"/>
    <xf numFmtId="0" fontId="36" fillId="0" borderId="0" xfId="0" applyNumberFormat="1" applyFont="1" applyFill="1" applyBorder="1" applyAlignment="1">
      <alignment horizontal="center" vertical="center"/>
    </xf>
    <xf numFmtId="14" fontId="36" fillId="0" borderId="17" xfId="0" applyNumberFormat="1" applyFont="1" applyFill="1" applyBorder="1" applyAlignment="1">
      <alignment horizontal="center" vertical="center"/>
    </xf>
    <xf numFmtId="49" fontId="36" fillId="0" borderId="0" xfId="0" applyNumberFormat="1" applyFont="1" applyFill="1" applyBorder="1" applyAlignment="1">
      <alignment horizontal="center" vertical="center"/>
    </xf>
    <xf numFmtId="166" fontId="36" fillId="0" borderId="0" xfId="0" applyNumberFormat="1" applyFont="1" applyFill="1" applyBorder="1" applyAlignment="1">
      <alignment horizontal="center" vertical="center"/>
    </xf>
    <xf numFmtId="3" fontId="36" fillId="0" borderId="0" xfId="0" applyNumberFormat="1" applyFont="1" applyFill="1" applyBorder="1" applyAlignment="1">
      <alignment horizontal="center" vertical="center"/>
    </xf>
    <xf numFmtId="0" fontId="36" fillId="0" borderId="0" xfId="0" applyFont="1" applyFill="1" applyBorder="1" applyAlignment="1" applyProtection="1">
      <alignment horizontal="center" vertical="center"/>
      <protection locked="0"/>
    </xf>
    <xf numFmtId="4" fontId="36" fillId="0" borderId="0" xfId="0" applyNumberFormat="1" applyFont="1" applyFill="1" applyBorder="1" applyAlignment="1">
      <alignment horizontal="center" vertical="center"/>
    </xf>
    <xf numFmtId="10" fontId="36" fillId="0" borderId="0" xfId="186" applyNumberFormat="1" applyFont="1" applyFill="1" applyBorder="1" applyAlignment="1">
      <alignment horizontal="center" vertical="center"/>
    </xf>
    <xf numFmtId="3" fontId="36" fillId="0" borderId="17" xfId="0" applyNumberFormat="1" applyFont="1" applyFill="1" applyBorder="1" applyAlignment="1">
      <alignment horizontal="center" vertical="center"/>
    </xf>
    <xf numFmtId="0" fontId="36" fillId="0" borderId="0" xfId="0" applyFont="1" applyFill="1" applyBorder="1" applyAlignment="1" applyProtection="1">
      <alignment horizontal="left" vertical="center"/>
      <protection locked="0"/>
    </xf>
    <xf numFmtId="4" fontId="36" fillId="0" borderId="0" xfId="0" applyNumberFormat="1" applyFont="1" applyFill="1" applyBorder="1" applyAlignment="1" applyProtection="1">
      <alignment horizontal="center" vertical="center"/>
      <protection locked="0"/>
    </xf>
    <xf numFmtId="4" fontId="36" fillId="0" borderId="17" xfId="0" applyNumberFormat="1" applyFont="1" applyFill="1" applyBorder="1" applyAlignment="1" applyProtection="1">
      <alignment horizontal="center" vertical="center"/>
      <protection locked="0"/>
    </xf>
    <xf numFmtId="0" fontId="36" fillId="25" borderId="0" xfId="0" applyFont="1" applyFill="1" applyBorder="1" applyAlignment="1" applyProtection="1">
      <alignment horizontal="center" vertical="center"/>
      <protection locked="0"/>
    </xf>
    <xf numFmtId="0" fontId="39" fillId="0" borderId="0" xfId="0" applyFont="1" applyFill="1" applyBorder="1" applyAlignment="1">
      <alignment horizontal="left" vertical="center"/>
    </xf>
    <xf numFmtId="165" fontId="36" fillId="0" borderId="0" xfId="162" applyFont="1" applyFill="1" applyAlignment="1">
      <alignment vertical="center"/>
    </xf>
    <xf numFmtId="4" fontId="36" fillId="0" borderId="0" xfId="0" applyNumberFormat="1" applyFont="1" applyFill="1" applyAlignment="1">
      <alignment vertical="center"/>
    </xf>
    <xf numFmtId="0" fontId="38" fillId="0" borderId="0" xfId="0" applyFont="1" applyFill="1" applyAlignment="1">
      <alignment horizontal="left" vertical="center"/>
    </xf>
    <xf numFmtId="0" fontId="35" fillId="0" borderId="0" xfId="0" applyFont="1" applyFill="1" applyAlignment="1">
      <alignment vertical="center"/>
    </xf>
    <xf numFmtId="10" fontId="36" fillId="0" borderId="0" xfId="186" applyNumberFormat="1" applyFont="1" applyFill="1" applyAlignment="1">
      <alignment vertical="center"/>
    </xf>
    <xf numFmtId="0" fontId="36" fillId="24" borderId="0" xfId="0" applyFont="1" applyFill="1" applyAlignment="1">
      <alignment vertical="center"/>
    </xf>
    <xf numFmtId="0" fontId="38" fillId="24" borderId="0" xfId="0" applyFont="1" applyFill="1" applyAlignment="1">
      <alignment horizontal="left" vertical="center"/>
    </xf>
    <xf numFmtId="0" fontId="41" fillId="24" borderId="0" xfId="0" applyFont="1" applyFill="1" applyAlignment="1">
      <alignment horizontal="left" vertical="center"/>
    </xf>
    <xf numFmtId="0" fontId="41" fillId="24" borderId="0" xfId="0" applyFont="1" applyFill="1" applyAlignment="1">
      <alignment vertical="center"/>
    </xf>
    <xf numFmtId="0" fontId="41" fillId="0" borderId="0" xfId="0" applyFont="1" applyFill="1" applyAlignment="1">
      <alignment vertical="center"/>
    </xf>
    <xf numFmtId="0" fontId="41" fillId="25" borderId="0" xfId="0" applyFont="1" applyFill="1" applyAlignment="1">
      <alignment vertical="center"/>
    </xf>
    <xf numFmtId="0" fontId="36" fillId="25" borderId="0" xfId="0" applyFont="1" applyFill="1" applyAlignment="1">
      <alignment horizontal="center" vertical="center"/>
    </xf>
    <xf numFmtId="0" fontId="36" fillId="0" borderId="0" xfId="0" applyFont="1" applyAlignment="1">
      <alignment vertical="center"/>
    </xf>
    <xf numFmtId="0" fontId="36" fillId="0" borderId="0" xfId="0" applyFont="1" applyFill="1" applyAlignment="1">
      <alignment horizontal="center"/>
    </xf>
    <xf numFmtId="3" fontId="36" fillId="0" borderId="0" xfId="0" applyNumberFormat="1" applyFont="1" applyFill="1" applyBorder="1" applyAlignment="1">
      <alignment horizontal="center" vertical="center"/>
    </xf>
    <xf numFmtId="4" fontId="36" fillId="0" borderId="0" xfId="0" applyNumberFormat="1" applyFont="1" applyFill="1" applyBorder="1" applyAlignment="1">
      <alignment horizontal="center" vertical="center"/>
    </xf>
    <xf numFmtId="10" fontId="36" fillId="0" borderId="0" xfId="186" applyNumberFormat="1" applyFont="1" applyFill="1" applyBorder="1" applyAlignment="1">
      <alignment horizontal="center" vertical="center"/>
    </xf>
    <xf numFmtId="3" fontId="36" fillId="0" borderId="17" xfId="0" applyNumberFormat="1" applyFont="1" applyFill="1" applyBorder="1" applyAlignment="1">
      <alignment horizontal="center" vertical="center"/>
    </xf>
    <xf numFmtId="4" fontId="35" fillId="26" borderId="22" xfId="0" applyNumberFormat="1" applyFont="1" applyFill="1" applyBorder="1" applyAlignment="1" applyProtection="1">
      <alignment horizontal="center" vertical="center" wrapText="1"/>
      <protection locked="0"/>
    </xf>
    <xf numFmtId="0" fontId="35" fillId="0" borderId="0" xfId="0" applyFont="1" applyFill="1" applyBorder="1" applyAlignment="1">
      <alignment horizontal="center"/>
    </xf>
    <xf numFmtId="0" fontId="36" fillId="0" borderId="0" xfId="0" applyFont="1" applyFill="1" applyBorder="1" applyAlignment="1" applyProtection="1">
      <alignment horizontal="left" vertical="center"/>
      <protection locked="0"/>
    </xf>
    <xf numFmtId="0" fontId="36" fillId="0" borderId="0" xfId="0" applyFont="1" applyFill="1" applyBorder="1" applyAlignment="1">
      <alignment horizontal="left" vertical="center"/>
    </xf>
    <xf numFmtId="4" fontId="36" fillId="0" borderId="17" xfId="0" applyNumberFormat="1" applyFont="1" applyFill="1" applyBorder="1" applyAlignment="1">
      <alignment horizontal="center" vertical="center"/>
    </xf>
    <xf numFmtId="4" fontId="36" fillId="0" borderId="0" xfId="0" applyNumberFormat="1" applyFont="1" applyFill="1" applyBorder="1" applyAlignment="1" applyProtection="1">
      <alignment horizontal="center" vertical="center"/>
      <protection locked="0"/>
    </xf>
    <xf numFmtId="10" fontId="36" fillId="0" borderId="0" xfId="343" applyNumberFormat="1" applyFont="1" applyFill="1" applyBorder="1" applyAlignment="1">
      <alignment horizontal="center" vertical="center"/>
    </xf>
    <xf numFmtId="0" fontId="36" fillId="0" borderId="0" xfId="0" applyFont="1" applyFill="1" applyBorder="1" applyAlignment="1" applyProtection="1">
      <alignment vertical="center"/>
      <protection locked="0"/>
    </xf>
    <xf numFmtId="4" fontId="36" fillId="0" borderId="0" xfId="0" applyNumberFormat="1" applyFont="1" applyFill="1" applyBorder="1" applyAlignment="1">
      <alignment horizontal="center" vertical="center"/>
    </xf>
    <xf numFmtId="0" fontId="36" fillId="0" borderId="0" xfId="0" applyFont="1" applyFill="1" applyBorder="1" applyAlignment="1" applyProtection="1">
      <alignment horizontal="left" vertical="center"/>
      <protection locked="0"/>
    </xf>
    <xf numFmtId="0" fontId="36" fillId="0" borderId="0" xfId="0" applyFont="1" applyFill="1" applyBorder="1" applyAlignment="1">
      <alignment horizontal="left" vertical="center"/>
    </xf>
    <xf numFmtId="4" fontId="36" fillId="0" borderId="0" xfId="0" applyNumberFormat="1" applyFont="1" applyFill="1" applyBorder="1" applyAlignment="1" applyProtection="1">
      <alignment horizontal="center" vertical="center"/>
      <protection locked="0"/>
    </xf>
    <xf numFmtId="0" fontId="38" fillId="0" borderId="0" xfId="0" applyFont="1" applyFill="1" applyAlignment="1">
      <alignment horizontal="left" vertical="center" wrapText="1"/>
    </xf>
    <xf numFmtId="0" fontId="36" fillId="0" borderId="0" xfId="0" applyFont="1" applyFill="1" applyBorder="1" applyAlignment="1" applyProtection="1">
      <alignment horizontal="center" wrapText="1"/>
      <protection locked="0"/>
    </xf>
    <xf numFmtId="0" fontId="36" fillId="0" borderId="0" xfId="0" applyFont="1" applyFill="1" applyAlignment="1">
      <alignment vertical="center" wrapText="1"/>
    </xf>
    <xf numFmtId="0" fontId="36" fillId="25" borderId="0" xfId="0" applyFont="1" applyFill="1" applyAlignment="1">
      <alignment wrapText="1"/>
    </xf>
    <xf numFmtId="0" fontId="38" fillId="0" borderId="0" xfId="0" applyFont="1" applyFill="1" applyAlignment="1"/>
    <xf numFmtId="14" fontId="35" fillId="0" borderId="0" xfId="0" applyNumberFormat="1" applyFont="1" applyFill="1" applyBorder="1" applyAlignment="1">
      <alignment horizontal="center"/>
    </xf>
    <xf numFmtId="10" fontId="36" fillId="0" borderId="0" xfId="186" applyNumberFormat="1" applyFont="1" applyFill="1" applyBorder="1" applyAlignment="1">
      <alignment horizontal="center" vertical="center"/>
    </xf>
    <xf numFmtId="0" fontId="36" fillId="0" borderId="0" xfId="0" applyFont="1" applyFill="1" applyBorder="1" applyAlignment="1">
      <alignment horizontal="justify" vertical="center" wrapText="1"/>
    </xf>
    <xf numFmtId="3" fontId="36" fillId="0" borderId="0" xfId="0" applyNumberFormat="1" applyFont="1" applyFill="1" applyBorder="1" applyAlignment="1">
      <alignment horizontal="center" vertical="center"/>
    </xf>
    <xf numFmtId="4" fontId="36" fillId="0" borderId="0" xfId="0" applyNumberFormat="1" applyFont="1" applyFill="1" applyBorder="1" applyAlignment="1">
      <alignment horizontal="center" vertical="center"/>
    </xf>
    <xf numFmtId="10" fontId="36" fillId="0" borderId="0" xfId="186" applyNumberFormat="1" applyFont="1" applyFill="1" applyBorder="1" applyAlignment="1">
      <alignment horizontal="center" vertical="center"/>
    </xf>
    <xf numFmtId="4" fontId="36" fillId="0" borderId="17" xfId="0" applyNumberFormat="1" applyFont="1" applyFill="1" applyBorder="1" applyAlignment="1">
      <alignment horizontal="center" vertical="center"/>
    </xf>
    <xf numFmtId="4" fontId="36" fillId="0" borderId="0" xfId="0" applyNumberFormat="1" applyFont="1" applyFill="1" applyBorder="1" applyAlignment="1" applyProtection="1">
      <alignment horizontal="center" vertical="center"/>
      <protection locked="0"/>
    </xf>
    <xf numFmtId="4" fontId="36" fillId="0" borderId="17" xfId="0" applyNumberFormat="1" applyFont="1" applyFill="1" applyBorder="1" applyAlignment="1" applyProtection="1">
      <alignment horizontal="center" vertical="center"/>
      <protection locked="0"/>
    </xf>
    <xf numFmtId="4" fontId="36" fillId="0" borderId="0" xfId="0" applyNumberFormat="1" applyFont="1" applyFill="1" applyBorder="1" applyAlignment="1">
      <alignment horizontal="center" vertical="center"/>
    </xf>
    <xf numFmtId="0" fontId="41" fillId="0" borderId="0" xfId="0" applyFont="1" applyFill="1" applyAlignment="1">
      <alignment horizontal="left" vertical="center"/>
    </xf>
    <xf numFmtId="4" fontId="36" fillId="25" borderId="0" xfId="0" applyNumberFormat="1" applyFont="1" applyFill="1" applyBorder="1" applyAlignment="1">
      <alignment horizontal="center" vertical="center" wrapText="1"/>
    </xf>
    <xf numFmtId="4" fontId="36" fillId="25" borderId="10" xfId="0" applyNumberFormat="1" applyFont="1" applyFill="1" applyBorder="1" applyAlignment="1">
      <alignment horizontal="center" vertical="center" wrapText="1"/>
    </xf>
    <xf numFmtId="4" fontId="36" fillId="27" borderId="0" xfId="0" applyNumberFormat="1" applyFont="1" applyFill="1" applyBorder="1" applyAlignment="1">
      <alignment horizontal="center" vertical="center" wrapText="1"/>
    </xf>
    <xf numFmtId="4" fontId="36" fillId="27" borderId="10" xfId="0" applyNumberFormat="1" applyFont="1" applyFill="1" applyBorder="1" applyAlignment="1">
      <alignment horizontal="center" vertical="center" wrapText="1"/>
    </xf>
    <xf numFmtId="0" fontId="36" fillId="0" borderId="0" xfId="0" applyFont="1" applyBorder="1" applyAlignment="1">
      <alignment horizontal="left" vertical="center" wrapText="1"/>
    </xf>
    <xf numFmtId="0" fontId="38" fillId="25" borderId="0" xfId="0" applyFont="1" applyFill="1"/>
    <xf numFmtId="0" fontId="38" fillId="0" borderId="0" xfId="0" applyFont="1"/>
    <xf numFmtId="4" fontId="45" fillId="0" borderId="0" xfId="0" applyNumberFormat="1" applyFont="1" applyFill="1" applyBorder="1" applyAlignment="1">
      <alignment horizontal="center" vertical="center" wrapText="1"/>
    </xf>
    <xf numFmtId="4" fontId="36" fillId="0" borderId="0" xfId="0" applyNumberFormat="1" applyFont="1" applyFill="1" applyBorder="1" applyAlignment="1">
      <alignment horizontal="center" vertical="center" wrapText="1"/>
    </xf>
    <xf numFmtId="4" fontId="36" fillId="0" borderId="0" xfId="0" applyNumberFormat="1" applyFont="1" applyFill="1" applyBorder="1" applyAlignment="1">
      <alignment horizontal="left" vertical="center" wrapText="1"/>
    </xf>
    <xf numFmtId="0" fontId="38" fillId="0" borderId="0" xfId="0" applyFont="1" applyFill="1" applyBorder="1" applyAlignment="1">
      <alignment horizontal="center" vertical="center"/>
    </xf>
    <xf numFmtId="0" fontId="35" fillId="0" borderId="14" xfId="0" applyFont="1" applyFill="1" applyBorder="1" applyAlignment="1">
      <alignment horizontal="left" vertical="center" wrapText="1"/>
    </xf>
    <xf numFmtId="0" fontId="36" fillId="0" borderId="0" xfId="0" applyFont="1" applyBorder="1" applyAlignment="1">
      <alignment vertical="center" wrapText="1"/>
    </xf>
    <xf numFmtId="4" fontId="36" fillId="25" borderId="0" xfId="0" applyNumberFormat="1" applyFont="1" applyFill="1" applyBorder="1" applyAlignment="1">
      <alignment vertical="center" wrapText="1"/>
    </xf>
    <xf numFmtId="4" fontId="36" fillId="27" borderId="0" xfId="0" applyNumberFormat="1" applyFont="1" applyFill="1" applyBorder="1" applyAlignment="1">
      <alignment vertical="center" wrapText="1"/>
    </xf>
    <xf numFmtId="0" fontId="39" fillId="0" borderId="14" xfId="0" applyFont="1" applyFill="1" applyBorder="1" applyAlignment="1">
      <alignment horizontal="left" vertical="center" wrapText="1"/>
    </xf>
    <xf numFmtId="0" fontId="38" fillId="0" borderId="0" xfId="0" applyFont="1" applyBorder="1"/>
    <xf numFmtId="0" fontId="35" fillId="0" borderId="13" xfId="0" applyFont="1" applyFill="1" applyBorder="1" applyAlignment="1">
      <alignment horizontal="left" vertical="center" wrapText="1"/>
    </xf>
    <xf numFmtId="0" fontId="36" fillId="0" borderId="10" xfId="0" applyFont="1" applyBorder="1" applyAlignment="1">
      <alignment vertical="center" wrapText="1"/>
    </xf>
    <xf numFmtId="4" fontId="36" fillId="25" borderId="10" xfId="0" applyNumberFormat="1" applyFont="1" applyFill="1" applyBorder="1" applyAlignment="1">
      <alignment vertical="center" wrapText="1"/>
    </xf>
    <xf numFmtId="4" fontId="36" fillId="27" borderId="10" xfId="0" applyNumberFormat="1" applyFont="1" applyFill="1" applyBorder="1" applyAlignment="1">
      <alignment vertical="center" wrapText="1"/>
    </xf>
    <xf numFmtId="0" fontId="38" fillId="25" borderId="0" xfId="0" applyFont="1" applyFill="1" applyAlignment="1">
      <alignment wrapText="1"/>
    </xf>
    <xf numFmtId="4" fontId="36" fillId="0" borderId="0" xfId="0" applyNumberFormat="1" applyFont="1" applyFill="1" applyBorder="1" applyAlignment="1">
      <alignment horizontal="center" vertical="center"/>
    </xf>
    <xf numFmtId="4" fontId="36" fillId="0" borderId="17" xfId="0" applyNumberFormat="1" applyFont="1" applyFill="1" applyBorder="1" applyAlignment="1">
      <alignment horizontal="center" vertical="center"/>
    </xf>
    <xf numFmtId="0" fontId="35" fillId="24" borderId="15" xfId="0" applyFont="1" applyFill="1" applyBorder="1" applyAlignment="1">
      <alignment horizontal="left"/>
    </xf>
    <xf numFmtId="0" fontId="36" fillId="24" borderId="16" xfId="0" applyFont="1" applyFill="1" applyBorder="1" applyAlignment="1">
      <alignment horizontal="center" vertical="center"/>
    </xf>
    <xf numFmtId="4" fontId="36" fillId="24" borderId="16" xfId="0" applyNumberFormat="1" applyFont="1" applyFill="1" applyBorder="1" applyAlignment="1">
      <alignment horizontal="center" vertical="center"/>
    </xf>
    <xf numFmtId="3" fontId="36" fillId="0" borderId="0" xfId="0" applyNumberFormat="1" applyFont="1" applyFill="1" applyBorder="1" applyAlignment="1">
      <alignment horizontal="center" vertical="center"/>
    </xf>
    <xf numFmtId="4" fontId="36" fillId="0" borderId="0" xfId="0" applyNumberFormat="1" applyFont="1" applyFill="1" applyBorder="1" applyAlignment="1">
      <alignment horizontal="center" vertical="center"/>
    </xf>
    <xf numFmtId="10" fontId="36" fillId="0" borderId="0" xfId="186" applyNumberFormat="1" applyFont="1" applyFill="1" applyBorder="1" applyAlignment="1">
      <alignment horizontal="center" vertical="center"/>
    </xf>
    <xf numFmtId="0" fontId="35" fillId="26" borderId="23" xfId="0" applyFont="1" applyFill="1" applyBorder="1" applyAlignment="1" applyProtection="1">
      <alignment horizontal="center" vertical="center" wrapText="1"/>
      <protection locked="0"/>
    </xf>
    <xf numFmtId="10" fontId="36" fillId="0" borderId="0" xfId="0" applyNumberFormat="1" applyFont="1" applyFill="1" applyAlignment="1">
      <alignment horizontal="left" wrapText="1"/>
    </xf>
    <xf numFmtId="1" fontId="35" fillId="0" borderId="0" xfId="0" applyNumberFormat="1" applyFont="1" applyFill="1"/>
    <xf numFmtId="172" fontId="36" fillId="0" borderId="0" xfId="162" applyNumberFormat="1" applyFont="1" applyFill="1"/>
    <xf numFmtId="173" fontId="36" fillId="0" borderId="0" xfId="0" applyNumberFormat="1" applyFont="1" applyFill="1"/>
    <xf numFmtId="174" fontId="36" fillId="25" borderId="0" xfId="0" applyNumberFormat="1" applyFont="1" applyFill="1"/>
    <xf numFmtId="174" fontId="36" fillId="25" borderId="0" xfId="0" applyNumberFormat="1" applyFont="1" applyFill="1" applyAlignment="1">
      <alignment horizontal="center"/>
    </xf>
    <xf numFmtId="174" fontId="36" fillId="0" borderId="0" xfId="0" applyNumberFormat="1" applyFont="1" applyFill="1"/>
    <xf numFmtId="174" fontId="35" fillId="25" borderId="0" xfId="0" applyNumberFormat="1" applyFont="1" applyFill="1"/>
    <xf numFmtId="174" fontId="36" fillId="24" borderId="0" xfId="0" applyNumberFormat="1" applyFont="1" applyFill="1"/>
    <xf numFmtId="174" fontId="41" fillId="0" borderId="0" xfId="0" applyNumberFormat="1" applyFont="1" applyFill="1"/>
    <xf numFmtId="4" fontId="36" fillId="0" borderId="0" xfId="0" applyNumberFormat="1" applyFont="1" applyFill="1" applyBorder="1" applyAlignment="1">
      <alignment horizontal="center" vertical="center"/>
    </xf>
    <xf numFmtId="4" fontId="36" fillId="0" borderId="0" xfId="0" applyNumberFormat="1" applyFont="1" applyFill="1" applyBorder="1" applyAlignment="1">
      <alignment horizontal="center" vertical="center"/>
    </xf>
    <xf numFmtId="10" fontId="36" fillId="0" borderId="0" xfId="186" applyNumberFormat="1" applyFont="1" applyFill="1" applyBorder="1" applyAlignment="1">
      <alignment horizontal="center" vertical="center"/>
    </xf>
    <xf numFmtId="4" fontId="36" fillId="0" borderId="17" xfId="0" applyNumberFormat="1" applyFont="1" applyFill="1" applyBorder="1" applyAlignment="1">
      <alignment horizontal="center" vertical="center"/>
    </xf>
    <xf numFmtId="4" fontId="36" fillId="0" borderId="0" xfId="0" applyNumberFormat="1" applyFont="1" applyFill="1" applyBorder="1" applyAlignment="1" applyProtection="1">
      <alignment horizontal="center" vertical="center"/>
      <protection locked="0"/>
    </xf>
    <xf numFmtId="10" fontId="36" fillId="0" borderId="0" xfId="343" applyNumberFormat="1" applyFont="1" applyFill="1" applyBorder="1" applyAlignment="1">
      <alignment horizontal="center" vertical="center"/>
    </xf>
    <xf numFmtId="4" fontId="36" fillId="0" borderId="17" xfId="0" applyNumberFormat="1" applyFont="1" applyFill="1" applyBorder="1" applyAlignment="1" applyProtection="1">
      <alignment horizontal="center" vertical="center"/>
      <protection locked="0"/>
    </xf>
    <xf numFmtId="0" fontId="36" fillId="0" borderId="0" xfId="0" applyNumberFormat="1" applyFont="1" applyFill="1" applyBorder="1" applyAlignment="1">
      <alignment horizontal="center" vertical="center"/>
    </xf>
    <xf numFmtId="3" fontId="36" fillId="0" borderId="0" xfId="0" applyNumberFormat="1" applyFont="1" applyFill="1" applyBorder="1" applyAlignment="1">
      <alignment horizontal="center" vertical="center"/>
    </xf>
    <xf numFmtId="0" fontId="36" fillId="0" borderId="0" xfId="0" applyFont="1" applyFill="1" applyBorder="1" applyAlignment="1" applyProtection="1">
      <alignment horizontal="center" vertical="center"/>
      <protection locked="0"/>
    </xf>
    <xf numFmtId="4" fontId="36" fillId="0" borderId="0" xfId="0" applyNumberFormat="1" applyFont="1" applyFill="1" applyBorder="1" applyAlignment="1">
      <alignment horizontal="center" vertical="center"/>
    </xf>
    <xf numFmtId="10" fontId="36" fillId="0" borderId="0" xfId="186" applyNumberFormat="1" applyFont="1" applyFill="1" applyBorder="1" applyAlignment="1">
      <alignment horizontal="center" vertical="center"/>
    </xf>
    <xf numFmtId="3" fontId="36" fillId="0" borderId="17" xfId="0" applyNumberFormat="1" applyFont="1" applyFill="1" applyBorder="1" applyAlignment="1">
      <alignment horizontal="center" vertical="center"/>
    </xf>
    <xf numFmtId="0" fontId="36" fillId="0" borderId="0" xfId="0" applyFont="1" applyFill="1" applyBorder="1" applyAlignment="1" applyProtection="1">
      <alignment horizontal="left" vertical="center"/>
      <protection locked="0"/>
    </xf>
    <xf numFmtId="0" fontId="35" fillId="0" borderId="0" xfId="0" applyFont="1" applyFill="1" applyBorder="1" applyAlignment="1">
      <alignment horizontal="center"/>
    </xf>
    <xf numFmtId="14" fontId="35" fillId="0" borderId="0" xfId="0" applyNumberFormat="1" applyFont="1" applyFill="1" applyBorder="1" applyAlignment="1">
      <alignment horizontal="center"/>
    </xf>
    <xf numFmtId="4" fontId="36" fillId="0" borderId="17" xfId="0" applyNumberFormat="1" applyFont="1" applyFill="1" applyBorder="1" applyAlignment="1">
      <alignment horizontal="center" vertical="center"/>
    </xf>
    <xf numFmtId="4" fontId="36" fillId="0" borderId="0" xfId="0" applyNumberFormat="1" applyFont="1" applyFill="1" applyBorder="1" applyAlignment="1" applyProtection="1">
      <alignment horizontal="center" vertical="center"/>
      <protection locked="0"/>
    </xf>
    <xf numFmtId="10" fontId="36" fillId="0" borderId="0" xfId="343" applyNumberFormat="1" applyFont="1" applyFill="1" applyBorder="1" applyAlignment="1">
      <alignment horizontal="center" vertical="center"/>
    </xf>
    <xf numFmtId="4" fontId="36" fillId="0" borderId="17" xfId="0" applyNumberFormat="1" applyFont="1" applyFill="1" applyBorder="1" applyAlignment="1" applyProtection="1">
      <alignment horizontal="center" vertical="center"/>
      <protection locked="0"/>
    </xf>
    <xf numFmtId="0" fontId="36" fillId="25" borderId="0" xfId="0" applyFont="1" applyFill="1" applyBorder="1" applyAlignment="1" applyProtection="1">
      <alignment horizontal="center" vertical="center"/>
      <protection locked="0"/>
    </xf>
    <xf numFmtId="10" fontId="36" fillId="25" borderId="0" xfId="0" applyNumberFormat="1" applyFont="1" applyFill="1" applyBorder="1" applyAlignment="1">
      <alignment horizontal="right"/>
    </xf>
    <xf numFmtId="10" fontId="36" fillId="25" borderId="0" xfId="186" applyNumberFormat="1" applyFont="1" applyFill="1" applyBorder="1" applyAlignment="1">
      <alignment horizontal="center" vertical="center"/>
    </xf>
    <xf numFmtId="0" fontId="35" fillId="26" borderId="21" xfId="0" applyFont="1" applyFill="1" applyBorder="1" applyAlignment="1" applyProtection="1">
      <alignment horizontal="center" vertical="center" wrapText="1"/>
      <protection locked="0"/>
    </xf>
    <xf numFmtId="0" fontId="36" fillId="24" borderId="14" xfId="0" applyFont="1" applyFill="1" applyBorder="1"/>
    <xf numFmtId="10" fontId="36" fillId="0" borderId="14" xfId="343" applyNumberFormat="1" applyFont="1" applyFill="1" applyBorder="1" applyAlignment="1">
      <alignment horizontal="center" vertical="center"/>
    </xf>
    <xf numFmtId="10" fontId="35" fillId="24" borderId="13" xfId="343" applyNumberFormat="1" applyFont="1" applyFill="1" applyBorder="1" applyAlignment="1">
      <alignment horizontal="center" vertical="center"/>
    </xf>
    <xf numFmtId="0" fontId="36" fillId="24" borderId="20" xfId="0" applyFont="1" applyFill="1" applyBorder="1" applyAlignment="1">
      <alignment horizontal="left"/>
    </xf>
    <xf numFmtId="4" fontId="36" fillId="0" borderId="0" xfId="0" applyNumberFormat="1" applyFont="1" applyFill="1" applyBorder="1" applyAlignment="1">
      <alignment horizontal="center" vertical="center"/>
    </xf>
    <xf numFmtId="4" fontId="36" fillId="0" borderId="17" xfId="0" applyNumberFormat="1" applyFont="1" applyFill="1" applyBorder="1" applyAlignment="1">
      <alignment horizontal="center" vertical="center"/>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protection locked="0"/>
    </xf>
    <xf numFmtId="0" fontId="36" fillId="0" borderId="0" xfId="0" applyFont="1" applyFill="1" applyAlignment="1" applyProtection="1">
      <alignment horizontal="left"/>
    </xf>
    <xf numFmtId="0" fontId="36" fillId="25" borderId="0" xfId="0" applyFont="1" applyFill="1" applyProtection="1"/>
    <xf numFmtId="0" fontId="35" fillId="26" borderId="12" xfId="0" applyFont="1" applyFill="1" applyBorder="1" applyAlignment="1" applyProtection="1">
      <alignment horizontal="center" vertical="center" wrapText="1"/>
    </xf>
    <xf numFmtId="0" fontId="36" fillId="25" borderId="0" xfId="0" applyFont="1" applyFill="1" applyAlignment="1" applyProtection="1">
      <alignment horizontal="center"/>
    </xf>
    <xf numFmtId="0" fontId="36" fillId="25" borderId="15" xfId="0" applyFont="1" applyFill="1" applyBorder="1" applyAlignment="1" applyProtection="1">
      <alignment horizontal="left"/>
    </xf>
    <xf numFmtId="0" fontId="36" fillId="25" borderId="16" xfId="0" applyFont="1" applyFill="1" applyBorder="1" applyAlignment="1" applyProtection="1">
      <alignment horizontal="left"/>
    </xf>
    <xf numFmtId="0" fontId="36" fillId="25" borderId="16" xfId="0" applyFont="1" applyFill="1" applyBorder="1" applyAlignment="1" applyProtection="1"/>
    <xf numFmtId="0" fontId="36" fillId="0" borderId="16" xfId="0" applyFont="1" applyFill="1" applyBorder="1" applyProtection="1"/>
    <xf numFmtId="0" fontId="36" fillId="25" borderId="16" xfId="0" applyFont="1" applyFill="1" applyBorder="1" applyProtection="1"/>
    <xf numFmtId="0" fontId="36" fillId="25" borderId="20" xfId="0" applyFont="1" applyFill="1" applyBorder="1" applyProtection="1"/>
    <xf numFmtId="0" fontId="39" fillId="0" borderId="14" xfId="0" applyFont="1" applyFill="1" applyBorder="1" applyAlignment="1" applyProtection="1">
      <alignment vertical="center"/>
    </xf>
    <xf numFmtId="0" fontId="36" fillId="25" borderId="0" xfId="0" applyFont="1" applyFill="1" applyBorder="1" applyProtection="1"/>
    <xf numFmtId="0" fontId="36" fillId="25" borderId="17" xfId="0" applyFont="1" applyFill="1" applyBorder="1" applyProtection="1"/>
    <xf numFmtId="0" fontId="36" fillId="25" borderId="14" xfId="0" applyFont="1" applyFill="1" applyBorder="1" applyAlignment="1" applyProtection="1">
      <alignment horizontal="left"/>
    </xf>
    <xf numFmtId="0" fontId="36" fillId="25" borderId="0" xfId="0" applyFont="1" applyFill="1" applyBorder="1" applyAlignment="1" applyProtection="1">
      <alignment horizontal="left" wrapText="1"/>
    </xf>
    <xf numFmtId="0" fontId="36" fillId="25" borderId="0" xfId="0" applyFont="1" applyFill="1" applyBorder="1" applyAlignment="1" applyProtection="1">
      <alignment horizontal="center" vertical="center"/>
    </xf>
    <xf numFmtId="4" fontId="36" fillId="0" borderId="0" xfId="0" applyNumberFormat="1" applyFont="1" applyFill="1" applyBorder="1" applyAlignment="1" applyProtection="1">
      <alignment horizontal="center" vertical="center"/>
    </xf>
    <xf numFmtId="14" fontId="38" fillId="0" borderId="0" xfId="0" applyNumberFormat="1" applyFont="1" applyFill="1" applyBorder="1" applyAlignment="1" applyProtection="1">
      <alignment horizontal="center" vertical="center"/>
    </xf>
    <xf numFmtId="14" fontId="36" fillId="0" borderId="0" xfId="0" applyNumberFormat="1" applyFont="1" applyFill="1" applyBorder="1" applyAlignment="1" applyProtection="1">
      <alignment horizontal="center" vertical="center"/>
    </xf>
    <xf numFmtId="14" fontId="38" fillId="0" borderId="17" xfId="0" applyNumberFormat="1"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25" borderId="0" xfId="0" applyFont="1" applyFill="1" applyBorder="1" applyAlignment="1" applyProtection="1">
      <alignment vertical="center"/>
    </xf>
    <xf numFmtId="0" fontId="36" fillId="25" borderId="0" xfId="0" applyFont="1" applyFill="1" applyBorder="1" applyAlignment="1" applyProtection="1">
      <alignment horizontal="left"/>
    </xf>
    <xf numFmtId="0" fontId="36" fillId="0" borderId="0" xfId="0" applyFont="1" applyFill="1" applyBorder="1" applyProtection="1"/>
    <xf numFmtId="0" fontId="36" fillId="0" borderId="0" xfId="0" applyFont="1" applyFill="1" applyBorder="1" applyAlignment="1" applyProtection="1">
      <alignment horizontal="left" vertical="center" wrapText="1"/>
    </xf>
    <xf numFmtId="4" fontId="35" fillId="0" borderId="0" xfId="0" applyNumberFormat="1" applyFont="1" applyFill="1" applyBorder="1" applyAlignment="1" applyProtection="1">
      <alignment horizontal="center" vertical="center"/>
    </xf>
    <xf numFmtId="166" fontId="36" fillId="0" borderId="0" xfId="0" applyNumberFormat="1" applyFont="1" applyFill="1" applyBorder="1" applyAlignment="1" applyProtection="1">
      <alignment horizontal="center" vertical="center"/>
    </xf>
    <xf numFmtId="0" fontId="36" fillId="0" borderId="17" xfId="0" applyFont="1" applyFill="1" applyBorder="1" applyAlignment="1" applyProtection="1">
      <alignment horizontal="center" vertical="center"/>
    </xf>
    <xf numFmtId="14" fontId="36" fillId="0" borderId="0" xfId="0" applyNumberFormat="1" applyFont="1" applyFill="1" applyProtection="1"/>
    <xf numFmtId="0" fontId="36" fillId="0" borderId="14" xfId="0" applyFont="1" applyFill="1" applyBorder="1" applyAlignment="1" applyProtection="1">
      <alignment horizontal="left" vertical="center" wrapText="1"/>
    </xf>
    <xf numFmtId="0" fontId="35" fillId="0" borderId="14" xfId="0" applyFont="1" applyFill="1" applyBorder="1" applyAlignment="1" applyProtection="1">
      <alignment horizontal="left" vertical="center"/>
    </xf>
    <xf numFmtId="0" fontId="36" fillId="0" borderId="0" xfId="0" applyFont="1" applyFill="1" applyBorder="1" applyAlignment="1" applyProtection="1">
      <alignment vertical="center" wrapText="1"/>
    </xf>
    <xf numFmtId="0" fontId="36" fillId="0" borderId="0" xfId="0" applyFont="1" applyFill="1" applyBorder="1" applyAlignment="1" applyProtection="1">
      <alignment vertical="center"/>
    </xf>
    <xf numFmtId="166" fontId="36" fillId="25" borderId="0" xfId="0" applyNumberFormat="1" applyFont="1" applyFill="1" applyBorder="1" applyAlignment="1" applyProtection="1">
      <alignment horizontal="center" vertical="center"/>
    </xf>
    <xf numFmtId="0" fontId="36" fillId="25" borderId="17" xfId="0" applyFont="1" applyFill="1" applyBorder="1" applyAlignment="1" applyProtection="1">
      <alignment horizontal="center" vertical="center"/>
    </xf>
    <xf numFmtId="0" fontId="35" fillId="0" borderId="13" xfId="0" applyFont="1" applyFill="1" applyBorder="1" applyAlignment="1" applyProtection="1">
      <alignment horizontal="left" vertical="center"/>
    </xf>
    <xf numFmtId="0" fontId="35" fillId="0" borderId="10" xfId="0" applyFont="1" applyFill="1" applyBorder="1" applyAlignment="1" applyProtection="1">
      <alignment horizontal="left"/>
    </xf>
    <xf numFmtId="3" fontId="35" fillId="0" borderId="10" xfId="0" applyNumberFormat="1" applyFont="1" applyFill="1" applyBorder="1" applyAlignment="1" applyProtection="1">
      <alignment vertical="center"/>
    </xf>
    <xf numFmtId="0" fontId="35" fillId="25" borderId="10" xfId="0" applyFont="1" applyFill="1" applyBorder="1" applyAlignment="1" applyProtection="1"/>
    <xf numFmtId="4" fontId="35" fillId="0" borderId="10" xfId="0" applyNumberFormat="1" applyFont="1" applyFill="1" applyBorder="1" applyAlignment="1" applyProtection="1">
      <alignment horizontal="center" vertical="center"/>
    </xf>
    <xf numFmtId="0" fontId="35" fillId="25" borderId="10" xfId="0" applyFont="1" applyFill="1" applyBorder="1" applyProtection="1"/>
    <xf numFmtId="0" fontId="35" fillId="25" borderId="18" xfId="0" applyFont="1" applyFill="1" applyBorder="1" applyProtection="1"/>
    <xf numFmtId="0" fontId="35" fillId="25" borderId="0" xfId="0" applyFont="1" applyFill="1" applyProtection="1"/>
    <xf numFmtId="0" fontId="35" fillId="25" borderId="0" xfId="0" applyFont="1" applyFill="1" applyBorder="1" applyAlignment="1" applyProtection="1"/>
    <xf numFmtId="4" fontId="36" fillId="0" borderId="0" xfId="0" applyNumberFormat="1" applyFont="1" applyFill="1" applyProtection="1"/>
    <xf numFmtId="0" fontId="36" fillId="0" borderId="0" xfId="0" applyFont="1" applyFill="1" applyProtection="1"/>
    <xf numFmtId="0" fontId="39" fillId="25" borderId="0" xfId="0" applyFont="1" applyFill="1" applyBorder="1" applyAlignment="1" applyProtection="1">
      <alignment horizontal="left"/>
    </xf>
    <xf numFmtId="165" fontId="36" fillId="0" borderId="0" xfId="308" applyFont="1" applyFill="1" applyProtection="1"/>
    <xf numFmtId="10" fontId="36" fillId="0" borderId="0" xfId="343" applyNumberFormat="1" applyFont="1" applyFill="1" applyProtection="1"/>
    <xf numFmtId="0" fontId="36" fillId="25" borderId="0" xfId="0" applyFont="1" applyFill="1" applyAlignment="1" applyProtection="1">
      <alignment horizontal="left"/>
    </xf>
    <xf numFmtId="0" fontId="35" fillId="25" borderId="0" xfId="0" applyFont="1" applyFill="1" applyAlignment="1" applyProtection="1">
      <alignment horizontal="left"/>
    </xf>
    <xf numFmtId="10" fontId="36" fillId="25" borderId="0" xfId="343" applyNumberFormat="1" applyFont="1" applyFill="1" applyProtection="1"/>
    <xf numFmtId="0" fontId="36" fillId="24" borderId="0" xfId="0" applyFont="1" applyFill="1" applyProtection="1"/>
    <xf numFmtId="4" fontId="36" fillId="0" borderId="0" xfId="0" applyNumberFormat="1" applyFont="1" applyProtection="1"/>
    <xf numFmtId="171" fontId="36" fillId="25" borderId="0" xfId="0" applyNumberFormat="1" applyFont="1" applyFill="1" applyProtection="1"/>
    <xf numFmtId="0" fontId="36" fillId="25" borderId="0" xfId="0" applyFont="1" applyFill="1" applyBorder="1" applyAlignment="1" applyProtection="1"/>
    <xf numFmtId="0" fontId="39" fillId="25" borderId="14" xfId="0" applyFont="1" applyFill="1" applyBorder="1" applyAlignment="1" applyProtection="1">
      <alignment horizontal="left"/>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5" fillId="26" borderId="22" xfId="0" applyFont="1" applyFill="1" applyBorder="1" applyAlignment="1" applyProtection="1">
      <alignment horizontal="center" vertical="center" wrapText="1"/>
      <protection locked="0"/>
    </xf>
    <xf numFmtId="3" fontId="36" fillId="0" borderId="0" xfId="0" applyNumberFormat="1" applyFont="1" applyFill="1" applyBorder="1" applyAlignment="1">
      <alignment horizontal="center" vertical="center"/>
    </xf>
    <xf numFmtId="4" fontId="36" fillId="0" borderId="0" xfId="0" applyNumberFormat="1" applyFont="1" applyFill="1" applyBorder="1" applyAlignment="1">
      <alignment horizontal="center" vertical="center"/>
    </xf>
    <xf numFmtId="10" fontId="36" fillId="0" borderId="0" xfId="186" applyNumberFormat="1" applyFont="1" applyFill="1" applyBorder="1" applyAlignment="1">
      <alignment horizontal="center" vertical="center"/>
    </xf>
    <xf numFmtId="4" fontId="36" fillId="0" borderId="17" xfId="0" applyNumberFormat="1" applyFont="1" applyFill="1" applyBorder="1" applyAlignment="1">
      <alignment horizontal="center" vertical="center"/>
    </xf>
    <xf numFmtId="4" fontId="36" fillId="0" borderId="0" xfId="0" applyNumberFormat="1" applyFont="1" applyFill="1" applyBorder="1" applyAlignment="1" applyProtection="1">
      <alignment horizontal="center" vertical="center"/>
      <protection locked="0"/>
    </xf>
    <xf numFmtId="4" fontId="36" fillId="0" borderId="17" xfId="0" applyNumberFormat="1" applyFont="1" applyFill="1" applyBorder="1" applyAlignment="1" applyProtection="1">
      <alignment horizontal="center" vertical="center"/>
      <protection locked="0"/>
    </xf>
    <xf numFmtId="0" fontId="36" fillId="25" borderId="14" xfId="0" applyFont="1" applyFill="1" applyBorder="1" applyAlignment="1" applyProtection="1">
      <alignment horizontal="left" vertical="center"/>
    </xf>
    <xf numFmtId="2" fontId="36" fillId="25" borderId="0" xfId="0" applyNumberFormat="1" applyFont="1" applyFill="1" applyBorder="1" applyAlignment="1" applyProtection="1">
      <alignment horizontal="center" vertical="center"/>
    </xf>
    <xf numFmtId="0" fontId="10" fillId="0" borderId="0" xfId="0" applyFont="1" applyProtection="1"/>
    <xf numFmtId="0" fontId="52" fillId="0" borderId="0" xfId="0" applyFont="1" applyProtection="1"/>
    <xf numFmtId="175" fontId="36" fillId="0" borderId="17" xfId="0" applyNumberFormat="1" applyFont="1" applyFill="1" applyBorder="1" applyAlignment="1">
      <alignment horizontal="center" vertical="center"/>
    </xf>
    <xf numFmtId="176" fontId="36" fillId="0" borderId="0" xfId="0" applyNumberFormat="1" applyFont="1" applyFill="1"/>
    <xf numFmtId="4" fontId="35" fillId="0" borderId="17" xfId="0" applyNumberFormat="1" applyFont="1" applyFill="1" applyBorder="1" applyAlignment="1" applyProtection="1">
      <alignment horizontal="center" vertical="center"/>
      <protection locked="0"/>
    </xf>
    <xf numFmtId="10" fontId="36" fillId="0" borderId="17" xfId="343" applyNumberFormat="1" applyFont="1" applyFill="1" applyBorder="1" applyAlignment="1" applyProtection="1">
      <alignment horizontal="center" vertical="center"/>
      <protection locked="0"/>
    </xf>
    <xf numFmtId="10" fontId="36" fillId="25" borderId="0" xfId="0" applyNumberFormat="1" applyFont="1" applyFill="1" applyBorder="1" applyAlignment="1">
      <alignment horizontal="center"/>
    </xf>
    <xf numFmtId="10" fontId="36" fillId="25" borderId="10" xfId="0" applyNumberFormat="1" applyFont="1" applyFill="1" applyBorder="1" applyAlignment="1">
      <alignment horizontal="center"/>
    </xf>
    <xf numFmtId="4" fontId="36" fillId="24" borderId="14" xfId="0" applyNumberFormat="1" applyFont="1" applyFill="1" applyBorder="1" applyAlignment="1">
      <alignment horizontal="center"/>
    </xf>
    <xf numFmtId="4" fontId="36" fillId="24" borderId="0" xfId="0" applyNumberFormat="1" applyFont="1" applyFill="1" applyBorder="1" applyAlignment="1">
      <alignment horizontal="center"/>
    </xf>
    <xf numFmtId="4" fontId="36" fillId="0" borderId="15" xfId="0" applyNumberFormat="1" applyFont="1" applyFill="1" applyBorder="1" applyAlignment="1">
      <alignment horizontal="center"/>
    </xf>
    <xf numFmtId="4" fontId="36" fillId="0" borderId="16" xfId="0" applyNumberFormat="1" applyFont="1" applyFill="1" applyBorder="1" applyAlignment="1">
      <alignment horizontal="center"/>
    </xf>
    <xf numFmtId="4" fontId="36" fillId="24" borderId="16" xfId="0" applyNumberFormat="1" applyFont="1" applyFill="1" applyBorder="1" applyAlignment="1">
      <alignment horizontal="center"/>
    </xf>
    <xf numFmtId="10" fontId="36" fillId="0" borderId="16" xfId="0" applyNumberFormat="1" applyFont="1" applyFill="1" applyBorder="1" applyAlignment="1">
      <alignment horizontal="center"/>
    </xf>
    <xf numFmtId="10" fontId="36" fillId="24" borderId="14" xfId="0" applyNumberFormat="1" applyFont="1" applyFill="1" applyBorder="1" applyAlignment="1">
      <alignment horizontal="center"/>
    </xf>
    <xf numFmtId="10" fontId="36" fillId="24" borderId="0" xfId="0" applyNumberFormat="1" applyFont="1" applyFill="1" applyBorder="1" applyAlignment="1">
      <alignment horizontal="center"/>
    </xf>
    <xf numFmtId="10" fontId="36" fillId="25" borderId="14" xfId="0" applyNumberFormat="1" applyFont="1" applyFill="1" applyBorder="1" applyAlignment="1">
      <alignment horizontal="center"/>
    </xf>
    <xf numFmtId="10" fontId="36" fillId="0" borderId="0" xfId="0" applyNumberFormat="1" applyFont="1" applyFill="1" applyBorder="1" applyAlignment="1">
      <alignment horizontal="center"/>
    </xf>
    <xf numFmtId="4" fontId="36" fillId="25" borderId="14" xfId="0" applyNumberFormat="1" applyFont="1" applyFill="1" applyBorder="1" applyAlignment="1">
      <alignment horizontal="center"/>
    </xf>
    <xf numFmtId="4" fontId="36" fillId="25" borderId="0" xfId="0" applyNumberFormat="1" applyFont="1" applyFill="1" applyBorder="1" applyAlignment="1">
      <alignment horizontal="center"/>
    </xf>
    <xf numFmtId="4" fontId="36" fillId="0" borderId="14" xfId="0" applyNumberFormat="1" applyFont="1" applyFill="1" applyBorder="1" applyAlignment="1">
      <alignment horizontal="center"/>
    </xf>
    <xf numFmtId="10" fontId="36" fillId="0" borderId="14" xfId="0" applyNumberFormat="1" applyFont="1" applyFill="1" applyBorder="1" applyAlignment="1">
      <alignment horizontal="center"/>
    </xf>
    <xf numFmtId="4" fontId="36" fillId="24" borderId="10" xfId="0" applyNumberFormat="1" applyFont="1" applyFill="1" applyBorder="1" applyAlignment="1">
      <alignment horizontal="center"/>
    </xf>
    <xf numFmtId="10" fontId="36" fillId="25" borderId="13" xfId="0" applyNumberFormat="1" applyFont="1" applyFill="1" applyBorder="1" applyAlignment="1">
      <alignment horizontal="center"/>
    </xf>
    <xf numFmtId="0" fontId="36" fillId="0" borderId="14" xfId="0" applyFont="1" applyFill="1" applyBorder="1" applyAlignment="1">
      <alignment vertical="center" wrapText="1"/>
    </xf>
    <xf numFmtId="0" fontId="36" fillId="24" borderId="14" xfId="0" applyFont="1" applyFill="1" applyBorder="1" applyAlignment="1">
      <alignment horizontal="left"/>
    </xf>
    <xf numFmtId="0" fontId="36" fillId="25" borderId="14" xfId="0" applyFont="1" applyFill="1" applyBorder="1" applyAlignment="1">
      <alignment horizontal="left"/>
    </xf>
    <xf numFmtId="0" fontId="36" fillId="24" borderId="14" xfId="0" applyFont="1" applyFill="1" applyBorder="1" applyAlignment="1"/>
    <xf numFmtId="0" fontId="36" fillId="24" borderId="13" xfId="0" applyFont="1" applyFill="1" applyBorder="1" applyAlignment="1">
      <alignment horizontal="left"/>
    </xf>
    <xf numFmtId="0" fontId="36" fillId="24" borderId="10" xfId="0" applyFont="1" applyFill="1" applyBorder="1" applyAlignment="1">
      <alignment horizontal="center" vertical="center"/>
    </xf>
    <xf numFmtId="4" fontId="36" fillId="24" borderId="15" xfId="0" applyNumberFormat="1" applyFont="1" applyFill="1" applyBorder="1" applyAlignment="1">
      <alignment horizontal="center"/>
    </xf>
    <xf numFmtId="4" fontId="36" fillId="24" borderId="13" xfId="0" applyNumberFormat="1" applyFont="1" applyFill="1" applyBorder="1" applyAlignment="1">
      <alignment horizontal="center"/>
    </xf>
    <xf numFmtId="4" fontId="36" fillId="0" borderId="10" xfId="0" applyNumberFormat="1" applyFont="1" applyFill="1" applyBorder="1" applyAlignment="1">
      <alignment horizontal="center"/>
    </xf>
    <xf numFmtId="0" fontId="35" fillId="26" borderId="15" xfId="0" applyFont="1" applyFill="1" applyBorder="1" applyAlignment="1" applyProtection="1">
      <alignment horizontal="center" vertical="center" wrapText="1"/>
      <protection locked="0"/>
    </xf>
    <xf numFmtId="4" fontId="36" fillId="0" borderId="13" xfId="0" applyNumberFormat="1" applyFont="1" applyFill="1" applyBorder="1" applyAlignment="1">
      <alignment horizontal="center"/>
    </xf>
    <xf numFmtId="0" fontId="35" fillId="26" borderId="16" xfId="0" applyFont="1" applyFill="1" applyBorder="1" applyAlignment="1" applyProtection="1">
      <alignment horizontal="center" vertical="center" wrapText="1"/>
      <protection locked="0"/>
    </xf>
    <xf numFmtId="0" fontId="35" fillId="26" borderId="20" xfId="0" applyFont="1" applyFill="1" applyBorder="1" applyAlignment="1" applyProtection="1">
      <alignment horizontal="center" vertical="center" wrapText="1"/>
      <protection locked="0"/>
    </xf>
    <xf numFmtId="10" fontId="36" fillId="24" borderId="15" xfId="0" applyNumberFormat="1" applyFont="1" applyFill="1" applyBorder="1" applyAlignment="1">
      <alignment horizontal="center"/>
    </xf>
    <xf numFmtId="10" fontId="36" fillId="24" borderId="16" xfId="0" applyNumberFormat="1" applyFont="1" applyFill="1" applyBorder="1" applyAlignment="1">
      <alignment horizontal="center"/>
    </xf>
    <xf numFmtId="10" fontId="36" fillId="24" borderId="13" xfId="0" applyNumberFormat="1" applyFont="1" applyFill="1" applyBorder="1" applyAlignment="1">
      <alignment horizontal="center"/>
    </xf>
    <xf numFmtId="10" fontId="36" fillId="24" borderId="10" xfId="0" applyNumberFormat="1" applyFont="1" applyFill="1" applyBorder="1" applyAlignment="1">
      <alignment horizontal="center"/>
    </xf>
    <xf numFmtId="10" fontId="36" fillId="25" borderId="15" xfId="0" applyNumberFormat="1" applyFont="1" applyFill="1" applyBorder="1" applyAlignment="1">
      <alignment horizontal="center"/>
    </xf>
    <xf numFmtId="10" fontId="36" fillId="25" borderId="16" xfId="0" applyNumberFormat="1" applyFont="1" applyFill="1" applyBorder="1" applyAlignment="1">
      <alignment horizontal="center"/>
    </xf>
    <xf numFmtId="0" fontId="10" fillId="0" borderId="0" xfId="0" applyFont="1" applyAlignment="1" applyProtection="1">
      <alignment horizontal="left"/>
    </xf>
    <xf numFmtId="10" fontId="36" fillId="25" borderId="16" xfId="186" applyNumberFormat="1" applyFont="1" applyFill="1" applyBorder="1" applyAlignment="1">
      <alignment horizontal="center"/>
    </xf>
    <xf numFmtId="10" fontId="36" fillId="0" borderId="16" xfId="186" applyNumberFormat="1" applyFont="1" applyFill="1" applyBorder="1" applyAlignment="1">
      <alignment horizontal="center"/>
    </xf>
    <xf numFmtId="10" fontId="36" fillId="25" borderId="20" xfId="186" applyNumberFormat="1" applyFont="1" applyFill="1" applyBorder="1" applyAlignment="1">
      <alignment horizontal="center"/>
    </xf>
    <xf numFmtId="10" fontId="36" fillId="25" borderId="0" xfId="186" applyNumberFormat="1" applyFont="1" applyFill="1" applyBorder="1" applyAlignment="1">
      <alignment horizontal="center"/>
    </xf>
    <xf numFmtId="10" fontId="36" fillId="25" borderId="17" xfId="186" applyNumberFormat="1" applyFont="1" applyFill="1" applyBorder="1" applyAlignment="1">
      <alignment horizontal="center"/>
    </xf>
    <xf numFmtId="10" fontId="36" fillId="25" borderId="10" xfId="186" applyNumberFormat="1" applyFont="1" applyFill="1" applyBorder="1" applyAlignment="1">
      <alignment horizontal="center"/>
    </xf>
    <xf numFmtId="10" fontId="36" fillId="0" borderId="10" xfId="186" applyNumberFormat="1" applyFont="1" applyFill="1" applyBorder="1" applyAlignment="1">
      <alignment horizontal="center"/>
    </xf>
    <xf numFmtId="10" fontId="36" fillId="25" borderId="18" xfId="186" applyNumberFormat="1" applyFont="1" applyFill="1" applyBorder="1" applyAlignment="1">
      <alignment horizontal="center"/>
    </xf>
    <xf numFmtId="0" fontId="35" fillId="24" borderId="11" xfId="0" applyFont="1" applyFill="1" applyBorder="1" applyAlignment="1">
      <alignment horizontal="left"/>
    </xf>
    <xf numFmtId="4" fontId="36" fillId="0" borderId="0" xfId="0" applyNumberFormat="1" applyFont="1" applyFill="1" applyBorder="1" applyAlignment="1">
      <alignment horizontal="center" vertical="center"/>
    </xf>
    <xf numFmtId="10" fontId="36" fillId="0" borderId="0" xfId="186" applyNumberFormat="1" applyFont="1" applyFill="1" applyBorder="1" applyAlignment="1">
      <alignment horizontal="center" vertical="center"/>
    </xf>
    <xf numFmtId="4" fontId="36" fillId="0" borderId="0" xfId="0" applyNumberFormat="1" applyFont="1" applyFill="1" applyBorder="1" applyAlignment="1" applyProtection="1">
      <alignment horizontal="center" vertical="center"/>
      <protection locked="0"/>
    </xf>
    <xf numFmtId="10" fontId="36" fillId="0" borderId="17" xfId="186" applyNumberFormat="1" applyFont="1" applyFill="1" applyBorder="1" applyAlignment="1">
      <alignment horizontal="center" vertical="center"/>
    </xf>
    <xf numFmtId="0" fontId="38" fillId="25" borderId="0" xfId="0" applyFont="1" applyFill="1" applyBorder="1" applyAlignment="1">
      <alignment horizontal="center" vertical="center" wrapText="1"/>
    </xf>
    <xf numFmtId="4" fontId="36" fillId="0" borderId="0" xfId="0" applyNumberFormat="1" applyFont="1" applyFill="1" applyBorder="1" applyAlignment="1">
      <alignment horizontal="center" vertical="center"/>
    </xf>
    <xf numFmtId="4" fontId="36" fillId="0" borderId="17" xfId="0" applyNumberFormat="1" applyFont="1" applyFill="1" applyBorder="1" applyAlignment="1">
      <alignment horizontal="center" vertical="center"/>
    </xf>
    <xf numFmtId="4" fontId="36" fillId="0" borderId="0" xfId="0" applyNumberFormat="1" applyFont="1" applyFill="1" applyBorder="1" applyAlignment="1" applyProtection="1">
      <alignment horizontal="center" vertical="center"/>
      <protection locked="0"/>
    </xf>
    <xf numFmtId="10" fontId="35" fillId="0" borderId="18" xfId="343" applyNumberFormat="1" applyFont="1" applyFill="1" applyBorder="1" applyAlignment="1" applyProtection="1">
      <alignment horizontal="center" vertical="center"/>
      <protection locked="0"/>
    </xf>
    <xf numFmtId="14" fontId="36" fillId="0" borderId="0" xfId="177" applyNumberFormat="1" applyFont="1" applyFill="1" applyBorder="1" applyAlignment="1">
      <alignment horizontal="center" vertical="center"/>
    </xf>
    <xf numFmtId="4" fontId="36" fillId="0" borderId="0" xfId="0" applyNumberFormat="1" applyFont="1" applyFill="1" applyBorder="1" applyAlignment="1" applyProtection="1">
      <alignment horizontal="center" vertical="center"/>
      <protection locked="0"/>
    </xf>
    <xf numFmtId="0" fontId="36" fillId="0" borderId="0" xfId="0" applyFont="1" applyFill="1" applyBorder="1" applyAlignment="1">
      <alignment horizontal="center" vertical="center"/>
    </xf>
    <xf numFmtId="0" fontId="36" fillId="0" borderId="0" xfId="0" applyFont="1" applyFill="1" applyAlignment="1">
      <alignment horizontal="left" vertical="center" wrapText="1"/>
    </xf>
    <xf numFmtId="0" fontId="36" fillId="0" borderId="0" xfId="0" applyFont="1" applyFill="1" applyBorder="1" applyAlignment="1">
      <alignment horizontal="left" vertical="center"/>
    </xf>
    <xf numFmtId="0" fontId="38" fillId="0" borderId="0" xfId="0" applyFont="1" applyFill="1" applyAlignment="1">
      <alignment vertical="center"/>
    </xf>
    <xf numFmtId="0" fontId="39" fillId="0" borderId="0" xfId="0" applyFont="1" applyFill="1" applyBorder="1" applyAlignment="1">
      <alignment vertical="center" wrapText="1"/>
    </xf>
    <xf numFmtId="0" fontId="36" fillId="0" borderId="0" xfId="0" applyFont="1" applyFill="1" applyBorder="1" applyAlignment="1">
      <alignment vertical="center"/>
    </xf>
    <xf numFmtId="4" fontId="36" fillId="0" borderId="0" xfId="0" applyNumberFormat="1" applyFont="1" applyFill="1" applyBorder="1" applyAlignment="1">
      <alignment horizontal="center" vertical="center"/>
    </xf>
    <xf numFmtId="10" fontId="36" fillId="0" borderId="0" xfId="186" applyNumberFormat="1" applyFont="1" applyFill="1" applyBorder="1" applyAlignment="1">
      <alignment horizontal="center" vertical="center"/>
    </xf>
    <xf numFmtId="0" fontId="36" fillId="0" borderId="0" xfId="0" applyFont="1" applyFill="1" applyBorder="1" applyAlignment="1" applyProtection="1">
      <alignment horizontal="left" vertical="center"/>
      <protection locked="0"/>
    </xf>
    <xf numFmtId="4" fontId="36" fillId="0" borderId="17" xfId="0" applyNumberFormat="1" applyFont="1" applyFill="1" applyBorder="1" applyAlignment="1">
      <alignment horizontal="center" vertical="center"/>
    </xf>
    <xf numFmtId="4" fontId="36" fillId="0" borderId="0" xfId="0" applyNumberFormat="1" applyFont="1" applyFill="1" applyBorder="1" applyAlignment="1" applyProtection="1">
      <alignment horizontal="center" vertical="center"/>
      <protection locked="0"/>
    </xf>
    <xf numFmtId="10" fontId="36" fillId="0" borderId="0" xfId="343" applyNumberFormat="1" applyFont="1" applyFill="1" applyBorder="1" applyAlignment="1">
      <alignment horizontal="center" vertical="center"/>
    </xf>
    <xf numFmtId="10" fontId="36" fillId="0" borderId="14" xfId="343" applyNumberFormat="1" applyFont="1" applyFill="1" applyBorder="1" applyAlignment="1">
      <alignment horizontal="center" vertical="center"/>
    </xf>
    <xf numFmtId="10" fontId="36" fillId="0" borderId="17" xfId="186" applyNumberFormat="1" applyFont="1" applyFill="1" applyBorder="1" applyAlignment="1">
      <alignment horizontal="center" vertical="center"/>
    </xf>
    <xf numFmtId="4" fontId="36" fillId="0" borderId="17" xfId="0" applyNumberFormat="1" applyFont="1" applyFill="1" applyBorder="1" applyAlignment="1" applyProtection="1">
      <alignment horizontal="center" vertical="center"/>
      <protection locked="0"/>
    </xf>
    <xf numFmtId="4" fontId="36" fillId="0" borderId="0" xfId="0" applyNumberFormat="1" applyFont="1" applyFill="1" applyBorder="1" applyAlignment="1">
      <alignment horizontal="center" vertical="center"/>
    </xf>
    <xf numFmtId="4" fontId="36" fillId="0" borderId="0" xfId="0" applyNumberFormat="1" applyFont="1" applyFill="1" applyBorder="1" applyAlignment="1">
      <alignment horizontal="center" vertical="center"/>
    </xf>
    <xf numFmtId="4" fontId="36" fillId="0" borderId="17" xfId="0" applyNumberFormat="1" applyFont="1" applyFill="1" applyBorder="1" applyAlignment="1">
      <alignment horizontal="center" vertical="center"/>
    </xf>
    <xf numFmtId="0" fontId="36" fillId="0" borderId="0" xfId="0" applyFont="1" applyFill="1" applyBorder="1" applyAlignment="1" applyProtection="1">
      <alignment horizontal="left" wrapText="1"/>
    </xf>
    <xf numFmtId="0" fontId="36" fillId="0" borderId="0" xfId="0" applyFont="1" applyFill="1" applyBorder="1" applyAlignment="1" applyProtection="1">
      <alignment horizontal="left"/>
    </xf>
    <xf numFmtId="0" fontId="53" fillId="0" borderId="0" xfId="514" applyFont="1" applyAlignment="1" applyProtection="1">
      <alignment horizontal="left"/>
      <protection locked="0" hidden="1"/>
    </xf>
    <xf numFmtId="0" fontId="51" fillId="0" borderId="0" xfId="0" applyFont="1" applyAlignment="1" applyProtection="1">
      <alignment horizontal="center" wrapText="1"/>
    </xf>
    <xf numFmtId="14" fontId="35" fillId="25" borderId="0" xfId="0" applyNumberFormat="1" applyFont="1" applyFill="1" applyBorder="1" applyAlignment="1">
      <alignment horizontal="center" vertical="center"/>
    </xf>
    <xf numFmtId="166" fontId="36" fillId="0" borderId="0" xfId="0" applyNumberFormat="1" applyFont="1" applyFill="1" applyBorder="1" applyAlignment="1">
      <alignment horizontal="center" vertical="center"/>
    </xf>
    <xf numFmtId="0" fontId="36" fillId="0" borderId="0" xfId="0" applyFont="1" applyFill="1" applyAlignment="1">
      <alignment horizontal="center"/>
    </xf>
    <xf numFmtId="0" fontId="41" fillId="25" borderId="0" xfId="0" applyFont="1" applyFill="1" applyAlignment="1">
      <alignment horizontal="left" vertical="center"/>
    </xf>
    <xf numFmtId="14" fontId="35" fillId="0" borderId="0" xfId="0" applyNumberFormat="1" applyFont="1" applyFill="1" applyBorder="1" applyAlignment="1">
      <alignment horizontal="center" vertical="center"/>
    </xf>
    <xf numFmtId="14" fontId="35" fillId="0" borderId="0" xfId="177" applyNumberFormat="1" applyFont="1" applyFill="1" applyBorder="1" applyAlignment="1">
      <alignment horizontal="center" vertical="center"/>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protection locked="0"/>
    </xf>
    <xf numFmtId="0" fontId="36" fillId="0" borderId="0" xfId="0" applyNumberFormat="1" applyFont="1" applyFill="1" applyBorder="1" applyAlignment="1">
      <alignment horizontal="center" vertical="center"/>
    </xf>
    <xf numFmtId="14" fontId="36" fillId="0" borderId="0" xfId="177" applyNumberFormat="1" applyFont="1" applyFill="1" applyBorder="1" applyAlignment="1">
      <alignment horizontal="center" vertical="center"/>
    </xf>
    <xf numFmtId="14" fontId="36" fillId="0" borderId="17" xfId="0" applyNumberFormat="1" applyFont="1" applyFill="1" applyBorder="1" applyAlignment="1">
      <alignment horizontal="center" vertical="center"/>
    </xf>
    <xf numFmtId="49" fontId="36" fillId="0" borderId="0" xfId="0" applyNumberFormat="1" applyFont="1" applyFill="1" applyBorder="1" applyAlignment="1">
      <alignment horizontal="center" vertical="center"/>
    </xf>
    <xf numFmtId="3" fontId="36" fillId="0" borderId="0" xfId="0" applyNumberFormat="1" applyFont="1" applyFill="1" applyBorder="1" applyAlignment="1">
      <alignment horizontal="center" vertical="center"/>
    </xf>
    <xf numFmtId="0" fontId="36" fillId="0" borderId="0" xfId="0" applyFont="1" applyFill="1" applyAlignment="1">
      <alignment horizontal="left" wrapText="1"/>
    </xf>
    <xf numFmtId="4" fontId="36" fillId="0" borderId="0" xfId="0" applyNumberFormat="1" applyFont="1" applyFill="1" applyBorder="1" applyAlignment="1">
      <alignment horizontal="center" vertical="center"/>
    </xf>
    <xf numFmtId="10" fontId="36" fillId="0" borderId="0" xfId="186" applyNumberFormat="1" applyFont="1" applyFill="1" applyBorder="1" applyAlignment="1">
      <alignment horizontal="center" vertical="center"/>
    </xf>
    <xf numFmtId="3" fontId="36" fillId="0" borderId="17" xfId="0" applyNumberFormat="1" applyFont="1" applyFill="1" applyBorder="1" applyAlignment="1">
      <alignment horizontal="center" vertical="center"/>
    </xf>
    <xf numFmtId="0" fontId="35" fillId="0" borderId="0" xfId="0" applyFont="1" applyFill="1" applyAlignment="1">
      <alignment horizontal="left" vertical="center" wrapText="1"/>
    </xf>
    <xf numFmtId="0" fontId="35" fillId="0" borderId="0" xfId="0" applyFont="1" applyFill="1" applyBorder="1" applyAlignment="1">
      <alignment horizontal="left" vertical="center" wrapText="1"/>
    </xf>
    <xf numFmtId="0" fontId="36" fillId="0" borderId="0" xfId="0" applyFont="1" applyFill="1" applyAlignment="1">
      <alignment horizontal="left" vertical="center" wrapText="1"/>
    </xf>
    <xf numFmtId="0" fontId="35" fillId="26" borderId="21" xfId="0" applyFont="1" applyFill="1" applyBorder="1" applyAlignment="1">
      <alignment horizontal="center" vertical="center"/>
    </xf>
    <xf numFmtId="0" fontId="35" fillId="26" borderId="23" xfId="0" applyFont="1" applyFill="1" applyBorder="1" applyAlignment="1">
      <alignment horizontal="center" vertical="center"/>
    </xf>
    <xf numFmtId="0" fontId="35" fillId="26" borderId="19" xfId="0" applyFont="1" applyFill="1" applyBorder="1" applyAlignment="1">
      <alignment horizontal="center" vertical="center"/>
    </xf>
    <xf numFmtId="14" fontId="35" fillId="0" borderId="10" xfId="0" applyNumberFormat="1" applyFont="1" applyFill="1" applyBorder="1" applyAlignment="1">
      <alignment horizontal="center" vertical="center"/>
    </xf>
    <xf numFmtId="0" fontId="35" fillId="26" borderId="22" xfId="0" applyFont="1" applyFill="1" applyBorder="1" applyAlignment="1" applyProtection="1">
      <alignment horizontal="center" vertical="center" wrapText="1"/>
      <protection locked="0"/>
    </xf>
    <xf numFmtId="0" fontId="35" fillId="26" borderId="11" xfId="0" applyFont="1" applyFill="1" applyBorder="1" applyAlignment="1" applyProtection="1">
      <alignment horizontal="center" vertical="center" wrapText="1"/>
      <protection locked="0"/>
    </xf>
    <xf numFmtId="0" fontId="37" fillId="26" borderId="21" xfId="0" applyFont="1" applyFill="1" applyBorder="1" applyAlignment="1">
      <alignment horizontal="center" vertical="center"/>
    </xf>
    <xf numFmtId="0" fontId="37" fillId="26" borderId="19" xfId="0" applyFont="1" applyFill="1" applyBorder="1" applyAlignment="1">
      <alignment horizontal="center" vertical="center"/>
    </xf>
    <xf numFmtId="0" fontId="35" fillId="0" borderId="0" xfId="0" applyFont="1" applyFill="1" applyBorder="1" applyAlignment="1">
      <alignment horizontal="center"/>
    </xf>
    <xf numFmtId="14" fontId="35" fillId="0" borderId="10" xfId="0" applyNumberFormat="1" applyFont="1" applyFill="1" applyBorder="1" applyAlignment="1">
      <alignment horizontal="center"/>
    </xf>
    <xf numFmtId="14" fontId="35" fillId="0" borderId="0" xfId="0" applyNumberFormat="1" applyFont="1" applyFill="1" applyBorder="1" applyAlignment="1">
      <alignment horizontal="center"/>
    </xf>
    <xf numFmtId="0" fontId="36" fillId="0" borderId="0" xfId="0" applyFont="1" applyFill="1" applyBorder="1" applyAlignment="1">
      <alignment horizontal="left" vertical="center"/>
    </xf>
    <xf numFmtId="4" fontId="35" fillId="26" borderId="21" xfId="0" applyNumberFormat="1" applyFont="1" applyFill="1" applyBorder="1" applyAlignment="1" applyProtection="1">
      <alignment horizontal="center" vertical="center" wrapText="1"/>
      <protection locked="0"/>
    </xf>
    <xf numFmtId="4" fontId="35" fillId="26" borderId="23" xfId="0" applyNumberFormat="1" applyFont="1" applyFill="1" applyBorder="1" applyAlignment="1" applyProtection="1">
      <alignment horizontal="center" vertical="center" wrapText="1"/>
      <protection locked="0"/>
    </xf>
    <xf numFmtId="4" fontId="35" fillId="26" borderId="19" xfId="0" applyNumberFormat="1" applyFont="1" applyFill="1" applyBorder="1" applyAlignment="1" applyProtection="1">
      <alignment horizontal="center" vertical="center" wrapText="1"/>
      <protection locked="0"/>
    </xf>
    <xf numFmtId="0" fontId="36" fillId="0" borderId="0" xfId="0" applyFont="1" applyFill="1" applyBorder="1" applyAlignment="1" applyProtection="1">
      <alignment horizontal="left" vertical="center"/>
      <protection locked="0"/>
    </xf>
    <xf numFmtId="14" fontId="35" fillId="24" borderId="10" xfId="0" applyNumberFormat="1" applyFont="1" applyFill="1" applyBorder="1" applyAlignment="1">
      <alignment horizontal="center" vertical="center"/>
    </xf>
    <xf numFmtId="0" fontId="35" fillId="24" borderId="0" xfId="0" applyFont="1" applyFill="1" applyBorder="1" applyAlignment="1">
      <alignment horizontal="center" vertical="center"/>
    </xf>
    <xf numFmtId="0" fontId="35" fillId="0" borderId="0" xfId="0" applyFont="1" applyFill="1" applyBorder="1" applyAlignment="1">
      <alignment horizontal="center" vertical="center"/>
    </xf>
    <xf numFmtId="0" fontId="35" fillId="26" borderId="24" xfId="0" applyFont="1" applyFill="1" applyBorder="1" applyAlignment="1" applyProtection="1">
      <alignment horizontal="center" vertical="center" wrapText="1"/>
      <protection locked="0"/>
    </xf>
    <xf numFmtId="4" fontId="36" fillId="0" borderId="17" xfId="0" applyNumberFormat="1" applyFont="1" applyFill="1" applyBorder="1" applyAlignment="1">
      <alignment horizontal="center" vertical="center"/>
    </xf>
    <xf numFmtId="4" fontId="36" fillId="0" borderId="0" xfId="0" applyNumberFormat="1" applyFont="1" applyFill="1" applyBorder="1" applyAlignment="1" applyProtection="1">
      <alignment horizontal="center" vertical="center"/>
      <protection locked="0"/>
    </xf>
    <xf numFmtId="0" fontId="38" fillId="0" borderId="0" xfId="0" applyFont="1" applyFill="1" applyAlignment="1">
      <alignment horizontal="left" vertical="center" wrapText="1"/>
    </xf>
    <xf numFmtId="10" fontId="36" fillId="0" borderId="0" xfId="343" applyNumberFormat="1" applyFont="1" applyFill="1" applyBorder="1" applyAlignment="1">
      <alignment horizontal="center" vertical="center"/>
    </xf>
    <xf numFmtId="10" fontId="36" fillId="0" borderId="14" xfId="343" applyNumberFormat="1" applyFont="1" applyFill="1" applyBorder="1" applyAlignment="1">
      <alignment horizontal="center" vertical="center"/>
    </xf>
    <xf numFmtId="10" fontId="38" fillId="0" borderId="0" xfId="343" applyNumberFormat="1" applyFont="1" applyFill="1" applyBorder="1" applyAlignment="1">
      <alignment horizontal="center" vertical="center"/>
    </xf>
    <xf numFmtId="10" fontId="38" fillId="0" borderId="17" xfId="343" applyNumberFormat="1" applyFont="1" applyFill="1" applyBorder="1" applyAlignment="1">
      <alignment horizontal="center" vertical="center"/>
    </xf>
    <xf numFmtId="10" fontId="36" fillId="0" borderId="17" xfId="186" applyNumberFormat="1" applyFont="1" applyFill="1" applyBorder="1" applyAlignment="1">
      <alignment horizontal="center" vertical="center"/>
    </xf>
    <xf numFmtId="0" fontId="35" fillId="24" borderId="0" xfId="0" applyFont="1" applyFill="1" applyBorder="1" applyAlignment="1">
      <alignment horizontal="center"/>
    </xf>
    <xf numFmtId="14" fontId="35" fillId="25" borderId="0" xfId="415" applyNumberFormat="1" applyFont="1" applyFill="1" applyBorder="1" applyAlignment="1">
      <alignment horizontal="center" vertical="center"/>
    </xf>
    <xf numFmtId="14" fontId="35" fillId="0" borderId="0" xfId="415" applyNumberFormat="1" applyFont="1" applyFill="1" applyBorder="1" applyAlignment="1">
      <alignment horizontal="center" vertical="center"/>
    </xf>
    <xf numFmtId="14" fontId="35" fillId="25" borderId="10" xfId="415" applyNumberFormat="1" applyFont="1" applyFill="1" applyBorder="1" applyAlignment="1">
      <alignment horizontal="center" vertical="center"/>
    </xf>
    <xf numFmtId="4" fontId="36" fillId="0" borderId="17" xfId="0" applyNumberFormat="1" applyFont="1" applyFill="1" applyBorder="1" applyAlignment="1" applyProtection="1">
      <alignment horizontal="center" vertical="center"/>
      <protection locked="0"/>
    </xf>
    <xf numFmtId="0" fontId="36" fillId="25" borderId="0" xfId="0" applyFont="1" applyFill="1" applyBorder="1" applyAlignment="1" applyProtection="1">
      <alignment horizontal="center" vertical="center"/>
      <protection locked="0"/>
    </xf>
    <xf numFmtId="0" fontId="35" fillId="0" borderId="14" xfId="0" applyFont="1" applyFill="1" applyBorder="1" applyAlignment="1">
      <alignment horizontal="center" vertical="center" wrapText="1"/>
    </xf>
    <xf numFmtId="0" fontId="36" fillId="0" borderId="0" xfId="0" applyFont="1" applyBorder="1" applyAlignment="1">
      <alignment horizontal="left" vertical="center" wrapText="1"/>
    </xf>
    <xf numFmtId="4" fontId="36" fillId="25" borderId="0" xfId="0" applyNumberFormat="1" applyFont="1" applyFill="1" applyBorder="1" applyAlignment="1">
      <alignment horizontal="center" vertical="center" wrapText="1"/>
    </xf>
    <xf numFmtId="4" fontId="36" fillId="0" borderId="0" xfId="0" applyNumberFormat="1" applyFont="1" applyFill="1" applyBorder="1" applyAlignment="1">
      <alignment horizontal="center" vertical="center" wrapText="1"/>
    </xf>
    <xf numFmtId="0" fontId="36" fillId="25" borderId="0" xfId="0" applyFont="1" applyFill="1" applyBorder="1" applyAlignment="1">
      <alignment horizontal="center" vertical="center" wrapText="1"/>
    </xf>
    <xf numFmtId="4" fontId="36" fillId="25" borderId="17" xfId="0" applyNumberFormat="1" applyFont="1" applyFill="1" applyBorder="1" applyAlignment="1">
      <alignment horizontal="center" vertical="center" wrapText="1"/>
    </xf>
    <xf numFmtId="14" fontId="35" fillId="0" borderId="0" xfId="0" applyNumberFormat="1" applyFont="1" applyFill="1" applyBorder="1" applyAlignment="1" applyProtection="1">
      <alignment horizontal="center"/>
    </xf>
    <xf numFmtId="14" fontId="35" fillId="25" borderId="0" xfId="0" applyNumberFormat="1" applyFont="1" applyFill="1" applyBorder="1" applyAlignment="1" applyProtection="1">
      <alignment horizontal="center"/>
    </xf>
    <xf numFmtId="0" fontId="37" fillId="0" borderId="0" xfId="0" applyFont="1" applyFill="1" applyBorder="1" applyAlignment="1" applyProtection="1">
      <alignment horizontal="center"/>
    </xf>
    <xf numFmtId="14" fontId="35" fillId="25" borderId="0" xfId="177" applyNumberFormat="1" applyFont="1" applyFill="1" applyBorder="1" applyAlignment="1" applyProtection="1">
      <alignment horizontal="center" vertical="center"/>
    </xf>
    <xf numFmtId="0" fontId="36" fillId="25" borderId="0" xfId="0" applyFont="1" applyFill="1" applyAlignment="1" applyProtection="1">
      <alignment horizontal="left" wrapText="1"/>
    </xf>
  </cellXfs>
  <cellStyles count="515">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xfId="7" builtinId="30" customBuiltin="1"/>
    <cellStyle name="20% - Énfasis1 2" xfId="8" xr:uid="{00000000-0005-0000-0000-000007000000}"/>
    <cellStyle name="20% - Énfasis1 3" xfId="9" xr:uid="{00000000-0005-0000-0000-000008000000}"/>
    <cellStyle name="20% - Énfasis1 4" xfId="10" xr:uid="{00000000-0005-0000-0000-000009000000}"/>
    <cellStyle name="20% - Énfasis1 5" xfId="228" xr:uid="{00000000-0005-0000-0000-00000A000000}"/>
    <cellStyle name="20% - Énfasis2" xfId="11" builtinId="34" customBuiltin="1"/>
    <cellStyle name="20% - Énfasis2 2" xfId="12" xr:uid="{00000000-0005-0000-0000-00000C000000}"/>
    <cellStyle name="20% - Énfasis2 3" xfId="13" xr:uid="{00000000-0005-0000-0000-00000D000000}"/>
    <cellStyle name="20% - Énfasis2 4" xfId="14" xr:uid="{00000000-0005-0000-0000-00000E000000}"/>
    <cellStyle name="20% - Énfasis2 5" xfId="229" xr:uid="{00000000-0005-0000-0000-00000F000000}"/>
    <cellStyle name="20% - Énfasis3" xfId="15" builtinId="38" customBuiltin="1"/>
    <cellStyle name="20% - Énfasis3 2" xfId="16" xr:uid="{00000000-0005-0000-0000-000011000000}"/>
    <cellStyle name="20% - Énfasis3 3" xfId="17" xr:uid="{00000000-0005-0000-0000-000012000000}"/>
    <cellStyle name="20% - Énfasis3 4" xfId="18" xr:uid="{00000000-0005-0000-0000-000013000000}"/>
    <cellStyle name="20% - Énfasis3 5" xfId="230" xr:uid="{00000000-0005-0000-0000-000014000000}"/>
    <cellStyle name="20% - Énfasis4" xfId="19" builtinId="42" customBuiltin="1"/>
    <cellStyle name="20% - Énfasis4 2" xfId="20" xr:uid="{00000000-0005-0000-0000-000016000000}"/>
    <cellStyle name="20% - Énfasis4 3" xfId="21" xr:uid="{00000000-0005-0000-0000-000017000000}"/>
    <cellStyle name="20% - Énfasis4 4" xfId="22" xr:uid="{00000000-0005-0000-0000-000018000000}"/>
    <cellStyle name="20% - Énfasis4 5" xfId="231" xr:uid="{00000000-0005-0000-0000-000019000000}"/>
    <cellStyle name="20% - Énfasis5" xfId="23" builtinId="46" customBuiltin="1"/>
    <cellStyle name="20% - Énfasis5 2" xfId="24" xr:uid="{00000000-0005-0000-0000-00001B000000}"/>
    <cellStyle name="20% - Énfasis5 3" xfId="25" xr:uid="{00000000-0005-0000-0000-00001C000000}"/>
    <cellStyle name="20% - Énfasis5 4" xfId="26" xr:uid="{00000000-0005-0000-0000-00001D000000}"/>
    <cellStyle name="20% - Énfasis5 5" xfId="232" xr:uid="{00000000-0005-0000-0000-00001E000000}"/>
    <cellStyle name="20% - Énfasis6" xfId="27" builtinId="50" customBuiltin="1"/>
    <cellStyle name="20% - Énfasis6 2" xfId="28" xr:uid="{00000000-0005-0000-0000-000020000000}"/>
    <cellStyle name="20% - Énfasis6 3" xfId="29" xr:uid="{00000000-0005-0000-0000-000021000000}"/>
    <cellStyle name="20% - Énfasis6 4" xfId="30" xr:uid="{00000000-0005-0000-0000-000022000000}"/>
    <cellStyle name="20% - Énfasis6 5" xfId="233" xr:uid="{00000000-0005-0000-0000-000023000000}"/>
    <cellStyle name="40% - Accent1" xfId="31" xr:uid="{00000000-0005-0000-0000-000024000000}"/>
    <cellStyle name="40% - Accent2" xfId="32" xr:uid="{00000000-0005-0000-0000-000025000000}"/>
    <cellStyle name="40% - Accent3" xfId="33" xr:uid="{00000000-0005-0000-0000-000026000000}"/>
    <cellStyle name="40% - Accent4" xfId="34" xr:uid="{00000000-0005-0000-0000-000027000000}"/>
    <cellStyle name="40% - Accent5" xfId="35" xr:uid="{00000000-0005-0000-0000-000028000000}"/>
    <cellStyle name="40% - Accent6" xfId="36" xr:uid="{00000000-0005-0000-0000-000029000000}"/>
    <cellStyle name="40% - Énfasis1" xfId="37" builtinId="31" customBuiltin="1"/>
    <cellStyle name="40% - Énfasis1 2" xfId="38" xr:uid="{00000000-0005-0000-0000-00002B000000}"/>
    <cellStyle name="40% - Énfasis1 3" xfId="39" xr:uid="{00000000-0005-0000-0000-00002C000000}"/>
    <cellStyle name="40% - Énfasis1 4" xfId="40" xr:uid="{00000000-0005-0000-0000-00002D000000}"/>
    <cellStyle name="40% - Énfasis1 5" xfId="234" xr:uid="{00000000-0005-0000-0000-00002E000000}"/>
    <cellStyle name="40% - Énfasis2" xfId="41" builtinId="35" customBuiltin="1"/>
    <cellStyle name="40% - Énfasis2 2" xfId="42" xr:uid="{00000000-0005-0000-0000-000030000000}"/>
    <cellStyle name="40% - Énfasis2 3" xfId="43" xr:uid="{00000000-0005-0000-0000-000031000000}"/>
    <cellStyle name="40% - Énfasis2 4" xfId="44" xr:uid="{00000000-0005-0000-0000-000032000000}"/>
    <cellStyle name="40% - Énfasis2 5" xfId="235" xr:uid="{00000000-0005-0000-0000-000033000000}"/>
    <cellStyle name="40% - Énfasis3" xfId="45" builtinId="39" customBuiltin="1"/>
    <cellStyle name="40% - Énfasis3 2" xfId="46" xr:uid="{00000000-0005-0000-0000-000035000000}"/>
    <cellStyle name="40% - Énfasis3 3" xfId="47" xr:uid="{00000000-0005-0000-0000-000036000000}"/>
    <cellStyle name="40% - Énfasis3 4" xfId="48" xr:uid="{00000000-0005-0000-0000-000037000000}"/>
    <cellStyle name="40% - Énfasis3 5" xfId="236" xr:uid="{00000000-0005-0000-0000-000038000000}"/>
    <cellStyle name="40% - Énfasis4" xfId="49" builtinId="43" customBuiltin="1"/>
    <cellStyle name="40% - Énfasis4 2" xfId="50" xr:uid="{00000000-0005-0000-0000-00003A000000}"/>
    <cellStyle name="40% - Énfasis4 3" xfId="51" xr:uid="{00000000-0005-0000-0000-00003B000000}"/>
    <cellStyle name="40% - Énfasis4 4" xfId="52" xr:uid="{00000000-0005-0000-0000-00003C000000}"/>
    <cellStyle name="40% - Énfasis4 5" xfId="237" xr:uid="{00000000-0005-0000-0000-00003D000000}"/>
    <cellStyle name="40% - Énfasis5" xfId="53" builtinId="47" customBuiltin="1"/>
    <cellStyle name="40% - Énfasis5 2" xfId="54" xr:uid="{00000000-0005-0000-0000-00003F000000}"/>
    <cellStyle name="40% - Énfasis5 3" xfId="55" xr:uid="{00000000-0005-0000-0000-000040000000}"/>
    <cellStyle name="40% - Énfasis5 4" xfId="56" xr:uid="{00000000-0005-0000-0000-000041000000}"/>
    <cellStyle name="40% - Énfasis5 5" xfId="238" xr:uid="{00000000-0005-0000-0000-000042000000}"/>
    <cellStyle name="40% - Énfasis6" xfId="57" builtinId="51" customBuiltin="1"/>
    <cellStyle name="40% - Énfasis6 2" xfId="58" xr:uid="{00000000-0005-0000-0000-000044000000}"/>
    <cellStyle name="40% - Énfasis6 3" xfId="59" xr:uid="{00000000-0005-0000-0000-000045000000}"/>
    <cellStyle name="40% - Énfasis6 4" xfId="60" xr:uid="{00000000-0005-0000-0000-000046000000}"/>
    <cellStyle name="40% - Énfasis6 5" xfId="239" xr:uid="{00000000-0005-0000-0000-000047000000}"/>
    <cellStyle name="60% - Accent1" xfId="61" xr:uid="{00000000-0005-0000-0000-000048000000}"/>
    <cellStyle name="60% - Accent2" xfId="62" xr:uid="{00000000-0005-0000-0000-000049000000}"/>
    <cellStyle name="60% - Accent3" xfId="63" xr:uid="{00000000-0005-0000-0000-00004A000000}"/>
    <cellStyle name="60% - Accent4" xfId="64" xr:uid="{00000000-0005-0000-0000-00004B000000}"/>
    <cellStyle name="60% - Accent5" xfId="65" xr:uid="{00000000-0005-0000-0000-00004C000000}"/>
    <cellStyle name="60% - Accent6" xfId="66" xr:uid="{00000000-0005-0000-0000-00004D000000}"/>
    <cellStyle name="60% - Énfasis1" xfId="67" builtinId="32" customBuiltin="1"/>
    <cellStyle name="60% - Énfasis1 2" xfId="68" xr:uid="{00000000-0005-0000-0000-00004F000000}"/>
    <cellStyle name="60% - Énfasis1 3" xfId="69" xr:uid="{00000000-0005-0000-0000-000050000000}"/>
    <cellStyle name="60% - Énfasis1 4" xfId="70" xr:uid="{00000000-0005-0000-0000-000051000000}"/>
    <cellStyle name="60% - Énfasis1 5" xfId="240" xr:uid="{00000000-0005-0000-0000-000052000000}"/>
    <cellStyle name="60% - Énfasis2" xfId="71" builtinId="36" customBuiltin="1"/>
    <cellStyle name="60% - Énfasis2 2" xfId="72" xr:uid="{00000000-0005-0000-0000-000054000000}"/>
    <cellStyle name="60% - Énfasis2 3" xfId="73" xr:uid="{00000000-0005-0000-0000-000055000000}"/>
    <cellStyle name="60% - Énfasis2 4" xfId="74" xr:uid="{00000000-0005-0000-0000-000056000000}"/>
    <cellStyle name="60% - Énfasis2 5" xfId="241" xr:uid="{00000000-0005-0000-0000-000057000000}"/>
    <cellStyle name="60% - Énfasis3" xfId="75" builtinId="40" customBuiltin="1"/>
    <cellStyle name="60% - Énfasis3 2" xfId="76" xr:uid="{00000000-0005-0000-0000-000059000000}"/>
    <cellStyle name="60% - Énfasis3 3" xfId="77" xr:uid="{00000000-0005-0000-0000-00005A000000}"/>
    <cellStyle name="60% - Énfasis3 4" xfId="78" xr:uid="{00000000-0005-0000-0000-00005B000000}"/>
    <cellStyle name="60% - Énfasis3 5" xfId="242" xr:uid="{00000000-0005-0000-0000-00005C000000}"/>
    <cellStyle name="60% - Énfasis4" xfId="79" builtinId="44" customBuiltin="1"/>
    <cellStyle name="60% - Énfasis4 2" xfId="80" xr:uid="{00000000-0005-0000-0000-00005E000000}"/>
    <cellStyle name="60% - Énfasis4 3" xfId="81" xr:uid="{00000000-0005-0000-0000-00005F000000}"/>
    <cellStyle name="60% - Énfasis4 4" xfId="82" xr:uid="{00000000-0005-0000-0000-000060000000}"/>
    <cellStyle name="60% - Énfasis4 5" xfId="243" xr:uid="{00000000-0005-0000-0000-000061000000}"/>
    <cellStyle name="60% - Énfasis5" xfId="83" builtinId="48" customBuiltin="1"/>
    <cellStyle name="60% - Énfasis5 2" xfId="84" xr:uid="{00000000-0005-0000-0000-000063000000}"/>
    <cellStyle name="60% - Énfasis5 3" xfId="85" xr:uid="{00000000-0005-0000-0000-000064000000}"/>
    <cellStyle name="60% - Énfasis5 4" xfId="86" xr:uid="{00000000-0005-0000-0000-000065000000}"/>
    <cellStyle name="60% - Énfasis5 5" xfId="244" xr:uid="{00000000-0005-0000-0000-000066000000}"/>
    <cellStyle name="60% - Énfasis6" xfId="87" builtinId="52" customBuiltin="1"/>
    <cellStyle name="60% - Énfasis6 2" xfId="88" xr:uid="{00000000-0005-0000-0000-000068000000}"/>
    <cellStyle name="60% - Énfasis6 3" xfId="89" xr:uid="{00000000-0005-0000-0000-000069000000}"/>
    <cellStyle name="60% - Énfasis6 4" xfId="90" xr:uid="{00000000-0005-0000-0000-00006A000000}"/>
    <cellStyle name="60% - Énfasis6 5" xfId="245" xr:uid="{00000000-0005-0000-0000-00006B000000}"/>
    <cellStyle name="Accent1" xfId="91" xr:uid="{00000000-0005-0000-0000-00006C000000}"/>
    <cellStyle name="Accent2" xfId="92" xr:uid="{00000000-0005-0000-0000-00006D000000}"/>
    <cellStyle name="Accent3" xfId="93" xr:uid="{00000000-0005-0000-0000-00006E000000}"/>
    <cellStyle name="Accent4" xfId="94" xr:uid="{00000000-0005-0000-0000-00006F000000}"/>
    <cellStyle name="Accent5" xfId="95" xr:uid="{00000000-0005-0000-0000-000070000000}"/>
    <cellStyle name="Accent6" xfId="96" xr:uid="{00000000-0005-0000-0000-000071000000}"/>
    <cellStyle name="Bad" xfId="97" xr:uid="{00000000-0005-0000-0000-000072000000}"/>
    <cellStyle name="Buena 2" xfId="99" xr:uid="{00000000-0005-0000-0000-000073000000}"/>
    <cellStyle name="Buena 3" xfId="100" xr:uid="{00000000-0005-0000-0000-000074000000}"/>
    <cellStyle name="Buena 4" xfId="101" xr:uid="{00000000-0005-0000-0000-000075000000}"/>
    <cellStyle name="Buena 5" xfId="246" xr:uid="{00000000-0005-0000-0000-000076000000}"/>
    <cellStyle name="Bueno" xfId="98" builtinId="26" customBuiltin="1"/>
    <cellStyle name="Calculation" xfId="102" xr:uid="{00000000-0005-0000-0000-000078000000}"/>
    <cellStyle name="Cálculo" xfId="103" builtinId="22" customBuiltin="1"/>
    <cellStyle name="Cálculo 2" xfId="104" xr:uid="{00000000-0005-0000-0000-00007A000000}"/>
    <cellStyle name="Cálculo 3" xfId="105" xr:uid="{00000000-0005-0000-0000-00007B000000}"/>
    <cellStyle name="Cálculo 4" xfId="106" xr:uid="{00000000-0005-0000-0000-00007C000000}"/>
    <cellStyle name="Cálculo 5" xfId="247" xr:uid="{00000000-0005-0000-0000-00007D000000}"/>
    <cellStyle name="Celda de comprobación" xfId="107" builtinId="23" customBuiltin="1"/>
    <cellStyle name="Celda de comprobación 2" xfId="108" xr:uid="{00000000-0005-0000-0000-00007F000000}"/>
    <cellStyle name="Celda de comprobación 3" xfId="109" xr:uid="{00000000-0005-0000-0000-000080000000}"/>
    <cellStyle name="Celda de comprobación 4" xfId="110" xr:uid="{00000000-0005-0000-0000-000081000000}"/>
    <cellStyle name="Celda de comprobación 5" xfId="248" xr:uid="{00000000-0005-0000-0000-000082000000}"/>
    <cellStyle name="Celda vinculada" xfId="111" builtinId="24" customBuiltin="1"/>
    <cellStyle name="Celda vinculada 2" xfId="112" xr:uid="{00000000-0005-0000-0000-000084000000}"/>
    <cellStyle name="Celda vinculada 3" xfId="113" xr:uid="{00000000-0005-0000-0000-000085000000}"/>
    <cellStyle name="Celda vinculada 4" xfId="114" xr:uid="{00000000-0005-0000-0000-000086000000}"/>
    <cellStyle name="Celda vinculada 5" xfId="249" xr:uid="{00000000-0005-0000-0000-000087000000}"/>
    <cellStyle name="Check Cell" xfId="115" xr:uid="{00000000-0005-0000-0000-000088000000}"/>
    <cellStyle name="Encabezado 1" xfId="204" builtinId="16" customBuiltin="1"/>
    <cellStyle name="Encabezado 4" xfId="116" builtinId="19" customBuiltin="1"/>
    <cellStyle name="Encabezado 4 2" xfId="117" xr:uid="{00000000-0005-0000-0000-00008B000000}"/>
    <cellStyle name="Encabezado 4 3" xfId="118" xr:uid="{00000000-0005-0000-0000-00008C000000}"/>
    <cellStyle name="Encabezado 4 4" xfId="119" xr:uid="{00000000-0005-0000-0000-00008D000000}"/>
    <cellStyle name="Encabezado 4 5" xfId="250" xr:uid="{00000000-0005-0000-0000-00008E000000}"/>
    <cellStyle name="Énfasis1" xfId="120" builtinId="29" customBuiltin="1"/>
    <cellStyle name="Énfasis1 2" xfId="121" xr:uid="{00000000-0005-0000-0000-000090000000}"/>
    <cellStyle name="Énfasis1 3" xfId="122" xr:uid="{00000000-0005-0000-0000-000091000000}"/>
    <cellStyle name="Énfasis1 4" xfId="123" xr:uid="{00000000-0005-0000-0000-000092000000}"/>
    <cellStyle name="Énfasis1 5" xfId="251" xr:uid="{00000000-0005-0000-0000-000093000000}"/>
    <cellStyle name="Énfasis2" xfId="124" builtinId="33" customBuiltin="1"/>
    <cellStyle name="Énfasis2 2" xfId="125" xr:uid="{00000000-0005-0000-0000-000095000000}"/>
    <cellStyle name="Énfasis2 3" xfId="126" xr:uid="{00000000-0005-0000-0000-000096000000}"/>
    <cellStyle name="Énfasis2 4" xfId="127" xr:uid="{00000000-0005-0000-0000-000097000000}"/>
    <cellStyle name="Énfasis2 5" xfId="252" xr:uid="{00000000-0005-0000-0000-000098000000}"/>
    <cellStyle name="Énfasis3" xfId="128" builtinId="37" customBuiltin="1"/>
    <cellStyle name="Énfasis3 2" xfId="129" xr:uid="{00000000-0005-0000-0000-00009A000000}"/>
    <cellStyle name="Énfasis3 3" xfId="130" xr:uid="{00000000-0005-0000-0000-00009B000000}"/>
    <cellStyle name="Énfasis3 4" xfId="131" xr:uid="{00000000-0005-0000-0000-00009C000000}"/>
    <cellStyle name="Énfasis3 5" xfId="253" xr:uid="{00000000-0005-0000-0000-00009D000000}"/>
    <cellStyle name="Énfasis4" xfId="132" builtinId="41" customBuiltin="1"/>
    <cellStyle name="Énfasis4 2" xfId="133" xr:uid="{00000000-0005-0000-0000-00009F000000}"/>
    <cellStyle name="Énfasis4 3" xfId="134" xr:uid="{00000000-0005-0000-0000-0000A0000000}"/>
    <cellStyle name="Énfasis4 4" xfId="135" xr:uid="{00000000-0005-0000-0000-0000A1000000}"/>
    <cellStyle name="Énfasis4 5" xfId="254" xr:uid="{00000000-0005-0000-0000-0000A2000000}"/>
    <cellStyle name="Énfasis5" xfId="136" builtinId="45" customBuiltin="1"/>
    <cellStyle name="Énfasis5 2" xfId="137" xr:uid="{00000000-0005-0000-0000-0000A4000000}"/>
    <cellStyle name="Énfasis5 3" xfId="138" xr:uid="{00000000-0005-0000-0000-0000A5000000}"/>
    <cellStyle name="Énfasis5 4" xfId="139" xr:uid="{00000000-0005-0000-0000-0000A6000000}"/>
    <cellStyle name="Énfasis5 5" xfId="255" xr:uid="{00000000-0005-0000-0000-0000A7000000}"/>
    <cellStyle name="Énfasis6" xfId="140" builtinId="49" customBuiltin="1"/>
    <cellStyle name="Énfasis6 2" xfId="141" xr:uid="{00000000-0005-0000-0000-0000A9000000}"/>
    <cellStyle name="Énfasis6 3" xfId="142" xr:uid="{00000000-0005-0000-0000-0000AA000000}"/>
    <cellStyle name="Énfasis6 4" xfId="143" xr:uid="{00000000-0005-0000-0000-0000AB000000}"/>
    <cellStyle name="Énfasis6 5" xfId="256" xr:uid="{00000000-0005-0000-0000-0000AC000000}"/>
    <cellStyle name="Entrada" xfId="144" builtinId="20" customBuiltin="1"/>
    <cellStyle name="Entrada 2" xfId="145" xr:uid="{00000000-0005-0000-0000-0000AE000000}"/>
    <cellStyle name="Entrada 3" xfId="146" xr:uid="{00000000-0005-0000-0000-0000AF000000}"/>
    <cellStyle name="Entrada 4" xfId="147" xr:uid="{00000000-0005-0000-0000-0000B0000000}"/>
    <cellStyle name="Entrada 5" xfId="257" xr:uid="{00000000-0005-0000-0000-0000B1000000}"/>
    <cellStyle name="Euro" xfId="148" xr:uid="{00000000-0005-0000-0000-0000B2000000}"/>
    <cellStyle name="Euro 2" xfId="149" xr:uid="{00000000-0005-0000-0000-0000B3000000}"/>
    <cellStyle name="Euro 3" xfId="277" xr:uid="{00000000-0005-0000-0000-0000B4000000}"/>
    <cellStyle name="Euro 3 2" xfId="372" xr:uid="{00000000-0005-0000-0000-0000B5000000}"/>
    <cellStyle name="Euro 4" xfId="305" xr:uid="{00000000-0005-0000-0000-0000B6000000}"/>
    <cellStyle name="Explanatory Text" xfId="150" xr:uid="{00000000-0005-0000-0000-0000B7000000}"/>
    <cellStyle name="Good" xfId="151" xr:uid="{00000000-0005-0000-0000-0000B8000000}"/>
    <cellStyle name="Heading 1" xfId="152" xr:uid="{00000000-0005-0000-0000-0000B9000000}"/>
    <cellStyle name="Heading 2" xfId="153" xr:uid="{00000000-0005-0000-0000-0000BA000000}"/>
    <cellStyle name="Heading 3" xfId="154" xr:uid="{00000000-0005-0000-0000-0000BB000000}"/>
    <cellStyle name="Heading 4" xfId="155" xr:uid="{00000000-0005-0000-0000-0000BC000000}"/>
    <cellStyle name="Hipervínculo" xfId="514" builtinId="8"/>
    <cellStyle name="Incorrecto" xfId="156" builtinId="27" customBuiltin="1"/>
    <cellStyle name="Incorrecto 2" xfId="157" xr:uid="{00000000-0005-0000-0000-0000BE000000}"/>
    <cellStyle name="Incorrecto 3" xfId="158" xr:uid="{00000000-0005-0000-0000-0000BF000000}"/>
    <cellStyle name="Incorrecto 4" xfId="159" xr:uid="{00000000-0005-0000-0000-0000C0000000}"/>
    <cellStyle name="Incorrecto 5" xfId="258" xr:uid="{00000000-0005-0000-0000-0000C1000000}"/>
    <cellStyle name="Input" xfId="160" xr:uid="{00000000-0005-0000-0000-0000C2000000}"/>
    <cellStyle name="Linked Cell" xfId="161" xr:uid="{00000000-0005-0000-0000-0000C3000000}"/>
    <cellStyle name="Millares" xfId="162" builtinId="3"/>
    <cellStyle name="Millares 10" xfId="416" xr:uid="{00000000-0005-0000-0000-0000C5000000}"/>
    <cellStyle name="Millares 2" xfId="163" xr:uid="{00000000-0005-0000-0000-0000C6000000}"/>
    <cellStyle name="Millares 2 10" xfId="278" xr:uid="{00000000-0005-0000-0000-0000C7000000}"/>
    <cellStyle name="Millares 2 10 2" xfId="308" xr:uid="{00000000-0005-0000-0000-0000C8000000}"/>
    <cellStyle name="Millares 2 10 2 2" xfId="443" xr:uid="{00000000-0005-0000-0000-0000C9000000}"/>
    <cellStyle name="Millares 2 10 3" xfId="429" xr:uid="{00000000-0005-0000-0000-0000CA000000}"/>
    <cellStyle name="Millares 2 11" xfId="279" xr:uid="{00000000-0005-0000-0000-0000CB000000}"/>
    <cellStyle name="Millares 2 11 2" xfId="309" xr:uid="{00000000-0005-0000-0000-0000CC000000}"/>
    <cellStyle name="Millares 2 11 2 2" xfId="444" xr:uid="{00000000-0005-0000-0000-0000CD000000}"/>
    <cellStyle name="Millares 2 11 3" xfId="430" xr:uid="{00000000-0005-0000-0000-0000CE000000}"/>
    <cellStyle name="Millares 2 12" xfId="280" xr:uid="{00000000-0005-0000-0000-0000CF000000}"/>
    <cellStyle name="Millares 2 12 2" xfId="310" xr:uid="{00000000-0005-0000-0000-0000D0000000}"/>
    <cellStyle name="Millares 2 12 2 2" xfId="445" xr:uid="{00000000-0005-0000-0000-0000D1000000}"/>
    <cellStyle name="Millares 2 12 3" xfId="431" xr:uid="{00000000-0005-0000-0000-0000D2000000}"/>
    <cellStyle name="Millares 2 13" xfId="307" xr:uid="{00000000-0005-0000-0000-0000D3000000}"/>
    <cellStyle name="Millares 2 13 2" xfId="442" xr:uid="{00000000-0005-0000-0000-0000D4000000}"/>
    <cellStyle name="Millares 2 14" xfId="417" xr:uid="{00000000-0005-0000-0000-0000D5000000}"/>
    <cellStyle name="Millares 2 2" xfId="281" xr:uid="{00000000-0005-0000-0000-0000D6000000}"/>
    <cellStyle name="Millares 2 2 2" xfId="311" xr:uid="{00000000-0005-0000-0000-0000D7000000}"/>
    <cellStyle name="Millares 2 2 2 2" xfId="446" xr:uid="{00000000-0005-0000-0000-0000D8000000}"/>
    <cellStyle name="Millares 2 2 3" xfId="432" xr:uid="{00000000-0005-0000-0000-0000D9000000}"/>
    <cellStyle name="Millares 2 3" xfId="282" xr:uid="{00000000-0005-0000-0000-0000DA000000}"/>
    <cellStyle name="Millares 2 3 2" xfId="312" xr:uid="{00000000-0005-0000-0000-0000DB000000}"/>
    <cellStyle name="Millares 2 3 2 2" xfId="447" xr:uid="{00000000-0005-0000-0000-0000DC000000}"/>
    <cellStyle name="Millares 2 3 3" xfId="433" xr:uid="{00000000-0005-0000-0000-0000DD000000}"/>
    <cellStyle name="Millares 2 4" xfId="283" xr:uid="{00000000-0005-0000-0000-0000DE000000}"/>
    <cellStyle name="Millares 2 4 2" xfId="313" xr:uid="{00000000-0005-0000-0000-0000DF000000}"/>
    <cellStyle name="Millares 2 4 2 2" xfId="448" xr:uid="{00000000-0005-0000-0000-0000E0000000}"/>
    <cellStyle name="Millares 2 4 3" xfId="434" xr:uid="{00000000-0005-0000-0000-0000E1000000}"/>
    <cellStyle name="Millares 2 5" xfId="284" xr:uid="{00000000-0005-0000-0000-0000E2000000}"/>
    <cellStyle name="Millares 2 5 2" xfId="314" xr:uid="{00000000-0005-0000-0000-0000E3000000}"/>
    <cellStyle name="Millares 2 5 2 2" xfId="449" xr:uid="{00000000-0005-0000-0000-0000E4000000}"/>
    <cellStyle name="Millares 2 5 3" xfId="435" xr:uid="{00000000-0005-0000-0000-0000E5000000}"/>
    <cellStyle name="Millares 2 6" xfId="285" xr:uid="{00000000-0005-0000-0000-0000E6000000}"/>
    <cellStyle name="Millares 2 6 2" xfId="315" xr:uid="{00000000-0005-0000-0000-0000E7000000}"/>
    <cellStyle name="Millares 2 6 2 2" xfId="450" xr:uid="{00000000-0005-0000-0000-0000E8000000}"/>
    <cellStyle name="Millares 2 6 3" xfId="436" xr:uid="{00000000-0005-0000-0000-0000E9000000}"/>
    <cellStyle name="Millares 2 7" xfId="286" xr:uid="{00000000-0005-0000-0000-0000EA000000}"/>
    <cellStyle name="Millares 2 7 2" xfId="316" xr:uid="{00000000-0005-0000-0000-0000EB000000}"/>
    <cellStyle name="Millares 2 7 2 2" xfId="451" xr:uid="{00000000-0005-0000-0000-0000EC000000}"/>
    <cellStyle name="Millares 2 7 3" xfId="437" xr:uid="{00000000-0005-0000-0000-0000ED000000}"/>
    <cellStyle name="Millares 2 8" xfId="287" xr:uid="{00000000-0005-0000-0000-0000EE000000}"/>
    <cellStyle name="Millares 2 8 2" xfId="317" xr:uid="{00000000-0005-0000-0000-0000EF000000}"/>
    <cellStyle name="Millares 2 8 2 2" xfId="452" xr:uid="{00000000-0005-0000-0000-0000F0000000}"/>
    <cellStyle name="Millares 2 8 3" xfId="438" xr:uid="{00000000-0005-0000-0000-0000F1000000}"/>
    <cellStyle name="Millares 2 9" xfId="288" xr:uid="{00000000-0005-0000-0000-0000F2000000}"/>
    <cellStyle name="Millares 2 9 2" xfId="318" xr:uid="{00000000-0005-0000-0000-0000F3000000}"/>
    <cellStyle name="Millares 2 9 2 2" xfId="453" xr:uid="{00000000-0005-0000-0000-0000F4000000}"/>
    <cellStyle name="Millares 2 9 3" xfId="439" xr:uid="{00000000-0005-0000-0000-0000F5000000}"/>
    <cellStyle name="Millares 3" xfId="164" xr:uid="{00000000-0005-0000-0000-0000F6000000}"/>
    <cellStyle name="Millares 3 2" xfId="319" xr:uid="{00000000-0005-0000-0000-0000F7000000}"/>
    <cellStyle name="Millares 3 2 2" xfId="454" xr:uid="{00000000-0005-0000-0000-0000F8000000}"/>
    <cellStyle name="Millares 3 3" xfId="418" xr:uid="{00000000-0005-0000-0000-0000F9000000}"/>
    <cellStyle name="Millares 4" xfId="165" xr:uid="{00000000-0005-0000-0000-0000FA000000}"/>
    <cellStyle name="Millares 4 2" xfId="346" xr:uid="{00000000-0005-0000-0000-0000FB000000}"/>
    <cellStyle name="Millares 4 2 2" xfId="378" xr:uid="{00000000-0005-0000-0000-0000FC000000}"/>
    <cellStyle name="Millares 4 2 2 2" xfId="409" xr:uid="{00000000-0005-0000-0000-0000FD000000}"/>
    <cellStyle name="Millares 4 2 2 2 2" xfId="508" xr:uid="{00000000-0005-0000-0000-0000FE000000}"/>
    <cellStyle name="Millares 4 2 2 3" xfId="477" xr:uid="{00000000-0005-0000-0000-0000FF000000}"/>
    <cellStyle name="Millares 4 2 3" xfId="394" xr:uid="{00000000-0005-0000-0000-000000010000}"/>
    <cellStyle name="Millares 4 2 3 2" xfId="493" xr:uid="{00000000-0005-0000-0000-000001010000}"/>
    <cellStyle name="Millares 4 2 4" xfId="460" xr:uid="{00000000-0005-0000-0000-000002010000}"/>
    <cellStyle name="Millares 4 3" xfId="351" xr:uid="{00000000-0005-0000-0000-000003010000}"/>
    <cellStyle name="Millares 4 3 2" xfId="464" xr:uid="{00000000-0005-0000-0000-000004010000}"/>
    <cellStyle name="Millares 4 4" xfId="419" xr:uid="{00000000-0005-0000-0000-000005010000}"/>
    <cellStyle name="Millares 5" xfId="259" xr:uid="{00000000-0005-0000-0000-000006010000}"/>
    <cellStyle name="Millares 5 2" xfId="339" xr:uid="{00000000-0005-0000-0000-000007010000}"/>
    <cellStyle name="Millares 5 2 2" xfId="457" xr:uid="{00000000-0005-0000-0000-000008010000}"/>
    <cellStyle name="Millares 5 3" xfId="424" xr:uid="{00000000-0005-0000-0000-000009010000}"/>
    <cellStyle name="Millares 6" xfId="225" xr:uid="{00000000-0005-0000-0000-00000A010000}"/>
    <cellStyle name="Millares 6 2" xfId="348" xr:uid="{00000000-0005-0000-0000-00000B010000}"/>
    <cellStyle name="Millares 6 2 2" xfId="380" xr:uid="{00000000-0005-0000-0000-00000C010000}"/>
    <cellStyle name="Millares 6 2 2 2" xfId="411" xr:uid="{00000000-0005-0000-0000-00000D010000}"/>
    <cellStyle name="Millares 6 2 2 2 2" xfId="510" xr:uid="{00000000-0005-0000-0000-00000E010000}"/>
    <cellStyle name="Millares 6 2 2 3" xfId="479" xr:uid="{00000000-0005-0000-0000-00000F010000}"/>
    <cellStyle name="Millares 6 2 3" xfId="396" xr:uid="{00000000-0005-0000-0000-000010010000}"/>
    <cellStyle name="Millares 6 2 3 2" xfId="495" xr:uid="{00000000-0005-0000-0000-000011010000}"/>
    <cellStyle name="Millares 6 2 4" xfId="462" xr:uid="{00000000-0005-0000-0000-000012010000}"/>
    <cellStyle name="Millares 6 3" xfId="362" xr:uid="{00000000-0005-0000-0000-000013010000}"/>
    <cellStyle name="Millares 6 3 2" xfId="399" xr:uid="{00000000-0005-0000-0000-000014010000}"/>
    <cellStyle name="Millares 6 3 2 2" xfId="498" xr:uid="{00000000-0005-0000-0000-000015010000}"/>
    <cellStyle name="Millares 6 3 3" xfId="467" xr:uid="{00000000-0005-0000-0000-000016010000}"/>
    <cellStyle name="Millares 6 4" xfId="384" xr:uid="{00000000-0005-0000-0000-000017010000}"/>
    <cellStyle name="Millares 6 4 2" xfId="483" xr:uid="{00000000-0005-0000-0000-000018010000}"/>
    <cellStyle name="Millares 6 5" xfId="422" xr:uid="{00000000-0005-0000-0000-000019010000}"/>
    <cellStyle name="Millares 7" xfId="275" xr:uid="{00000000-0005-0000-0000-00001A010000}"/>
    <cellStyle name="Millares 7 2" xfId="370" xr:uid="{00000000-0005-0000-0000-00001B010000}"/>
    <cellStyle name="Millares 7 2 2" xfId="403" xr:uid="{00000000-0005-0000-0000-00001C010000}"/>
    <cellStyle name="Millares 7 2 2 2" xfId="502" xr:uid="{00000000-0005-0000-0000-00001D010000}"/>
    <cellStyle name="Millares 7 2 3" xfId="471" xr:uid="{00000000-0005-0000-0000-00001E010000}"/>
    <cellStyle name="Millares 7 3" xfId="388" xr:uid="{00000000-0005-0000-0000-00001F010000}"/>
    <cellStyle name="Millares 7 3 2" xfId="487" xr:uid="{00000000-0005-0000-0000-000020010000}"/>
    <cellStyle name="Millares 7 4" xfId="427" xr:uid="{00000000-0005-0000-0000-000021010000}"/>
    <cellStyle name="Millares 8" xfId="306" xr:uid="{00000000-0005-0000-0000-000022010000}"/>
    <cellStyle name="Millares 8 2" xfId="441" xr:uid="{00000000-0005-0000-0000-000023010000}"/>
    <cellStyle name="Millares 9" xfId="414" xr:uid="{00000000-0005-0000-0000-000024010000}"/>
    <cellStyle name="Millares 9 2" xfId="513" xr:uid="{00000000-0005-0000-0000-000025010000}"/>
    <cellStyle name="Moneda 2" xfId="320" xr:uid="{00000000-0005-0000-0000-000026010000}"/>
    <cellStyle name="Moneda 2 2" xfId="455" xr:uid="{00000000-0005-0000-0000-000027010000}"/>
    <cellStyle name="Moneda 3" xfId="350" xr:uid="{00000000-0005-0000-0000-000028010000}"/>
    <cellStyle name="Moneda 3 2" xfId="463" xr:uid="{00000000-0005-0000-0000-000029010000}"/>
    <cellStyle name="Neutral" xfId="166" builtinId="28" customBuiltin="1"/>
    <cellStyle name="Neutral 2" xfId="167" xr:uid="{00000000-0005-0000-0000-00002B010000}"/>
    <cellStyle name="Neutral 3" xfId="168" xr:uid="{00000000-0005-0000-0000-00002C010000}"/>
    <cellStyle name="Neutral 4" xfId="169" xr:uid="{00000000-0005-0000-0000-00002D010000}"/>
    <cellStyle name="Neutral 5" xfId="260" xr:uid="{00000000-0005-0000-0000-00002E010000}"/>
    <cellStyle name="Normal" xfId="0" builtinId="0"/>
    <cellStyle name="Normal 10" xfId="413" xr:uid="{00000000-0005-0000-0000-000030010000}"/>
    <cellStyle name="Normal 10 2" xfId="512" xr:uid="{00000000-0005-0000-0000-000031010000}"/>
    <cellStyle name="Normal 11" xfId="415" xr:uid="{00000000-0005-0000-0000-000032010000}"/>
    <cellStyle name="Normal 2" xfId="170" xr:uid="{00000000-0005-0000-0000-000033010000}"/>
    <cellStyle name="Normal 2 2" xfId="171" xr:uid="{00000000-0005-0000-0000-000034010000}"/>
    <cellStyle name="Normal 2 2 2" xfId="322" xr:uid="{00000000-0005-0000-0000-000035010000}"/>
    <cellStyle name="Normal 2 3" xfId="289" xr:uid="{00000000-0005-0000-0000-000036010000}"/>
    <cellStyle name="Normal 2 3 2" xfId="323" xr:uid="{00000000-0005-0000-0000-000037010000}"/>
    <cellStyle name="Normal 2 4" xfId="321" xr:uid="{00000000-0005-0000-0000-000038010000}"/>
    <cellStyle name="Normal 3" xfId="227" xr:uid="{00000000-0005-0000-0000-000039010000}"/>
    <cellStyle name="Normal 3 2" xfId="172" xr:uid="{00000000-0005-0000-0000-00003A010000}"/>
    <cellStyle name="Normal 3 2 2" xfId="344" xr:uid="{00000000-0005-0000-0000-00003B010000}"/>
    <cellStyle name="Normal 3 3" xfId="290" xr:uid="{00000000-0005-0000-0000-00003C010000}"/>
    <cellStyle name="Normal 3 3 2" xfId="342" xr:uid="{00000000-0005-0000-0000-00003D010000}"/>
    <cellStyle name="Normal 3 4" xfId="324" xr:uid="{00000000-0005-0000-0000-00003E010000}"/>
    <cellStyle name="Normal 3 4 2" xfId="349" xr:uid="{00000000-0005-0000-0000-00003F010000}"/>
    <cellStyle name="Normal 3 4 3" xfId="375" xr:uid="{00000000-0005-0000-0000-000040010000}"/>
    <cellStyle name="Normal 3 4 3 2" xfId="406" xr:uid="{00000000-0005-0000-0000-000041010000}"/>
    <cellStyle name="Normal 3 4 3 2 2" xfId="505" xr:uid="{00000000-0005-0000-0000-000042010000}"/>
    <cellStyle name="Normal 3 4 3 3" xfId="474" xr:uid="{00000000-0005-0000-0000-000043010000}"/>
    <cellStyle name="Normal 3 4 4" xfId="391" xr:uid="{00000000-0005-0000-0000-000044010000}"/>
    <cellStyle name="Normal 3 4 4 2" xfId="490" xr:uid="{00000000-0005-0000-0000-000045010000}"/>
    <cellStyle name="Normal 3 4 5" xfId="456" xr:uid="{00000000-0005-0000-0000-000046010000}"/>
    <cellStyle name="Normal 4" xfId="173" xr:uid="{00000000-0005-0000-0000-000047010000}"/>
    <cellStyle name="Normal 4 2" xfId="174" xr:uid="{00000000-0005-0000-0000-000048010000}"/>
    <cellStyle name="Normal 4 2 2" xfId="353" xr:uid="{00000000-0005-0000-0000-000049010000}"/>
    <cellStyle name="Normal 4 3" xfId="261" xr:uid="{00000000-0005-0000-0000-00004A010000}"/>
    <cellStyle name="Normal 4 3 2" xfId="364" xr:uid="{00000000-0005-0000-0000-00004B010000}"/>
    <cellStyle name="Normal 4 3 2 2" xfId="401" xr:uid="{00000000-0005-0000-0000-00004C010000}"/>
    <cellStyle name="Normal 4 3 2 2 2" xfId="500" xr:uid="{00000000-0005-0000-0000-00004D010000}"/>
    <cellStyle name="Normal 4 3 2 3" xfId="469" xr:uid="{00000000-0005-0000-0000-00004E010000}"/>
    <cellStyle name="Normal 4 3 3" xfId="386" xr:uid="{00000000-0005-0000-0000-00004F010000}"/>
    <cellStyle name="Normal 4 3 3 2" xfId="485" xr:uid="{00000000-0005-0000-0000-000050010000}"/>
    <cellStyle name="Normal 4 3 4" xfId="425" xr:uid="{00000000-0005-0000-0000-000051010000}"/>
    <cellStyle name="Normal 4 4" xfId="291" xr:uid="{00000000-0005-0000-0000-000052010000}"/>
    <cellStyle name="Normal 4 4 2" xfId="373" xr:uid="{00000000-0005-0000-0000-000053010000}"/>
    <cellStyle name="Normal 4 4 2 2" xfId="405" xr:uid="{00000000-0005-0000-0000-000054010000}"/>
    <cellStyle name="Normal 4 4 2 2 2" xfId="504" xr:uid="{00000000-0005-0000-0000-000055010000}"/>
    <cellStyle name="Normal 4 4 2 3" xfId="473" xr:uid="{00000000-0005-0000-0000-000056010000}"/>
    <cellStyle name="Normal 4 4 3" xfId="390" xr:uid="{00000000-0005-0000-0000-000057010000}"/>
    <cellStyle name="Normal 4 4 3 2" xfId="489" xr:uid="{00000000-0005-0000-0000-000058010000}"/>
    <cellStyle name="Normal 4 4 4" xfId="440" xr:uid="{00000000-0005-0000-0000-000059010000}"/>
    <cellStyle name="Normal 4 5" xfId="325" xr:uid="{00000000-0005-0000-0000-00005A010000}"/>
    <cellStyle name="Normal 4 6" xfId="341" xr:uid="{00000000-0005-0000-0000-00005B010000}"/>
    <cellStyle name="Normal 4 6 2" xfId="376" xr:uid="{00000000-0005-0000-0000-00005C010000}"/>
    <cellStyle name="Normal 4 6 2 2" xfId="407" xr:uid="{00000000-0005-0000-0000-00005D010000}"/>
    <cellStyle name="Normal 4 6 2 2 2" xfId="506" xr:uid="{00000000-0005-0000-0000-00005E010000}"/>
    <cellStyle name="Normal 4 6 2 3" xfId="475" xr:uid="{00000000-0005-0000-0000-00005F010000}"/>
    <cellStyle name="Normal 4 6 3" xfId="392" xr:uid="{00000000-0005-0000-0000-000060010000}"/>
    <cellStyle name="Normal 4 6 3 2" xfId="491" xr:uid="{00000000-0005-0000-0000-000061010000}"/>
    <cellStyle name="Normal 4 6 4" xfId="458" xr:uid="{00000000-0005-0000-0000-000062010000}"/>
    <cellStyle name="Normal 4 7" xfId="352" xr:uid="{00000000-0005-0000-0000-000063010000}"/>
    <cellStyle name="Normal 4 7 2" xfId="397" xr:uid="{00000000-0005-0000-0000-000064010000}"/>
    <cellStyle name="Normal 4 7 2 2" xfId="496" xr:uid="{00000000-0005-0000-0000-000065010000}"/>
    <cellStyle name="Normal 4 7 3" xfId="465" xr:uid="{00000000-0005-0000-0000-000066010000}"/>
    <cellStyle name="Normal 4 8" xfId="382" xr:uid="{00000000-0005-0000-0000-000067010000}"/>
    <cellStyle name="Normal 4 8 2" xfId="481" xr:uid="{00000000-0005-0000-0000-000068010000}"/>
    <cellStyle name="Normal 4 9" xfId="420" xr:uid="{00000000-0005-0000-0000-000069010000}"/>
    <cellStyle name="Normal 5" xfId="175" xr:uid="{00000000-0005-0000-0000-00006A010000}"/>
    <cellStyle name="Normal 5 2" xfId="262" xr:uid="{00000000-0005-0000-0000-00006B010000}"/>
    <cellStyle name="Normal 5 2 2" xfId="365" xr:uid="{00000000-0005-0000-0000-00006C010000}"/>
    <cellStyle name="Normal 6" xfId="224" xr:uid="{00000000-0005-0000-0000-00006D010000}"/>
    <cellStyle name="Normal 6 2" xfId="345" xr:uid="{00000000-0005-0000-0000-00006E010000}"/>
    <cellStyle name="Normal 6 2 2" xfId="377" xr:uid="{00000000-0005-0000-0000-00006F010000}"/>
    <cellStyle name="Normal 6 2 2 2" xfId="408" xr:uid="{00000000-0005-0000-0000-000070010000}"/>
    <cellStyle name="Normal 6 2 2 2 2" xfId="507" xr:uid="{00000000-0005-0000-0000-000071010000}"/>
    <cellStyle name="Normal 6 2 2 3" xfId="476" xr:uid="{00000000-0005-0000-0000-000072010000}"/>
    <cellStyle name="Normal 6 2 3" xfId="393" xr:uid="{00000000-0005-0000-0000-000073010000}"/>
    <cellStyle name="Normal 6 2 3 2" xfId="492" xr:uid="{00000000-0005-0000-0000-000074010000}"/>
    <cellStyle name="Normal 6 2 4" xfId="459" xr:uid="{00000000-0005-0000-0000-000075010000}"/>
    <cellStyle name="Normal 6 3" xfId="361" xr:uid="{00000000-0005-0000-0000-000076010000}"/>
    <cellStyle name="Normal 6 3 2" xfId="398" xr:uid="{00000000-0005-0000-0000-000077010000}"/>
    <cellStyle name="Normal 6 3 2 2" xfId="497" xr:uid="{00000000-0005-0000-0000-000078010000}"/>
    <cellStyle name="Normal 6 3 3" xfId="466" xr:uid="{00000000-0005-0000-0000-000079010000}"/>
    <cellStyle name="Normal 6 4" xfId="383" xr:uid="{00000000-0005-0000-0000-00007A010000}"/>
    <cellStyle name="Normal 6 4 2" xfId="482" xr:uid="{00000000-0005-0000-0000-00007B010000}"/>
    <cellStyle name="Normal 6 5" xfId="421" xr:uid="{00000000-0005-0000-0000-00007C010000}"/>
    <cellStyle name="Normal 7" xfId="274" xr:uid="{00000000-0005-0000-0000-00007D010000}"/>
    <cellStyle name="Normal 7 2" xfId="347" xr:uid="{00000000-0005-0000-0000-00007E010000}"/>
    <cellStyle name="Normal 7 2 2" xfId="379" xr:uid="{00000000-0005-0000-0000-00007F010000}"/>
    <cellStyle name="Normal 7 2 2 2" xfId="410" xr:uid="{00000000-0005-0000-0000-000080010000}"/>
    <cellStyle name="Normal 7 2 2 2 2" xfId="509" xr:uid="{00000000-0005-0000-0000-000081010000}"/>
    <cellStyle name="Normal 7 2 2 3" xfId="478" xr:uid="{00000000-0005-0000-0000-000082010000}"/>
    <cellStyle name="Normal 7 2 3" xfId="395" xr:uid="{00000000-0005-0000-0000-000083010000}"/>
    <cellStyle name="Normal 7 2 3 2" xfId="494" xr:uid="{00000000-0005-0000-0000-000084010000}"/>
    <cellStyle name="Normal 7 2 4" xfId="461" xr:uid="{00000000-0005-0000-0000-000085010000}"/>
    <cellStyle name="Normal 7 3" xfId="369" xr:uid="{00000000-0005-0000-0000-000086010000}"/>
    <cellStyle name="Normal 7 3 2" xfId="402" xr:uid="{00000000-0005-0000-0000-000087010000}"/>
    <cellStyle name="Normal 7 3 2 2" xfId="501" xr:uid="{00000000-0005-0000-0000-000088010000}"/>
    <cellStyle name="Normal 7 3 3" xfId="470" xr:uid="{00000000-0005-0000-0000-000089010000}"/>
    <cellStyle name="Normal 7 4" xfId="387" xr:uid="{00000000-0005-0000-0000-00008A010000}"/>
    <cellStyle name="Normal 7 4 2" xfId="486" xr:uid="{00000000-0005-0000-0000-00008B010000}"/>
    <cellStyle name="Normal 7 5" xfId="426" xr:uid="{00000000-0005-0000-0000-00008C010000}"/>
    <cellStyle name="Normal 8" xfId="304" xr:uid="{00000000-0005-0000-0000-00008D010000}"/>
    <cellStyle name="Normal 8 2" xfId="374" xr:uid="{00000000-0005-0000-0000-00008E010000}"/>
    <cellStyle name="Normal 9" xfId="381" xr:uid="{00000000-0005-0000-0000-00008F010000}"/>
    <cellStyle name="Normal 9 2" xfId="412" xr:uid="{00000000-0005-0000-0000-000090010000}"/>
    <cellStyle name="Normal 9 2 2" xfId="511" xr:uid="{00000000-0005-0000-0000-000091010000}"/>
    <cellStyle name="Normal 9 3" xfId="480" xr:uid="{00000000-0005-0000-0000-000092010000}"/>
    <cellStyle name="Normal_Hoja1" xfId="176" xr:uid="{00000000-0005-0000-0000-000093010000}"/>
    <cellStyle name="Normal_prestmos dispon x acreedor" xfId="177" xr:uid="{00000000-0005-0000-0000-000094010000}"/>
    <cellStyle name="Notas" xfId="178" builtinId="10" customBuiltin="1"/>
    <cellStyle name="Notas 2" xfId="179" xr:uid="{00000000-0005-0000-0000-000096010000}"/>
    <cellStyle name="Notas 2 2" xfId="354" xr:uid="{00000000-0005-0000-0000-000097010000}"/>
    <cellStyle name="Notas 3" xfId="180" xr:uid="{00000000-0005-0000-0000-000098010000}"/>
    <cellStyle name="Notas 3 2" xfId="355" xr:uid="{00000000-0005-0000-0000-000099010000}"/>
    <cellStyle name="Notas 4" xfId="181" xr:uid="{00000000-0005-0000-0000-00009A010000}"/>
    <cellStyle name="Notas 4 2" xfId="356" xr:uid="{00000000-0005-0000-0000-00009B010000}"/>
    <cellStyle name="Notas 5" xfId="182" xr:uid="{00000000-0005-0000-0000-00009C010000}"/>
    <cellStyle name="Notas 5 2" xfId="357" xr:uid="{00000000-0005-0000-0000-00009D010000}"/>
    <cellStyle name="Notas 6" xfId="263" xr:uid="{00000000-0005-0000-0000-00009E010000}"/>
    <cellStyle name="Notas 6 2" xfId="273" xr:uid="{00000000-0005-0000-0000-00009F010000}"/>
    <cellStyle name="Notas 6 2 2" xfId="368" xr:uid="{00000000-0005-0000-0000-0000A0010000}"/>
    <cellStyle name="Notas 6 3" xfId="366" xr:uid="{00000000-0005-0000-0000-0000A1010000}"/>
    <cellStyle name="Note" xfId="183" xr:uid="{00000000-0005-0000-0000-0000A2010000}"/>
    <cellStyle name="Note 2" xfId="184" xr:uid="{00000000-0005-0000-0000-0000A3010000}"/>
    <cellStyle name="Note 2 2" xfId="358" xr:uid="{00000000-0005-0000-0000-0000A4010000}"/>
    <cellStyle name="Output" xfId="185" xr:uid="{00000000-0005-0000-0000-0000A5010000}"/>
    <cellStyle name="Porcentaje" xfId="186" builtinId="5"/>
    <cellStyle name="Porcentaje 2" xfId="343" xr:uid="{00000000-0005-0000-0000-0000A7010000}"/>
    <cellStyle name="Porcentaje 3" xfId="340" xr:uid="{00000000-0005-0000-0000-0000A8010000}"/>
    <cellStyle name="Porcentual 2" xfId="187" xr:uid="{00000000-0005-0000-0000-0000A9010000}"/>
    <cellStyle name="Porcentual 2 10" xfId="292" xr:uid="{00000000-0005-0000-0000-0000AA010000}"/>
    <cellStyle name="Porcentual 2 10 2" xfId="328" xr:uid="{00000000-0005-0000-0000-0000AB010000}"/>
    <cellStyle name="Porcentual 2 11" xfId="293" xr:uid="{00000000-0005-0000-0000-0000AC010000}"/>
    <cellStyle name="Porcentual 2 11 2" xfId="329" xr:uid="{00000000-0005-0000-0000-0000AD010000}"/>
    <cellStyle name="Porcentual 2 12" xfId="294" xr:uid="{00000000-0005-0000-0000-0000AE010000}"/>
    <cellStyle name="Porcentual 2 12 2" xfId="330" xr:uid="{00000000-0005-0000-0000-0000AF010000}"/>
    <cellStyle name="Porcentual 2 13" xfId="327" xr:uid="{00000000-0005-0000-0000-0000B0010000}"/>
    <cellStyle name="Porcentual 2 2" xfId="295" xr:uid="{00000000-0005-0000-0000-0000B1010000}"/>
    <cellStyle name="Porcentual 2 2 2" xfId="331" xr:uid="{00000000-0005-0000-0000-0000B2010000}"/>
    <cellStyle name="Porcentual 2 3" xfId="296" xr:uid="{00000000-0005-0000-0000-0000B3010000}"/>
    <cellStyle name="Porcentual 2 3 2" xfId="332" xr:uid="{00000000-0005-0000-0000-0000B4010000}"/>
    <cellStyle name="Porcentual 2 4" xfId="297" xr:uid="{00000000-0005-0000-0000-0000B5010000}"/>
    <cellStyle name="Porcentual 2 4 2" xfId="333" xr:uid="{00000000-0005-0000-0000-0000B6010000}"/>
    <cellStyle name="Porcentual 2 5" xfId="298" xr:uid="{00000000-0005-0000-0000-0000B7010000}"/>
    <cellStyle name="Porcentual 2 5 2" xfId="334" xr:uid="{00000000-0005-0000-0000-0000B8010000}"/>
    <cellStyle name="Porcentual 2 6" xfId="299" xr:uid="{00000000-0005-0000-0000-0000B9010000}"/>
    <cellStyle name="Porcentual 2 6 2" xfId="335" xr:uid="{00000000-0005-0000-0000-0000BA010000}"/>
    <cellStyle name="Porcentual 2 7" xfId="300" xr:uid="{00000000-0005-0000-0000-0000BB010000}"/>
    <cellStyle name="Porcentual 2 7 2" xfId="336" xr:uid="{00000000-0005-0000-0000-0000BC010000}"/>
    <cellStyle name="Porcentual 2 8" xfId="301" xr:uid="{00000000-0005-0000-0000-0000BD010000}"/>
    <cellStyle name="Porcentual 2 8 2" xfId="337" xr:uid="{00000000-0005-0000-0000-0000BE010000}"/>
    <cellStyle name="Porcentual 2 9" xfId="302" xr:uid="{00000000-0005-0000-0000-0000BF010000}"/>
    <cellStyle name="Porcentual 2 9 2" xfId="338" xr:uid="{00000000-0005-0000-0000-0000C0010000}"/>
    <cellStyle name="Porcentual 3" xfId="188" xr:uid="{00000000-0005-0000-0000-0000C1010000}"/>
    <cellStyle name="Porcentual 3 2" xfId="303" xr:uid="{00000000-0005-0000-0000-0000C2010000}"/>
    <cellStyle name="Porcentual 3 3" xfId="359" xr:uid="{00000000-0005-0000-0000-0000C3010000}"/>
    <cellStyle name="Porcentual 4" xfId="189" xr:uid="{00000000-0005-0000-0000-0000C4010000}"/>
    <cellStyle name="Porcentual 4 2" xfId="360" xr:uid="{00000000-0005-0000-0000-0000C5010000}"/>
    <cellStyle name="Porcentual 5" xfId="264" xr:uid="{00000000-0005-0000-0000-0000C6010000}"/>
    <cellStyle name="Porcentual 5 2" xfId="367" xr:uid="{00000000-0005-0000-0000-0000C7010000}"/>
    <cellStyle name="Porcentual 6" xfId="226" xr:uid="{00000000-0005-0000-0000-0000C8010000}"/>
    <cellStyle name="Porcentual 6 2" xfId="363" xr:uid="{00000000-0005-0000-0000-0000C9010000}"/>
    <cellStyle name="Porcentual 6 2 2" xfId="400" xr:uid="{00000000-0005-0000-0000-0000CA010000}"/>
    <cellStyle name="Porcentual 6 2 2 2" xfId="499" xr:uid="{00000000-0005-0000-0000-0000CB010000}"/>
    <cellStyle name="Porcentual 6 2 3" xfId="468" xr:uid="{00000000-0005-0000-0000-0000CC010000}"/>
    <cellStyle name="Porcentual 6 3" xfId="385" xr:uid="{00000000-0005-0000-0000-0000CD010000}"/>
    <cellStyle name="Porcentual 6 3 2" xfId="484" xr:uid="{00000000-0005-0000-0000-0000CE010000}"/>
    <cellStyle name="Porcentual 6 4" xfId="423" xr:uid="{00000000-0005-0000-0000-0000CF010000}"/>
    <cellStyle name="Porcentual 7" xfId="276" xr:uid="{00000000-0005-0000-0000-0000D0010000}"/>
    <cellStyle name="Porcentual 7 2" xfId="371" xr:uid="{00000000-0005-0000-0000-0000D1010000}"/>
    <cellStyle name="Porcentual 7 2 2" xfId="404" xr:uid="{00000000-0005-0000-0000-0000D2010000}"/>
    <cellStyle name="Porcentual 7 2 2 2" xfId="503" xr:uid="{00000000-0005-0000-0000-0000D3010000}"/>
    <cellStyle name="Porcentual 7 2 3" xfId="472" xr:uid="{00000000-0005-0000-0000-0000D4010000}"/>
    <cellStyle name="Porcentual 7 3" xfId="389" xr:uid="{00000000-0005-0000-0000-0000D5010000}"/>
    <cellStyle name="Porcentual 7 3 2" xfId="488" xr:uid="{00000000-0005-0000-0000-0000D6010000}"/>
    <cellStyle name="Porcentual 7 4" xfId="428" xr:uid="{00000000-0005-0000-0000-0000D7010000}"/>
    <cellStyle name="Porcentual 8" xfId="326" xr:uid="{00000000-0005-0000-0000-0000D8010000}"/>
    <cellStyle name="Salida" xfId="190" builtinId="21" customBuiltin="1"/>
    <cellStyle name="Salida 2" xfId="191" xr:uid="{00000000-0005-0000-0000-0000DA010000}"/>
    <cellStyle name="Salida 3" xfId="192" xr:uid="{00000000-0005-0000-0000-0000DB010000}"/>
    <cellStyle name="Salida 4" xfId="193" xr:uid="{00000000-0005-0000-0000-0000DC010000}"/>
    <cellStyle name="Salida 5" xfId="265" xr:uid="{00000000-0005-0000-0000-0000DD010000}"/>
    <cellStyle name="Texto de advertencia" xfId="194" builtinId="11" customBuiltin="1"/>
    <cellStyle name="Texto de advertencia 2" xfId="195" xr:uid="{00000000-0005-0000-0000-0000DF010000}"/>
    <cellStyle name="Texto de advertencia 3" xfId="196" xr:uid="{00000000-0005-0000-0000-0000E0010000}"/>
    <cellStyle name="Texto de advertencia 4" xfId="197" xr:uid="{00000000-0005-0000-0000-0000E1010000}"/>
    <cellStyle name="Texto de advertencia 5" xfId="266" xr:uid="{00000000-0005-0000-0000-0000E2010000}"/>
    <cellStyle name="Texto explicativo" xfId="198" builtinId="53" customBuiltin="1"/>
    <cellStyle name="Texto explicativo 2" xfId="199" xr:uid="{00000000-0005-0000-0000-0000E4010000}"/>
    <cellStyle name="Texto explicativo 3" xfId="200" xr:uid="{00000000-0005-0000-0000-0000E5010000}"/>
    <cellStyle name="Texto explicativo 4" xfId="201" xr:uid="{00000000-0005-0000-0000-0000E6010000}"/>
    <cellStyle name="Texto explicativo 5" xfId="267" xr:uid="{00000000-0005-0000-0000-0000E7010000}"/>
    <cellStyle name="Title" xfId="202" xr:uid="{00000000-0005-0000-0000-0000E8010000}"/>
    <cellStyle name="Título" xfId="203" builtinId="15" customBuiltin="1"/>
    <cellStyle name="Título 1 2" xfId="205" xr:uid="{00000000-0005-0000-0000-0000EA010000}"/>
    <cellStyle name="Título 1 3" xfId="206" xr:uid="{00000000-0005-0000-0000-0000EB010000}"/>
    <cellStyle name="Título 1 4" xfId="207" xr:uid="{00000000-0005-0000-0000-0000EC010000}"/>
    <cellStyle name="Título 1 5" xfId="269" xr:uid="{00000000-0005-0000-0000-0000ED010000}"/>
    <cellStyle name="Título 2" xfId="208" builtinId="17" customBuiltin="1"/>
    <cellStyle name="Título 2 2" xfId="209" xr:uid="{00000000-0005-0000-0000-0000EF010000}"/>
    <cellStyle name="Título 2 3" xfId="210" xr:uid="{00000000-0005-0000-0000-0000F0010000}"/>
    <cellStyle name="Título 2 4" xfId="211" xr:uid="{00000000-0005-0000-0000-0000F1010000}"/>
    <cellStyle name="Título 2 5" xfId="270" xr:uid="{00000000-0005-0000-0000-0000F2010000}"/>
    <cellStyle name="Título 3" xfId="212" builtinId="18" customBuiltin="1"/>
    <cellStyle name="Título 3 2" xfId="213" xr:uid="{00000000-0005-0000-0000-0000F4010000}"/>
    <cellStyle name="Título 3 3" xfId="214" xr:uid="{00000000-0005-0000-0000-0000F5010000}"/>
    <cellStyle name="Título 3 4" xfId="215" xr:uid="{00000000-0005-0000-0000-0000F6010000}"/>
    <cellStyle name="Título 3 5" xfId="271" xr:uid="{00000000-0005-0000-0000-0000F7010000}"/>
    <cellStyle name="Título 4" xfId="216" xr:uid="{00000000-0005-0000-0000-0000F8010000}"/>
    <cellStyle name="Título 5" xfId="217" xr:uid="{00000000-0005-0000-0000-0000F9010000}"/>
    <cellStyle name="Título 6" xfId="218" xr:uid="{00000000-0005-0000-0000-0000FA010000}"/>
    <cellStyle name="Título 7" xfId="268" xr:uid="{00000000-0005-0000-0000-0000FB010000}"/>
    <cellStyle name="Total" xfId="219" builtinId="25" customBuiltin="1"/>
    <cellStyle name="Total 2" xfId="220" xr:uid="{00000000-0005-0000-0000-0000FD010000}"/>
    <cellStyle name="Total 3" xfId="221" xr:uid="{00000000-0005-0000-0000-0000FE010000}"/>
    <cellStyle name="Total 4" xfId="222" xr:uid="{00000000-0005-0000-0000-0000FF010000}"/>
    <cellStyle name="Total 5" xfId="272" xr:uid="{00000000-0005-0000-0000-000000020000}"/>
    <cellStyle name="Warning Text" xfId="223" xr:uid="{00000000-0005-0000-0000-00000102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99"/>
      <color rgb="FF99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769620</xdr:colOff>
      <xdr:row>0</xdr:row>
      <xdr:rowOff>121920</xdr:rowOff>
    </xdr:from>
    <xdr:to>
      <xdr:col>2</xdr:col>
      <xdr:colOff>419100</xdr:colOff>
      <xdr:row>4</xdr:row>
      <xdr:rowOff>76200</xdr:rowOff>
    </xdr:to>
    <xdr:pic>
      <xdr:nvPicPr>
        <xdr:cNvPr id="2" name="Imagen 10" descr="Macintosh HD:Users:Ministerio_de_Hacienda:Desktop:André:Libro de marca nuevo:Logos para hojas membretadas:png logos:logo dirección general de crédito publico.png">
          <a:extLst>
            <a:ext uri="{FF2B5EF4-FFF2-40B4-BE49-F238E27FC236}">
              <a16:creationId xmlns:a16="http://schemas.microsoft.com/office/drawing/2014/main" id="{088655DF-5C07-4A2E-B553-1D09E48A11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 y="457200"/>
          <a:ext cx="1234440" cy="830580"/>
        </a:xfrm>
        <a:prstGeom prst="rect">
          <a:avLst/>
        </a:prstGeom>
        <a:noFill/>
        <a:ln>
          <a:noFill/>
        </a:ln>
      </xdr:spPr>
    </xdr:pic>
    <xdr:clientData/>
  </xdr:twoCellAnchor>
  <xdr:twoCellAnchor editAs="oneCell">
    <xdr:from>
      <xdr:col>14</xdr:col>
      <xdr:colOff>274320</xdr:colOff>
      <xdr:row>0</xdr:row>
      <xdr:rowOff>175260</xdr:rowOff>
    </xdr:from>
    <xdr:to>
      <xdr:col>16</xdr:col>
      <xdr:colOff>142875</xdr:colOff>
      <xdr:row>4</xdr:row>
      <xdr:rowOff>60960</xdr:rowOff>
    </xdr:to>
    <xdr:pic>
      <xdr:nvPicPr>
        <xdr:cNvPr id="3" name="Imagen 2">
          <a:extLst>
            <a:ext uri="{FF2B5EF4-FFF2-40B4-BE49-F238E27FC236}">
              <a16:creationId xmlns:a16="http://schemas.microsoft.com/office/drawing/2014/main" id="{462DB927-9001-40D3-9D50-B883AA2B0E49}"/>
            </a:ext>
          </a:extLst>
        </xdr:cNvPr>
        <xdr:cNvPicPr/>
      </xdr:nvPicPr>
      <xdr:blipFill>
        <a:blip xmlns:r="http://schemas.openxmlformats.org/officeDocument/2006/relationships" r:embed="rId2"/>
        <a:stretch>
          <a:fillRect/>
        </a:stretch>
      </xdr:blipFill>
      <xdr:spPr>
        <a:xfrm>
          <a:off x="11414760" y="510540"/>
          <a:ext cx="1453515" cy="784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280595</xdr:colOff>
      <xdr:row>0</xdr:row>
      <xdr:rowOff>236220</xdr:rowOff>
    </xdr:from>
    <xdr:to>
      <xdr:col>1</xdr:col>
      <xdr:colOff>212862</xdr:colOff>
      <xdr:row>3</xdr:row>
      <xdr:rowOff>72390</xdr:rowOff>
    </xdr:to>
    <xdr:pic>
      <xdr:nvPicPr>
        <xdr:cNvPr id="3" name="Imagen 2" descr="Macintosh HD:Users:Ministerio_de_Hacienda:Desktop:André:Libro de marca nuevo:Logos para hojas membretadas:png logos:logo dirección general de crédito publico.png">
          <a:extLst>
            <a:ext uri="{FF2B5EF4-FFF2-40B4-BE49-F238E27FC236}">
              <a16:creationId xmlns:a16="http://schemas.microsoft.com/office/drawing/2014/main" id="{9D212235-BAC9-47BE-B1E6-D0CB00B6CD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595" y="236220"/>
          <a:ext cx="1294902" cy="77746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9525</xdr:rowOff>
    </xdr:from>
    <xdr:to>
      <xdr:col>0</xdr:col>
      <xdr:colOff>0</xdr:colOff>
      <xdr:row>5</xdr:row>
      <xdr:rowOff>0</xdr:rowOff>
    </xdr:to>
    <xdr:pic>
      <xdr:nvPicPr>
        <xdr:cNvPr id="17965977" name="Picture 1" descr="mhlogo[1]">
          <a:extLst>
            <a:ext uri="{FF2B5EF4-FFF2-40B4-BE49-F238E27FC236}">
              <a16:creationId xmlns:a16="http://schemas.microsoft.com/office/drawing/2014/main" id="{00000000-0008-0000-0000-000099231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9525"/>
          <a:ext cx="0" cy="609600"/>
        </a:xfrm>
        <a:prstGeom prst="rect">
          <a:avLst/>
        </a:prstGeom>
        <a:noFill/>
        <a:ln w="9525">
          <a:noFill/>
          <a:miter lim="800000"/>
          <a:headEnd/>
          <a:tailEnd/>
        </a:ln>
      </xdr:spPr>
    </xdr:pic>
    <xdr:clientData/>
  </xdr:twoCellAnchor>
  <xdr:twoCellAnchor editAs="oneCell">
    <xdr:from>
      <xdr:col>0</xdr:col>
      <xdr:colOff>205741</xdr:colOff>
      <xdr:row>1</xdr:row>
      <xdr:rowOff>69215</xdr:rowOff>
    </xdr:from>
    <xdr:to>
      <xdr:col>1</xdr:col>
      <xdr:colOff>290408</xdr:colOff>
      <xdr:row>3</xdr:row>
      <xdr:rowOff>217805</xdr:rowOff>
    </xdr:to>
    <xdr:pic>
      <xdr:nvPicPr>
        <xdr:cNvPr id="5" name="Imagen 4" descr="Macintosh HD:Users:Ministerio_de_Hacienda:Desktop:André:Libro de marca nuevo:Logos para hojas membretadas:png logos:logo dirección general de crédito publico.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5741" y="381635"/>
          <a:ext cx="1296247" cy="77343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9525</xdr:rowOff>
    </xdr:from>
    <xdr:to>
      <xdr:col>0</xdr:col>
      <xdr:colOff>0</xdr:colOff>
      <xdr:row>4</xdr:row>
      <xdr:rowOff>0</xdr:rowOff>
    </xdr:to>
    <xdr:pic>
      <xdr:nvPicPr>
        <xdr:cNvPr id="17967001" name="Picture 1" descr="mhlogo[1]">
          <a:extLst>
            <a:ext uri="{FF2B5EF4-FFF2-40B4-BE49-F238E27FC236}">
              <a16:creationId xmlns:a16="http://schemas.microsoft.com/office/drawing/2014/main" id="{00000000-0008-0000-0100-000099271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9525"/>
          <a:ext cx="0" cy="609600"/>
        </a:xfrm>
        <a:prstGeom prst="rect">
          <a:avLst/>
        </a:prstGeom>
        <a:noFill/>
        <a:ln w="9525">
          <a:noFill/>
          <a:miter lim="800000"/>
          <a:headEnd/>
          <a:tailEnd/>
        </a:ln>
      </xdr:spPr>
    </xdr:pic>
    <xdr:clientData/>
  </xdr:twoCellAnchor>
  <xdr:twoCellAnchor editAs="oneCell">
    <xdr:from>
      <xdr:col>0</xdr:col>
      <xdr:colOff>243840</xdr:colOff>
      <xdr:row>1</xdr:row>
      <xdr:rowOff>76200</xdr:rowOff>
    </xdr:from>
    <xdr:to>
      <xdr:col>0</xdr:col>
      <xdr:colOff>1540087</xdr:colOff>
      <xdr:row>3</xdr:row>
      <xdr:rowOff>224790</xdr:rowOff>
    </xdr:to>
    <xdr:pic>
      <xdr:nvPicPr>
        <xdr:cNvPr id="4" name="Imagen 3" descr="Macintosh HD:Users:Ministerio_de_Hacienda:Desktop:André:Libro de marca nuevo:Logos para hojas membretadas:png logos:logo dirección general de crédito publico.png">
          <a:extLst>
            <a:ext uri="{FF2B5EF4-FFF2-40B4-BE49-F238E27FC236}">
              <a16:creationId xmlns:a16="http://schemas.microsoft.com/office/drawing/2014/main" id="{331BEAC4-39B3-41B7-9E51-F060FF87BC4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3840" y="388620"/>
          <a:ext cx="1296247" cy="77343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9525</xdr:rowOff>
    </xdr:from>
    <xdr:to>
      <xdr:col>0</xdr:col>
      <xdr:colOff>0</xdr:colOff>
      <xdr:row>4</xdr:row>
      <xdr:rowOff>0</xdr:rowOff>
    </xdr:to>
    <xdr:pic>
      <xdr:nvPicPr>
        <xdr:cNvPr id="19682751" name="Picture 1" descr="mhlogo[1]">
          <a:extLst>
            <a:ext uri="{FF2B5EF4-FFF2-40B4-BE49-F238E27FC236}">
              <a16:creationId xmlns:a16="http://schemas.microsoft.com/office/drawing/2014/main" id="{00000000-0008-0000-0200-0000BF552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9525"/>
          <a:ext cx="0" cy="609600"/>
        </a:xfrm>
        <a:prstGeom prst="rect">
          <a:avLst/>
        </a:prstGeom>
        <a:noFill/>
        <a:ln w="9525">
          <a:noFill/>
          <a:miter lim="800000"/>
          <a:headEnd/>
          <a:tailEnd/>
        </a:ln>
      </xdr:spPr>
    </xdr:pic>
    <xdr:clientData/>
  </xdr:twoCellAnchor>
  <xdr:twoCellAnchor editAs="oneCell">
    <xdr:from>
      <xdr:col>0</xdr:col>
      <xdr:colOff>0</xdr:colOff>
      <xdr:row>1</xdr:row>
      <xdr:rowOff>57150</xdr:rowOff>
    </xdr:from>
    <xdr:to>
      <xdr:col>1</xdr:col>
      <xdr:colOff>1905</xdr:colOff>
      <xdr:row>1</xdr:row>
      <xdr:rowOff>57150</xdr:rowOff>
    </xdr:to>
    <xdr:pic>
      <xdr:nvPicPr>
        <xdr:cNvPr id="19682752" name="Picture 4011" descr="C:\Documents and Settings\acunaaw\Configuración local\Temp\Dibujo.GIF">
          <a:extLst>
            <a:ext uri="{FF2B5EF4-FFF2-40B4-BE49-F238E27FC236}">
              <a16:creationId xmlns:a16="http://schemas.microsoft.com/office/drawing/2014/main" id="{00000000-0008-0000-0200-0000C0552C0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57150"/>
          <a:ext cx="1390650" cy="0"/>
        </a:xfrm>
        <a:prstGeom prst="rect">
          <a:avLst/>
        </a:prstGeom>
        <a:noFill/>
        <a:ln w="9525">
          <a:noFill/>
          <a:miter lim="800000"/>
          <a:headEnd/>
          <a:tailEnd/>
        </a:ln>
      </xdr:spPr>
    </xdr:pic>
    <xdr:clientData/>
  </xdr:twoCellAnchor>
  <xdr:twoCellAnchor editAs="oneCell">
    <xdr:from>
      <xdr:col>12</xdr:col>
      <xdr:colOff>0</xdr:colOff>
      <xdr:row>1</xdr:row>
      <xdr:rowOff>28575</xdr:rowOff>
    </xdr:from>
    <xdr:to>
      <xdr:col>13</xdr:col>
      <xdr:colOff>857250</xdr:colOff>
      <xdr:row>1</xdr:row>
      <xdr:rowOff>28575</xdr:rowOff>
    </xdr:to>
    <xdr:pic>
      <xdr:nvPicPr>
        <xdr:cNvPr id="19682753" name="0 Imagen" descr="Logo DCP2.PNG">
          <a:extLst>
            <a:ext uri="{FF2B5EF4-FFF2-40B4-BE49-F238E27FC236}">
              <a16:creationId xmlns:a16="http://schemas.microsoft.com/office/drawing/2014/main" id="{00000000-0008-0000-0200-0000C1552C01}"/>
            </a:ext>
          </a:extLst>
        </xdr:cNvPr>
        <xdr:cNvPicPr>
          <a:picLocks noChangeAspect="1" noChangeArrowheads="1"/>
        </xdr:cNvPicPr>
      </xdr:nvPicPr>
      <xdr:blipFill>
        <a:blip xmlns:r="http://schemas.openxmlformats.org/officeDocument/2006/relationships" r:embed="rId3"/>
        <a:srcRect/>
        <a:stretch>
          <a:fillRect/>
        </a:stretch>
      </xdr:blipFill>
      <xdr:spPr bwMode="auto">
        <a:xfrm>
          <a:off x="17449800" y="28575"/>
          <a:ext cx="857250" cy="0"/>
        </a:xfrm>
        <a:prstGeom prst="rect">
          <a:avLst/>
        </a:prstGeom>
        <a:noFill/>
        <a:ln w="9525">
          <a:noFill/>
          <a:miter lim="800000"/>
          <a:headEnd/>
          <a:tailEnd/>
        </a:ln>
      </xdr:spPr>
    </xdr:pic>
    <xdr:clientData/>
  </xdr:twoCellAnchor>
  <xdr:twoCellAnchor editAs="oneCell">
    <xdr:from>
      <xdr:col>0</xdr:col>
      <xdr:colOff>213360</xdr:colOff>
      <xdr:row>1</xdr:row>
      <xdr:rowOff>38100</xdr:rowOff>
    </xdr:from>
    <xdr:to>
      <xdr:col>1</xdr:col>
      <xdr:colOff>252307</xdr:colOff>
      <xdr:row>3</xdr:row>
      <xdr:rowOff>186690</xdr:rowOff>
    </xdr:to>
    <xdr:pic>
      <xdr:nvPicPr>
        <xdr:cNvPr id="6" name="Imagen 5" descr="Macintosh HD:Users:Ministerio_de_Hacienda:Desktop:André:Libro de marca nuevo:Logos para hojas membretadas:png logos:logo dirección general de crédito publico.png">
          <a:extLst>
            <a:ext uri="{FF2B5EF4-FFF2-40B4-BE49-F238E27FC236}">
              <a16:creationId xmlns:a16="http://schemas.microsoft.com/office/drawing/2014/main" id="{B2C71010-0B40-4FF6-A320-FADB6A3F576F}"/>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3360" y="350520"/>
          <a:ext cx="1296247" cy="77343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19050</xdr:colOff>
      <xdr:row>1</xdr:row>
      <xdr:rowOff>38100</xdr:rowOff>
    </xdr:from>
    <xdr:to>
      <xdr:col>11</xdr:col>
      <xdr:colOff>895350</xdr:colOff>
      <xdr:row>1</xdr:row>
      <xdr:rowOff>38100</xdr:rowOff>
    </xdr:to>
    <xdr:pic>
      <xdr:nvPicPr>
        <xdr:cNvPr id="19087020" name="0 Imagen" descr="Logo DCP2.PNG">
          <a:extLst>
            <a:ext uri="{FF2B5EF4-FFF2-40B4-BE49-F238E27FC236}">
              <a16:creationId xmlns:a16="http://schemas.microsoft.com/office/drawing/2014/main" id="{00000000-0008-0000-0300-0000AC3E23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468225" y="38100"/>
          <a:ext cx="933450" cy="0"/>
        </a:xfrm>
        <a:prstGeom prst="rect">
          <a:avLst/>
        </a:prstGeom>
        <a:noFill/>
        <a:ln w="9525">
          <a:noFill/>
          <a:miter lim="800000"/>
          <a:headEnd/>
          <a:tailEnd/>
        </a:ln>
      </xdr:spPr>
    </xdr:pic>
    <xdr:clientData/>
  </xdr:twoCellAnchor>
  <xdr:twoCellAnchor editAs="oneCell">
    <xdr:from>
      <xdr:col>0</xdr:col>
      <xdr:colOff>0</xdr:colOff>
      <xdr:row>1</xdr:row>
      <xdr:rowOff>28575</xdr:rowOff>
    </xdr:from>
    <xdr:to>
      <xdr:col>0</xdr:col>
      <xdr:colOff>1291590</xdr:colOff>
      <xdr:row>1</xdr:row>
      <xdr:rowOff>28575</xdr:rowOff>
    </xdr:to>
    <xdr:pic>
      <xdr:nvPicPr>
        <xdr:cNvPr id="19087021" name="Picture 4011" descr="C:\Documents and Settings\acunaaw\Configuración local\Temp\Dibujo.GIF">
          <a:extLst>
            <a:ext uri="{FF2B5EF4-FFF2-40B4-BE49-F238E27FC236}">
              <a16:creationId xmlns:a16="http://schemas.microsoft.com/office/drawing/2014/main" id="{00000000-0008-0000-0300-0000AD3E230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28575"/>
          <a:ext cx="1390650" cy="0"/>
        </a:xfrm>
        <a:prstGeom prst="rect">
          <a:avLst/>
        </a:prstGeom>
        <a:noFill/>
        <a:ln w="9525">
          <a:noFill/>
          <a:miter lim="800000"/>
          <a:headEnd/>
          <a:tailEnd/>
        </a:ln>
      </xdr:spPr>
    </xdr:pic>
    <xdr:clientData/>
  </xdr:twoCellAnchor>
  <xdr:twoCellAnchor editAs="oneCell">
    <xdr:from>
      <xdr:col>0</xdr:col>
      <xdr:colOff>182880</xdr:colOff>
      <xdr:row>1</xdr:row>
      <xdr:rowOff>91440</xdr:rowOff>
    </xdr:from>
    <xdr:to>
      <xdr:col>1</xdr:col>
      <xdr:colOff>183727</xdr:colOff>
      <xdr:row>3</xdr:row>
      <xdr:rowOff>240030</xdr:rowOff>
    </xdr:to>
    <xdr:pic>
      <xdr:nvPicPr>
        <xdr:cNvPr id="5" name="Imagen 4" descr="Macintosh HD:Users:Ministerio_de_Hacienda:Desktop:André:Libro de marca nuevo:Logos para hojas membretadas:png logos:logo dirección general de crédito publico.png">
          <a:extLst>
            <a:ext uri="{FF2B5EF4-FFF2-40B4-BE49-F238E27FC236}">
              <a16:creationId xmlns:a16="http://schemas.microsoft.com/office/drawing/2014/main" id="{18A311F2-8103-455C-A8BA-F6D28C7654F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2880" y="403860"/>
          <a:ext cx="1296247" cy="77343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40</xdr:col>
      <xdr:colOff>0</xdr:colOff>
      <xdr:row>1</xdr:row>
      <xdr:rowOff>57150</xdr:rowOff>
    </xdr:from>
    <xdr:to>
      <xdr:col>41</xdr:col>
      <xdr:colOff>472211</xdr:colOff>
      <xdr:row>1</xdr:row>
      <xdr:rowOff>57150</xdr:rowOff>
    </xdr:to>
    <xdr:pic>
      <xdr:nvPicPr>
        <xdr:cNvPr id="19683775" name="0 Imagen" descr="Logo DCP2.PNG">
          <a:extLst>
            <a:ext uri="{FF2B5EF4-FFF2-40B4-BE49-F238E27FC236}">
              <a16:creationId xmlns:a16="http://schemas.microsoft.com/office/drawing/2014/main" id="{00000000-0008-0000-0400-0000BF592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0974050" y="57150"/>
          <a:ext cx="1104900" cy="0"/>
        </a:xfrm>
        <a:prstGeom prst="rect">
          <a:avLst/>
        </a:prstGeom>
        <a:noFill/>
        <a:ln w="9525">
          <a:noFill/>
          <a:miter lim="800000"/>
          <a:headEnd/>
          <a:tailEnd/>
        </a:ln>
      </xdr:spPr>
    </xdr:pic>
    <xdr:clientData/>
  </xdr:twoCellAnchor>
  <xdr:twoCellAnchor editAs="oneCell">
    <xdr:from>
      <xdr:col>0</xdr:col>
      <xdr:colOff>47625</xdr:colOff>
      <xdr:row>1</xdr:row>
      <xdr:rowOff>38100</xdr:rowOff>
    </xdr:from>
    <xdr:to>
      <xdr:col>1</xdr:col>
      <xdr:colOff>85725</xdr:colOff>
      <xdr:row>1</xdr:row>
      <xdr:rowOff>38100</xdr:rowOff>
    </xdr:to>
    <xdr:pic>
      <xdr:nvPicPr>
        <xdr:cNvPr id="19683776" name="Picture 4011" descr="C:\Documents and Settings\acunaaw\Configuración local\Temp\Dibujo.GIF">
          <a:extLst>
            <a:ext uri="{FF2B5EF4-FFF2-40B4-BE49-F238E27FC236}">
              <a16:creationId xmlns:a16="http://schemas.microsoft.com/office/drawing/2014/main" id="{00000000-0008-0000-0400-0000C0592C0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09550" y="38100"/>
          <a:ext cx="1562100" cy="0"/>
        </a:xfrm>
        <a:prstGeom prst="rect">
          <a:avLst/>
        </a:prstGeom>
        <a:noFill/>
        <a:ln w="9525">
          <a:noFill/>
          <a:miter lim="800000"/>
          <a:headEnd/>
          <a:tailEnd/>
        </a:ln>
      </xdr:spPr>
    </xdr:pic>
    <xdr:clientData/>
  </xdr:twoCellAnchor>
  <xdr:twoCellAnchor editAs="oneCell">
    <xdr:from>
      <xdr:col>40</xdr:col>
      <xdr:colOff>0</xdr:colOff>
      <xdr:row>1</xdr:row>
      <xdr:rowOff>95250</xdr:rowOff>
    </xdr:from>
    <xdr:to>
      <xdr:col>41</xdr:col>
      <xdr:colOff>389662</xdr:colOff>
      <xdr:row>1</xdr:row>
      <xdr:rowOff>95250</xdr:rowOff>
    </xdr:to>
    <xdr:pic>
      <xdr:nvPicPr>
        <xdr:cNvPr id="19683777" name="0 Imagen" descr="Logo DCP2.PNG">
          <a:extLst>
            <a:ext uri="{FF2B5EF4-FFF2-40B4-BE49-F238E27FC236}">
              <a16:creationId xmlns:a16="http://schemas.microsoft.com/office/drawing/2014/main" id="{00000000-0008-0000-0400-0000C1592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1012150" y="95250"/>
          <a:ext cx="971550" cy="0"/>
        </a:xfrm>
        <a:prstGeom prst="rect">
          <a:avLst/>
        </a:prstGeom>
        <a:noFill/>
        <a:ln w="9525">
          <a:noFill/>
          <a:miter lim="800000"/>
          <a:headEnd/>
          <a:tailEnd/>
        </a:ln>
      </xdr:spPr>
    </xdr:pic>
    <xdr:clientData/>
  </xdr:twoCellAnchor>
  <xdr:twoCellAnchor editAs="oneCell">
    <xdr:from>
      <xdr:col>35</xdr:col>
      <xdr:colOff>0</xdr:colOff>
      <xdr:row>1</xdr:row>
      <xdr:rowOff>57150</xdr:rowOff>
    </xdr:from>
    <xdr:to>
      <xdr:col>37</xdr:col>
      <xdr:colOff>230943</xdr:colOff>
      <xdr:row>1</xdr:row>
      <xdr:rowOff>57150</xdr:rowOff>
    </xdr:to>
    <xdr:pic>
      <xdr:nvPicPr>
        <xdr:cNvPr id="7" name="0 Imagen" descr="Logo DCP2.PNG">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783425" y="209550"/>
          <a:ext cx="1088650" cy="0"/>
        </a:xfrm>
        <a:prstGeom prst="rect">
          <a:avLst/>
        </a:prstGeom>
        <a:noFill/>
        <a:ln w="9525">
          <a:noFill/>
          <a:miter lim="800000"/>
          <a:headEnd/>
          <a:tailEnd/>
        </a:ln>
      </xdr:spPr>
    </xdr:pic>
    <xdr:clientData/>
  </xdr:twoCellAnchor>
  <xdr:twoCellAnchor editAs="oneCell">
    <xdr:from>
      <xdr:col>0</xdr:col>
      <xdr:colOff>47625</xdr:colOff>
      <xdr:row>1</xdr:row>
      <xdr:rowOff>38100</xdr:rowOff>
    </xdr:from>
    <xdr:to>
      <xdr:col>1</xdr:col>
      <xdr:colOff>85725</xdr:colOff>
      <xdr:row>1</xdr:row>
      <xdr:rowOff>38100</xdr:rowOff>
    </xdr:to>
    <xdr:pic>
      <xdr:nvPicPr>
        <xdr:cNvPr id="8" name="Picture 4011" descr="C:\Documents and Settings\acunaaw\Configuración local\Temp\Dibujo.GIF">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90500"/>
          <a:ext cx="1562100" cy="0"/>
        </a:xfrm>
        <a:prstGeom prst="rect">
          <a:avLst/>
        </a:prstGeom>
        <a:noFill/>
        <a:ln w="9525">
          <a:noFill/>
          <a:miter lim="800000"/>
          <a:headEnd/>
          <a:tailEnd/>
        </a:ln>
      </xdr:spPr>
    </xdr:pic>
    <xdr:clientData/>
  </xdr:twoCellAnchor>
  <xdr:twoCellAnchor editAs="oneCell">
    <xdr:from>
      <xdr:col>35</xdr:col>
      <xdr:colOff>0</xdr:colOff>
      <xdr:row>1</xdr:row>
      <xdr:rowOff>95250</xdr:rowOff>
    </xdr:from>
    <xdr:to>
      <xdr:col>37</xdr:col>
      <xdr:colOff>139391</xdr:colOff>
      <xdr:row>1</xdr:row>
      <xdr:rowOff>95250</xdr:rowOff>
    </xdr:to>
    <xdr:pic>
      <xdr:nvPicPr>
        <xdr:cNvPr id="9" name="0 Imagen" descr="Logo DCP2.PN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783425" y="247650"/>
          <a:ext cx="955300" cy="0"/>
        </a:xfrm>
        <a:prstGeom prst="rect">
          <a:avLst/>
        </a:prstGeom>
        <a:noFill/>
        <a:ln w="9525">
          <a:noFill/>
          <a:miter lim="800000"/>
          <a:headEnd/>
          <a:tailEnd/>
        </a:ln>
      </xdr:spPr>
    </xdr:pic>
    <xdr:clientData/>
  </xdr:twoCellAnchor>
  <xdr:twoCellAnchor editAs="oneCell">
    <xdr:from>
      <xdr:col>0</xdr:col>
      <xdr:colOff>205740</xdr:colOff>
      <xdr:row>1</xdr:row>
      <xdr:rowOff>114300</xdr:rowOff>
    </xdr:from>
    <xdr:to>
      <xdr:col>1</xdr:col>
      <xdr:colOff>130387</xdr:colOff>
      <xdr:row>3</xdr:row>
      <xdr:rowOff>262890</xdr:rowOff>
    </xdr:to>
    <xdr:pic>
      <xdr:nvPicPr>
        <xdr:cNvPr id="10" name="Imagen 9" descr="Macintosh HD:Users:Ministerio_de_Hacienda:Desktop:André:Libro de marca nuevo:Logos para hojas membretadas:png logos:logo dirección general de crédito publico.png">
          <a:extLst>
            <a:ext uri="{FF2B5EF4-FFF2-40B4-BE49-F238E27FC236}">
              <a16:creationId xmlns:a16="http://schemas.microsoft.com/office/drawing/2014/main" id="{03F102CD-D819-408B-883F-E8852C61A266}"/>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5740" y="426720"/>
          <a:ext cx="1296247" cy="77343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1112374</xdr:colOff>
      <xdr:row>0</xdr:row>
      <xdr:rowOff>0</xdr:rowOff>
    </xdr:to>
    <xdr:pic>
      <xdr:nvPicPr>
        <xdr:cNvPr id="2" name="0 Imagen" descr="Logo DCP2.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945225" y="209550"/>
          <a:ext cx="1104900" cy="0"/>
        </a:xfrm>
        <a:prstGeom prst="rect">
          <a:avLst/>
        </a:prstGeom>
        <a:noFill/>
        <a:ln w="9525">
          <a:noFill/>
          <a:miter lim="800000"/>
          <a:headEnd/>
          <a:tailEnd/>
        </a:ln>
      </xdr:spPr>
    </xdr:pic>
    <xdr:clientData/>
  </xdr:twoCellAnchor>
  <xdr:twoCellAnchor editAs="oneCell">
    <xdr:from>
      <xdr:col>0</xdr:col>
      <xdr:colOff>47625</xdr:colOff>
      <xdr:row>0</xdr:row>
      <xdr:rowOff>0</xdr:rowOff>
    </xdr:from>
    <xdr:to>
      <xdr:col>0</xdr:col>
      <xdr:colOff>1104900</xdr:colOff>
      <xdr:row>0</xdr:row>
      <xdr:rowOff>0</xdr:rowOff>
    </xdr:to>
    <xdr:pic>
      <xdr:nvPicPr>
        <xdr:cNvPr id="3" name="Picture 4011" descr="C:\Documents and Settings\acunaaw\Configuración local\Temp\Dibujo.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90500"/>
          <a:ext cx="1562100" cy="0"/>
        </a:xfrm>
        <a:prstGeom prst="rect">
          <a:avLst/>
        </a:prstGeom>
        <a:noFill/>
        <a:ln w="9525">
          <a:noFill/>
          <a:miter lim="800000"/>
          <a:headEnd/>
          <a:tailEnd/>
        </a:ln>
      </xdr:spPr>
    </xdr:pic>
    <xdr:clientData/>
  </xdr:twoCellAnchor>
  <xdr:twoCellAnchor editAs="oneCell">
    <xdr:from>
      <xdr:col>23</xdr:col>
      <xdr:colOff>0</xdr:colOff>
      <xdr:row>0</xdr:row>
      <xdr:rowOff>0</xdr:rowOff>
    </xdr:from>
    <xdr:to>
      <xdr:col>23</xdr:col>
      <xdr:colOff>972673</xdr:colOff>
      <xdr:row>0</xdr:row>
      <xdr:rowOff>0</xdr:rowOff>
    </xdr:to>
    <xdr:pic>
      <xdr:nvPicPr>
        <xdr:cNvPr id="4" name="0 Imagen" descr="Logo DCP2.PNG">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945225" y="247650"/>
          <a:ext cx="971550" cy="0"/>
        </a:xfrm>
        <a:prstGeom prst="rect">
          <a:avLst/>
        </a:prstGeom>
        <a:noFill/>
        <a:ln w="9525">
          <a:noFill/>
          <a:miter lim="800000"/>
          <a:headEnd/>
          <a:tailEnd/>
        </a:ln>
      </xdr:spPr>
    </xdr:pic>
    <xdr:clientData/>
  </xdr:twoCellAnchor>
  <xdr:twoCellAnchor editAs="oneCell">
    <xdr:from>
      <xdr:col>23</xdr:col>
      <xdr:colOff>0</xdr:colOff>
      <xdr:row>0</xdr:row>
      <xdr:rowOff>0</xdr:rowOff>
    </xdr:from>
    <xdr:to>
      <xdr:col>23</xdr:col>
      <xdr:colOff>1001248</xdr:colOff>
      <xdr:row>0</xdr:row>
      <xdr:rowOff>0</xdr:rowOff>
    </xdr:to>
    <xdr:pic>
      <xdr:nvPicPr>
        <xdr:cNvPr id="6" name="0 Imagen" descr="Logo DCP2.PN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945225" y="209550"/>
          <a:ext cx="1104900" cy="0"/>
        </a:xfrm>
        <a:prstGeom prst="rect">
          <a:avLst/>
        </a:prstGeom>
        <a:noFill/>
        <a:ln w="9525">
          <a:noFill/>
          <a:miter lim="800000"/>
          <a:headEnd/>
          <a:tailEnd/>
        </a:ln>
      </xdr:spPr>
    </xdr:pic>
    <xdr:clientData/>
  </xdr:twoCellAnchor>
  <xdr:twoCellAnchor editAs="oneCell">
    <xdr:from>
      <xdr:col>23</xdr:col>
      <xdr:colOff>0</xdr:colOff>
      <xdr:row>0</xdr:row>
      <xdr:rowOff>0</xdr:rowOff>
    </xdr:from>
    <xdr:to>
      <xdr:col>23</xdr:col>
      <xdr:colOff>867898</xdr:colOff>
      <xdr:row>0</xdr:row>
      <xdr:rowOff>0</xdr:rowOff>
    </xdr:to>
    <xdr:pic>
      <xdr:nvPicPr>
        <xdr:cNvPr id="8" name="0 Imagen" descr="Logo DCP2.PNG">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945225" y="247650"/>
          <a:ext cx="971550" cy="0"/>
        </a:xfrm>
        <a:prstGeom prst="rect">
          <a:avLst/>
        </a:prstGeom>
        <a:noFill/>
        <a:ln w="9525">
          <a:noFill/>
          <a:miter lim="800000"/>
          <a:headEnd/>
          <a:tailEnd/>
        </a:ln>
      </xdr:spPr>
    </xdr:pic>
    <xdr:clientData/>
  </xdr:twoCellAnchor>
  <xdr:twoCellAnchor editAs="oneCell">
    <xdr:from>
      <xdr:col>34</xdr:col>
      <xdr:colOff>0</xdr:colOff>
      <xdr:row>0</xdr:row>
      <xdr:rowOff>0</xdr:rowOff>
    </xdr:from>
    <xdr:to>
      <xdr:col>35</xdr:col>
      <xdr:colOff>460373</xdr:colOff>
      <xdr:row>0</xdr:row>
      <xdr:rowOff>0</xdr:rowOff>
    </xdr:to>
    <xdr:pic>
      <xdr:nvPicPr>
        <xdr:cNvPr id="10" name="0 Imagen" descr="Logo DCP2.PNG">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337250" y="209550"/>
          <a:ext cx="1116737" cy="0"/>
        </a:xfrm>
        <a:prstGeom prst="rect">
          <a:avLst/>
        </a:prstGeom>
        <a:noFill/>
        <a:ln w="9525">
          <a:noFill/>
          <a:miter lim="800000"/>
          <a:headEnd/>
          <a:tailEnd/>
        </a:ln>
      </xdr:spPr>
    </xdr:pic>
    <xdr:clientData/>
  </xdr:twoCellAnchor>
  <xdr:twoCellAnchor editAs="oneCell">
    <xdr:from>
      <xdr:col>0</xdr:col>
      <xdr:colOff>47625</xdr:colOff>
      <xdr:row>0</xdr:row>
      <xdr:rowOff>0</xdr:rowOff>
    </xdr:from>
    <xdr:to>
      <xdr:col>0</xdr:col>
      <xdr:colOff>1547818</xdr:colOff>
      <xdr:row>0</xdr:row>
      <xdr:rowOff>0</xdr:rowOff>
    </xdr:to>
    <xdr:pic>
      <xdr:nvPicPr>
        <xdr:cNvPr id="11" name="Picture 4011" descr="C:\Documents and Settings\acunaaw\Configuración local\Temp\Dibujo.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90500"/>
          <a:ext cx="1562100" cy="0"/>
        </a:xfrm>
        <a:prstGeom prst="rect">
          <a:avLst/>
        </a:prstGeom>
        <a:noFill/>
        <a:ln w="9525">
          <a:noFill/>
          <a:miter lim="800000"/>
          <a:headEnd/>
          <a:tailEnd/>
        </a:ln>
      </xdr:spPr>
    </xdr:pic>
    <xdr:clientData/>
  </xdr:twoCellAnchor>
  <xdr:twoCellAnchor editAs="oneCell">
    <xdr:from>
      <xdr:col>34</xdr:col>
      <xdr:colOff>0</xdr:colOff>
      <xdr:row>0</xdr:row>
      <xdr:rowOff>0</xdr:rowOff>
    </xdr:from>
    <xdr:to>
      <xdr:col>35</xdr:col>
      <xdr:colOff>389888</xdr:colOff>
      <xdr:row>0</xdr:row>
      <xdr:rowOff>0</xdr:rowOff>
    </xdr:to>
    <xdr:pic>
      <xdr:nvPicPr>
        <xdr:cNvPr id="12" name="0 Imagen" descr="Logo DCP2.PNG">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337250" y="247650"/>
          <a:ext cx="983387" cy="0"/>
        </a:xfrm>
        <a:prstGeom prst="rect">
          <a:avLst/>
        </a:prstGeom>
        <a:noFill/>
        <a:ln w="9525">
          <a:noFill/>
          <a:miter lim="800000"/>
          <a:headEnd/>
          <a:tailEnd/>
        </a:ln>
      </xdr:spPr>
    </xdr:pic>
    <xdr:clientData/>
  </xdr:twoCellAnchor>
  <xdr:twoCellAnchor editAs="oneCell">
    <xdr:from>
      <xdr:col>27</xdr:col>
      <xdr:colOff>0</xdr:colOff>
      <xdr:row>0</xdr:row>
      <xdr:rowOff>0</xdr:rowOff>
    </xdr:from>
    <xdr:to>
      <xdr:col>29</xdr:col>
      <xdr:colOff>547742</xdr:colOff>
      <xdr:row>0</xdr:row>
      <xdr:rowOff>0</xdr:rowOff>
    </xdr:to>
    <xdr:pic>
      <xdr:nvPicPr>
        <xdr:cNvPr id="14" name="0 Imagen" descr="Logo DCP2.PNG">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479750" y="209550"/>
          <a:ext cx="1336300" cy="0"/>
        </a:xfrm>
        <a:prstGeom prst="rect">
          <a:avLst/>
        </a:prstGeom>
        <a:noFill/>
        <a:ln w="9525">
          <a:noFill/>
          <a:miter lim="800000"/>
          <a:headEnd/>
          <a:tailEnd/>
        </a:ln>
      </xdr:spPr>
    </xdr:pic>
    <xdr:clientData/>
  </xdr:twoCellAnchor>
  <xdr:twoCellAnchor editAs="oneCell">
    <xdr:from>
      <xdr:col>0</xdr:col>
      <xdr:colOff>47625</xdr:colOff>
      <xdr:row>0</xdr:row>
      <xdr:rowOff>0</xdr:rowOff>
    </xdr:from>
    <xdr:to>
      <xdr:col>0</xdr:col>
      <xdr:colOff>1547818</xdr:colOff>
      <xdr:row>0</xdr:row>
      <xdr:rowOff>0</xdr:rowOff>
    </xdr:to>
    <xdr:pic>
      <xdr:nvPicPr>
        <xdr:cNvPr id="15" name="Picture 4011" descr="C:\Documents and Settings\acunaaw\Configuración local\Temp\Dibujo.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90500"/>
          <a:ext cx="1562100" cy="0"/>
        </a:xfrm>
        <a:prstGeom prst="rect">
          <a:avLst/>
        </a:prstGeom>
        <a:noFill/>
        <a:ln w="9525">
          <a:noFill/>
          <a:miter lim="800000"/>
          <a:headEnd/>
          <a:tailEnd/>
        </a:ln>
      </xdr:spPr>
    </xdr:pic>
    <xdr:clientData/>
  </xdr:twoCellAnchor>
  <xdr:twoCellAnchor editAs="oneCell">
    <xdr:from>
      <xdr:col>27</xdr:col>
      <xdr:colOff>0</xdr:colOff>
      <xdr:row>0</xdr:row>
      <xdr:rowOff>0</xdr:rowOff>
    </xdr:from>
    <xdr:to>
      <xdr:col>29</xdr:col>
      <xdr:colOff>422012</xdr:colOff>
      <xdr:row>0</xdr:row>
      <xdr:rowOff>0</xdr:rowOff>
    </xdr:to>
    <xdr:pic>
      <xdr:nvPicPr>
        <xdr:cNvPr id="16" name="0 Imagen" descr="Logo DCP2.PNG">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479750" y="247650"/>
          <a:ext cx="1202950" cy="0"/>
        </a:xfrm>
        <a:prstGeom prst="rect">
          <a:avLst/>
        </a:prstGeom>
        <a:noFill/>
        <a:ln w="9525">
          <a:noFill/>
          <a:miter lim="800000"/>
          <a:headEnd/>
          <a:tailEnd/>
        </a:ln>
      </xdr:spPr>
    </xdr:pic>
    <xdr:clientData/>
  </xdr:twoCellAnchor>
  <xdr:twoCellAnchor editAs="oneCell">
    <xdr:from>
      <xdr:col>34</xdr:col>
      <xdr:colOff>0</xdr:colOff>
      <xdr:row>0</xdr:row>
      <xdr:rowOff>0</xdr:rowOff>
    </xdr:from>
    <xdr:to>
      <xdr:col>35</xdr:col>
      <xdr:colOff>391456</xdr:colOff>
      <xdr:row>0</xdr:row>
      <xdr:rowOff>0</xdr:rowOff>
    </xdr:to>
    <xdr:pic>
      <xdr:nvPicPr>
        <xdr:cNvPr id="18" name="0 Imagen" descr="Logo DCP2.PNG">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337250" y="209550"/>
          <a:ext cx="1116737" cy="0"/>
        </a:xfrm>
        <a:prstGeom prst="rect">
          <a:avLst/>
        </a:prstGeom>
        <a:noFill/>
        <a:ln w="9525">
          <a:noFill/>
          <a:miter lim="800000"/>
          <a:headEnd/>
          <a:tailEnd/>
        </a:ln>
      </xdr:spPr>
    </xdr:pic>
    <xdr:clientData/>
  </xdr:twoCellAnchor>
  <xdr:twoCellAnchor editAs="oneCell">
    <xdr:from>
      <xdr:col>0</xdr:col>
      <xdr:colOff>47625</xdr:colOff>
      <xdr:row>0</xdr:row>
      <xdr:rowOff>0</xdr:rowOff>
    </xdr:from>
    <xdr:to>
      <xdr:col>0</xdr:col>
      <xdr:colOff>1507278</xdr:colOff>
      <xdr:row>0</xdr:row>
      <xdr:rowOff>0</xdr:rowOff>
    </xdr:to>
    <xdr:pic>
      <xdr:nvPicPr>
        <xdr:cNvPr id="19" name="Picture 4011" descr="C:\Documents and Settings\acunaaw\Configuración local\Temp\Dibujo.GIF">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90500"/>
          <a:ext cx="1562100" cy="0"/>
        </a:xfrm>
        <a:prstGeom prst="rect">
          <a:avLst/>
        </a:prstGeom>
        <a:noFill/>
        <a:ln w="9525">
          <a:noFill/>
          <a:miter lim="800000"/>
          <a:headEnd/>
          <a:tailEnd/>
        </a:ln>
      </xdr:spPr>
    </xdr:pic>
    <xdr:clientData/>
  </xdr:twoCellAnchor>
  <xdr:twoCellAnchor editAs="oneCell">
    <xdr:from>
      <xdr:col>34</xdr:col>
      <xdr:colOff>0</xdr:colOff>
      <xdr:row>0</xdr:row>
      <xdr:rowOff>0</xdr:rowOff>
    </xdr:from>
    <xdr:to>
      <xdr:col>35</xdr:col>
      <xdr:colOff>319066</xdr:colOff>
      <xdr:row>0</xdr:row>
      <xdr:rowOff>0</xdr:rowOff>
    </xdr:to>
    <xdr:pic>
      <xdr:nvPicPr>
        <xdr:cNvPr id="20" name="0 Imagen" descr="Logo DCP2.PNG">
          <a:extLst>
            <a:ext uri="{FF2B5EF4-FFF2-40B4-BE49-F238E27FC236}">
              <a16:creationId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337250" y="247650"/>
          <a:ext cx="983387" cy="0"/>
        </a:xfrm>
        <a:prstGeom prst="rect">
          <a:avLst/>
        </a:prstGeom>
        <a:noFill/>
        <a:ln w="9525">
          <a:noFill/>
          <a:miter lim="800000"/>
          <a:headEnd/>
          <a:tailEnd/>
        </a:ln>
      </xdr:spPr>
    </xdr:pic>
    <xdr:clientData/>
  </xdr:twoCellAnchor>
  <xdr:twoCellAnchor editAs="oneCell">
    <xdr:from>
      <xdr:col>27</xdr:col>
      <xdr:colOff>0</xdr:colOff>
      <xdr:row>0</xdr:row>
      <xdr:rowOff>0</xdr:rowOff>
    </xdr:from>
    <xdr:to>
      <xdr:col>29</xdr:col>
      <xdr:colOff>103988</xdr:colOff>
      <xdr:row>0</xdr:row>
      <xdr:rowOff>0</xdr:rowOff>
    </xdr:to>
    <xdr:pic>
      <xdr:nvPicPr>
        <xdr:cNvPr id="22" name="0 Imagen" descr="Logo DCP2.PNG">
          <a:extLst>
            <a:ext uri="{FF2B5EF4-FFF2-40B4-BE49-F238E27FC236}">
              <a16:creationId xmlns:a16="http://schemas.microsoft.com/office/drawing/2014/main" id="{00000000-0008-0000-05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479750" y="209550"/>
          <a:ext cx="1336300" cy="0"/>
        </a:xfrm>
        <a:prstGeom prst="rect">
          <a:avLst/>
        </a:prstGeom>
        <a:noFill/>
        <a:ln w="9525">
          <a:noFill/>
          <a:miter lim="800000"/>
          <a:headEnd/>
          <a:tailEnd/>
        </a:ln>
      </xdr:spPr>
    </xdr:pic>
    <xdr:clientData/>
  </xdr:twoCellAnchor>
  <xdr:twoCellAnchor editAs="oneCell">
    <xdr:from>
      <xdr:col>0</xdr:col>
      <xdr:colOff>47625</xdr:colOff>
      <xdr:row>0</xdr:row>
      <xdr:rowOff>0</xdr:rowOff>
    </xdr:from>
    <xdr:to>
      <xdr:col>0</xdr:col>
      <xdr:colOff>1507278</xdr:colOff>
      <xdr:row>0</xdr:row>
      <xdr:rowOff>0</xdr:rowOff>
    </xdr:to>
    <xdr:pic>
      <xdr:nvPicPr>
        <xdr:cNvPr id="23" name="Picture 4011" descr="C:\Documents and Settings\acunaaw\Configuración local\Temp\Dibujo.GIF">
          <a:extLst>
            <a:ext uri="{FF2B5EF4-FFF2-40B4-BE49-F238E27FC236}">
              <a16:creationId xmlns:a16="http://schemas.microsoft.com/office/drawing/2014/main" id="{00000000-0008-0000-0500-00001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90500"/>
          <a:ext cx="1562100" cy="0"/>
        </a:xfrm>
        <a:prstGeom prst="rect">
          <a:avLst/>
        </a:prstGeom>
        <a:noFill/>
        <a:ln w="9525">
          <a:noFill/>
          <a:miter lim="800000"/>
          <a:headEnd/>
          <a:tailEnd/>
        </a:ln>
      </xdr:spPr>
    </xdr:pic>
    <xdr:clientData/>
  </xdr:twoCellAnchor>
  <xdr:twoCellAnchor editAs="oneCell">
    <xdr:from>
      <xdr:col>27</xdr:col>
      <xdr:colOff>0</xdr:colOff>
      <xdr:row>0</xdr:row>
      <xdr:rowOff>0</xdr:rowOff>
    </xdr:from>
    <xdr:to>
      <xdr:col>28</xdr:col>
      <xdr:colOff>491338</xdr:colOff>
      <xdr:row>0</xdr:row>
      <xdr:rowOff>0</xdr:rowOff>
    </xdr:to>
    <xdr:pic>
      <xdr:nvPicPr>
        <xdr:cNvPr id="24" name="0 Imagen" descr="Logo DCP2.PNG">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479750" y="247650"/>
          <a:ext cx="1202950" cy="0"/>
        </a:xfrm>
        <a:prstGeom prst="rect">
          <a:avLst/>
        </a:prstGeom>
        <a:noFill/>
        <a:ln w="9525">
          <a:noFill/>
          <a:miter lim="800000"/>
          <a:headEnd/>
          <a:tailEnd/>
        </a:ln>
      </xdr:spPr>
    </xdr:pic>
    <xdr:clientData/>
  </xdr:twoCellAnchor>
  <xdr:twoCellAnchor editAs="oneCell">
    <xdr:from>
      <xdr:col>34</xdr:col>
      <xdr:colOff>0</xdr:colOff>
      <xdr:row>0</xdr:row>
      <xdr:rowOff>0</xdr:rowOff>
    </xdr:from>
    <xdr:to>
      <xdr:col>35</xdr:col>
      <xdr:colOff>223816</xdr:colOff>
      <xdr:row>0</xdr:row>
      <xdr:rowOff>0</xdr:rowOff>
    </xdr:to>
    <xdr:pic>
      <xdr:nvPicPr>
        <xdr:cNvPr id="26" name="0 Imagen" descr="Logo DCP2.PNG">
          <a:extLst>
            <a:ext uri="{FF2B5EF4-FFF2-40B4-BE49-F238E27FC236}">
              <a16:creationId xmlns:a16="http://schemas.microsoft.com/office/drawing/2014/main" id="{00000000-0008-0000-05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337250" y="209550"/>
          <a:ext cx="1116737" cy="0"/>
        </a:xfrm>
        <a:prstGeom prst="rect">
          <a:avLst/>
        </a:prstGeom>
        <a:noFill/>
        <a:ln w="9525">
          <a:noFill/>
          <a:miter lim="800000"/>
          <a:headEnd/>
          <a:tailEnd/>
        </a:ln>
      </xdr:spPr>
    </xdr:pic>
    <xdr:clientData/>
  </xdr:twoCellAnchor>
  <xdr:twoCellAnchor editAs="oneCell">
    <xdr:from>
      <xdr:col>0</xdr:col>
      <xdr:colOff>47625</xdr:colOff>
      <xdr:row>0</xdr:row>
      <xdr:rowOff>0</xdr:rowOff>
    </xdr:from>
    <xdr:to>
      <xdr:col>0</xdr:col>
      <xdr:colOff>1543896</xdr:colOff>
      <xdr:row>0</xdr:row>
      <xdr:rowOff>0</xdr:rowOff>
    </xdr:to>
    <xdr:pic>
      <xdr:nvPicPr>
        <xdr:cNvPr id="27" name="Picture 4011" descr="C:\Documents and Settings\acunaaw\Configuración local\Temp\Dibujo.GIF">
          <a:extLst>
            <a:ext uri="{FF2B5EF4-FFF2-40B4-BE49-F238E27FC236}">
              <a16:creationId xmlns:a16="http://schemas.microsoft.com/office/drawing/2014/main" id="{00000000-0008-0000-0500-00001B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90500"/>
          <a:ext cx="1562100" cy="0"/>
        </a:xfrm>
        <a:prstGeom prst="rect">
          <a:avLst/>
        </a:prstGeom>
        <a:noFill/>
        <a:ln w="9525">
          <a:noFill/>
          <a:miter lim="800000"/>
          <a:headEnd/>
          <a:tailEnd/>
        </a:ln>
      </xdr:spPr>
    </xdr:pic>
    <xdr:clientData/>
  </xdr:twoCellAnchor>
  <xdr:twoCellAnchor editAs="oneCell">
    <xdr:from>
      <xdr:col>34</xdr:col>
      <xdr:colOff>0</xdr:colOff>
      <xdr:row>0</xdr:row>
      <xdr:rowOff>0</xdr:rowOff>
    </xdr:from>
    <xdr:to>
      <xdr:col>35</xdr:col>
      <xdr:colOff>82845</xdr:colOff>
      <xdr:row>0</xdr:row>
      <xdr:rowOff>0</xdr:rowOff>
    </xdr:to>
    <xdr:pic>
      <xdr:nvPicPr>
        <xdr:cNvPr id="28" name="0 Imagen" descr="Logo DCP2.PNG">
          <a:extLst>
            <a:ext uri="{FF2B5EF4-FFF2-40B4-BE49-F238E27FC236}">
              <a16:creationId xmlns:a16="http://schemas.microsoft.com/office/drawing/2014/main" id="{00000000-0008-0000-05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337250" y="247650"/>
          <a:ext cx="983387" cy="0"/>
        </a:xfrm>
        <a:prstGeom prst="rect">
          <a:avLst/>
        </a:prstGeom>
        <a:noFill/>
        <a:ln w="9525">
          <a:noFill/>
          <a:miter lim="800000"/>
          <a:headEnd/>
          <a:tailEnd/>
        </a:ln>
      </xdr:spPr>
    </xdr:pic>
    <xdr:clientData/>
  </xdr:twoCellAnchor>
  <xdr:twoCellAnchor editAs="oneCell">
    <xdr:from>
      <xdr:col>27</xdr:col>
      <xdr:colOff>0</xdr:colOff>
      <xdr:row>0</xdr:row>
      <xdr:rowOff>0</xdr:rowOff>
    </xdr:from>
    <xdr:to>
      <xdr:col>29</xdr:col>
      <xdr:colOff>84938</xdr:colOff>
      <xdr:row>0</xdr:row>
      <xdr:rowOff>0</xdr:rowOff>
    </xdr:to>
    <xdr:pic>
      <xdr:nvPicPr>
        <xdr:cNvPr id="30" name="0 Imagen" descr="Logo DCP2.PNG">
          <a:extLst>
            <a:ext uri="{FF2B5EF4-FFF2-40B4-BE49-F238E27FC236}">
              <a16:creationId xmlns:a16="http://schemas.microsoft.com/office/drawing/2014/main" id="{00000000-0008-0000-05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479750" y="209550"/>
          <a:ext cx="1336300" cy="0"/>
        </a:xfrm>
        <a:prstGeom prst="rect">
          <a:avLst/>
        </a:prstGeom>
        <a:noFill/>
        <a:ln w="9525">
          <a:noFill/>
          <a:miter lim="800000"/>
          <a:headEnd/>
          <a:tailEnd/>
        </a:ln>
      </xdr:spPr>
    </xdr:pic>
    <xdr:clientData/>
  </xdr:twoCellAnchor>
  <xdr:twoCellAnchor editAs="oneCell">
    <xdr:from>
      <xdr:col>0</xdr:col>
      <xdr:colOff>47625</xdr:colOff>
      <xdr:row>0</xdr:row>
      <xdr:rowOff>0</xdr:rowOff>
    </xdr:from>
    <xdr:to>
      <xdr:col>0</xdr:col>
      <xdr:colOff>1543896</xdr:colOff>
      <xdr:row>0</xdr:row>
      <xdr:rowOff>0</xdr:rowOff>
    </xdr:to>
    <xdr:pic>
      <xdr:nvPicPr>
        <xdr:cNvPr id="31" name="Picture 4011" descr="C:\Documents and Settings\acunaaw\Configuración local\Temp\Dibujo.GIF">
          <a:extLst>
            <a:ext uri="{FF2B5EF4-FFF2-40B4-BE49-F238E27FC236}">
              <a16:creationId xmlns:a16="http://schemas.microsoft.com/office/drawing/2014/main" id="{00000000-0008-0000-0500-00001F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190500"/>
          <a:ext cx="1562100" cy="0"/>
        </a:xfrm>
        <a:prstGeom prst="rect">
          <a:avLst/>
        </a:prstGeom>
        <a:noFill/>
        <a:ln w="9525">
          <a:noFill/>
          <a:miter lim="800000"/>
          <a:headEnd/>
          <a:tailEnd/>
        </a:ln>
      </xdr:spPr>
    </xdr:pic>
    <xdr:clientData/>
  </xdr:twoCellAnchor>
  <xdr:twoCellAnchor editAs="oneCell">
    <xdr:from>
      <xdr:col>27</xdr:col>
      <xdr:colOff>0</xdr:colOff>
      <xdr:row>0</xdr:row>
      <xdr:rowOff>0</xdr:rowOff>
    </xdr:from>
    <xdr:to>
      <xdr:col>28</xdr:col>
      <xdr:colOff>472288</xdr:colOff>
      <xdr:row>0</xdr:row>
      <xdr:rowOff>0</xdr:rowOff>
    </xdr:to>
    <xdr:pic>
      <xdr:nvPicPr>
        <xdr:cNvPr id="32" name="0 Imagen" descr="Logo DCP2.PNG">
          <a:extLst>
            <a:ext uri="{FF2B5EF4-FFF2-40B4-BE49-F238E27FC236}">
              <a16:creationId xmlns:a16="http://schemas.microsoft.com/office/drawing/2014/main" id="{00000000-0008-0000-05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479750" y="247650"/>
          <a:ext cx="1202950" cy="0"/>
        </a:xfrm>
        <a:prstGeom prst="rect">
          <a:avLst/>
        </a:prstGeom>
        <a:noFill/>
        <a:ln w="9525">
          <a:noFill/>
          <a:miter lim="800000"/>
          <a:headEnd/>
          <a:tailEnd/>
        </a:ln>
      </xdr:spPr>
    </xdr:pic>
    <xdr:clientData/>
  </xdr:twoCellAnchor>
  <xdr:twoCellAnchor editAs="oneCell">
    <xdr:from>
      <xdr:col>37</xdr:col>
      <xdr:colOff>0</xdr:colOff>
      <xdr:row>1</xdr:row>
      <xdr:rowOff>57150</xdr:rowOff>
    </xdr:from>
    <xdr:to>
      <xdr:col>38</xdr:col>
      <xdr:colOff>396012</xdr:colOff>
      <xdr:row>1</xdr:row>
      <xdr:rowOff>57150</xdr:rowOff>
    </xdr:to>
    <xdr:pic>
      <xdr:nvPicPr>
        <xdr:cNvPr id="25" name="0 Imagen" descr="Logo DCP2.PNG">
          <a:extLst>
            <a:ext uri="{FF2B5EF4-FFF2-40B4-BE49-F238E27FC236}">
              <a16:creationId xmlns:a16="http://schemas.microsoft.com/office/drawing/2014/main" id="{896D7F0D-0335-45CA-9A54-B8BEAB555A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413200" y="369570"/>
          <a:ext cx="1015772" cy="0"/>
        </a:xfrm>
        <a:prstGeom prst="rect">
          <a:avLst/>
        </a:prstGeom>
        <a:noFill/>
        <a:ln w="9525">
          <a:noFill/>
          <a:miter lim="800000"/>
          <a:headEnd/>
          <a:tailEnd/>
        </a:ln>
      </xdr:spPr>
    </xdr:pic>
    <xdr:clientData/>
  </xdr:twoCellAnchor>
  <xdr:twoCellAnchor editAs="oneCell">
    <xdr:from>
      <xdr:col>0</xdr:col>
      <xdr:colOff>47625</xdr:colOff>
      <xdr:row>1</xdr:row>
      <xdr:rowOff>38100</xdr:rowOff>
    </xdr:from>
    <xdr:to>
      <xdr:col>0</xdr:col>
      <xdr:colOff>1452245</xdr:colOff>
      <xdr:row>1</xdr:row>
      <xdr:rowOff>38100</xdr:rowOff>
    </xdr:to>
    <xdr:pic>
      <xdr:nvPicPr>
        <xdr:cNvPr id="29" name="Picture 4011" descr="C:\Documents and Settings\acunaaw\Configuración local\Temp\Dibujo.GIF">
          <a:extLst>
            <a:ext uri="{FF2B5EF4-FFF2-40B4-BE49-F238E27FC236}">
              <a16:creationId xmlns:a16="http://schemas.microsoft.com/office/drawing/2014/main" id="{4E4288CF-75B7-46C8-BF35-DD66025173C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350520"/>
          <a:ext cx="1409700" cy="0"/>
        </a:xfrm>
        <a:prstGeom prst="rect">
          <a:avLst/>
        </a:prstGeom>
        <a:noFill/>
        <a:ln w="9525">
          <a:noFill/>
          <a:miter lim="800000"/>
          <a:headEnd/>
          <a:tailEnd/>
        </a:ln>
      </xdr:spPr>
    </xdr:pic>
    <xdr:clientData/>
  </xdr:twoCellAnchor>
  <xdr:twoCellAnchor editAs="oneCell">
    <xdr:from>
      <xdr:col>37</xdr:col>
      <xdr:colOff>0</xdr:colOff>
      <xdr:row>1</xdr:row>
      <xdr:rowOff>95250</xdr:rowOff>
    </xdr:from>
    <xdr:to>
      <xdr:col>38</xdr:col>
      <xdr:colOff>321081</xdr:colOff>
      <xdr:row>1</xdr:row>
      <xdr:rowOff>95250</xdr:rowOff>
    </xdr:to>
    <xdr:pic>
      <xdr:nvPicPr>
        <xdr:cNvPr id="33" name="0 Imagen" descr="Logo DCP2.PNG">
          <a:extLst>
            <a:ext uri="{FF2B5EF4-FFF2-40B4-BE49-F238E27FC236}">
              <a16:creationId xmlns:a16="http://schemas.microsoft.com/office/drawing/2014/main" id="{AA357564-030A-4E70-AE39-3F3CB354F4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413200" y="407670"/>
          <a:ext cx="935762" cy="0"/>
        </a:xfrm>
        <a:prstGeom prst="rect">
          <a:avLst/>
        </a:prstGeom>
        <a:noFill/>
        <a:ln w="9525">
          <a:noFill/>
          <a:miter lim="800000"/>
          <a:headEnd/>
          <a:tailEnd/>
        </a:ln>
      </xdr:spPr>
    </xdr:pic>
    <xdr:clientData/>
  </xdr:twoCellAnchor>
  <xdr:twoCellAnchor editAs="oneCell">
    <xdr:from>
      <xdr:col>32</xdr:col>
      <xdr:colOff>0</xdr:colOff>
      <xdr:row>1</xdr:row>
      <xdr:rowOff>57150</xdr:rowOff>
    </xdr:from>
    <xdr:to>
      <xdr:col>33</xdr:col>
      <xdr:colOff>616496</xdr:colOff>
      <xdr:row>1</xdr:row>
      <xdr:rowOff>57150</xdr:rowOff>
    </xdr:to>
    <xdr:pic>
      <xdr:nvPicPr>
        <xdr:cNvPr id="34" name="0 Imagen" descr="Logo DCP2.PNG">
          <a:extLst>
            <a:ext uri="{FF2B5EF4-FFF2-40B4-BE49-F238E27FC236}">
              <a16:creationId xmlns:a16="http://schemas.microsoft.com/office/drawing/2014/main" id="{322336F6-7BFB-4596-99A7-86C60B9CD2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317700" y="369570"/>
          <a:ext cx="1196143" cy="0"/>
        </a:xfrm>
        <a:prstGeom prst="rect">
          <a:avLst/>
        </a:prstGeom>
        <a:noFill/>
        <a:ln w="9525">
          <a:noFill/>
          <a:miter lim="800000"/>
          <a:headEnd/>
          <a:tailEnd/>
        </a:ln>
      </xdr:spPr>
    </xdr:pic>
    <xdr:clientData/>
  </xdr:twoCellAnchor>
  <xdr:twoCellAnchor editAs="oneCell">
    <xdr:from>
      <xdr:col>0</xdr:col>
      <xdr:colOff>47625</xdr:colOff>
      <xdr:row>1</xdr:row>
      <xdr:rowOff>38100</xdr:rowOff>
    </xdr:from>
    <xdr:to>
      <xdr:col>0</xdr:col>
      <xdr:colOff>1452245</xdr:colOff>
      <xdr:row>1</xdr:row>
      <xdr:rowOff>38100</xdr:rowOff>
    </xdr:to>
    <xdr:pic>
      <xdr:nvPicPr>
        <xdr:cNvPr id="35" name="Picture 4011" descr="C:\Documents and Settings\acunaaw\Configuración local\Temp\Dibujo.GIF">
          <a:extLst>
            <a:ext uri="{FF2B5EF4-FFF2-40B4-BE49-F238E27FC236}">
              <a16:creationId xmlns:a16="http://schemas.microsoft.com/office/drawing/2014/main" id="{A70F4519-C05B-42AE-81F1-DBC61A7FF9D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350520"/>
          <a:ext cx="1409700" cy="0"/>
        </a:xfrm>
        <a:prstGeom prst="rect">
          <a:avLst/>
        </a:prstGeom>
        <a:noFill/>
        <a:ln w="9525">
          <a:noFill/>
          <a:miter lim="800000"/>
          <a:headEnd/>
          <a:tailEnd/>
        </a:ln>
      </xdr:spPr>
    </xdr:pic>
    <xdr:clientData/>
  </xdr:twoCellAnchor>
  <xdr:twoCellAnchor editAs="oneCell">
    <xdr:from>
      <xdr:col>32</xdr:col>
      <xdr:colOff>0</xdr:colOff>
      <xdr:row>1</xdr:row>
      <xdr:rowOff>95250</xdr:rowOff>
    </xdr:from>
    <xdr:to>
      <xdr:col>33</xdr:col>
      <xdr:colOff>508418</xdr:colOff>
      <xdr:row>1</xdr:row>
      <xdr:rowOff>95250</xdr:rowOff>
    </xdr:to>
    <xdr:pic>
      <xdr:nvPicPr>
        <xdr:cNvPr id="36" name="0 Imagen" descr="Logo DCP2.PNG">
          <a:extLst>
            <a:ext uri="{FF2B5EF4-FFF2-40B4-BE49-F238E27FC236}">
              <a16:creationId xmlns:a16="http://schemas.microsoft.com/office/drawing/2014/main" id="{25AF191D-6F5A-4723-B01F-E27B31090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317700" y="407670"/>
          <a:ext cx="1104591" cy="0"/>
        </a:xfrm>
        <a:prstGeom prst="rect">
          <a:avLst/>
        </a:prstGeom>
        <a:noFill/>
        <a:ln w="9525">
          <a:noFill/>
          <a:miter lim="800000"/>
          <a:headEnd/>
          <a:tailEnd/>
        </a:ln>
      </xdr:spPr>
    </xdr:pic>
    <xdr:clientData/>
  </xdr:twoCellAnchor>
  <xdr:twoCellAnchor editAs="oneCell">
    <xdr:from>
      <xdr:col>35</xdr:col>
      <xdr:colOff>0</xdr:colOff>
      <xdr:row>0</xdr:row>
      <xdr:rowOff>57150</xdr:rowOff>
    </xdr:from>
    <xdr:to>
      <xdr:col>36</xdr:col>
      <xdr:colOff>358437</xdr:colOff>
      <xdr:row>0</xdr:row>
      <xdr:rowOff>57150</xdr:rowOff>
    </xdr:to>
    <xdr:pic>
      <xdr:nvPicPr>
        <xdr:cNvPr id="45" name="0 Imagen" descr="Logo DCP2.PNG">
          <a:extLst>
            <a:ext uri="{FF2B5EF4-FFF2-40B4-BE49-F238E27FC236}">
              <a16:creationId xmlns:a16="http://schemas.microsoft.com/office/drawing/2014/main" id="{ED82ED94-431B-4779-8539-89C030B54B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960560" y="369570"/>
          <a:ext cx="846117" cy="0"/>
        </a:xfrm>
        <a:prstGeom prst="rect">
          <a:avLst/>
        </a:prstGeom>
        <a:noFill/>
        <a:ln w="9525">
          <a:noFill/>
          <a:miter lim="800000"/>
          <a:headEnd/>
          <a:tailEnd/>
        </a:ln>
      </xdr:spPr>
    </xdr:pic>
    <xdr:clientData/>
  </xdr:twoCellAnchor>
  <xdr:twoCellAnchor editAs="oneCell">
    <xdr:from>
      <xdr:col>0</xdr:col>
      <xdr:colOff>47625</xdr:colOff>
      <xdr:row>0</xdr:row>
      <xdr:rowOff>38100</xdr:rowOff>
    </xdr:from>
    <xdr:to>
      <xdr:col>0</xdr:col>
      <xdr:colOff>1543896</xdr:colOff>
      <xdr:row>0</xdr:row>
      <xdr:rowOff>38100</xdr:rowOff>
    </xdr:to>
    <xdr:pic>
      <xdr:nvPicPr>
        <xdr:cNvPr id="46" name="Picture 4011" descr="C:\Documents and Settings\acunaaw\Configuración local\Temp\Dibujo.GIF">
          <a:extLst>
            <a:ext uri="{FF2B5EF4-FFF2-40B4-BE49-F238E27FC236}">
              <a16:creationId xmlns:a16="http://schemas.microsoft.com/office/drawing/2014/main" id="{C9D67BBD-1116-4C7A-977F-3B08DC95860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350520"/>
          <a:ext cx="1501351" cy="0"/>
        </a:xfrm>
        <a:prstGeom prst="rect">
          <a:avLst/>
        </a:prstGeom>
        <a:noFill/>
        <a:ln w="9525">
          <a:noFill/>
          <a:miter lim="800000"/>
          <a:headEnd/>
          <a:tailEnd/>
        </a:ln>
      </xdr:spPr>
    </xdr:pic>
    <xdr:clientData/>
  </xdr:twoCellAnchor>
  <xdr:twoCellAnchor editAs="oneCell">
    <xdr:from>
      <xdr:col>35</xdr:col>
      <xdr:colOff>0</xdr:colOff>
      <xdr:row>0</xdr:row>
      <xdr:rowOff>95250</xdr:rowOff>
    </xdr:from>
    <xdr:to>
      <xdr:col>36</xdr:col>
      <xdr:colOff>217466</xdr:colOff>
      <xdr:row>0</xdr:row>
      <xdr:rowOff>95250</xdr:rowOff>
    </xdr:to>
    <xdr:pic>
      <xdr:nvPicPr>
        <xdr:cNvPr id="47" name="0 Imagen" descr="Logo DCP2.PNG">
          <a:extLst>
            <a:ext uri="{FF2B5EF4-FFF2-40B4-BE49-F238E27FC236}">
              <a16:creationId xmlns:a16="http://schemas.microsoft.com/office/drawing/2014/main" id="{35819696-6FC0-4B41-95B4-1F0E16B961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960560" y="407670"/>
          <a:ext cx="712766" cy="0"/>
        </a:xfrm>
        <a:prstGeom prst="rect">
          <a:avLst/>
        </a:prstGeom>
        <a:noFill/>
        <a:ln w="9525">
          <a:noFill/>
          <a:miter lim="800000"/>
          <a:headEnd/>
          <a:tailEnd/>
        </a:ln>
      </xdr:spPr>
    </xdr:pic>
    <xdr:clientData/>
  </xdr:twoCellAnchor>
  <xdr:twoCellAnchor editAs="oneCell">
    <xdr:from>
      <xdr:col>28</xdr:col>
      <xdr:colOff>0</xdr:colOff>
      <xdr:row>0</xdr:row>
      <xdr:rowOff>57150</xdr:rowOff>
    </xdr:from>
    <xdr:to>
      <xdr:col>30</xdr:col>
      <xdr:colOff>123038</xdr:colOff>
      <xdr:row>0</xdr:row>
      <xdr:rowOff>57150</xdr:rowOff>
    </xdr:to>
    <xdr:pic>
      <xdr:nvPicPr>
        <xdr:cNvPr id="48" name="0 Imagen" descr="Logo DCP2.PNG">
          <a:extLst>
            <a:ext uri="{FF2B5EF4-FFF2-40B4-BE49-F238E27FC236}">
              <a16:creationId xmlns:a16="http://schemas.microsoft.com/office/drawing/2014/main" id="{4234CEA2-22C8-40D5-827E-CDA39F413F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426660" y="369570"/>
          <a:ext cx="1220319" cy="0"/>
        </a:xfrm>
        <a:prstGeom prst="rect">
          <a:avLst/>
        </a:prstGeom>
        <a:noFill/>
        <a:ln w="9525">
          <a:noFill/>
          <a:miter lim="800000"/>
          <a:headEnd/>
          <a:tailEnd/>
        </a:ln>
      </xdr:spPr>
    </xdr:pic>
    <xdr:clientData/>
  </xdr:twoCellAnchor>
  <xdr:twoCellAnchor editAs="oneCell">
    <xdr:from>
      <xdr:col>0</xdr:col>
      <xdr:colOff>47625</xdr:colOff>
      <xdr:row>0</xdr:row>
      <xdr:rowOff>38100</xdr:rowOff>
    </xdr:from>
    <xdr:to>
      <xdr:col>0</xdr:col>
      <xdr:colOff>1543896</xdr:colOff>
      <xdr:row>0</xdr:row>
      <xdr:rowOff>38100</xdr:rowOff>
    </xdr:to>
    <xdr:pic>
      <xdr:nvPicPr>
        <xdr:cNvPr id="49" name="Picture 4011" descr="C:\Documents and Settings\acunaaw\Configuración local\Temp\Dibujo.GIF">
          <a:extLst>
            <a:ext uri="{FF2B5EF4-FFF2-40B4-BE49-F238E27FC236}">
              <a16:creationId xmlns:a16="http://schemas.microsoft.com/office/drawing/2014/main" id="{45771F10-8876-4D8E-B4AB-CF5DCC919CF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7625" y="350520"/>
          <a:ext cx="1501351" cy="0"/>
        </a:xfrm>
        <a:prstGeom prst="rect">
          <a:avLst/>
        </a:prstGeom>
        <a:noFill/>
        <a:ln w="9525">
          <a:noFill/>
          <a:miter lim="800000"/>
          <a:headEnd/>
          <a:tailEnd/>
        </a:ln>
      </xdr:spPr>
    </xdr:pic>
    <xdr:clientData/>
  </xdr:twoCellAnchor>
  <xdr:twoCellAnchor editAs="oneCell">
    <xdr:from>
      <xdr:col>28</xdr:col>
      <xdr:colOff>0</xdr:colOff>
      <xdr:row>0</xdr:row>
      <xdr:rowOff>95250</xdr:rowOff>
    </xdr:from>
    <xdr:to>
      <xdr:col>30</xdr:col>
      <xdr:colOff>772</xdr:colOff>
      <xdr:row>0</xdr:row>
      <xdr:rowOff>95250</xdr:rowOff>
    </xdr:to>
    <xdr:pic>
      <xdr:nvPicPr>
        <xdr:cNvPr id="50" name="0 Imagen" descr="Logo DCP2.PNG">
          <a:extLst>
            <a:ext uri="{FF2B5EF4-FFF2-40B4-BE49-F238E27FC236}">
              <a16:creationId xmlns:a16="http://schemas.microsoft.com/office/drawing/2014/main" id="{7D27E2B2-064A-4DE2-B064-D1276D09AF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426660" y="407670"/>
          <a:ext cx="1086969" cy="0"/>
        </a:xfrm>
        <a:prstGeom prst="rect">
          <a:avLst/>
        </a:prstGeom>
        <a:noFill/>
        <a:ln w="9525">
          <a:noFill/>
          <a:miter lim="800000"/>
          <a:headEnd/>
          <a:tailEnd/>
        </a:ln>
      </xdr:spPr>
    </xdr:pic>
    <xdr:clientData/>
  </xdr:twoCellAnchor>
  <xdr:twoCellAnchor editAs="oneCell">
    <xdr:from>
      <xdr:col>0</xdr:col>
      <xdr:colOff>274320</xdr:colOff>
      <xdr:row>1</xdr:row>
      <xdr:rowOff>7620</xdr:rowOff>
    </xdr:from>
    <xdr:to>
      <xdr:col>0</xdr:col>
      <xdr:colOff>1565487</xdr:colOff>
      <xdr:row>3</xdr:row>
      <xdr:rowOff>156210</xdr:rowOff>
    </xdr:to>
    <xdr:pic>
      <xdr:nvPicPr>
        <xdr:cNvPr id="38" name="Imagen 37" descr="Macintosh HD:Users:Ministerio_de_Hacienda:Desktop:André:Libro de marca nuevo:Logos para hojas membretadas:png logos:logo dirección general de crédito publico.png">
          <a:extLst>
            <a:ext uri="{FF2B5EF4-FFF2-40B4-BE49-F238E27FC236}">
              <a16:creationId xmlns:a16="http://schemas.microsoft.com/office/drawing/2014/main" id="{49902C51-1047-4FC8-AA4E-2F95024E449B}"/>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4320" y="320040"/>
          <a:ext cx="1296247" cy="77343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205740</xdr:colOff>
      <xdr:row>1</xdr:row>
      <xdr:rowOff>53340</xdr:rowOff>
    </xdr:from>
    <xdr:to>
      <xdr:col>1</xdr:col>
      <xdr:colOff>381847</xdr:colOff>
      <xdr:row>3</xdr:row>
      <xdr:rowOff>201930</xdr:rowOff>
    </xdr:to>
    <xdr:pic>
      <xdr:nvPicPr>
        <xdr:cNvPr id="3" name="Imagen 2" descr="Macintosh HD:Users:Ministerio_de_Hacienda:Desktop:André:Libro de marca nuevo:Logos para hojas membretadas:png logos:logo dirección general de crédito publico.png">
          <a:extLst>
            <a:ext uri="{FF2B5EF4-FFF2-40B4-BE49-F238E27FC236}">
              <a16:creationId xmlns:a16="http://schemas.microsoft.com/office/drawing/2014/main" id="{346E0D39-7E1A-4B6C-99A3-9395C05AEF0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5740" y="365760"/>
          <a:ext cx="1296247" cy="77343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190500</xdr:colOff>
      <xdr:row>1</xdr:row>
      <xdr:rowOff>60960</xdr:rowOff>
    </xdr:from>
    <xdr:to>
      <xdr:col>1</xdr:col>
      <xdr:colOff>153247</xdr:colOff>
      <xdr:row>5</xdr:row>
      <xdr:rowOff>133350</xdr:rowOff>
    </xdr:to>
    <xdr:pic>
      <xdr:nvPicPr>
        <xdr:cNvPr id="5" name="Imagen 4" descr="Macintosh HD:Users:Ministerio_de_Hacienda:Desktop:André:Libro de marca nuevo:Logos para hojas membretadas:png logos:logo dirección general de crédito publico.png">
          <a:extLst>
            <a:ext uri="{FF2B5EF4-FFF2-40B4-BE49-F238E27FC236}">
              <a16:creationId xmlns:a16="http://schemas.microsoft.com/office/drawing/2014/main" id="{27329E5F-4904-4389-9BA1-7EAC8DE9C1A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213360"/>
          <a:ext cx="1296247" cy="773430"/>
        </a:xfrm>
        <a:prstGeom prst="rect">
          <a:avLst/>
        </a:prstGeom>
        <a:noFill/>
        <a:ln>
          <a:noFill/>
        </a:ln>
      </xdr:spPr>
    </xdr:pic>
    <xdr:clientData/>
  </xdr:twoCellAnchor>
  <xdr:twoCellAnchor editAs="oneCell">
    <xdr:from>
      <xdr:col>0</xdr:col>
      <xdr:colOff>190500</xdr:colOff>
      <xdr:row>1</xdr:row>
      <xdr:rowOff>60960</xdr:rowOff>
    </xdr:from>
    <xdr:to>
      <xdr:col>1</xdr:col>
      <xdr:colOff>153247</xdr:colOff>
      <xdr:row>5</xdr:row>
      <xdr:rowOff>133350</xdr:rowOff>
    </xdr:to>
    <xdr:pic>
      <xdr:nvPicPr>
        <xdr:cNvPr id="3" name="Imagen 2" descr="Macintosh HD:Users:Ministerio_de_Hacienda:Desktop:André:Libro de marca nuevo:Logos para hojas membretadas:png logos:logo dirección general de crédito publico.png">
          <a:extLst>
            <a:ext uri="{FF2B5EF4-FFF2-40B4-BE49-F238E27FC236}">
              <a16:creationId xmlns:a16="http://schemas.microsoft.com/office/drawing/2014/main" id="{323E1F49-8F5D-4B65-B576-E9CC2D18F2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213360"/>
          <a:ext cx="1296247" cy="77343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C17AE-E2A0-4ABE-B94E-BC1B71D026DD}">
  <dimension ref="D1:Q24"/>
  <sheetViews>
    <sheetView showGridLines="0" tabSelected="1" zoomScale="85" zoomScaleNormal="85" workbookViewId="0">
      <selection activeCell="D28" sqref="D28"/>
    </sheetView>
  </sheetViews>
  <sheetFormatPr baseColWidth="10" defaultRowHeight="13.2"/>
  <cols>
    <col min="1" max="3" width="11.5546875" style="575"/>
    <col min="4" max="5" width="11.88671875" style="575" customWidth="1"/>
    <col min="6" max="16384" width="11.5546875" style="575"/>
  </cols>
  <sheetData>
    <row r="1" spans="4:17" ht="26.4" customHeight="1">
      <c r="D1" s="660" t="s">
        <v>291</v>
      </c>
      <c r="E1" s="660"/>
      <c r="F1" s="660"/>
      <c r="G1" s="660"/>
      <c r="H1" s="660"/>
      <c r="I1" s="660"/>
      <c r="J1" s="660"/>
      <c r="K1" s="660"/>
      <c r="L1" s="660"/>
      <c r="M1" s="660"/>
      <c r="N1" s="660"/>
    </row>
    <row r="2" spans="4:17" ht="28.8" customHeight="1">
      <c r="D2" s="660"/>
      <c r="E2" s="660"/>
      <c r="F2" s="660"/>
      <c r="G2" s="660"/>
      <c r="H2" s="660"/>
      <c r="I2" s="660"/>
      <c r="J2" s="660"/>
      <c r="K2" s="660"/>
      <c r="L2" s="660"/>
      <c r="M2" s="660"/>
      <c r="N2" s="660"/>
    </row>
    <row r="3" spans="4:17" ht="28.2" customHeight="1">
      <c r="D3" s="660"/>
      <c r="E3" s="660"/>
      <c r="F3" s="660"/>
      <c r="G3" s="660"/>
      <c r="H3" s="660"/>
      <c r="I3" s="660"/>
      <c r="J3" s="660"/>
      <c r="K3" s="660"/>
      <c r="L3" s="660"/>
      <c r="M3" s="660"/>
      <c r="N3" s="660"/>
    </row>
    <row r="8" spans="4:17">
      <c r="E8" s="576" t="s">
        <v>271</v>
      </c>
      <c r="F8" s="659" t="s">
        <v>242</v>
      </c>
      <c r="G8" s="659"/>
      <c r="H8" s="659"/>
      <c r="I8" s="659"/>
      <c r="J8" s="659"/>
      <c r="K8" s="659"/>
      <c r="L8" s="659"/>
      <c r="M8" s="659"/>
      <c r="N8" s="659"/>
      <c r="O8" s="659"/>
      <c r="P8" s="659"/>
      <c r="Q8" s="659"/>
    </row>
    <row r="9" spans="4:17">
      <c r="E9" s="576"/>
      <c r="F9" s="618"/>
      <c r="G9" s="618"/>
      <c r="H9" s="618"/>
      <c r="I9" s="618"/>
      <c r="J9" s="618"/>
      <c r="K9" s="618"/>
      <c r="L9" s="618"/>
      <c r="M9" s="618"/>
      <c r="N9" s="618"/>
      <c r="O9" s="618"/>
      <c r="P9" s="618"/>
      <c r="Q9" s="618"/>
    </row>
    <row r="10" spans="4:17">
      <c r="E10" s="576" t="s">
        <v>272</v>
      </c>
      <c r="F10" s="659" t="s">
        <v>243</v>
      </c>
      <c r="G10" s="659"/>
      <c r="H10" s="659"/>
      <c r="I10" s="659"/>
      <c r="J10" s="659"/>
      <c r="K10" s="659"/>
      <c r="L10" s="659"/>
      <c r="M10" s="659"/>
      <c r="N10" s="659"/>
      <c r="O10" s="659"/>
      <c r="P10" s="659"/>
      <c r="Q10" s="659"/>
    </row>
    <row r="11" spans="4:17">
      <c r="E11" s="576"/>
      <c r="F11" s="618"/>
      <c r="G11" s="618"/>
      <c r="H11" s="618"/>
      <c r="I11" s="618"/>
      <c r="J11" s="618"/>
      <c r="K11" s="618"/>
      <c r="L11" s="618"/>
      <c r="M11" s="618"/>
      <c r="N11" s="618"/>
      <c r="O11" s="618"/>
      <c r="P11" s="618"/>
      <c r="Q11" s="618"/>
    </row>
    <row r="12" spans="4:17">
      <c r="E12" s="576" t="s">
        <v>273</v>
      </c>
      <c r="F12" s="659" t="s">
        <v>108</v>
      </c>
      <c r="G12" s="659"/>
      <c r="H12" s="659"/>
      <c r="I12" s="659"/>
      <c r="J12" s="659"/>
      <c r="K12" s="659"/>
      <c r="L12" s="659"/>
      <c r="M12" s="659"/>
      <c r="N12" s="659"/>
      <c r="O12" s="659"/>
      <c r="P12" s="659"/>
      <c r="Q12" s="659"/>
    </row>
    <row r="13" spans="4:17">
      <c r="E13" s="576"/>
      <c r="F13" s="618"/>
      <c r="G13" s="618"/>
      <c r="H13" s="618"/>
      <c r="I13" s="618"/>
      <c r="J13" s="618"/>
      <c r="K13" s="618"/>
      <c r="L13" s="618"/>
      <c r="M13" s="618"/>
      <c r="N13" s="618"/>
      <c r="O13" s="618"/>
      <c r="P13" s="618"/>
      <c r="Q13" s="618"/>
    </row>
    <row r="14" spans="4:17">
      <c r="E14" s="576" t="s">
        <v>274</v>
      </c>
      <c r="F14" s="659" t="s">
        <v>245</v>
      </c>
      <c r="G14" s="659"/>
      <c r="H14" s="659"/>
      <c r="I14" s="659"/>
      <c r="J14" s="659"/>
      <c r="K14" s="659"/>
      <c r="L14" s="659"/>
      <c r="M14" s="659"/>
      <c r="N14" s="659"/>
      <c r="O14" s="659"/>
      <c r="P14" s="659"/>
      <c r="Q14" s="659"/>
    </row>
    <row r="15" spans="4:17">
      <c r="E15" s="576"/>
      <c r="F15" s="618"/>
      <c r="G15" s="618"/>
      <c r="H15" s="618"/>
      <c r="I15" s="618"/>
      <c r="J15" s="618"/>
      <c r="K15" s="618"/>
      <c r="L15" s="618"/>
      <c r="M15" s="618"/>
      <c r="N15" s="618"/>
      <c r="O15" s="618"/>
      <c r="P15" s="618"/>
      <c r="Q15" s="618"/>
    </row>
    <row r="16" spans="4:17">
      <c r="E16" s="576" t="s">
        <v>275</v>
      </c>
      <c r="F16" s="659" t="s">
        <v>246</v>
      </c>
      <c r="G16" s="659"/>
      <c r="H16" s="659"/>
      <c r="I16" s="659"/>
      <c r="J16" s="659"/>
      <c r="K16" s="659"/>
      <c r="L16" s="659"/>
      <c r="M16" s="659"/>
      <c r="N16" s="659"/>
      <c r="O16" s="659"/>
      <c r="P16" s="659"/>
      <c r="Q16" s="659"/>
    </row>
    <row r="17" spans="5:17">
      <c r="F17" s="618"/>
      <c r="G17" s="618"/>
      <c r="H17" s="618"/>
      <c r="I17" s="618"/>
      <c r="J17" s="618"/>
      <c r="K17" s="618"/>
      <c r="L17" s="618"/>
      <c r="M17" s="618"/>
      <c r="N17" s="618"/>
      <c r="O17" s="618"/>
      <c r="P17" s="618"/>
      <c r="Q17" s="618"/>
    </row>
    <row r="18" spans="5:17">
      <c r="E18" s="576" t="s">
        <v>279</v>
      </c>
      <c r="F18" s="659" t="s">
        <v>244</v>
      </c>
      <c r="G18" s="659"/>
      <c r="H18" s="659"/>
      <c r="I18" s="659"/>
      <c r="J18" s="659"/>
      <c r="K18" s="659"/>
      <c r="L18" s="659"/>
      <c r="M18" s="659"/>
      <c r="N18" s="659"/>
      <c r="O18" s="659"/>
      <c r="P18" s="659"/>
      <c r="Q18" s="659"/>
    </row>
    <row r="19" spans="5:17">
      <c r="F19" s="618"/>
      <c r="G19" s="618"/>
      <c r="H19" s="618"/>
      <c r="I19" s="618"/>
      <c r="J19" s="618"/>
      <c r="K19" s="618"/>
      <c r="L19" s="618"/>
      <c r="M19" s="618"/>
      <c r="N19" s="618"/>
      <c r="O19" s="618"/>
      <c r="P19" s="618"/>
      <c r="Q19" s="618"/>
    </row>
    <row r="20" spans="5:17">
      <c r="E20" s="576" t="s">
        <v>276</v>
      </c>
      <c r="F20" s="659" t="s">
        <v>248</v>
      </c>
      <c r="G20" s="659"/>
      <c r="H20" s="659"/>
      <c r="I20" s="659"/>
      <c r="J20" s="659"/>
      <c r="K20" s="659"/>
      <c r="L20" s="659"/>
      <c r="M20" s="659"/>
      <c r="N20" s="659"/>
      <c r="O20" s="659"/>
      <c r="P20" s="659"/>
      <c r="Q20" s="659"/>
    </row>
    <row r="21" spans="5:17">
      <c r="F21" s="618"/>
      <c r="G21" s="618"/>
      <c r="H21" s="618"/>
      <c r="I21" s="618"/>
      <c r="J21" s="618"/>
      <c r="K21" s="618"/>
      <c r="L21" s="618"/>
      <c r="M21" s="618"/>
      <c r="N21" s="618"/>
      <c r="O21" s="618"/>
      <c r="P21" s="618"/>
      <c r="Q21" s="618"/>
    </row>
    <row r="22" spans="5:17">
      <c r="E22" s="576" t="s">
        <v>277</v>
      </c>
      <c r="F22" s="659" t="s">
        <v>145</v>
      </c>
      <c r="G22" s="659"/>
      <c r="H22" s="659"/>
      <c r="I22" s="659"/>
      <c r="J22" s="659"/>
      <c r="K22" s="659"/>
      <c r="L22" s="659"/>
      <c r="M22" s="659"/>
      <c r="N22" s="659"/>
      <c r="O22" s="659"/>
      <c r="P22" s="659"/>
      <c r="Q22" s="659"/>
    </row>
    <row r="23" spans="5:17">
      <c r="F23" s="618"/>
      <c r="G23" s="618"/>
      <c r="H23" s="618"/>
      <c r="I23" s="618"/>
      <c r="J23" s="618"/>
      <c r="K23" s="618"/>
      <c r="L23" s="618"/>
      <c r="M23" s="618"/>
      <c r="N23" s="618"/>
      <c r="O23" s="618"/>
      <c r="P23" s="618"/>
      <c r="Q23" s="618"/>
    </row>
    <row r="24" spans="5:17">
      <c r="E24" s="576" t="s">
        <v>278</v>
      </c>
      <c r="F24" s="659" t="s">
        <v>92</v>
      </c>
      <c r="G24" s="659"/>
      <c r="H24" s="659"/>
      <c r="I24" s="659"/>
      <c r="J24" s="659"/>
      <c r="K24" s="659"/>
      <c r="L24" s="659"/>
      <c r="M24" s="659"/>
      <c r="N24" s="659"/>
      <c r="O24" s="659"/>
      <c r="P24" s="659"/>
      <c r="Q24" s="659"/>
    </row>
  </sheetData>
  <mergeCells count="10">
    <mergeCell ref="F18:Q18"/>
    <mergeCell ref="F20:Q20"/>
    <mergeCell ref="F22:Q22"/>
    <mergeCell ref="F24:Q24"/>
    <mergeCell ref="D1:N3"/>
    <mergeCell ref="F8:Q8"/>
    <mergeCell ref="F10:Q10"/>
    <mergeCell ref="F12:Q12"/>
    <mergeCell ref="F14:Q14"/>
    <mergeCell ref="F16:Q16"/>
  </mergeCells>
  <hyperlinks>
    <hyperlink ref="F8" location="'Anexo 1'!Área_de_impresión" display="FECHAS IMPORTANTES ASOCIADAS A LOS CONTRATOS DE PRÉSTAMO DE INVERSIÓN EN EJECUCIÓN" xr:uid="{D737F6C1-0815-4365-BE42-B6C04ECCDE6A}"/>
    <hyperlink ref="F10" location="'Anexo 2'!Área_de_impresión" display="ESTADO FINANCIERO, FÍSICO Y DE PLAZOS ASOCIADOS A LOS CRÉDITOS DE INVERSIÓN EN EJECUCIÓN" xr:uid="{98353973-B0DE-4730-B71F-F2C81F6EA66A}"/>
    <hyperlink ref="F12" location="'Anexo 3'!Área_de_impresión" display="PROGRAMACIÓN DE DESEMBOLSOS DE LOS CRÉDITOS EXTERNOS DE INVERSIÓN EN EJECUCIÓN" xr:uid="{7D45EA03-9C8B-4660-AE63-E73E6A2ED78F}"/>
    <hyperlink ref="F14" location="'Anexo 4'!Área_de_impresión" display="ESTADO FINANCIERO DE LA CONTRAPARTIDA NACIONAL/INSTITUCIONAL Y DONACIÓN ASOCIADOS A LOS CRÉDITOS DE INVERSIÓN EN EJECUCIÓN" xr:uid="{B84FE683-8903-4CFB-A75B-453620B3115E}"/>
    <hyperlink ref="F16" location="'Anexo 5'!Área_de_impresión" display="DESEMBOLSOS, AVANCE FINANCIERO Y AVANCE FISICO 2013 - I SEM 2022 DE LOS CRÉDITOS DE INVERSIÓN EN EJECUCIÓN" xr:uid="{D6B4881C-266F-4FDE-8A98-AEACCE0BBE50}"/>
    <hyperlink ref="F20" location="'Anexo 6'!Área_de_impresión" display="GESTIÓN DEL VALOR PLANIFICADO DE LOS CRÉDITOS DE INVERSIÓN EN EJECUCIÓN" xr:uid="{2FDD7A6E-C1BB-4068-A338-1AD4F3F24DFF}"/>
    <hyperlink ref="F22" location="'Anexo 7'!Área_de_impresión" display="AJUSTES EN EL MONTO TOTAL DEL PLAN DE INVERSIÓN DE LOS PROGRAMAS/PROYECTOS EN EJECUCIÓN" xr:uid="{E59DA96D-0248-46AC-8902-2BE03920BFD6}"/>
    <hyperlink ref="F24" location="'Anexo 8'!Área_de_impresión" display="PROGRAMAS DE APOYO PRESUPUESTARIO " xr:uid="{879E03BF-0087-4C27-A44D-8CB162EE5770}"/>
    <hyperlink ref="F18:Q18" location="'Anexo 5.1'!Área_de_impresión" display="CUADRO COMPARATIVO 2013 - I SEM 2022" xr:uid="{62B1220E-CC5D-44DE-9528-288E351604E4}"/>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C0F51-D469-45B8-AA93-4E6E39B24F9C}">
  <dimension ref="A1:M62"/>
  <sheetViews>
    <sheetView showGridLines="0" zoomScaleNormal="100" workbookViewId="0">
      <selection activeCell="B6" sqref="B6"/>
    </sheetView>
  </sheetViews>
  <sheetFormatPr baseColWidth="10" defaultColWidth="11" defaultRowHeight="13.8"/>
  <cols>
    <col min="1" max="1" width="19.88671875" style="556" customWidth="1"/>
    <col min="2" max="2" width="42.109375" style="556" customWidth="1"/>
    <col min="3" max="3" width="14" style="508" customWidth="1"/>
    <col min="4" max="4" width="9.77734375" style="508" customWidth="1"/>
    <col min="5" max="5" width="20.77734375" style="552" customWidth="1"/>
    <col min="6" max="6" width="7" style="508" bestFit="1" customWidth="1"/>
    <col min="7" max="7" width="12.77734375" style="508" customWidth="1"/>
    <col min="8" max="8" width="17.21875" style="508" customWidth="1"/>
    <col min="9" max="10" width="15.109375" style="508" customWidth="1"/>
    <col min="11" max="11" width="14.77734375" style="508" customWidth="1"/>
    <col min="12" max="12" width="15.88671875" style="508" customWidth="1"/>
    <col min="13" max="16384" width="11" style="508"/>
  </cols>
  <sheetData>
    <row r="1" spans="1:12" ht="25.05" customHeight="1">
      <c r="A1" s="721" t="s">
        <v>270</v>
      </c>
      <c r="B1" s="721"/>
      <c r="C1" s="721"/>
      <c r="D1" s="721"/>
      <c r="E1" s="721"/>
      <c r="F1" s="721"/>
      <c r="G1" s="721"/>
      <c r="H1" s="721"/>
      <c r="I1" s="721"/>
      <c r="J1" s="721"/>
      <c r="K1" s="721"/>
      <c r="L1" s="721"/>
    </row>
    <row r="2" spans="1:12" ht="17.399999999999999" customHeight="1">
      <c r="A2" s="722" t="s">
        <v>92</v>
      </c>
      <c r="B2" s="722"/>
      <c r="C2" s="722"/>
      <c r="D2" s="722"/>
      <c r="E2" s="722"/>
      <c r="F2" s="722"/>
      <c r="G2" s="722"/>
      <c r="H2" s="722"/>
      <c r="I2" s="722"/>
      <c r="J2" s="722"/>
      <c r="K2" s="722"/>
      <c r="L2" s="722"/>
    </row>
    <row r="3" spans="1:12" ht="15.6" customHeight="1">
      <c r="A3" s="723" t="s">
        <v>106</v>
      </c>
      <c r="B3" s="723"/>
      <c r="C3" s="723"/>
      <c r="D3" s="723"/>
      <c r="E3" s="723"/>
      <c r="F3" s="723"/>
      <c r="G3" s="723"/>
      <c r="H3" s="723"/>
      <c r="I3" s="723"/>
      <c r="J3" s="723"/>
      <c r="K3" s="723"/>
      <c r="L3" s="723"/>
    </row>
    <row r="4" spans="1:12" ht="25.05" customHeight="1" thickBot="1">
      <c r="A4" s="724">
        <f>'Anexo 1'!A5:M5</f>
        <v>44742</v>
      </c>
      <c r="B4" s="724"/>
      <c r="C4" s="724"/>
      <c r="D4" s="724"/>
      <c r="E4" s="724"/>
      <c r="F4" s="724"/>
      <c r="G4" s="724"/>
      <c r="H4" s="724"/>
      <c r="I4" s="724"/>
      <c r="J4" s="724"/>
      <c r="K4" s="724"/>
      <c r="L4" s="724"/>
    </row>
    <row r="5" spans="1:12" s="510" customFormat="1" ht="106.8" customHeight="1" thickBot="1">
      <c r="A5" s="509" t="s">
        <v>11</v>
      </c>
      <c r="B5" s="509" t="s">
        <v>38</v>
      </c>
      <c r="C5" s="509" t="s">
        <v>42</v>
      </c>
      <c r="D5" s="509" t="s">
        <v>93</v>
      </c>
      <c r="E5" s="509" t="s">
        <v>105</v>
      </c>
      <c r="F5" s="509" t="s">
        <v>18</v>
      </c>
      <c r="G5" s="509" t="s">
        <v>22</v>
      </c>
      <c r="H5" s="509" t="s">
        <v>23</v>
      </c>
      <c r="I5" s="509" t="s">
        <v>25</v>
      </c>
      <c r="J5" s="509" t="s">
        <v>94</v>
      </c>
      <c r="K5" s="509" t="s">
        <v>239</v>
      </c>
      <c r="L5" s="509" t="s">
        <v>27</v>
      </c>
    </row>
    <row r="6" spans="1:12">
      <c r="A6" s="511"/>
      <c r="B6" s="512"/>
      <c r="C6" s="513"/>
      <c r="D6" s="513"/>
      <c r="E6" s="514"/>
      <c r="F6" s="515"/>
      <c r="G6" s="515"/>
      <c r="H6" s="515"/>
      <c r="I6" s="515"/>
      <c r="J6" s="515"/>
      <c r="K6" s="515"/>
      <c r="L6" s="516"/>
    </row>
    <row r="7" spans="1:12">
      <c r="A7" s="563" t="s">
        <v>236</v>
      </c>
      <c r="B7" s="529"/>
      <c r="C7" s="562"/>
      <c r="D7" s="562"/>
      <c r="E7" s="530"/>
      <c r="F7" s="518"/>
      <c r="G7" s="518"/>
      <c r="H7" s="518"/>
      <c r="I7" s="518"/>
      <c r="J7" s="518"/>
      <c r="K7" s="518"/>
      <c r="L7" s="519"/>
    </row>
    <row r="8" spans="1:12" ht="41.4">
      <c r="A8" s="573" t="s">
        <v>237</v>
      </c>
      <c r="B8" s="521" t="s">
        <v>238</v>
      </c>
      <c r="C8" s="522" t="s">
        <v>95</v>
      </c>
      <c r="D8" s="522" t="s">
        <v>129</v>
      </c>
      <c r="E8" s="523">
        <f>150000000*'Anexo 5'!O83</f>
        <v>156330000</v>
      </c>
      <c r="F8" s="522">
        <v>10233</v>
      </c>
      <c r="G8" s="524">
        <v>44483</v>
      </c>
      <c r="H8" s="524">
        <v>44685</v>
      </c>
      <c r="I8" s="524">
        <v>45213</v>
      </c>
      <c r="J8" s="522" t="s">
        <v>5</v>
      </c>
      <c r="K8" s="574">
        <v>0</v>
      </c>
      <c r="L8" s="526">
        <v>51835</v>
      </c>
    </row>
    <row r="9" spans="1:12">
      <c r="A9" s="520"/>
      <c r="B9" s="529"/>
      <c r="C9" s="562"/>
      <c r="D9" s="562"/>
      <c r="E9" s="530"/>
      <c r="F9" s="518"/>
      <c r="G9" s="518"/>
      <c r="H9" s="518"/>
      <c r="I9" s="518"/>
      <c r="J9" s="518"/>
      <c r="K9" s="518"/>
      <c r="L9" s="519"/>
    </row>
    <row r="10" spans="1:12">
      <c r="A10" s="517" t="s">
        <v>1</v>
      </c>
      <c r="B10" s="518"/>
      <c r="C10" s="518"/>
      <c r="D10" s="518"/>
      <c r="E10" s="518"/>
      <c r="F10" s="518"/>
      <c r="G10" s="518"/>
      <c r="H10" s="518"/>
      <c r="I10" s="518"/>
      <c r="J10" s="518"/>
      <c r="K10" s="518"/>
      <c r="L10" s="519"/>
    </row>
    <row r="11" spans="1:12">
      <c r="A11" s="520">
        <v>2252</v>
      </c>
      <c r="B11" s="657" t="s">
        <v>354</v>
      </c>
      <c r="C11" s="522" t="s">
        <v>95</v>
      </c>
      <c r="D11" s="522" t="s">
        <v>129</v>
      </c>
      <c r="E11" s="523">
        <v>300000000</v>
      </c>
      <c r="F11" s="522">
        <v>9988</v>
      </c>
      <c r="G11" s="524">
        <v>44358</v>
      </c>
      <c r="H11" s="524">
        <v>44358</v>
      </c>
      <c r="I11" s="524">
        <v>44723</v>
      </c>
      <c r="J11" s="525">
        <v>44545</v>
      </c>
      <c r="K11" s="523">
        <v>300000000</v>
      </c>
      <c r="L11" s="526">
        <v>51663</v>
      </c>
    </row>
    <row r="12" spans="1:12">
      <c r="A12" s="520"/>
      <c r="B12" s="657"/>
      <c r="C12" s="522"/>
      <c r="D12" s="522"/>
      <c r="E12" s="523"/>
      <c r="F12" s="522"/>
      <c r="G12" s="524"/>
      <c r="H12" s="524"/>
      <c r="I12" s="524"/>
      <c r="J12" s="527"/>
      <c r="K12" s="523"/>
      <c r="L12" s="526"/>
    </row>
    <row r="13" spans="1:12">
      <c r="A13" s="517" t="s">
        <v>2</v>
      </c>
      <c r="B13" s="657"/>
      <c r="C13" s="522"/>
      <c r="D13" s="522"/>
      <c r="E13" s="523"/>
      <c r="F13" s="522"/>
      <c r="G13" s="524"/>
      <c r="H13" s="524"/>
      <c r="I13" s="524"/>
      <c r="J13" s="527"/>
      <c r="K13" s="523"/>
      <c r="L13" s="526"/>
    </row>
    <row r="14" spans="1:12">
      <c r="A14" s="520" t="s">
        <v>188</v>
      </c>
      <c r="B14" s="539" t="s">
        <v>189</v>
      </c>
      <c r="C14" s="523" t="s">
        <v>86</v>
      </c>
      <c r="D14" s="522" t="s">
        <v>129</v>
      </c>
      <c r="E14" s="523">
        <v>250000000</v>
      </c>
      <c r="F14" s="522">
        <v>10105</v>
      </c>
      <c r="G14" s="524">
        <v>44371</v>
      </c>
      <c r="H14" s="524">
        <v>44550</v>
      </c>
      <c r="I14" s="524">
        <v>44915</v>
      </c>
      <c r="J14" s="525">
        <v>44553</v>
      </c>
      <c r="K14" s="523">
        <v>250000000</v>
      </c>
      <c r="L14" s="526">
        <v>51855</v>
      </c>
    </row>
    <row r="15" spans="1:12">
      <c r="A15" s="520" t="s">
        <v>190</v>
      </c>
      <c r="B15" s="539" t="s">
        <v>191</v>
      </c>
      <c r="C15" s="523" t="s">
        <v>86</v>
      </c>
      <c r="D15" s="522" t="s">
        <v>129</v>
      </c>
      <c r="E15" s="523">
        <v>250000000</v>
      </c>
      <c r="F15" s="522">
        <v>10105</v>
      </c>
      <c r="G15" s="524">
        <v>44371</v>
      </c>
      <c r="H15" s="524">
        <v>44550</v>
      </c>
      <c r="I15" s="524">
        <v>44915</v>
      </c>
      <c r="J15" s="524">
        <v>44631</v>
      </c>
      <c r="K15" s="523">
        <v>250000000</v>
      </c>
      <c r="L15" s="526">
        <v>51855</v>
      </c>
    </row>
    <row r="16" spans="1:12">
      <c r="A16" s="520"/>
      <c r="B16" s="658"/>
      <c r="C16" s="522"/>
      <c r="D16" s="522"/>
      <c r="E16" s="530"/>
      <c r="F16" s="518"/>
      <c r="G16" s="518"/>
      <c r="H16" s="518"/>
      <c r="I16" s="524"/>
      <c r="J16" s="518"/>
      <c r="K16" s="518"/>
      <c r="L16" s="519"/>
    </row>
    <row r="17" spans="1:13">
      <c r="A17" s="517" t="s">
        <v>3</v>
      </c>
      <c r="B17" s="531"/>
      <c r="C17" s="527"/>
      <c r="D17" s="527"/>
      <c r="E17" s="532"/>
      <c r="F17" s="527"/>
      <c r="G17" s="533"/>
      <c r="H17" s="533"/>
      <c r="I17" s="524"/>
      <c r="J17" s="533"/>
      <c r="K17" s="533"/>
      <c r="L17" s="534"/>
      <c r="M17" s="535"/>
    </row>
    <row r="18" spans="1:13" s="552" customFormat="1">
      <c r="A18" s="536" t="s">
        <v>128</v>
      </c>
      <c r="B18" s="531" t="s">
        <v>354</v>
      </c>
      <c r="C18" s="527" t="s">
        <v>95</v>
      </c>
      <c r="D18" s="527" t="s">
        <v>129</v>
      </c>
      <c r="E18" s="523">
        <v>300000000</v>
      </c>
      <c r="F18" s="527">
        <v>9988</v>
      </c>
      <c r="G18" s="524">
        <v>44358</v>
      </c>
      <c r="H18" s="524">
        <v>44358</v>
      </c>
      <c r="I18" s="524">
        <v>44681</v>
      </c>
      <c r="J18" s="533">
        <v>44369</v>
      </c>
      <c r="K18" s="523">
        <v>300000000</v>
      </c>
      <c r="L18" s="526">
        <v>51663</v>
      </c>
      <c r="M18" s="535"/>
    </row>
    <row r="19" spans="1:13" ht="41.4">
      <c r="A19" s="536" t="s">
        <v>240</v>
      </c>
      <c r="B19" s="531" t="s">
        <v>241</v>
      </c>
      <c r="C19" s="522" t="s">
        <v>95</v>
      </c>
      <c r="D19" s="527" t="s">
        <v>129</v>
      </c>
      <c r="E19" s="523">
        <v>300000000</v>
      </c>
      <c r="F19" s="527">
        <v>10207</v>
      </c>
      <c r="G19" s="524">
        <v>44438</v>
      </c>
      <c r="H19" s="524">
        <v>44685</v>
      </c>
      <c r="I19" s="524">
        <v>44804</v>
      </c>
      <c r="J19" s="533" t="s">
        <v>5</v>
      </c>
      <c r="K19" s="523">
        <v>0</v>
      </c>
      <c r="L19" s="526">
        <v>51547</v>
      </c>
      <c r="M19" s="535"/>
    </row>
    <row r="20" spans="1:13">
      <c r="A20" s="536"/>
      <c r="B20" s="531"/>
      <c r="C20" s="522"/>
      <c r="D20" s="527"/>
      <c r="E20" s="523"/>
      <c r="F20" s="527"/>
      <c r="G20" s="524"/>
      <c r="H20" s="524"/>
      <c r="I20" s="524"/>
      <c r="J20" s="533"/>
      <c r="K20" s="523"/>
      <c r="L20" s="526"/>
      <c r="M20" s="535"/>
    </row>
    <row r="21" spans="1:13">
      <c r="A21" s="517" t="s">
        <v>192</v>
      </c>
      <c r="B21" s="531"/>
      <c r="C21" s="522"/>
      <c r="D21" s="527"/>
      <c r="E21" s="523"/>
      <c r="F21" s="527"/>
      <c r="G21" s="524"/>
      <c r="H21" s="524"/>
      <c r="I21" s="524"/>
      <c r="J21" s="533"/>
      <c r="K21" s="523"/>
      <c r="L21" s="526"/>
      <c r="M21" s="535"/>
    </row>
    <row r="22" spans="1:13" ht="27.6">
      <c r="A22" s="536" t="s">
        <v>6</v>
      </c>
      <c r="B22" s="531" t="s">
        <v>193</v>
      </c>
      <c r="C22" s="522" t="s">
        <v>95</v>
      </c>
      <c r="D22" s="527" t="s">
        <v>129</v>
      </c>
      <c r="E22" s="523">
        <v>1778000000</v>
      </c>
      <c r="F22" s="527">
        <v>10002</v>
      </c>
      <c r="G22" s="524">
        <v>44396</v>
      </c>
      <c r="H22" s="524">
        <v>44397</v>
      </c>
      <c r="I22" s="524">
        <v>45493</v>
      </c>
      <c r="J22" s="525">
        <v>44407</v>
      </c>
      <c r="K22" s="523">
        <f>293589103.31+284474398.96</f>
        <v>578063502.26999998</v>
      </c>
      <c r="L22" s="526">
        <v>48049</v>
      </c>
      <c r="M22" s="535"/>
    </row>
    <row r="23" spans="1:13">
      <c r="A23" s="537"/>
      <c r="B23" s="538"/>
      <c r="C23" s="539"/>
      <c r="D23" s="528"/>
      <c r="E23" s="532"/>
      <c r="F23" s="522"/>
      <c r="G23" s="540"/>
      <c r="H23" s="540"/>
      <c r="I23" s="540"/>
      <c r="J23" s="540"/>
      <c r="K23" s="540"/>
      <c r="L23" s="541"/>
      <c r="M23" s="535"/>
    </row>
    <row r="24" spans="1:13" s="549" customFormat="1" ht="14.4" thickBot="1">
      <c r="A24" s="542" t="s">
        <v>13</v>
      </c>
      <c r="B24" s="543"/>
      <c r="C24" s="544"/>
      <c r="D24" s="545"/>
      <c r="E24" s="546">
        <f>SUM(E8:E22)</f>
        <v>3334330000</v>
      </c>
      <c r="F24" s="547"/>
      <c r="G24" s="547"/>
      <c r="H24" s="547"/>
      <c r="I24" s="547"/>
      <c r="J24" s="547"/>
      <c r="K24" s="546">
        <f>SUM(K8:K22)</f>
        <v>1678063502.27</v>
      </c>
      <c r="L24" s="548"/>
      <c r="M24" s="535"/>
    </row>
    <row r="25" spans="1:13">
      <c r="A25" s="550"/>
      <c r="B25" s="550"/>
      <c r="C25" s="550"/>
      <c r="D25" s="550"/>
      <c r="E25" s="551"/>
      <c r="M25" s="535"/>
    </row>
    <row r="26" spans="1:13" ht="24" customHeight="1">
      <c r="A26" s="550" t="s">
        <v>139</v>
      </c>
      <c r="B26" s="550"/>
      <c r="C26" s="550"/>
      <c r="D26" s="550"/>
      <c r="M26" s="535"/>
    </row>
    <row r="27" spans="1:13" ht="12.75" customHeight="1">
      <c r="A27" s="508"/>
      <c r="B27" s="508"/>
      <c r="C27" s="518"/>
      <c r="D27" s="518"/>
      <c r="J27" s="552"/>
      <c r="M27" s="535"/>
    </row>
    <row r="28" spans="1:13" ht="28.2" customHeight="1">
      <c r="A28" s="553"/>
      <c r="B28" s="553"/>
      <c r="C28" s="518"/>
      <c r="D28" s="518"/>
      <c r="E28" s="554"/>
      <c r="M28" s="535"/>
    </row>
    <row r="29" spans="1:13" ht="28.2" customHeight="1">
      <c r="A29" s="549"/>
      <c r="B29" s="549"/>
      <c r="E29" s="555"/>
      <c r="M29" s="535"/>
    </row>
    <row r="30" spans="1:13" ht="28.2" customHeight="1">
      <c r="A30" s="549"/>
      <c r="B30" s="549"/>
      <c r="E30" s="555"/>
      <c r="M30" s="535"/>
    </row>
    <row r="31" spans="1:13" ht="28.2" customHeight="1">
      <c r="A31" s="507"/>
      <c r="C31" s="556"/>
      <c r="D31" s="556"/>
      <c r="E31" s="556"/>
      <c r="F31" s="556"/>
      <c r="G31" s="556"/>
      <c r="H31" s="556"/>
      <c r="I31" s="556"/>
      <c r="J31" s="556"/>
      <c r="K31" s="556"/>
      <c r="L31" s="556"/>
      <c r="M31" s="535"/>
    </row>
    <row r="32" spans="1:13">
      <c r="A32" s="508"/>
      <c r="M32" s="535"/>
    </row>
    <row r="33" spans="1:13">
      <c r="B33" s="508"/>
      <c r="E33" s="508"/>
      <c r="M33" s="535"/>
    </row>
    <row r="34" spans="1:13">
      <c r="M34" s="535"/>
    </row>
    <row r="35" spans="1:13">
      <c r="M35" s="535"/>
    </row>
    <row r="36" spans="1:13">
      <c r="M36" s="535"/>
    </row>
    <row r="37" spans="1:13">
      <c r="M37" s="535"/>
    </row>
    <row r="38" spans="1:13">
      <c r="A38" s="507"/>
      <c r="B38" s="507"/>
      <c r="C38" s="552"/>
      <c r="D38" s="552"/>
      <c r="F38" s="552"/>
      <c r="G38" s="552"/>
      <c r="H38" s="552"/>
      <c r="I38" s="552"/>
      <c r="J38" s="552"/>
      <c r="K38" s="552"/>
      <c r="L38" s="552"/>
      <c r="M38" s="535"/>
    </row>
    <row r="39" spans="1:13">
      <c r="A39" s="507"/>
      <c r="B39" s="507"/>
      <c r="C39" s="552"/>
      <c r="D39" s="552"/>
      <c r="F39" s="552"/>
      <c r="G39" s="552"/>
      <c r="H39" s="552"/>
      <c r="I39" s="552"/>
      <c r="J39" s="552"/>
      <c r="K39" s="552"/>
      <c r="L39" s="552"/>
      <c r="M39" s="535"/>
    </row>
    <row r="40" spans="1:13">
      <c r="A40" s="557"/>
      <c r="C40" s="556"/>
      <c r="D40" s="556"/>
      <c r="E40" s="556"/>
      <c r="F40" s="556"/>
      <c r="G40" s="556"/>
      <c r="H40" s="556"/>
      <c r="I40" s="556"/>
      <c r="J40" s="556"/>
      <c r="K40" s="556"/>
      <c r="L40" s="556"/>
      <c r="M40" s="535"/>
    </row>
    <row r="41" spans="1:13">
      <c r="A41" s="557"/>
      <c r="C41" s="556"/>
      <c r="D41" s="556"/>
      <c r="E41" s="556"/>
      <c r="F41" s="556"/>
      <c r="G41" s="556"/>
      <c r="H41" s="556"/>
      <c r="I41" s="556"/>
      <c r="J41" s="556"/>
      <c r="K41" s="556"/>
      <c r="L41" s="556"/>
      <c r="M41" s="535"/>
    </row>
    <row r="42" spans="1:13">
      <c r="A42" s="557"/>
      <c r="C42" s="556"/>
      <c r="D42" s="556"/>
      <c r="E42" s="556"/>
      <c r="F42" s="556"/>
      <c r="G42" s="556"/>
      <c r="H42" s="556"/>
      <c r="I42" s="556"/>
      <c r="J42" s="556"/>
      <c r="K42" s="556"/>
      <c r="L42" s="556"/>
      <c r="M42" s="535"/>
    </row>
    <row r="43" spans="1:13">
      <c r="A43" s="557"/>
      <c r="C43" s="556"/>
      <c r="D43" s="556"/>
      <c r="E43" s="556"/>
      <c r="F43" s="556"/>
      <c r="G43" s="556"/>
      <c r="H43" s="556"/>
      <c r="I43" s="556"/>
      <c r="J43" s="556"/>
      <c r="K43" s="556"/>
      <c r="L43" s="556"/>
      <c r="M43" s="535"/>
    </row>
    <row r="44" spans="1:13">
      <c r="A44" s="557"/>
      <c r="C44" s="556"/>
      <c r="D44" s="556"/>
      <c r="E44" s="556"/>
      <c r="F44" s="556"/>
      <c r="G44" s="556"/>
      <c r="H44" s="556"/>
      <c r="I44" s="556"/>
      <c r="J44" s="556"/>
      <c r="K44" s="556"/>
      <c r="L44" s="556"/>
      <c r="M44" s="535"/>
    </row>
    <row r="45" spans="1:13">
      <c r="A45" s="557"/>
      <c r="C45" s="556"/>
      <c r="D45" s="556"/>
      <c r="E45" s="556"/>
      <c r="F45" s="556"/>
      <c r="G45" s="556"/>
      <c r="H45" s="556"/>
      <c r="I45" s="556"/>
      <c r="J45" s="556"/>
      <c r="K45" s="556"/>
      <c r="L45" s="556"/>
      <c r="M45" s="535"/>
    </row>
    <row r="46" spans="1:13">
      <c r="A46" s="557"/>
      <c r="C46" s="556"/>
      <c r="D46" s="556"/>
      <c r="E46" s="556"/>
      <c r="F46" s="556"/>
      <c r="G46" s="556"/>
      <c r="H46" s="556"/>
      <c r="I46" s="556"/>
      <c r="J46" s="556"/>
      <c r="K46" s="556"/>
      <c r="L46" s="556"/>
      <c r="M46" s="535"/>
    </row>
    <row r="47" spans="1:13">
      <c r="B47" s="549"/>
      <c r="E47" s="555"/>
      <c r="F47" s="558"/>
      <c r="M47" s="535"/>
    </row>
    <row r="48" spans="1:13">
      <c r="A48" s="725"/>
      <c r="B48" s="725"/>
      <c r="C48" s="725"/>
      <c r="D48" s="725"/>
      <c r="E48" s="725"/>
      <c r="F48" s="725"/>
      <c r="G48" s="725"/>
      <c r="H48" s="725"/>
      <c r="I48" s="725"/>
      <c r="J48" s="725"/>
      <c r="K48" s="725"/>
      <c r="L48" s="725"/>
      <c r="M48" s="535"/>
    </row>
    <row r="49" spans="1:13">
      <c r="A49" s="549"/>
      <c r="E49" s="555"/>
      <c r="F49" s="558"/>
      <c r="M49" s="535"/>
    </row>
    <row r="50" spans="1:13">
      <c r="M50" s="535"/>
    </row>
    <row r="51" spans="1:13">
      <c r="M51" s="535"/>
    </row>
    <row r="52" spans="1:13">
      <c r="M52" s="535"/>
    </row>
    <row r="53" spans="1:13">
      <c r="M53" s="535"/>
    </row>
    <row r="54" spans="1:13">
      <c r="M54" s="535"/>
    </row>
    <row r="55" spans="1:13">
      <c r="C55" s="559"/>
      <c r="M55" s="535"/>
    </row>
    <row r="56" spans="1:13">
      <c r="M56" s="535"/>
    </row>
    <row r="57" spans="1:13">
      <c r="D57" s="560"/>
      <c r="M57" s="535"/>
    </row>
    <row r="58" spans="1:13">
      <c r="M58" s="535"/>
    </row>
    <row r="59" spans="1:13">
      <c r="D59" s="561"/>
      <c r="M59" s="535"/>
    </row>
    <row r="60" spans="1:13">
      <c r="M60" s="535"/>
    </row>
    <row r="61" spans="1:13">
      <c r="M61" s="535"/>
    </row>
    <row r="62" spans="1:13">
      <c r="M62" s="535"/>
    </row>
  </sheetData>
  <sheetProtection algorithmName="SHA-512" hashValue="huQLCpU72kubWmwjTVBLwt2E+lmCetkNgLc4XTsj/C92gw8+E+FGN65cJTrgDjXmtQa463GZEBAWW/jM7VUF8Q==" saltValue="ELUvL144RCdjyWXo5xFSkQ==" spinCount="100000" sheet="1" objects="1" scenarios="1" selectLockedCells="1" selectUnlockedCells="1"/>
  <mergeCells count="5">
    <mergeCell ref="A1:L1"/>
    <mergeCell ref="A2:L2"/>
    <mergeCell ref="A3:L3"/>
    <mergeCell ref="A4:L4"/>
    <mergeCell ref="A48:L48"/>
  </mergeCells>
  <pageMargins left="0.7" right="0.7" top="0.75" bottom="0.75" header="0.3" footer="0.3"/>
  <pageSetup paperSize="9" scale="36" orientation="portrait" r:id="rId1"/>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O71"/>
  <sheetViews>
    <sheetView showGridLines="0" showRuler="0" zoomScale="80" zoomScaleNormal="80" zoomScaleSheetLayoutView="55" zoomScalePageLayoutView="80" workbookViewId="0">
      <selection activeCell="C57" sqref="C57"/>
    </sheetView>
  </sheetViews>
  <sheetFormatPr baseColWidth="10" defaultColWidth="11" defaultRowHeight="13.8"/>
  <cols>
    <col min="1" max="1" width="17.6640625" style="38" customWidth="1"/>
    <col min="2" max="2" width="68.6640625" style="38" customWidth="1"/>
    <col min="3" max="3" width="11.109375" style="1" customWidth="1"/>
    <col min="4" max="4" width="10.6640625" style="1" customWidth="1"/>
    <col min="5" max="5" width="20.77734375" style="31" customWidth="1"/>
    <col min="6" max="7" width="11.6640625" style="1" bestFit="1" customWidth="1"/>
    <col min="8" max="8" width="10.109375" style="1" customWidth="1"/>
    <col min="9" max="9" width="17.6640625" style="1" customWidth="1"/>
    <col min="10" max="10" width="19.109375" style="1" customWidth="1"/>
    <col min="11" max="11" width="21.6640625" style="1" customWidth="1"/>
    <col min="12" max="12" width="20.77734375" style="1" customWidth="1"/>
    <col min="13" max="13" width="16" style="1" customWidth="1"/>
    <col min="14" max="16384" width="11" style="1"/>
  </cols>
  <sheetData>
    <row r="1" spans="1:15" ht="25.05" customHeight="1">
      <c r="A1" s="663"/>
      <c r="B1" s="663"/>
      <c r="C1" s="663"/>
      <c r="D1" s="663"/>
      <c r="E1" s="663"/>
      <c r="F1" s="663"/>
      <c r="G1" s="663"/>
      <c r="H1" s="663"/>
      <c r="I1" s="663"/>
      <c r="J1" s="663"/>
      <c r="K1" s="663"/>
      <c r="L1" s="663"/>
      <c r="M1" s="663"/>
    </row>
    <row r="2" spans="1:15" ht="25.05" customHeight="1">
      <c r="A2" s="665" t="s">
        <v>9</v>
      </c>
      <c r="B2" s="665"/>
      <c r="C2" s="665"/>
      <c r="D2" s="665"/>
      <c r="E2" s="665"/>
      <c r="F2" s="665"/>
      <c r="G2" s="665"/>
      <c r="H2" s="665"/>
      <c r="I2" s="665"/>
      <c r="J2" s="665"/>
      <c r="K2" s="665"/>
      <c r="L2" s="665"/>
      <c r="M2" s="665"/>
    </row>
    <row r="3" spans="1:15" ht="25.05" customHeight="1">
      <c r="A3" s="665" t="s">
        <v>242</v>
      </c>
      <c r="B3" s="665"/>
      <c r="C3" s="665"/>
      <c r="D3" s="665"/>
      <c r="E3" s="665"/>
      <c r="F3" s="665"/>
      <c r="G3" s="665"/>
      <c r="H3" s="665"/>
      <c r="I3" s="665"/>
      <c r="J3" s="665"/>
      <c r="K3" s="665"/>
      <c r="L3" s="665"/>
      <c r="M3" s="665"/>
    </row>
    <row r="4" spans="1:15" ht="25.05" customHeight="1">
      <c r="A4" s="661" t="s">
        <v>106</v>
      </c>
      <c r="B4" s="661"/>
      <c r="C4" s="661"/>
      <c r="D4" s="661"/>
      <c r="E4" s="661"/>
      <c r="F4" s="661"/>
      <c r="G4" s="661"/>
      <c r="H4" s="661"/>
      <c r="I4" s="661"/>
      <c r="J4" s="661"/>
      <c r="K4" s="661"/>
      <c r="L4" s="661"/>
      <c r="M4" s="661"/>
    </row>
    <row r="5" spans="1:15" ht="21.6" customHeight="1" thickBot="1">
      <c r="A5" s="666">
        <v>44742</v>
      </c>
      <c r="B5" s="666"/>
      <c r="C5" s="666"/>
      <c r="D5" s="666"/>
      <c r="E5" s="666"/>
      <c r="F5" s="666"/>
      <c r="G5" s="666"/>
      <c r="H5" s="666"/>
      <c r="I5" s="666"/>
      <c r="J5" s="666"/>
      <c r="K5" s="666"/>
      <c r="L5" s="666"/>
      <c r="M5" s="666"/>
    </row>
    <row r="6" spans="1:15" s="4" customFormat="1" ht="87.6" customHeight="1" thickBot="1">
      <c r="A6" s="2" t="s">
        <v>11</v>
      </c>
      <c r="B6" s="2" t="s">
        <v>38</v>
      </c>
      <c r="C6" s="2" t="s">
        <v>42</v>
      </c>
      <c r="D6" s="131" t="s">
        <v>93</v>
      </c>
      <c r="E6" s="3" t="s">
        <v>334</v>
      </c>
      <c r="F6" s="2" t="s">
        <v>22</v>
      </c>
      <c r="G6" s="2" t="s">
        <v>23</v>
      </c>
      <c r="H6" s="2" t="s">
        <v>18</v>
      </c>
      <c r="I6" s="2" t="s">
        <v>24</v>
      </c>
      <c r="J6" s="2" t="s">
        <v>25</v>
      </c>
      <c r="K6" s="2" t="s">
        <v>26</v>
      </c>
      <c r="L6" s="2" t="s">
        <v>41</v>
      </c>
      <c r="M6" s="2" t="s">
        <v>27</v>
      </c>
    </row>
    <row r="7" spans="1:15">
      <c r="A7" s="5"/>
      <c r="B7" s="6"/>
      <c r="C7" s="7"/>
      <c r="D7" s="7"/>
      <c r="E7" s="8"/>
      <c r="F7" s="9"/>
      <c r="G7" s="9"/>
      <c r="H7" s="9"/>
      <c r="I7" s="9"/>
      <c r="J7" s="9"/>
      <c r="K7" s="6"/>
      <c r="L7" s="6"/>
      <c r="M7" s="10"/>
      <c r="N7" s="336"/>
    </row>
    <row r="8" spans="1:15">
      <c r="A8" s="140" t="s">
        <v>1</v>
      </c>
      <c r="B8" s="11"/>
      <c r="C8" s="419"/>
      <c r="D8" s="141"/>
      <c r="E8" s="13"/>
      <c r="F8" s="13"/>
      <c r="G8" s="13"/>
      <c r="H8" s="13"/>
      <c r="I8" s="13"/>
      <c r="J8" s="13"/>
      <c r="K8" s="14"/>
      <c r="L8" s="14"/>
      <c r="M8" s="15"/>
      <c r="N8" s="336"/>
    </row>
    <row r="9" spans="1:15" s="16" customFormat="1" ht="29.4">
      <c r="A9" s="142">
        <v>1725</v>
      </c>
      <c r="B9" s="143" t="s">
        <v>333</v>
      </c>
      <c r="C9" s="506" t="s">
        <v>77</v>
      </c>
      <c r="D9" s="339" t="s">
        <v>141</v>
      </c>
      <c r="E9" s="328">
        <v>99453757</v>
      </c>
      <c r="F9" s="146">
        <v>39533</v>
      </c>
      <c r="G9" s="146" t="s">
        <v>5</v>
      </c>
      <c r="H9" s="147" t="s">
        <v>5</v>
      </c>
      <c r="I9" s="146">
        <v>39616</v>
      </c>
      <c r="J9" s="146">
        <v>42734</v>
      </c>
      <c r="K9" s="166">
        <v>44377</v>
      </c>
      <c r="L9" s="149">
        <v>3</v>
      </c>
      <c r="M9" s="150">
        <v>45008</v>
      </c>
      <c r="N9" s="337"/>
    </row>
    <row r="10" spans="1:15" ht="15.6">
      <c r="A10" s="142">
        <v>2080</v>
      </c>
      <c r="B10" s="416" t="s">
        <v>136</v>
      </c>
      <c r="C10" s="506" t="s">
        <v>35</v>
      </c>
      <c r="D10" s="339" t="s">
        <v>35</v>
      </c>
      <c r="E10" s="328">
        <v>340000000</v>
      </c>
      <c r="F10" s="146">
        <v>41015</v>
      </c>
      <c r="G10" s="146" t="s">
        <v>5</v>
      </c>
      <c r="H10" s="147" t="s">
        <v>5</v>
      </c>
      <c r="I10" s="146">
        <v>41257</v>
      </c>
      <c r="J10" s="146">
        <v>42884</v>
      </c>
      <c r="K10" s="166">
        <v>44345</v>
      </c>
      <c r="L10" s="149">
        <v>1</v>
      </c>
      <c r="M10" s="150">
        <v>46493</v>
      </c>
      <c r="N10" s="337"/>
    </row>
    <row r="11" spans="1:15">
      <c r="A11" s="142" t="s">
        <v>98</v>
      </c>
      <c r="B11" s="416" t="s">
        <v>104</v>
      </c>
      <c r="C11" s="506" t="s">
        <v>99</v>
      </c>
      <c r="D11" s="339" t="s">
        <v>35</v>
      </c>
      <c r="E11" s="328">
        <v>90055000</v>
      </c>
      <c r="F11" s="146">
        <v>44151</v>
      </c>
      <c r="G11" s="146" t="s">
        <v>5</v>
      </c>
      <c r="H11" s="147" t="s">
        <v>5</v>
      </c>
      <c r="I11" s="329">
        <v>44560</v>
      </c>
      <c r="J11" s="329">
        <v>46506</v>
      </c>
      <c r="K11" s="166" t="s">
        <v>5</v>
      </c>
      <c r="L11" s="149">
        <v>0</v>
      </c>
      <c r="M11" s="150">
        <v>49629</v>
      </c>
      <c r="N11" s="337"/>
    </row>
    <row r="12" spans="1:15">
      <c r="A12" s="142">
        <v>2128</v>
      </c>
      <c r="B12" s="143" t="s">
        <v>87</v>
      </c>
      <c r="C12" s="506" t="s">
        <v>0</v>
      </c>
      <c r="D12" s="339" t="s">
        <v>0</v>
      </c>
      <c r="E12" s="328">
        <v>270000000</v>
      </c>
      <c r="F12" s="146">
        <v>41646</v>
      </c>
      <c r="G12" s="146" t="s">
        <v>5</v>
      </c>
      <c r="H12" s="147" t="s">
        <v>5</v>
      </c>
      <c r="I12" s="146">
        <v>41933</v>
      </c>
      <c r="J12" s="146">
        <v>43748</v>
      </c>
      <c r="K12" s="146">
        <v>45209</v>
      </c>
      <c r="L12" s="149">
        <v>2</v>
      </c>
      <c r="M12" s="150">
        <v>49227</v>
      </c>
      <c r="N12" s="337"/>
    </row>
    <row r="13" spans="1:15" ht="27.6">
      <c r="A13" s="142">
        <v>2129</v>
      </c>
      <c r="B13" s="143" t="s">
        <v>57</v>
      </c>
      <c r="C13" s="506" t="s">
        <v>77</v>
      </c>
      <c r="D13" s="339" t="s">
        <v>141</v>
      </c>
      <c r="E13" s="328">
        <v>130000000</v>
      </c>
      <c r="F13" s="146">
        <v>42228</v>
      </c>
      <c r="G13" s="146" t="s">
        <v>5</v>
      </c>
      <c r="H13" s="147" t="s">
        <v>5</v>
      </c>
      <c r="I13" s="146">
        <v>42391</v>
      </c>
      <c r="J13" s="329">
        <v>45150</v>
      </c>
      <c r="K13" s="146" t="s">
        <v>5</v>
      </c>
      <c r="L13" s="149">
        <v>0</v>
      </c>
      <c r="M13" s="150">
        <v>47707</v>
      </c>
      <c r="N13" s="337"/>
    </row>
    <row r="14" spans="1:15" ht="27.6">
      <c r="A14" s="142">
        <v>2164</v>
      </c>
      <c r="B14" s="143" t="s">
        <v>58</v>
      </c>
      <c r="C14" s="506" t="s">
        <v>77</v>
      </c>
      <c r="D14" s="339" t="s">
        <v>141</v>
      </c>
      <c r="E14" s="328">
        <v>154562390.28999999</v>
      </c>
      <c r="F14" s="146">
        <v>43224</v>
      </c>
      <c r="G14" s="146" t="s">
        <v>5</v>
      </c>
      <c r="H14" s="147" t="s">
        <v>5</v>
      </c>
      <c r="I14" s="329">
        <v>43531</v>
      </c>
      <c r="J14" s="329">
        <v>45412</v>
      </c>
      <c r="K14" s="146" t="s">
        <v>5</v>
      </c>
      <c r="L14" s="149">
        <v>0</v>
      </c>
      <c r="M14" s="330">
        <v>50890</v>
      </c>
      <c r="N14" s="337"/>
    </row>
    <row r="15" spans="1:15" ht="27.6">
      <c r="A15" s="142" t="s">
        <v>74</v>
      </c>
      <c r="B15" s="143" t="s">
        <v>305</v>
      </c>
      <c r="C15" s="506" t="s">
        <v>77</v>
      </c>
      <c r="D15" s="339" t="s">
        <v>142</v>
      </c>
      <c r="E15" s="328">
        <v>111128810</v>
      </c>
      <c r="F15" s="146">
        <v>43592</v>
      </c>
      <c r="G15" s="146" t="s">
        <v>5</v>
      </c>
      <c r="H15" s="147" t="s">
        <v>5</v>
      </c>
      <c r="I15" s="329">
        <v>43756</v>
      </c>
      <c r="J15" s="329">
        <v>46140</v>
      </c>
      <c r="K15" s="146" t="s">
        <v>5</v>
      </c>
      <c r="L15" s="149">
        <v>0</v>
      </c>
      <c r="M15" s="330">
        <v>55271</v>
      </c>
      <c r="N15" s="337"/>
      <c r="O15" s="49"/>
    </row>
    <row r="16" spans="1:15">
      <c r="A16" s="142">
        <v>2198</v>
      </c>
      <c r="B16" s="143" t="s">
        <v>69</v>
      </c>
      <c r="C16" s="506" t="s">
        <v>78</v>
      </c>
      <c r="D16" s="339" t="s">
        <v>129</v>
      </c>
      <c r="E16" s="328">
        <v>55080000</v>
      </c>
      <c r="F16" s="146">
        <v>43472</v>
      </c>
      <c r="G16" s="146">
        <v>43643</v>
      </c>
      <c r="H16" s="147">
        <v>9690</v>
      </c>
      <c r="I16" s="329">
        <v>43796</v>
      </c>
      <c r="J16" s="329">
        <v>45103</v>
      </c>
      <c r="K16" s="146" t="s">
        <v>5</v>
      </c>
      <c r="L16" s="149">
        <v>0</v>
      </c>
      <c r="M16" s="330">
        <v>51313</v>
      </c>
      <c r="N16" s="337"/>
    </row>
    <row r="17" spans="1:14">
      <c r="A17" s="142">
        <v>2270</v>
      </c>
      <c r="B17" s="143" t="s">
        <v>182</v>
      </c>
      <c r="C17" s="506" t="s">
        <v>183</v>
      </c>
      <c r="D17" s="379" t="s">
        <v>129</v>
      </c>
      <c r="E17" s="384">
        <v>80000000</v>
      </c>
      <c r="F17" s="146">
        <v>44337</v>
      </c>
      <c r="G17" s="146">
        <v>44470</v>
      </c>
      <c r="H17" s="376">
        <v>10056</v>
      </c>
      <c r="I17" s="329">
        <v>44547</v>
      </c>
      <c r="J17" s="329">
        <v>44910</v>
      </c>
      <c r="K17" s="146" t="s">
        <v>5</v>
      </c>
      <c r="L17" s="374">
        <v>0</v>
      </c>
      <c r="M17" s="330">
        <v>51667</v>
      </c>
      <c r="N17" s="337"/>
    </row>
    <row r="18" spans="1:14" ht="27.6">
      <c r="A18" s="142">
        <v>2220</v>
      </c>
      <c r="B18" s="143" t="s">
        <v>233</v>
      </c>
      <c r="C18" s="506" t="s">
        <v>231</v>
      </c>
      <c r="D18" s="484" t="s">
        <v>129</v>
      </c>
      <c r="E18" s="492">
        <v>425000000</v>
      </c>
      <c r="F18" s="146">
        <v>44655</v>
      </c>
      <c r="G18" s="146">
        <v>44692</v>
      </c>
      <c r="H18" s="565">
        <v>10230</v>
      </c>
      <c r="I18" s="329" t="s">
        <v>184</v>
      </c>
      <c r="J18" s="329" t="s">
        <v>232</v>
      </c>
      <c r="K18" s="146" t="s">
        <v>5</v>
      </c>
      <c r="L18" s="482">
        <v>0</v>
      </c>
      <c r="M18" s="330" t="s">
        <v>331</v>
      </c>
      <c r="N18" s="337"/>
    </row>
    <row r="19" spans="1:14" s="17" customFormat="1">
      <c r="A19" s="142"/>
      <c r="B19" s="152"/>
      <c r="C19" s="187"/>
      <c r="D19" s="153"/>
      <c r="E19" s="154">
        <f>SUM(E9:E18)</f>
        <v>1755279957.29</v>
      </c>
      <c r="F19" s="166"/>
      <c r="G19" s="166"/>
      <c r="H19" s="147"/>
      <c r="I19" s="166"/>
      <c r="J19" s="166"/>
      <c r="K19" s="146"/>
      <c r="L19" s="148"/>
      <c r="M19" s="150"/>
      <c r="N19" s="337"/>
    </row>
    <row r="20" spans="1:14" s="17" customFormat="1">
      <c r="A20" s="142"/>
      <c r="B20" s="152"/>
      <c r="C20" s="187"/>
      <c r="D20" s="153"/>
      <c r="E20" s="154"/>
      <c r="F20" s="148"/>
      <c r="G20" s="148"/>
      <c r="H20" s="147"/>
      <c r="I20" s="148"/>
      <c r="J20" s="148"/>
      <c r="K20" s="155"/>
      <c r="L20" s="148"/>
      <c r="M20" s="150"/>
      <c r="N20" s="337"/>
    </row>
    <row r="21" spans="1:14">
      <c r="A21" s="156" t="s">
        <v>2</v>
      </c>
      <c r="B21" s="157"/>
      <c r="C21" s="506"/>
      <c r="D21" s="144"/>
      <c r="E21" s="158"/>
      <c r="F21" s="148"/>
      <c r="G21" s="148"/>
      <c r="H21" s="147"/>
      <c r="I21" s="148"/>
      <c r="J21" s="159"/>
      <c r="K21" s="160"/>
      <c r="L21" s="160"/>
      <c r="M21" s="19"/>
      <c r="N21" s="337"/>
    </row>
    <row r="22" spans="1:14">
      <c r="A22" s="142" t="s">
        <v>20</v>
      </c>
      <c r="B22" s="161" t="s">
        <v>112</v>
      </c>
      <c r="C22" s="113" t="s">
        <v>77</v>
      </c>
      <c r="D22" s="339" t="s">
        <v>143</v>
      </c>
      <c r="E22" s="145">
        <v>73000000</v>
      </c>
      <c r="F22" s="166">
        <v>41178</v>
      </c>
      <c r="G22" s="166">
        <v>41541</v>
      </c>
      <c r="H22" s="149">
        <v>9167</v>
      </c>
      <c r="I22" s="166">
        <v>41843</v>
      </c>
      <c r="J22" s="162">
        <v>43732</v>
      </c>
      <c r="K22" s="162">
        <v>45497</v>
      </c>
      <c r="L22" s="149">
        <v>2</v>
      </c>
      <c r="M22" s="150">
        <v>50307</v>
      </c>
      <c r="N22" s="337"/>
    </row>
    <row r="23" spans="1:14" ht="15.6">
      <c r="A23" s="164" t="s">
        <v>66</v>
      </c>
      <c r="B23" s="415" t="s">
        <v>336</v>
      </c>
      <c r="C23" s="667" t="s">
        <v>4</v>
      </c>
      <c r="D23" s="339" t="s">
        <v>129</v>
      </c>
      <c r="E23" s="145">
        <v>400000000</v>
      </c>
      <c r="F23" s="662">
        <v>41732</v>
      </c>
      <c r="G23" s="662">
        <v>41956</v>
      </c>
      <c r="H23" s="669">
        <v>9283</v>
      </c>
      <c r="I23" s="662">
        <v>42110</v>
      </c>
      <c r="J23" s="670">
        <v>44148</v>
      </c>
      <c r="K23" s="670">
        <v>44877</v>
      </c>
      <c r="L23" s="669">
        <v>1</v>
      </c>
      <c r="M23" s="671">
        <v>50498</v>
      </c>
      <c r="N23" s="337"/>
    </row>
    <row r="24" spans="1:14" ht="15.6" customHeight="1">
      <c r="A24" s="164" t="s">
        <v>53</v>
      </c>
      <c r="B24" s="415" t="s">
        <v>336</v>
      </c>
      <c r="C24" s="667"/>
      <c r="D24" s="339" t="s">
        <v>129</v>
      </c>
      <c r="E24" s="145">
        <v>50000000</v>
      </c>
      <c r="F24" s="662"/>
      <c r="G24" s="662"/>
      <c r="H24" s="669"/>
      <c r="I24" s="662"/>
      <c r="J24" s="670"/>
      <c r="K24" s="670"/>
      <c r="L24" s="669"/>
      <c r="M24" s="671"/>
      <c r="N24" s="337"/>
    </row>
    <row r="25" spans="1:14" ht="12.6" customHeight="1">
      <c r="A25" s="164" t="s">
        <v>49</v>
      </c>
      <c r="B25" s="415" t="s">
        <v>50</v>
      </c>
      <c r="C25" s="505" t="s">
        <v>54</v>
      </c>
      <c r="D25" s="339" t="s">
        <v>129</v>
      </c>
      <c r="E25" s="145">
        <v>100000000</v>
      </c>
      <c r="F25" s="166">
        <v>42355</v>
      </c>
      <c r="G25" s="166">
        <v>42886</v>
      </c>
      <c r="H25" s="149">
        <v>9451</v>
      </c>
      <c r="I25" s="166">
        <v>43083</v>
      </c>
      <c r="J25" s="162">
        <v>44712</v>
      </c>
      <c r="K25" s="162">
        <v>45443</v>
      </c>
      <c r="L25" s="149">
        <v>1</v>
      </c>
      <c r="M25" s="150">
        <v>52001</v>
      </c>
      <c r="N25" s="337"/>
    </row>
    <row r="26" spans="1:14">
      <c r="A26" s="164" t="s">
        <v>67</v>
      </c>
      <c r="B26" s="415" t="s">
        <v>68</v>
      </c>
      <c r="C26" s="505" t="s">
        <v>4</v>
      </c>
      <c r="D26" s="339" t="s">
        <v>129</v>
      </c>
      <c r="E26" s="145">
        <v>144036000</v>
      </c>
      <c r="F26" s="166">
        <v>43363</v>
      </c>
      <c r="G26" s="166">
        <v>40821</v>
      </c>
      <c r="H26" s="149">
        <v>8982</v>
      </c>
      <c r="I26" s="166">
        <v>43413</v>
      </c>
      <c r="J26" s="162">
        <v>45189</v>
      </c>
      <c r="K26" s="162" t="s">
        <v>5</v>
      </c>
      <c r="L26" s="149">
        <v>0</v>
      </c>
      <c r="M26" s="150">
        <v>54189</v>
      </c>
      <c r="N26" s="337"/>
    </row>
    <row r="27" spans="1:14">
      <c r="A27" s="167" t="s">
        <v>71</v>
      </c>
      <c r="B27" s="425" t="s">
        <v>72</v>
      </c>
      <c r="C27" s="505" t="s">
        <v>7</v>
      </c>
      <c r="D27" s="339" t="s">
        <v>144</v>
      </c>
      <c r="E27" s="145">
        <v>134500000</v>
      </c>
      <c r="F27" s="331">
        <v>43503</v>
      </c>
      <c r="G27" s="331">
        <v>43285</v>
      </c>
      <c r="H27" s="149">
        <v>9573</v>
      </c>
      <c r="I27" s="329">
        <v>43373</v>
      </c>
      <c r="J27" s="331">
        <v>45329</v>
      </c>
      <c r="K27" s="162" t="s">
        <v>5</v>
      </c>
      <c r="L27" s="149">
        <v>0</v>
      </c>
      <c r="M27" s="150">
        <v>52634</v>
      </c>
      <c r="N27" s="337"/>
    </row>
    <row r="28" spans="1:14">
      <c r="A28" s="167" t="s">
        <v>101</v>
      </c>
      <c r="B28" s="425" t="s">
        <v>102</v>
      </c>
      <c r="C28" s="505" t="s">
        <v>4</v>
      </c>
      <c r="D28" s="339" t="s">
        <v>129</v>
      </c>
      <c r="E28" s="145">
        <v>125000000</v>
      </c>
      <c r="F28" s="331">
        <v>43908</v>
      </c>
      <c r="G28" s="331">
        <v>44103</v>
      </c>
      <c r="H28" s="149">
        <v>9899</v>
      </c>
      <c r="I28" s="329">
        <v>44148</v>
      </c>
      <c r="J28" s="331">
        <v>45929</v>
      </c>
      <c r="K28" s="162" t="s">
        <v>5</v>
      </c>
      <c r="L28" s="149">
        <v>0</v>
      </c>
      <c r="M28" s="150">
        <v>53404</v>
      </c>
      <c r="N28" s="337"/>
    </row>
    <row r="29" spans="1:14">
      <c r="A29" s="167" t="s">
        <v>109</v>
      </c>
      <c r="B29" s="425" t="s">
        <v>110</v>
      </c>
      <c r="C29" s="505" t="s">
        <v>111</v>
      </c>
      <c r="D29" s="339" t="s">
        <v>129</v>
      </c>
      <c r="E29" s="145">
        <v>100000000</v>
      </c>
      <c r="F29" s="331">
        <v>43907</v>
      </c>
      <c r="G29" s="331">
        <v>44272</v>
      </c>
      <c r="H29" s="149">
        <v>9968</v>
      </c>
      <c r="I29" s="329">
        <v>44470</v>
      </c>
      <c r="J29" s="331">
        <v>46098</v>
      </c>
      <c r="K29" s="162" t="s">
        <v>5</v>
      </c>
      <c r="L29" s="149">
        <v>0</v>
      </c>
      <c r="M29" s="150">
        <v>53036</v>
      </c>
      <c r="N29" s="337"/>
    </row>
    <row r="30" spans="1:14" s="17" customFormat="1">
      <c r="A30" s="168"/>
      <c r="B30" s="169"/>
      <c r="C30" s="187"/>
      <c r="D30" s="153"/>
      <c r="E30" s="154">
        <f>SUM(E22:E29)</f>
        <v>1126536000</v>
      </c>
      <c r="F30" s="166"/>
      <c r="G30" s="166"/>
      <c r="H30" s="326"/>
      <c r="I30" s="148"/>
      <c r="J30" s="148"/>
      <c r="K30" s="20"/>
      <c r="L30" s="170"/>
      <c r="M30" s="171"/>
      <c r="N30" s="338"/>
    </row>
    <row r="31" spans="1:14">
      <c r="A31" s="172"/>
      <c r="B31" s="143"/>
      <c r="C31" s="506"/>
      <c r="D31" s="144"/>
      <c r="E31" s="158"/>
      <c r="F31" s="148"/>
      <c r="G31" s="148"/>
      <c r="H31" s="123"/>
      <c r="I31" s="148"/>
      <c r="J31" s="148"/>
      <c r="K31" s="148"/>
      <c r="L31" s="148"/>
      <c r="M31" s="19"/>
      <c r="N31" s="336"/>
    </row>
    <row r="32" spans="1:14">
      <c r="A32" s="156" t="s">
        <v>3</v>
      </c>
      <c r="B32" s="157"/>
      <c r="C32" s="506"/>
      <c r="D32" s="144"/>
      <c r="E32" s="323"/>
      <c r="F32" s="166"/>
      <c r="G32" s="166"/>
      <c r="H32" s="324"/>
      <c r="I32" s="166"/>
      <c r="J32" s="166"/>
      <c r="K32" s="160"/>
      <c r="L32" s="160"/>
      <c r="M32" s="19"/>
      <c r="N32" s="336"/>
    </row>
    <row r="33" spans="1:15" s="17" customFormat="1" ht="24.6" customHeight="1">
      <c r="A33" s="168" t="s">
        <v>46</v>
      </c>
      <c r="B33" s="413" t="s">
        <v>47</v>
      </c>
      <c r="C33" s="506" t="s">
        <v>0</v>
      </c>
      <c r="D33" s="339" t="s">
        <v>129</v>
      </c>
      <c r="E33" s="328">
        <v>420000000</v>
      </c>
      <c r="F33" s="166">
        <v>42481</v>
      </c>
      <c r="G33" s="166">
        <v>42641</v>
      </c>
      <c r="H33" s="147">
        <v>9396</v>
      </c>
      <c r="I33" s="166">
        <v>42726</v>
      </c>
      <c r="J33" s="637">
        <v>44681</v>
      </c>
      <c r="K33" s="637">
        <v>45473</v>
      </c>
      <c r="L33" s="149">
        <v>1</v>
      </c>
      <c r="M33" s="150">
        <v>54650</v>
      </c>
      <c r="N33" s="338"/>
    </row>
    <row r="34" spans="1:15" s="17" customFormat="1" ht="19.2" customHeight="1">
      <c r="A34" s="168" t="s">
        <v>96</v>
      </c>
      <c r="B34" s="173" t="s">
        <v>215</v>
      </c>
      <c r="C34" s="506" t="s">
        <v>86</v>
      </c>
      <c r="D34" s="339" t="s">
        <v>129</v>
      </c>
      <c r="E34" s="328">
        <v>156640000</v>
      </c>
      <c r="F34" s="166">
        <v>43927</v>
      </c>
      <c r="G34" s="166">
        <v>44158</v>
      </c>
      <c r="H34" s="147" t="s">
        <v>97</v>
      </c>
      <c r="I34" s="329">
        <v>44272</v>
      </c>
      <c r="J34" s="637">
        <v>46234</v>
      </c>
      <c r="K34" s="637" t="s">
        <v>5</v>
      </c>
      <c r="L34" s="149">
        <v>0</v>
      </c>
      <c r="M34" s="150">
        <v>56019</v>
      </c>
      <c r="N34" s="338"/>
      <c r="O34" s="466"/>
    </row>
    <row r="35" spans="1:15" s="17" customFormat="1">
      <c r="A35" s="168" t="s">
        <v>185</v>
      </c>
      <c r="B35" s="173" t="s">
        <v>187</v>
      </c>
      <c r="C35" s="506" t="s">
        <v>186</v>
      </c>
      <c r="D35" s="379" t="s">
        <v>129</v>
      </c>
      <c r="E35" s="384">
        <v>75100500</v>
      </c>
      <c r="F35" s="377">
        <v>44015</v>
      </c>
      <c r="G35" s="377">
        <v>44453</v>
      </c>
      <c r="H35" s="376">
        <v>10037</v>
      </c>
      <c r="I35" s="329">
        <v>44673</v>
      </c>
      <c r="J35" s="637">
        <v>46649</v>
      </c>
      <c r="K35" s="637" t="s">
        <v>5</v>
      </c>
      <c r="L35" s="374">
        <v>0</v>
      </c>
      <c r="M35" s="375">
        <v>56080</v>
      </c>
      <c r="N35" s="338"/>
    </row>
    <row r="36" spans="1:15" s="17" customFormat="1">
      <c r="A36" s="168"/>
      <c r="B36" s="413"/>
      <c r="C36" s="506"/>
      <c r="D36" s="144"/>
      <c r="E36" s="154">
        <f>SUM(E33:E35)</f>
        <v>651740500</v>
      </c>
      <c r="F36" s="166"/>
      <c r="G36" s="166"/>
      <c r="H36" s="326"/>
      <c r="I36" s="166"/>
      <c r="J36" s="166"/>
      <c r="K36" s="20"/>
      <c r="L36" s="149"/>
      <c r="M36" s="171"/>
      <c r="N36" s="338"/>
    </row>
    <row r="37" spans="1:15">
      <c r="A37" s="174"/>
      <c r="B37" s="157"/>
      <c r="C37" s="506"/>
      <c r="D37" s="144"/>
      <c r="E37" s="158"/>
      <c r="F37" s="148"/>
      <c r="G37" s="148"/>
      <c r="H37" s="123"/>
      <c r="I37" s="148"/>
      <c r="J37" s="148"/>
      <c r="K37" s="160"/>
      <c r="L37" s="149"/>
      <c r="M37" s="19"/>
      <c r="N37" s="336"/>
    </row>
    <row r="38" spans="1:15">
      <c r="A38" s="142" t="s">
        <v>34</v>
      </c>
      <c r="B38" s="157"/>
      <c r="C38" s="506"/>
      <c r="D38" s="144"/>
      <c r="E38" s="158"/>
      <c r="F38" s="148"/>
      <c r="G38" s="148"/>
      <c r="H38" s="123"/>
      <c r="I38" s="148"/>
      <c r="J38" s="148"/>
      <c r="K38" s="160"/>
      <c r="L38" s="149"/>
      <c r="M38" s="19"/>
      <c r="N38" s="336"/>
    </row>
    <row r="39" spans="1:15" ht="32.4" customHeight="1">
      <c r="A39" s="168" t="s">
        <v>37</v>
      </c>
      <c r="B39" s="157" t="s">
        <v>339</v>
      </c>
      <c r="C39" s="668" t="s">
        <v>35</v>
      </c>
      <c r="D39" s="339" t="s">
        <v>129</v>
      </c>
      <c r="E39" s="340">
        <v>90542773.120000005</v>
      </c>
      <c r="F39" s="662">
        <v>41428</v>
      </c>
      <c r="G39" s="662">
        <v>42128</v>
      </c>
      <c r="H39" s="672">
        <v>9293</v>
      </c>
      <c r="I39" s="662">
        <v>42354</v>
      </c>
      <c r="J39" s="332">
        <v>44172</v>
      </c>
      <c r="K39" s="166" t="s">
        <v>5</v>
      </c>
      <c r="L39" s="149">
        <v>0</v>
      </c>
      <c r="M39" s="150">
        <v>49939</v>
      </c>
      <c r="N39" s="336"/>
    </row>
    <row r="40" spans="1:15" ht="15.6">
      <c r="A40" s="168" t="s">
        <v>36</v>
      </c>
      <c r="B40" s="157" t="s">
        <v>340</v>
      </c>
      <c r="C40" s="668"/>
      <c r="D40" s="339" t="s">
        <v>129</v>
      </c>
      <c r="E40" s="323">
        <v>296000000</v>
      </c>
      <c r="F40" s="662"/>
      <c r="G40" s="662"/>
      <c r="H40" s="672"/>
      <c r="I40" s="662"/>
      <c r="J40" s="332">
        <v>45026</v>
      </c>
      <c r="K40" s="166" t="s">
        <v>5</v>
      </c>
      <c r="L40" s="149">
        <v>0</v>
      </c>
      <c r="M40" s="150">
        <v>50850</v>
      </c>
      <c r="N40" s="336"/>
    </row>
    <row r="41" spans="1:15">
      <c r="A41" s="168"/>
      <c r="B41" s="157"/>
      <c r="C41" s="506"/>
      <c r="D41" s="144"/>
      <c r="E41" s="154">
        <f>SUM(E39:E40)</f>
        <v>386542773.12</v>
      </c>
      <c r="F41" s="166"/>
      <c r="G41" s="166"/>
      <c r="H41" s="324"/>
      <c r="I41" s="166"/>
      <c r="J41" s="166"/>
      <c r="K41" s="166"/>
      <c r="L41" s="149"/>
      <c r="M41" s="19"/>
      <c r="N41" s="336"/>
    </row>
    <row r="42" spans="1:15">
      <c r="A42" s="174"/>
      <c r="B42" s="157"/>
      <c r="C42" s="506"/>
      <c r="D42" s="144"/>
      <c r="E42" s="158"/>
      <c r="F42" s="148"/>
      <c r="G42" s="148"/>
      <c r="H42" s="123"/>
      <c r="I42" s="148"/>
      <c r="J42" s="148"/>
      <c r="K42" s="160"/>
      <c r="L42" s="149"/>
      <c r="M42" s="19"/>
      <c r="N42" s="336"/>
    </row>
    <row r="43" spans="1:15">
      <c r="A43" s="156" t="s">
        <v>43</v>
      </c>
      <c r="B43" s="173"/>
      <c r="C43" s="506"/>
      <c r="D43" s="144"/>
      <c r="E43" s="323"/>
      <c r="F43" s="166"/>
      <c r="G43" s="166"/>
      <c r="H43" s="324"/>
      <c r="I43" s="166"/>
      <c r="J43" s="166"/>
      <c r="K43" s="160"/>
      <c r="L43" s="149"/>
      <c r="M43" s="19"/>
      <c r="N43" s="336"/>
    </row>
    <row r="44" spans="1:15" ht="15.6">
      <c r="A44" s="168" t="s">
        <v>51</v>
      </c>
      <c r="B44" s="173" t="s">
        <v>342</v>
      </c>
      <c r="C44" s="113" t="s">
        <v>7</v>
      </c>
      <c r="D44" s="163" t="s">
        <v>144</v>
      </c>
      <c r="E44" s="323">
        <f>25991000000/'Anexo 5'!O84</f>
        <v>191194644.69618949</v>
      </c>
      <c r="F44" s="166">
        <v>42906</v>
      </c>
      <c r="G44" s="166">
        <v>41855</v>
      </c>
      <c r="H44" s="149">
        <v>9254</v>
      </c>
      <c r="I44" s="166">
        <v>43007</v>
      </c>
      <c r="J44" s="160">
        <v>46292</v>
      </c>
      <c r="K44" s="175" t="s">
        <v>5</v>
      </c>
      <c r="L44" s="149">
        <v>0</v>
      </c>
      <c r="M44" s="150">
        <v>57516</v>
      </c>
      <c r="N44" s="336"/>
    </row>
    <row r="45" spans="1:15">
      <c r="A45" s="142"/>
      <c r="B45" s="173"/>
      <c r="C45" s="506"/>
      <c r="D45" s="144"/>
      <c r="E45" s="154">
        <f>SUM(E44:E44)</f>
        <v>191194644.69618949</v>
      </c>
      <c r="F45" s="166"/>
      <c r="G45" s="166"/>
      <c r="H45" s="324"/>
      <c r="I45" s="166"/>
      <c r="J45" s="166"/>
      <c r="K45" s="155"/>
      <c r="L45" s="149"/>
      <c r="M45" s="19"/>
      <c r="N45" s="336"/>
    </row>
    <row r="46" spans="1:15">
      <c r="A46" s="142"/>
      <c r="B46" s="22"/>
      <c r="C46" s="506"/>
      <c r="D46" s="144"/>
      <c r="E46" s="323"/>
      <c r="F46" s="166"/>
      <c r="G46" s="166"/>
      <c r="H46" s="324"/>
      <c r="I46" s="166"/>
      <c r="J46" s="166"/>
      <c r="K46" s="20"/>
      <c r="L46" s="149"/>
      <c r="M46" s="19"/>
      <c r="N46" s="336"/>
    </row>
    <row r="47" spans="1:15">
      <c r="A47" s="142" t="s">
        <v>80</v>
      </c>
      <c r="B47" s="22"/>
      <c r="C47" s="506"/>
      <c r="D47" s="144"/>
      <c r="E47" s="323"/>
      <c r="F47" s="166"/>
      <c r="G47" s="166"/>
      <c r="H47" s="324"/>
      <c r="I47" s="166"/>
      <c r="J47" s="166"/>
      <c r="K47" s="20"/>
      <c r="L47" s="149"/>
      <c r="M47" s="19"/>
      <c r="N47" s="336"/>
    </row>
    <row r="48" spans="1:15" ht="15.6">
      <c r="A48" s="142">
        <v>28568</v>
      </c>
      <c r="B48" s="173" t="s">
        <v>343</v>
      </c>
      <c r="C48" s="506" t="s">
        <v>77</v>
      </c>
      <c r="D48" s="339" t="s">
        <v>129</v>
      </c>
      <c r="E48" s="323">
        <f>79278591*'Anexo 5'!O83</f>
        <v>82624147.540199995</v>
      </c>
      <c r="F48" s="166">
        <v>43454</v>
      </c>
      <c r="G48" s="166">
        <v>43735</v>
      </c>
      <c r="H48" s="324">
        <v>9723</v>
      </c>
      <c r="I48" s="166">
        <v>43796</v>
      </c>
      <c r="J48" s="166">
        <v>45473</v>
      </c>
      <c r="K48" s="322" t="s">
        <v>5</v>
      </c>
      <c r="L48" s="149">
        <v>0</v>
      </c>
      <c r="M48" s="150">
        <v>50905</v>
      </c>
      <c r="N48" s="336"/>
    </row>
    <row r="49" spans="1:14">
      <c r="A49" s="142"/>
      <c r="B49" s="22"/>
      <c r="C49" s="144"/>
      <c r="D49" s="144"/>
      <c r="E49" s="154">
        <f>SUM(E48)</f>
        <v>82624147.540199995</v>
      </c>
      <c r="F49" s="166"/>
      <c r="G49" s="166"/>
      <c r="H49" s="324"/>
      <c r="I49" s="166"/>
      <c r="J49" s="166"/>
      <c r="K49" s="20"/>
      <c r="L49" s="149"/>
      <c r="M49" s="19"/>
      <c r="N49" s="336"/>
    </row>
    <row r="50" spans="1:14">
      <c r="A50" s="142"/>
      <c r="B50" s="22"/>
      <c r="C50" s="144"/>
      <c r="D50" s="144"/>
      <c r="E50" s="323"/>
      <c r="F50" s="166"/>
      <c r="G50" s="166"/>
      <c r="H50" s="324"/>
      <c r="I50" s="166"/>
      <c r="J50" s="166"/>
      <c r="K50" s="20"/>
      <c r="L50" s="149"/>
      <c r="M50" s="19"/>
      <c r="N50" s="336"/>
    </row>
    <row r="51" spans="1:14" s="17" customFormat="1" ht="20.399999999999999" customHeight="1">
      <c r="A51" s="142" t="s">
        <v>13</v>
      </c>
      <c r="B51" s="22"/>
      <c r="C51" s="176"/>
      <c r="D51" s="176"/>
      <c r="E51" s="177">
        <f>E19+E30+E36+E41+E45+E49</f>
        <v>4193918022.646389</v>
      </c>
      <c r="F51" s="137"/>
      <c r="G51" s="137"/>
      <c r="H51" s="137"/>
      <c r="I51" s="178"/>
      <c r="J51" s="137"/>
      <c r="K51" s="20"/>
      <c r="L51" s="20"/>
      <c r="M51" s="171"/>
      <c r="N51" s="338"/>
    </row>
    <row r="52" spans="1:14" s="17" customFormat="1" ht="12" customHeight="1" thickBot="1">
      <c r="A52" s="23"/>
      <c r="B52" s="24"/>
      <c r="C52" s="25"/>
      <c r="D52" s="25"/>
      <c r="E52" s="201"/>
      <c r="F52" s="26"/>
      <c r="G52" s="26"/>
      <c r="H52" s="26"/>
      <c r="I52" s="26"/>
      <c r="J52" s="26"/>
      <c r="K52" s="27"/>
      <c r="L52" s="27"/>
      <c r="M52" s="28"/>
      <c r="N52" s="338"/>
    </row>
    <row r="53" spans="1:14">
      <c r="A53" s="29"/>
      <c r="B53" s="29"/>
      <c r="C53" s="29"/>
      <c r="D53" s="29"/>
      <c r="E53" s="50"/>
    </row>
    <row r="54" spans="1:14" ht="21" customHeight="1">
      <c r="A54" s="29" t="s">
        <v>45</v>
      </c>
      <c r="B54" s="29"/>
      <c r="C54" s="29"/>
      <c r="D54" s="29"/>
      <c r="E54" s="1"/>
    </row>
    <row r="55" spans="1:14" ht="30" customHeight="1">
      <c r="A55" s="32" t="s">
        <v>84</v>
      </c>
      <c r="B55" s="32"/>
      <c r="C55" s="33"/>
      <c r="D55" s="33"/>
      <c r="E55" s="33"/>
      <c r="F55" s="34"/>
      <c r="G55" s="16"/>
      <c r="H55" s="16"/>
      <c r="I55" s="16"/>
      <c r="J55" s="16"/>
      <c r="K55" s="16"/>
      <c r="L55" s="16"/>
      <c r="M55" s="16"/>
      <c r="N55" s="16"/>
    </row>
    <row r="56" spans="1:14" ht="30" customHeight="1">
      <c r="A56" s="35" t="s">
        <v>113</v>
      </c>
      <c r="B56" s="35"/>
      <c r="C56" s="36"/>
      <c r="D56" s="36"/>
      <c r="E56" s="36"/>
      <c r="F56" s="37"/>
      <c r="G56" s="36"/>
      <c r="H56" s="36"/>
      <c r="I56" s="36"/>
      <c r="J56" s="36"/>
      <c r="K56" s="36"/>
      <c r="L56" s="36"/>
      <c r="M56" s="36"/>
      <c r="N56" s="36"/>
    </row>
    <row r="57" spans="1:14" s="98" customFormat="1" ht="30" customHeight="1">
      <c r="A57" s="180" t="s">
        <v>332</v>
      </c>
      <c r="B57" s="180"/>
      <c r="E57" s="642"/>
    </row>
    <row r="58" spans="1:14" s="98" customFormat="1" ht="30" customHeight="1">
      <c r="A58" s="180" t="s">
        <v>249</v>
      </c>
      <c r="B58" s="180"/>
      <c r="E58" s="642"/>
    </row>
    <row r="59" spans="1:14" s="98" customFormat="1" ht="30" customHeight="1">
      <c r="A59" s="180" t="s">
        <v>335</v>
      </c>
      <c r="B59" s="180"/>
      <c r="E59" s="642"/>
    </row>
    <row r="60" spans="1:14" s="98" customFormat="1" ht="30" customHeight="1">
      <c r="A60" s="333" t="s">
        <v>337</v>
      </c>
      <c r="B60" s="180"/>
      <c r="C60" s="180"/>
      <c r="D60" s="180"/>
      <c r="E60" s="180"/>
      <c r="F60" s="180"/>
      <c r="G60" s="180"/>
      <c r="H60" s="180"/>
      <c r="I60" s="180"/>
      <c r="J60" s="180"/>
      <c r="K60" s="180"/>
      <c r="L60" s="36"/>
      <c r="M60" s="36"/>
      <c r="N60" s="36"/>
    </row>
    <row r="61" spans="1:14" s="98" customFormat="1" ht="30" customHeight="1">
      <c r="A61" s="180" t="s">
        <v>338</v>
      </c>
      <c r="B61" s="180"/>
      <c r="C61" s="180"/>
      <c r="D61" s="180"/>
      <c r="E61" s="180"/>
      <c r="F61" s="180"/>
      <c r="G61" s="180"/>
      <c r="H61" s="180"/>
      <c r="I61" s="180"/>
      <c r="J61" s="180"/>
      <c r="K61" s="180"/>
      <c r="L61" s="180"/>
      <c r="M61" s="36"/>
      <c r="N61" s="36"/>
    </row>
    <row r="62" spans="1:14" s="98" customFormat="1" ht="30" customHeight="1">
      <c r="A62" s="180" t="s">
        <v>341</v>
      </c>
    </row>
    <row r="63" spans="1:14" ht="22.8" customHeight="1">
      <c r="A63" s="1"/>
      <c r="B63" s="98"/>
      <c r="C63" s="98"/>
      <c r="D63" s="98"/>
      <c r="E63" s="98"/>
      <c r="F63" s="98"/>
      <c r="G63" s="98"/>
      <c r="H63" s="98"/>
      <c r="I63" s="98"/>
      <c r="J63" s="98"/>
      <c r="K63" s="98"/>
      <c r="L63" s="98"/>
      <c r="M63" s="98"/>
      <c r="N63" s="98"/>
    </row>
    <row r="67" spans="1:14" ht="20.399999999999999" customHeight="1">
      <c r="A67" s="1"/>
    </row>
    <row r="68" spans="1:14" ht="25.8" customHeight="1"/>
    <row r="69" spans="1:14">
      <c r="A69" s="39"/>
    </row>
    <row r="70" spans="1:14">
      <c r="A70" s="664"/>
      <c r="B70" s="664"/>
      <c r="C70" s="664"/>
      <c r="D70" s="664"/>
      <c r="E70" s="664"/>
      <c r="F70" s="664"/>
      <c r="G70" s="664"/>
      <c r="H70" s="664"/>
      <c r="I70" s="664"/>
      <c r="J70" s="664"/>
      <c r="K70" s="664"/>
      <c r="L70" s="664"/>
      <c r="M70" s="664"/>
      <c r="N70" s="664"/>
    </row>
    <row r="71" spans="1:14">
      <c r="A71" s="39"/>
      <c r="B71" s="40"/>
      <c r="C71" s="41"/>
      <c r="D71" s="41"/>
      <c r="E71" s="41"/>
      <c r="F71" s="41"/>
      <c r="G71" s="41"/>
      <c r="H71" s="41"/>
      <c r="I71" s="41"/>
      <c r="J71" s="41"/>
      <c r="K71" s="41"/>
      <c r="L71" s="41"/>
      <c r="M71" s="41"/>
      <c r="N71" s="41"/>
    </row>
  </sheetData>
  <sheetProtection algorithmName="SHA-512" hashValue="8WOQS0nThzih+BCYORx0ztfGBeZSVQtHjdopDUQFqB8ZRNRprLg3i2Eh4vRhZMGumMRai3U36OmBSO6ZzRiM9A==" saltValue="UTPJEfzSE8iCm6a7XMrJzg==" spinCount="100000" sheet="1" objects="1" selectLockedCells="1" selectUnlockedCells="1"/>
  <mergeCells count="20">
    <mergeCell ref="A70:N70"/>
    <mergeCell ref="A2:M2"/>
    <mergeCell ref="A3:M3"/>
    <mergeCell ref="A5:M5"/>
    <mergeCell ref="C23:C24"/>
    <mergeCell ref="C39:C40"/>
    <mergeCell ref="H23:H24"/>
    <mergeCell ref="F23:F24"/>
    <mergeCell ref="G23:G24"/>
    <mergeCell ref="I23:I24"/>
    <mergeCell ref="J23:J24"/>
    <mergeCell ref="K23:K24"/>
    <mergeCell ref="L23:L24"/>
    <mergeCell ref="M23:M24"/>
    <mergeCell ref="H39:H40"/>
    <mergeCell ref="A4:M4"/>
    <mergeCell ref="F39:F40"/>
    <mergeCell ref="G39:G40"/>
    <mergeCell ref="I39:I40"/>
    <mergeCell ref="A1:M1"/>
  </mergeCells>
  <printOptions horizontalCentered="1" verticalCentered="1"/>
  <pageMargins left="0.15748031496062992" right="0" top="0.15748031496062992" bottom="0.39370078740157483" header="0" footer="0.39370078740157483"/>
  <pageSetup scale="36" orientation="landscape" r:id="rId1"/>
  <headerFooter alignWithMargins="0"/>
  <ignoredErrors>
    <ignoredError sqref="I20:M20 I30:M32 I41:M43 I52:M52 I39 I21 K21:M21 I37:M38 K39:L39 I19:J19 L19:M19 I45:M46 F51:G51 J51:M51 I36:M36 A40 F36:G36 F45:G46 F19:G19 F37:G38 F21:G21 F52:G52 F41:G43 F30:G32 F20:G20 H34" numberStoredAsText="1"/>
    <ignoredError sqref="E46 E5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Hoja8"/>
  <dimension ref="A1:AA76"/>
  <sheetViews>
    <sheetView showGridLines="0" zoomScale="80" zoomScaleNormal="80" zoomScaleSheetLayoutView="55" workbookViewId="0">
      <selection activeCell="J35" sqref="J35"/>
    </sheetView>
  </sheetViews>
  <sheetFormatPr baseColWidth="10" defaultColWidth="11" defaultRowHeight="13.8"/>
  <cols>
    <col min="1" max="1" width="24.5546875" style="38" customWidth="1"/>
    <col min="2" max="2" width="45.21875" style="38" bestFit="1" customWidth="1"/>
    <col min="3" max="3" width="13.33203125" style="4" customWidth="1"/>
    <col min="4" max="4" width="21.109375" style="1" customWidth="1"/>
    <col min="5" max="5" width="20.44140625" style="50" customWidth="1"/>
    <col min="6" max="6" width="19.77734375" style="30" customWidth="1"/>
    <col min="7" max="7" width="19.77734375" style="30" hidden="1" customWidth="1"/>
    <col min="8" max="8" width="22.109375" style="50" customWidth="1"/>
    <col min="9" max="9" width="10.21875" style="1" bestFit="1" customWidth="1"/>
    <col min="10" max="10" width="11.44140625" style="31" customWidth="1"/>
    <col min="11" max="11" width="13.5546875" style="1" customWidth="1"/>
    <col min="12" max="12" width="10.21875" style="1" customWidth="1"/>
    <col min="13" max="13" width="11.77734375" style="1" customWidth="1"/>
    <col min="14" max="14" width="18.88671875" style="1" bestFit="1" customWidth="1"/>
    <col min="15" max="15" width="19" style="1" bestFit="1" customWidth="1"/>
    <col min="16" max="16384" width="11" style="1"/>
  </cols>
  <sheetData>
    <row r="1" spans="1:20" ht="25.05" customHeight="1"/>
    <row r="2" spans="1:20" ht="25.05" customHeight="1">
      <c r="A2" s="665" t="s">
        <v>12</v>
      </c>
      <c r="B2" s="665"/>
      <c r="C2" s="665"/>
      <c r="D2" s="665"/>
      <c r="E2" s="665"/>
      <c r="F2" s="665"/>
      <c r="G2" s="665"/>
      <c r="H2" s="665"/>
      <c r="I2" s="665"/>
      <c r="J2" s="665"/>
      <c r="K2" s="665"/>
      <c r="L2" s="665"/>
      <c r="M2" s="665"/>
      <c r="N2" s="665"/>
      <c r="O2" s="665"/>
    </row>
    <row r="3" spans="1:20" ht="25.05" customHeight="1">
      <c r="A3" s="665" t="s">
        <v>243</v>
      </c>
      <c r="B3" s="665"/>
      <c r="C3" s="665"/>
      <c r="D3" s="665"/>
      <c r="E3" s="665"/>
      <c r="F3" s="665"/>
      <c r="G3" s="665"/>
      <c r="H3" s="665"/>
      <c r="I3" s="665"/>
      <c r="J3" s="665"/>
      <c r="K3" s="665"/>
      <c r="L3" s="665"/>
      <c r="M3" s="665"/>
      <c r="N3" s="665"/>
      <c r="O3" s="665"/>
    </row>
    <row r="4" spans="1:20" ht="25.05" customHeight="1">
      <c r="A4" s="665" t="s">
        <v>106</v>
      </c>
      <c r="B4" s="665"/>
      <c r="C4" s="665"/>
      <c r="D4" s="665"/>
      <c r="E4" s="665"/>
      <c r="F4" s="665"/>
      <c r="G4" s="665"/>
      <c r="H4" s="665"/>
      <c r="I4" s="665"/>
      <c r="J4" s="665"/>
      <c r="K4" s="665"/>
      <c r="L4" s="665"/>
      <c r="M4" s="665"/>
      <c r="N4" s="665"/>
      <c r="O4" s="665"/>
    </row>
    <row r="5" spans="1:20" s="4" customFormat="1" ht="25.05" customHeight="1" thickBot="1">
      <c r="A5" s="684">
        <f>'Anexo 1'!A5:M5</f>
        <v>44742</v>
      </c>
      <c r="B5" s="684"/>
      <c r="C5" s="684"/>
      <c r="D5" s="684"/>
      <c r="E5" s="684"/>
      <c r="F5" s="684"/>
      <c r="G5" s="684"/>
      <c r="H5" s="684"/>
      <c r="I5" s="684"/>
      <c r="J5" s="684"/>
      <c r="K5" s="684"/>
      <c r="L5" s="684"/>
      <c r="M5" s="684"/>
      <c r="N5" s="684"/>
      <c r="O5" s="684"/>
    </row>
    <row r="6" spans="1:20" s="4" customFormat="1" ht="14.4" customHeight="1" thickBot="1">
      <c r="A6" s="685" t="s">
        <v>11</v>
      </c>
      <c r="B6" s="685" t="s">
        <v>38</v>
      </c>
      <c r="C6" s="685" t="s">
        <v>42</v>
      </c>
      <c r="D6" s="685" t="s">
        <v>173</v>
      </c>
      <c r="E6" s="685" t="s">
        <v>216</v>
      </c>
      <c r="F6" s="685" t="s">
        <v>217</v>
      </c>
      <c r="G6" s="685" t="s">
        <v>218</v>
      </c>
      <c r="H6" s="685" t="s">
        <v>252</v>
      </c>
      <c r="I6" s="687" t="s">
        <v>219</v>
      </c>
      <c r="J6" s="688"/>
      <c r="K6" s="681" t="s">
        <v>8</v>
      </c>
      <c r="L6" s="682"/>
      <c r="M6" s="683"/>
      <c r="N6" s="681" t="s">
        <v>19</v>
      </c>
      <c r="O6" s="683"/>
    </row>
    <row r="7" spans="1:20" s="4" customFormat="1" ht="105" customHeight="1" thickBot="1">
      <c r="A7" s="686"/>
      <c r="B7" s="686"/>
      <c r="C7" s="686"/>
      <c r="D7" s="686"/>
      <c r="E7" s="686"/>
      <c r="F7" s="686"/>
      <c r="G7" s="686"/>
      <c r="H7" s="686"/>
      <c r="I7" s="2" t="s">
        <v>199</v>
      </c>
      <c r="J7" s="2" t="s">
        <v>200</v>
      </c>
      <c r="K7" s="2" t="s">
        <v>29</v>
      </c>
      <c r="L7" s="2" t="s">
        <v>73</v>
      </c>
      <c r="M7" s="2" t="s">
        <v>220</v>
      </c>
      <c r="N7" s="2" t="s">
        <v>30</v>
      </c>
      <c r="O7" s="2" t="s">
        <v>31</v>
      </c>
    </row>
    <row r="8" spans="1:20" ht="16.5" customHeight="1">
      <c r="A8" s="140" t="s">
        <v>1</v>
      </c>
      <c r="B8" s="11"/>
      <c r="C8" s="141"/>
      <c r="D8" s="43"/>
      <c r="E8" s="181"/>
      <c r="F8" s="181"/>
      <c r="G8" s="181"/>
      <c r="H8" s="181"/>
      <c r="I8" s="182"/>
      <c r="J8" s="183"/>
      <c r="K8" s="43"/>
      <c r="L8" s="43"/>
      <c r="M8" s="43"/>
      <c r="N8" s="43"/>
      <c r="O8" s="44"/>
    </row>
    <row r="9" spans="1:20" ht="43.2">
      <c r="A9" s="142">
        <v>1725</v>
      </c>
      <c r="B9" s="143" t="s">
        <v>114</v>
      </c>
      <c r="C9" s="130" t="s">
        <v>77</v>
      </c>
      <c r="D9" s="145">
        <f>'Anexo 1'!E9</f>
        <v>99453757</v>
      </c>
      <c r="E9" s="145">
        <v>99453757</v>
      </c>
      <c r="F9" s="158">
        <v>0</v>
      </c>
      <c r="G9" s="380">
        <f>12483757-F9</f>
        <v>12483757</v>
      </c>
      <c r="H9" s="145">
        <f t="shared" ref="H9:H18" si="0">D9-E9</f>
        <v>0</v>
      </c>
      <c r="I9" s="184">
        <f t="shared" ref="I9:I18" si="1">E9/D9</f>
        <v>1</v>
      </c>
      <c r="J9" s="184">
        <v>0.90769999999999995</v>
      </c>
      <c r="K9" s="170">
        <v>9</v>
      </c>
      <c r="L9" s="170">
        <f>+('Anexo 1'!K9-'Anexo 1'!F9)/365</f>
        <v>13.271232876712329</v>
      </c>
      <c r="M9" s="158">
        <f>($A$5-'Anexo 1'!F9)/365</f>
        <v>14.271232876712329</v>
      </c>
      <c r="N9" s="170">
        <f>('Anexo 1'!K9-'Anexo 1'!I9)/365</f>
        <v>13.043835616438356</v>
      </c>
      <c r="O9" s="185">
        <f>($A$5-'Anexo 1'!I9)/365</f>
        <v>14.043835616438356</v>
      </c>
      <c r="S9" s="126"/>
      <c r="T9" s="126"/>
    </row>
    <row r="10" spans="1:20" ht="30" customHeight="1">
      <c r="A10" s="142">
        <v>2080</v>
      </c>
      <c r="B10" s="143" t="s">
        <v>115</v>
      </c>
      <c r="C10" s="130" t="s">
        <v>35</v>
      </c>
      <c r="D10" s="145">
        <f>'Anexo 1'!E10</f>
        <v>340000000</v>
      </c>
      <c r="E10" s="571">
        <v>340000000</v>
      </c>
      <c r="F10" s="158">
        <v>0</v>
      </c>
      <c r="G10" s="380">
        <f>42672450-F10</f>
        <v>42672450</v>
      </c>
      <c r="H10" s="571">
        <f t="shared" si="0"/>
        <v>0</v>
      </c>
      <c r="I10" s="184">
        <f t="shared" si="1"/>
        <v>1</v>
      </c>
      <c r="J10" s="184">
        <v>0.98</v>
      </c>
      <c r="K10" s="170">
        <v>5</v>
      </c>
      <c r="L10" s="170">
        <f>+('Anexo 1'!K10-'Anexo 1'!F10)/365</f>
        <v>9.1232876712328768</v>
      </c>
      <c r="M10" s="158">
        <f>($A$5-'Anexo 1'!F10)/365</f>
        <v>10.210958904109589</v>
      </c>
      <c r="N10" s="170">
        <f>('Anexo 1'!K10-'Anexo 1'!I10)/365</f>
        <v>8.4602739726027405</v>
      </c>
      <c r="O10" s="185">
        <f>($A$5-'Anexo 1'!I10)/365</f>
        <v>9.5479452054794525</v>
      </c>
      <c r="S10" s="126"/>
      <c r="T10" s="126"/>
    </row>
    <row r="11" spans="1:20" ht="85.8" customHeight="1">
      <c r="A11" s="142" t="s">
        <v>98</v>
      </c>
      <c r="B11" s="143" t="s">
        <v>170</v>
      </c>
      <c r="C11" s="130" t="s">
        <v>99</v>
      </c>
      <c r="D11" s="145">
        <f>'Anexo 1'!E11</f>
        <v>90055000</v>
      </c>
      <c r="E11" s="145">
        <v>26500000</v>
      </c>
      <c r="F11" s="158">
        <v>26500000</v>
      </c>
      <c r="G11" s="380">
        <v>0</v>
      </c>
      <c r="H11" s="145">
        <f t="shared" si="0"/>
        <v>63555000</v>
      </c>
      <c r="I11" s="184">
        <f t="shared" si="1"/>
        <v>0.29426461606795845</v>
      </c>
      <c r="J11" s="184">
        <v>0.38</v>
      </c>
      <c r="K11" s="186">
        <v>5</v>
      </c>
      <c r="L11" s="170" t="s">
        <v>5</v>
      </c>
      <c r="M11" s="158">
        <f>($A$5-'Anexo 1'!F11)/365</f>
        <v>1.6191780821917807</v>
      </c>
      <c r="N11" s="567">
        <f>('Anexo 1'!J11-'Anexo 1'!I11)/365</f>
        <v>5.3315068493150681</v>
      </c>
      <c r="O11" s="577">
        <f>($A$5-'Anexo 1'!I11)/365</f>
        <v>0.49863013698630138</v>
      </c>
      <c r="S11" s="126"/>
      <c r="T11" s="126"/>
    </row>
    <row r="12" spans="1:20" ht="29.4">
      <c r="A12" s="142">
        <v>2128</v>
      </c>
      <c r="B12" s="143" t="s">
        <v>116</v>
      </c>
      <c r="C12" s="130" t="s">
        <v>0</v>
      </c>
      <c r="D12" s="145">
        <f>'Anexo 1'!E12</f>
        <v>270000000</v>
      </c>
      <c r="E12" s="145">
        <v>159800233.27000001</v>
      </c>
      <c r="F12" s="158">
        <v>26909173.879999999</v>
      </c>
      <c r="G12" s="380">
        <v>0</v>
      </c>
      <c r="H12" s="145">
        <f t="shared" si="0"/>
        <v>110199766.72999999</v>
      </c>
      <c r="I12" s="184">
        <f t="shared" si="1"/>
        <v>0.5918527158148148</v>
      </c>
      <c r="J12" s="184">
        <v>0.89890000000000003</v>
      </c>
      <c r="K12" s="170">
        <v>6</v>
      </c>
      <c r="L12" s="567">
        <f>+('Anexo 1'!K12-'Anexo 1'!F12)/365</f>
        <v>9.7616438356164377</v>
      </c>
      <c r="M12" s="158">
        <f>($A$5-'Anexo 1'!F12)/365</f>
        <v>8.4821917808219176</v>
      </c>
      <c r="N12" s="170">
        <f>('Anexo 1'!J12-'Anexo 1'!I12)/365</f>
        <v>4.9726027397260273</v>
      </c>
      <c r="O12" s="185">
        <f>($A$5-'Anexo 1'!I12)/365</f>
        <v>7.6958904109589037</v>
      </c>
      <c r="S12" s="126"/>
      <c r="T12" s="126"/>
    </row>
    <row r="13" spans="1:20" ht="41.4" customHeight="1">
      <c r="A13" s="142">
        <v>2129</v>
      </c>
      <c r="B13" s="143" t="s">
        <v>117</v>
      </c>
      <c r="C13" s="130" t="s">
        <v>77</v>
      </c>
      <c r="D13" s="145">
        <f>'Anexo 1'!E13</f>
        <v>130000000</v>
      </c>
      <c r="E13" s="145">
        <v>11200000</v>
      </c>
      <c r="F13" s="158">
        <v>3000000</v>
      </c>
      <c r="G13" s="380">
        <v>0</v>
      </c>
      <c r="H13" s="145">
        <f t="shared" si="0"/>
        <v>118800000</v>
      </c>
      <c r="I13" s="184">
        <f t="shared" si="1"/>
        <v>8.615384615384615E-2</v>
      </c>
      <c r="J13" s="184">
        <v>0.28179999999999999</v>
      </c>
      <c r="K13" s="170">
        <v>7</v>
      </c>
      <c r="L13" s="170" t="s">
        <v>5</v>
      </c>
      <c r="M13" s="158">
        <f>($A$5-'Anexo 1'!F13)/365</f>
        <v>6.8876712328767127</v>
      </c>
      <c r="N13" s="170">
        <f>('Anexo 1'!J13-'Anexo 1'!I13)/365</f>
        <v>7.558904109589041</v>
      </c>
      <c r="O13" s="185">
        <f>($A$5-'Anexo 1'!I13)/365</f>
        <v>6.441095890410959</v>
      </c>
      <c r="S13" s="126"/>
      <c r="T13" s="126"/>
    </row>
    <row r="14" spans="1:20" ht="60" customHeight="1">
      <c r="A14" s="142">
        <v>2164</v>
      </c>
      <c r="B14" s="143" t="s">
        <v>118</v>
      </c>
      <c r="C14" s="130" t="s">
        <v>77</v>
      </c>
      <c r="D14" s="145">
        <f>'Anexo 1'!E14</f>
        <v>154562390.28999999</v>
      </c>
      <c r="E14" s="145">
        <v>10967661.49</v>
      </c>
      <c r="F14" s="158">
        <v>0</v>
      </c>
      <c r="G14" s="380">
        <f>9467661.49-F14</f>
        <v>9467661.4900000002</v>
      </c>
      <c r="H14" s="145">
        <f t="shared" si="0"/>
        <v>143594728.79999998</v>
      </c>
      <c r="I14" s="184">
        <f t="shared" si="1"/>
        <v>7.0959445369742025E-2</v>
      </c>
      <c r="J14" s="184">
        <v>0.18745672259101054</v>
      </c>
      <c r="K14" s="170">
        <v>5</v>
      </c>
      <c r="L14" s="170" t="s">
        <v>5</v>
      </c>
      <c r="M14" s="158">
        <f>($A$5-'Anexo 1'!F14)/365</f>
        <v>4.1589041095890407</v>
      </c>
      <c r="N14" s="170">
        <f>('Anexo 1'!J14-'Anexo 1'!I14)/365</f>
        <v>5.1534246575342468</v>
      </c>
      <c r="O14" s="185">
        <f>($A$5-'Anexo 1'!I14)/365</f>
        <v>3.3178082191780822</v>
      </c>
      <c r="S14" s="126"/>
      <c r="T14" s="126"/>
    </row>
    <row r="15" spans="1:20" ht="47.4" customHeight="1">
      <c r="A15" s="142" t="s">
        <v>74</v>
      </c>
      <c r="B15" s="143" t="s">
        <v>306</v>
      </c>
      <c r="C15" s="130" t="str">
        <f>+'Anexo 1'!C15</f>
        <v>AyA</v>
      </c>
      <c r="D15" s="145">
        <f>'Anexo 1'!E15</f>
        <v>111128810</v>
      </c>
      <c r="E15" s="630">
        <f>1000000+1088000</f>
        <v>2088000</v>
      </c>
      <c r="F15" s="628">
        <f>1088000</f>
        <v>1088000</v>
      </c>
      <c r="G15" s="628">
        <f>1000000-F15</f>
        <v>-88000</v>
      </c>
      <c r="H15" s="630">
        <f t="shared" si="0"/>
        <v>109040810</v>
      </c>
      <c r="I15" s="629">
        <f t="shared" si="1"/>
        <v>1.8789007099059191E-2</v>
      </c>
      <c r="J15" s="629">
        <v>8.4696054401005125E-2</v>
      </c>
      <c r="K15" s="186">
        <v>5</v>
      </c>
      <c r="L15" s="170" t="s">
        <v>5</v>
      </c>
      <c r="M15" s="158">
        <f>($A$5-'Anexo 1'!F15)/365</f>
        <v>3.1506849315068495</v>
      </c>
      <c r="N15" s="189">
        <f>('Anexo 1'!J15-'Anexo 1'!I15)/365</f>
        <v>6.5315068493150683</v>
      </c>
      <c r="O15" s="191">
        <f>($A$5-'Anexo 1'!I15)/365</f>
        <v>2.7013698630136984</v>
      </c>
      <c r="S15" s="126"/>
      <c r="T15" s="126"/>
    </row>
    <row r="16" spans="1:20" ht="27.6">
      <c r="A16" s="142">
        <v>2198</v>
      </c>
      <c r="B16" s="143" t="str">
        <f>+'Anexo 1'!B16</f>
        <v>Programa de Alcantarillado y Control de Inundaciones para Limón</v>
      </c>
      <c r="C16" s="130" t="str">
        <f>+'Anexo 1'!C16</f>
        <v>AyA/SENARA</v>
      </c>
      <c r="D16" s="145">
        <f>'Anexo 1'!E16</f>
        <v>55080000</v>
      </c>
      <c r="E16" s="145">
        <v>500000</v>
      </c>
      <c r="F16" s="158">
        <v>0</v>
      </c>
      <c r="G16" s="380">
        <v>0</v>
      </c>
      <c r="H16" s="145">
        <f t="shared" si="0"/>
        <v>54580000</v>
      </c>
      <c r="I16" s="184">
        <f t="shared" si="1"/>
        <v>9.0777051561365292E-3</v>
      </c>
      <c r="J16" s="184">
        <v>0.20572993681917212</v>
      </c>
      <c r="K16" s="186">
        <v>3</v>
      </c>
      <c r="L16" s="170" t="s">
        <v>5</v>
      </c>
      <c r="M16" s="158">
        <f>($A$5-'Anexo 1'!G16)/365</f>
        <v>3.010958904109589</v>
      </c>
      <c r="N16" s="170">
        <f>('Anexo 1'!J16-'Anexo 1'!I16)/365</f>
        <v>3.580821917808219</v>
      </c>
      <c r="O16" s="185">
        <f>($A$5-'Anexo 1'!I16)/365</f>
        <v>2.591780821917808</v>
      </c>
      <c r="S16" s="126"/>
      <c r="T16" s="126"/>
    </row>
    <row r="17" spans="1:20" ht="15.6">
      <c r="A17" s="142">
        <v>2270</v>
      </c>
      <c r="B17" s="143" t="s">
        <v>194</v>
      </c>
      <c r="C17" s="379" t="str">
        <f>+'Anexo 1'!C17</f>
        <v>CNE</v>
      </c>
      <c r="D17" s="384">
        <f>'Anexo 1'!E17</f>
        <v>80000000</v>
      </c>
      <c r="E17" s="384">
        <v>79688453.540000007</v>
      </c>
      <c r="F17" s="380">
        <v>10263086</v>
      </c>
      <c r="G17" s="380">
        <v>0</v>
      </c>
      <c r="H17" s="384">
        <f t="shared" si="0"/>
        <v>311546.45999999344</v>
      </c>
      <c r="I17" s="381">
        <f t="shared" si="1"/>
        <v>0.9961056692500001</v>
      </c>
      <c r="J17" s="424" t="s">
        <v>5</v>
      </c>
      <c r="K17" s="186">
        <v>1</v>
      </c>
      <c r="L17" s="378" t="s">
        <v>5</v>
      </c>
      <c r="M17" s="380">
        <f>($A$5-'Anexo 1'!G17)/365</f>
        <v>0.74520547945205484</v>
      </c>
      <c r="N17" s="378">
        <f>('Anexo 1'!J17-'Anexo 1'!I17)/365</f>
        <v>0.9945205479452055</v>
      </c>
      <c r="O17" s="382">
        <f>($A$5-'Anexo 1'!I17)/365</f>
        <v>0.53424657534246578</v>
      </c>
      <c r="S17" s="126"/>
      <c r="T17" s="126"/>
    </row>
    <row r="18" spans="1:20" ht="38.4" customHeight="1">
      <c r="A18" s="142">
        <v>2220</v>
      </c>
      <c r="B18" s="143" t="str">
        <f>+'Anexo 1'!B18</f>
        <v>Proyecto de Abastecimiento de Agua para la Cuenca Media del río Tempisque y Comunidades Costeras (PAACUME)</v>
      </c>
      <c r="C18" s="484" t="s">
        <v>231</v>
      </c>
      <c r="D18" s="492">
        <f>'Anexo 1'!E18</f>
        <v>425000000</v>
      </c>
      <c r="E18" s="492">
        <v>0</v>
      </c>
      <c r="F18" s="485">
        <v>0</v>
      </c>
      <c r="G18" s="485"/>
      <c r="H18" s="492">
        <f t="shared" si="0"/>
        <v>425000000</v>
      </c>
      <c r="I18" s="486">
        <f t="shared" si="1"/>
        <v>0</v>
      </c>
      <c r="J18" s="486" t="s">
        <v>6</v>
      </c>
      <c r="K18" s="186">
        <v>5</v>
      </c>
      <c r="L18" s="483" t="s">
        <v>5</v>
      </c>
      <c r="M18" s="485">
        <f>($A$5-'Anexo 1'!G18)/365</f>
        <v>0.13698630136986301</v>
      </c>
      <c r="N18" s="567" t="s">
        <v>6</v>
      </c>
      <c r="O18" s="487" t="s">
        <v>6</v>
      </c>
      <c r="S18" s="126"/>
      <c r="T18" s="126"/>
    </row>
    <row r="19" spans="1:20" s="17" customFormat="1">
      <c r="A19" s="142"/>
      <c r="B19" s="152"/>
      <c r="C19" s="187"/>
      <c r="D19" s="154">
        <f>SUM(D9:D18)</f>
        <v>1755279957.29</v>
      </c>
      <c r="E19" s="154">
        <f t="shared" ref="E19:G19" si="2">SUM(E9:E18)</f>
        <v>730198105.29999995</v>
      </c>
      <c r="F19" s="154">
        <f t="shared" si="2"/>
        <v>67760259.879999995</v>
      </c>
      <c r="G19" s="154">
        <f t="shared" si="2"/>
        <v>64535868.490000002</v>
      </c>
      <c r="H19" s="154">
        <f>SUM(H9:H18)</f>
        <v>1025081851.99</v>
      </c>
      <c r="I19" s="184"/>
      <c r="J19" s="184"/>
      <c r="K19" s="20"/>
      <c r="L19" s="170"/>
      <c r="M19" s="154"/>
      <c r="N19" s="170"/>
      <c r="O19" s="185"/>
      <c r="S19" s="126"/>
      <c r="T19" s="126"/>
    </row>
    <row r="20" spans="1:20" s="17" customFormat="1">
      <c r="A20" s="142"/>
      <c r="B20" s="152"/>
      <c r="C20" s="187"/>
      <c r="D20" s="154"/>
      <c r="E20" s="154"/>
      <c r="F20" s="154"/>
      <c r="G20" s="154"/>
      <c r="H20" s="154"/>
      <c r="I20" s="184"/>
      <c r="J20" s="184"/>
      <c r="K20" s="20"/>
      <c r="L20" s="170"/>
      <c r="M20" s="154"/>
      <c r="N20" s="20"/>
      <c r="O20" s="185"/>
      <c r="S20" s="126"/>
      <c r="T20" s="126"/>
    </row>
    <row r="21" spans="1:20" ht="16.5" customHeight="1">
      <c r="A21" s="156" t="s">
        <v>2</v>
      </c>
      <c r="B21" s="157"/>
      <c r="C21" s="130"/>
      <c r="D21" s="158"/>
      <c r="E21" s="158"/>
      <c r="F21" s="158"/>
      <c r="G21" s="380"/>
      <c r="H21" s="158"/>
      <c r="I21" s="184"/>
      <c r="J21" s="184"/>
      <c r="K21" s="170"/>
      <c r="L21" s="170"/>
      <c r="M21" s="158"/>
      <c r="N21" s="170"/>
      <c r="O21" s="185"/>
      <c r="S21" s="126"/>
      <c r="T21" s="126"/>
    </row>
    <row r="22" spans="1:20">
      <c r="A22" s="142" t="s">
        <v>20</v>
      </c>
      <c r="B22" s="161" t="s">
        <v>85</v>
      </c>
      <c r="C22" s="123" t="s">
        <v>77</v>
      </c>
      <c r="D22" s="145">
        <f>'Anexo 1'!E22</f>
        <v>73000000</v>
      </c>
      <c r="E22" s="158">
        <v>59158043.780000001</v>
      </c>
      <c r="F22" s="158">
        <v>14040000</v>
      </c>
      <c r="G22" s="380">
        <v>0</v>
      </c>
      <c r="H22" s="145">
        <f t="shared" ref="H22:H29" si="3">D22-E22</f>
        <v>13841956.219999999</v>
      </c>
      <c r="I22" s="184">
        <f t="shared" ref="I22:I29" si="4">E22/D22</f>
        <v>0.81038416136986302</v>
      </c>
      <c r="J22" s="184">
        <v>0.87414313489402262</v>
      </c>
      <c r="K22" s="170">
        <v>6</v>
      </c>
      <c r="L22" s="170">
        <f>+('Anexo 1'!K22-'Anexo 1'!G22)/365</f>
        <v>10.838356164383562</v>
      </c>
      <c r="M22" s="158">
        <f>($A$5-'Anexo 1'!G22)/365</f>
        <v>8.7698630136986306</v>
      </c>
      <c r="N22" s="170">
        <f>('Anexo 1'!K22-'Anexo 1'!I22)/365</f>
        <v>10.010958904109589</v>
      </c>
      <c r="O22" s="185">
        <f>($A$5-'Anexo 1'!I22)/365</f>
        <v>7.9424657534246572</v>
      </c>
      <c r="S22" s="126"/>
      <c r="T22" s="126"/>
    </row>
    <row r="23" spans="1:20">
      <c r="A23" s="164" t="s">
        <v>66</v>
      </c>
      <c r="B23" s="157" t="s">
        <v>33</v>
      </c>
      <c r="C23" s="667" t="s">
        <v>4</v>
      </c>
      <c r="D23" s="145">
        <f>'Anexo 1'!E23</f>
        <v>400000000</v>
      </c>
      <c r="E23" s="158">
        <v>240000000</v>
      </c>
      <c r="F23" s="158">
        <v>40000000</v>
      </c>
      <c r="G23" s="380">
        <f>30000000-F23</f>
        <v>-10000000</v>
      </c>
      <c r="H23" s="145">
        <f t="shared" si="3"/>
        <v>160000000</v>
      </c>
      <c r="I23" s="184">
        <f t="shared" si="4"/>
        <v>0.6</v>
      </c>
      <c r="J23" s="676">
        <v>0.57620000000000005</v>
      </c>
      <c r="K23" s="673">
        <v>6</v>
      </c>
      <c r="L23" s="673">
        <f>+('Anexo 1'!K23-'Anexo 1'!G23)/365</f>
        <v>8.0027397260273965</v>
      </c>
      <c r="M23" s="675">
        <f>($A$5-'Anexo 1'!G23)/365</f>
        <v>7.6328767123287671</v>
      </c>
      <c r="N23" s="673">
        <f>('Anexo 1'!J23-'Anexo 1'!I23)/365</f>
        <v>5.5835616438356164</v>
      </c>
      <c r="O23" s="677">
        <f>($A$5-'Anexo 1'!I23)/365</f>
        <v>7.2109589041095887</v>
      </c>
      <c r="S23" s="126"/>
      <c r="T23" s="126"/>
    </row>
    <row r="24" spans="1:20" ht="24.6" customHeight="1">
      <c r="A24" s="164" t="s">
        <v>53</v>
      </c>
      <c r="B24" s="157" t="s">
        <v>33</v>
      </c>
      <c r="C24" s="667"/>
      <c r="D24" s="145">
        <f>'Anexo 1'!E24</f>
        <v>50000000</v>
      </c>
      <c r="E24" s="158">
        <v>20000000</v>
      </c>
      <c r="F24" s="158">
        <v>0</v>
      </c>
      <c r="G24" s="380">
        <f>5000000-F24</f>
        <v>5000000</v>
      </c>
      <c r="H24" s="145">
        <f t="shared" si="3"/>
        <v>30000000</v>
      </c>
      <c r="I24" s="184">
        <f t="shared" si="4"/>
        <v>0.4</v>
      </c>
      <c r="J24" s="676"/>
      <c r="K24" s="673"/>
      <c r="L24" s="673"/>
      <c r="M24" s="675"/>
      <c r="N24" s="673"/>
      <c r="O24" s="677"/>
      <c r="S24" s="126"/>
      <c r="T24" s="126"/>
    </row>
    <row r="25" spans="1:20" ht="29.4" customHeight="1">
      <c r="A25" s="164" t="s">
        <v>49</v>
      </c>
      <c r="B25" s="157" t="s">
        <v>50</v>
      </c>
      <c r="C25" s="123" t="s">
        <v>54</v>
      </c>
      <c r="D25" s="145">
        <f>'Anexo 1'!E25</f>
        <v>100000000</v>
      </c>
      <c r="E25" s="158">
        <v>20552698.379999999</v>
      </c>
      <c r="F25" s="158">
        <v>0</v>
      </c>
      <c r="G25" s="380">
        <v>0</v>
      </c>
      <c r="H25" s="145">
        <f t="shared" si="3"/>
        <v>79447301.620000005</v>
      </c>
      <c r="I25" s="184">
        <f t="shared" si="4"/>
        <v>0.20552698379999998</v>
      </c>
      <c r="J25" s="184">
        <v>0.369174</v>
      </c>
      <c r="K25" s="170">
        <v>5</v>
      </c>
      <c r="L25" s="567">
        <f>+('Anexo 1'!K25-'Anexo 1'!G25)/365</f>
        <v>7.0054794520547947</v>
      </c>
      <c r="M25" s="158">
        <f>($A$5-'Anexo 1'!G25)/365</f>
        <v>5.0849315068493155</v>
      </c>
      <c r="N25" s="170">
        <f>('Anexo 1'!J25-'Anexo 1'!I25)/365</f>
        <v>4.463013698630137</v>
      </c>
      <c r="O25" s="185">
        <f>($A$5-'Anexo 1'!I25)/365</f>
        <v>4.5452054794520551</v>
      </c>
      <c r="S25" s="126"/>
      <c r="T25" s="126"/>
    </row>
    <row r="26" spans="1:20" ht="15.6">
      <c r="A26" s="164" t="s">
        <v>67</v>
      </c>
      <c r="B26" s="157" t="s">
        <v>210</v>
      </c>
      <c r="C26" s="123" t="s">
        <v>4</v>
      </c>
      <c r="D26" s="145">
        <f>'Anexo 1'!E26</f>
        <v>144036000</v>
      </c>
      <c r="E26" s="158">
        <v>61989292.43</v>
      </c>
      <c r="F26" s="158">
        <v>7664808.1200000001</v>
      </c>
      <c r="G26" s="380">
        <v>0</v>
      </c>
      <c r="H26" s="145">
        <f t="shared" si="3"/>
        <v>82046707.569999993</v>
      </c>
      <c r="I26" s="184">
        <f t="shared" si="4"/>
        <v>0.43037360402954816</v>
      </c>
      <c r="J26" s="184">
        <v>0.52</v>
      </c>
      <c r="K26" s="170">
        <v>5</v>
      </c>
      <c r="L26" s="170" t="s">
        <v>5</v>
      </c>
      <c r="M26" s="158">
        <f>($A$5-'Anexo 1'!F26)/365</f>
        <v>3.7780821917808218</v>
      </c>
      <c r="N26" s="170">
        <f>('Anexo 1'!J26-'Anexo 1'!I26)/365</f>
        <v>4.8657534246575347</v>
      </c>
      <c r="O26" s="185">
        <f>($A$5-'Anexo 1'!I26)/365</f>
        <v>3.6410958904109587</v>
      </c>
      <c r="S26" s="126"/>
      <c r="T26" s="126"/>
    </row>
    <row r="27" spans="1:20" ht="27.6">
      <c r="A27" s="164" t="str">
        <f>+'Anexo 1'!A27</f>
        <v>3589/OC-CR</v>
      </c>
      <c r="B27" s="157" t="s">
        <v>72</v>
      </c>
      <c r="C27" s="130" t="str">
        <f>+'Anexo 1'!C27</f>
        <v>ICE</v>
      </c>
      <c r="D27" s="145">
        <f>+'Anexo 1'!E27</f>
        <v>134500000</v>
      </c>
      <c r="E27" s="158">
        <v>53563456.840000004</v>
      </c>
      <c r="F27" s="158">
        <v>0</v>
      </c>
      <c r="G27" s="380">
        <v>0</v>
      </c>
      <c r="H27" s="145">
        <f t="shared" si="3"/>
        <v>80936543.159999996</v>
      </c>
      <c r="I27" s="184">
        <f t="shared" si="4"/>
        <v>0.39824131479553904</v>
      </c>
      <c r="J27" s="404">
        <v>0.5706</v>
      </c>
      <c r="K27" s="170">
        <v>5</v>
      </c>
      <c r="L27" s="170" t="s">
        <v>5</v>
      </c>
      <c r="M27" s="158">
        <f>($A$5-'Anexo 1'!F27)/365</f>
        <v>3.3945205479452056</v>
      </c>
      <c r="N27" s="170">
        <f>('Anexo 1'!J27-'Anexo 1'!I27)/365</f>
        <v>5.3589041095890408</v>
      </c>
      <c r="O27" s="185">
        <f>($A$5-'Anexo 1'!I27)/365</f>
        <v>3.7506849315068491</v>
      </c>
      <c r="S27" s="126"/>
      <c r="T27" s="126"/>
    </row>
    <row r="28" spans="1:20" ht="27.6">
      <c r="A28" s="164" t="str">
        <f>+'Anexo 1'!A28</f>
        <v>4864/OC-CR</v>
      </c>
      <c r="B28" s="157" t="str">
        <f>+'Anexo 1'!B28</f>
        <v xml:space="preserve">Programa de Infraestructura Vial y Promoción de Asociaciones Público-Privadas </v>
      </c>
      <c r="C28" s="130" t="str">
        <f>+'Anexo 1'!C28</f>
        <v>MOPT</v>
      </c>
      <c r="D28" s="145">
        <f>+'Anexo 1'!E28</f>
        <v>125000000</v>
      </c>
      <c r="E28" s="158">
        <v>20000000</v>
      </c>
      <c r="F28" s="158">
        <v>0</v>
      </c>
      <c r="G28" s="380">
        <f>20000000-F28</f>
        <v>20000000</v>
      </c>
      <c r="H28" s="145">
        <f t="shared" si="3"/>
        <v>105000000</v>
      </c>
      <c r="I28" s="463">
        <f t="shared" si="4"/>
        <v>0.16</v>
      </c>
      <c r="J28" s="463">
        <v>0.42899999999999999</v>
      </c>
      <c r="K28" s="170">
        <v>5</v>
      </c>
      <c r="L28" s="170" t="s">
        <v>5</v>
      </c>
      <c r="M28" s="158">
        <f>($A$5-'Anexo 1'!G28)/365</f>
        <v>1.7506849315068493</v>
      </c>
      <c r="N28" s="189">
        <f>('Anexo 1'!J28-'Anexo 1'!I28)/365</f>
        <v>4.8794520547945206</v>
      </c>
      <c r="O28" s="191">
        <f>($A$5-'Anexo 1'!I28)/365</f>
        <v>1.6273972602739726</v>
      </c>
      <c r="S28" s="126"/>
      <c r="T28" s="126"/>
    </row>
    <row r="29" spans="1:20">
      <c r="A29" s="164" t="str">
        <f>+'Anexo 1'!A29</f>
        <v>4871/OC-CR</v>
      </c>
      <c r="B29" s="157" t="str">
        <f>+'Anexo 1'!B29</f>
        <v>Programa de Seguridad Ciudadana y Prevención de Violencia</v>
      </c>
      <c r="C29" s="194" t="str">
        <f>+'Anexo 1'!C29</f>
        <v>MJP</v>
      </c>
      <c r="D29" s="225">
        <f>+'Anexo 1'!E29</f>
        <v>100000000</v>
      </c>
      <c r="E29" s="190">
        <v>850000</v>
      </c>
      <c r="F29" s="190">
        <v>0</v>
      </c>
      <c r="G29" s="380">
        <v>0</v>
      </c>
      <c r="H29" s="225">
        <f t="shared" si="3"/>
        <v>99150000</v>
      </c>
      <c r="I29" s="184">
        <f t="shared" si="4"/>
        <v>8.5000000000000006E-3</v>
      </c>
      <c r="J29" s="184">
        <v>3.1737020438000002E-2</v>
      </c>
      <c r="K29" s="189">
        <v>5</v>
      </c>
      <c r="L29" s="189" t="s">
        <v>5</v>
      </c>
      <c r="M29" s="190">
        <f>($A$5-'Anexo 1'!G29)/365</f>
        <v>1.2876712328767124</v>
      </c>
      <c r="N29" s="402">
        <f>('Anexo 1'!J29-'Anexo 1'!I29)/365</f>
        <v>4.4602739726027396</v>
      </c>
      <c r="O29" s="405">
        <f>($A$5-'Anexo 1'!I29)/365</f>
        <v>0.74520547945205484</v>
      </c>
      <c r="S29" s="126"/>
      <c r="T29" s="126"/>
    </row>
    <row r="30" spans="1:20" s="17" customFormat="1">
      <c r="A30" s="164"/>
      <c r="B30" s="169"/>
      <c r="C30" s="192"/>
      <c r="D30" s="334">
        <f>SUM(D22:D29)</f>
        <v>1126536000</v>
      </c>
      <c r="E30" s="334">
        <f>SUM(E22:E29)</f>
        <v>476113491.42999995</v>
      </c>
      <c r="F30" s="334">
        <f>SUM(F22:F29)</f>
        <v>61704808.119999997</v>
      </c>
      <c r="G30" s="334">
        <f>SUM(G22:G29)</f>
        <v>15000000</v>
      </c>
      <c r="H30" s="334">
        <f>SUM(H22:H29)</f>
        <v>650422508.57000005</v>
      </c>
      <c r="I30" s="45"/>
      <c r="J30" s="45"/>
      <c r="K30" s="20"/>
      <c r="L30" s="20"/>
      <c r="M30" s="158"/>
      <c r="N30" s="170"/>
      <c r="O30" s="193"/>
      <c r="S30" s="126"/>
      <c r="T30" s="126"/>
    </row>
    <row r="31" spans="1:20" ht="11.25" customHeight="1">
      <c r="A31" s="172"/>
      <c r="B31" s="143"/>
      <c r="C31" s="130"/>
      <c r="D31" s="158"/>
      <c r="E31" s="158"/>
      <c r="F31" s="158"/>
      <c r="G31" s="380"/>
      <c r="H31" s="158"/>
      <c r="I31" s="184"/>
      <c r="J31" s="184"/>
      <c r="K31" s="170"/>
      <c r="L31" s="170"/>
      <c r="M31" s="158"/>
      <c r="N31" s="170"/>
      <c r="O31" s="185"/>
      <c r="S31" s="126"/>
      <c r="T31" s="126"/>
    </row>
    <row r="32" spans="1:20" ht="16.5" customHeight="1">
      <c r="A32" s="156" t="s">
        <v>3</v>
      </c>
      <c r="B32" s="157"/>
      <c r="C32" s="130"/>
      <c r="D32" s="158"/>
      <c r="E32" s="145"/>
      <c r="F32" s="158"/>
      <c r="G32" s="380"/>
      <c r="H32" s="145"/>
      <c r="I32" s="184"/>
      <c r="J32" s="184"/>
      <c r="K32" s="170"/>
      <c r="L32" s="170"/>
      <c r="M32" s="158"/>
      <c r="N32" s="170"/>
      <c r="O32" s="185"/>
      <c r="S32" s="126"/>
      <c r="T32" s="126"/>
    </row>
    <row r="33" spans="1:20" s="17" customFormat="1" ht="29.4">
      <c r="A33" s="168" t="s">
        <v>46</v>
      </c>
      <c r="B33" s="173" t="s">
        <v>195</v>
      </c>
      <c r="C33" s="130" t="s">
        <v>0</v>
      </c>
      <c r="D33" s="145">
        <f>'Anexo 1'!E33</f>
        <v>420000000</v>
      </c>
      <c r="E33" s="158">
        <v>390000000</v>
      </c>
      <c r="F33" s="158">
        <v>0</v>
      </c>
      <c r="G33" s="380">
        <v>0</v>
      </c>
      <c r="H33" s="145">
        <f>D33-E33</f>
        <v>30000000</v>
      </c>
      <c r="I33" s="184">
        <f>E33/D33</f>
        <v>0.9285714285714286</v>
      </c>
      <c r="J33" s="184">
        <v>0.93500000000000005</v>
      </c>
      <c r="K33" s="170">
        <v>6</v>
      </c>
      <c r="L33" s="567">
        <f>+('Anexo 1'!K33-'Anexo 1'!G33)/365</f>
        <v>7.7589041095890412</v>
      </c>
      <c r="M33" s="158">
        <f>($A$5-'Anexo 1'!G33)/365</f>
        <v>5.7561643835616438</v>
      </c>
      <c r="N33" s="170">
        <f>('Anexo 1'!J33-'Anexo 1'!I33)/365</f>
        <v>5.3561643835616435</v>
      </c>
      <c r="O33" s="185">
        <f>($A$5-'Anexo 1'!I33)/365</f>
        <v>5.5232876712328771</v>
      </c>
      <c r="S33" s="126"/>
      <c r="T33" s="126"/>
    </row>
    <row r="34" spans="1:20" s="17" customFormat="1" ht="28.2" customHeight="1">
      <c r="A34" s="164" t="str">
        <f>+'Anexo 1'!A34</f>
        <v>9075-CR</v>
      </c>
      <c r="B34" s="173" t="s">
        <v>215</v>
      </c>
      <c r="C34" s="130" t="s">
        <v>86</v>
      </c>
      <c r="D34" s="145">
        <f>'Anexo 1'!E34</f>
        <v>156640000</v>
      </c>
      <c r="E34" s="158">
        <v>5352750</v>
      </c>
      <c r="F34" s="158">
        <v>2114200</v>
      </c>
      <c r="G34" s="380">
        <f>3238550-F34</f>
        <v>1124350</v>
      </c>
      <c r="H34" s="145">
        <f>D34-E34</f>
        <v>151287250</v>
      </c>
      <c r="I34" s="184">
        <f>E34/D34</f>
        <v>3.4172305924412665E-2</v>
      </c>
      <c r="J34" s="428">
        <v>4.6699999999999998E-2</v>
      </c>
      <c r="K34" s="461">
        <v>6</v>
      </c>
      <c r="L34" s="170" t="s">
        <v>5</v>
      </c>
      <c r="M34" s="158">
        <f>($A$5-'Anexo 1'!G34)/365</f>
        <v>1.6</v>
      </c>
      <c r="N34" s="189">
        <f>('Anexo 1'!J34-'Anexo 1'!I34)/365</f>
        <v>5.375342465753425</v>
      </c>
      <c r="O34" s="191">
        <f>($A$5-'Anexo 1'!I34)/365</f>
        <v>1.2876712328767124</v>
      </c>
      <c r="S34" s="126"/>
      <c r="T34" s="126"/>
    </row>
    <row r="35" spans="1:20" s="17" customFormat="1" ht="27.6">
      <c r="A35" s="168" t="s">
        <v>185</v>
      </c>
      <c r="B35" s="173" t="s">
        <v>187</v>
      </c>
      <c r="C35" s="379" t="s">
        <v>186</v>
      </c>
      <c r="D35" s="384">
        <f>'Anexo 1'!E35</f>
        <v>75100500</v>
      </c>
      <c r="E35" s="380">
        <v>187751.25</v>
      </c>
      <c r="F35" s="403">
        <v>0</v>
      </c>
      <c r="G35" s="380">
        <v>0</v>
      </c>
      <c r="H35" s="384">
        <f>D35-E35</f>
        <v>74912748.75</v>
      </c>
      <c r="I35" s="404">
        <f>E35/D35</f>
        <v>2.5000000000000001E-3</v>
      </c>
      <c r="J35" s="404">
        <v>8.2000000000000007E-3</v>
      </c>
      <c r="K35" s="426">
        <v>6</v>
      </c>
      <c r="L35" s="402" t="s">
        <v>5</v>
      </c>
      <c r="M35" s="403">
        <f>($A$5-'Anexo 1'!G35)/365</f>
        <v>0.79178082191780819</v>
      </c>
      <c r="N35" s="402" t="s">
        <v>6</v>
      </c>
      <c r="O35" s="405" t="s">
        <v>6</v>
      </c>
      <c r="S35" s="126"/>
      <c r="T35" s="126"/>
    </row>
    <row r="36" spans="1:20" s="17" customFormat="1">
      <c r="A36" s="168"/>
      <c r="B36" s="173"/>
      <c r="C36" s="130"/>
      <c r="D36" s="154">
        <f>SUM(D33:D35)</f>
        <v>651740500</v>
      </c>
      <c r="E36" s="154">
        <f t="shared" ref="E36:H36" si="5">SUM(E33:E35)</f>
        <v>395540501.25</v>
      </c>
      <c r="F36" s="154">
        <f t="shared" si="5"/>
        <v>2114200</v>
      </c>
      <c r="G36" s="154">
        <f t="shared" si="5"/>
        <v>1124350</v>
      </c>
      <c r="H36" s="154">
        <f t="shared" si="5"/>
        <v>256199998.75</v>
      </c>
      <c r="I36" s="45"/>
      <c r="J36" s="45"/>
      <c r="K36" s="20"/>
      <c r="L36" s="20"/>
      <c r="M36" s="154"/>
      <c r="N36" s="20"/>
      <c r="O36" s="193"/>
      <c r="S36" s="126"/>
      <c r="T36" s="126"/>
    </row>
    <row r="37" spans="1:20" s="17" customFormat="1">
      <c r="A37" s="168"/>
      <c r="B37" s="173"/>
      <c r="C37" s="130"/>
      <c r="D37" s="154"/>
      <c r="E37" s="154"/>
      <c r="F37" s="154"/>
      <c r="G37" s="154"/>
      <c r="H37" s="154"/>
      <c r="I37" s="45"/>
      <c r="J37" s="45"/>
      <c r="K37" s="20"/>
      <c r="L37" s="20"/>
      <c r="M37" s="154"/>
      <c r="N37" s="20"/>
      <c r="O37" s="193"/>
      <c r="S37" s="126"/>
      <c r="T37" s="126"/>
    </row>
    <row r="38" spans="1:20" s="17" customFormat="1">
      <c r="A38" s="142" t="s">
        <v>34</v>
      </c>
      <c r="B38" s="157"/>
      <c r="C38" s="130"/>
      <c r="D38" s="158"/>
      <c r="E38" s="154"/>
      <c r="F38" s="154"/>
      <c r="G38" s="154"/>
      <c r="H38" s="154"/>
      <c r="I38" s="45"/>
      <c r="J38" s="45"/>
      <c r="K38" s="170"/>
      <c r="L38" s="170"/>
      <c r="M38" s="158"/>
      <c r="N38" s="170"/>
      <c r="O38" s="185"/>
      <c r="S38" s="126"/>
      <c r="T38" s="126"/>
    </row>
    <row r="39" spans="1:20" s="46" customFormat="1" ht="33" customHeight="1">
      <c r="A39" s="168" t="s">
        <v>37</v>
      </c>
      <c r="B39" s="157" t="s">
        <v>211</v>
      </c>
      <c r="C39" s="668" t="s">
        <v>35</v>
      </c>
      <c r="D39" s="341">
        <f>'Anexo 1'!E39</f>
        <v>90542773.120000005</v>
      </c>
      <c r="E39" s="340">
        <v>90542773.120000005</v>
      </c>
      <c r="F39" s="158">
        <v>0</v>
      </c>
      <c r="G39" s="380">
        <v>0</v>
      </c>
      <c r="H39" s="145">
        <f>D39-E39</f>
        <v>0</v>
      </c>
      <c r="I39" s="184">
        <f>E39/D39</f>
        <v>1</v>
      </c>
      <c r="J39" s="676">
        <v>0.70369999999999999</v>
      </c>
      <c r="K39" s="170">
        <v>4</v>
      </c>
      <c r="L39" s="170" t="s">
        <v>5</v>
      </c>
      <c r="M39" s="462">
        <f>+($Q39-P39)/365</f>
        <v>2.4356164383561643</v>
      </c>
      <c r="N39" s="170">
        <f>('Anexo 1'!J39-'Anexo 1'!I39)/365</f>
        <v>4.9808219178082194</v>
      </c>
      <c r="O39" s="185">
        <f>($A$5-'Anexo 1'!I39)/365</f>
        <v>6.5424657534246577</v>
      </c>
      <c r="P39" s="372">
        <v>42711</v>
      </c>
      <c r="Q39" s="372">
        <v>43600</v>
      </c>
      <c r="S39" s="126"/>
      <c r="T39" s="126"/>
    </row>
    <row r="40" spans="1:20" s="46" customFormat="1" ht="30.6" customHeight="1">
      <c r="A40" s="168" t="s">
        <v>36</v>
      </c>
      <c r="B40" s="157" t="s">
        <v>75</v>
      </c>
      <c r="C40" s="668"/>
      <c r="D40" s="145">
        <f>'Anexo 1'!E40</f>
        <v>296000000</v>
      </c>
      <c r="E40" s="158">
        <v>169281847.06999999</v>
      </c>
      <c r="F40" s="158">
        <v>30862427.59</v>
      </c>
      <c r="G40" s="380">
        <v>0</v>
      </c>
      <c r="H40" s="145">
        <f>D40-E40</f>
        <v>126718152.93000001</v>
      </c>
      <c r="I40" s="569">
        <f>E40/D40</f>
        <v>0.57189813199324324</v>
      </c>
      <c r="J40" s="676"/>
      <c r="K40" s="170">
        <v>4</v>
      </c>
      <c r="L40" s="170" t="s">
        <v>5</v>
      </c>
      <c r="M40" s="462">
        <f>+($A$5-P40)/365</f>
        <v>3.2246575342465755</v>
      </c>
      <c r="N40" s="170">
        <f>('Anexo 1'!J40-'Anexo 1'!I39)/365</f>
        <v>7.3205479452054796</v>
      </c>
      <c r="O40" s="185">
        <f>($A$5-'Anexo 1'!I39)/365</f>
        <v>6.5424657534246577</v>
      </c>
      <c r="P40" s="372">
        <v>43565</v>
      </c>
      <c r="Q40" s="373"/>
      <c r="S40" s="126"/>
      <c r="T40" s="126"/>
    </row>
    <row r="41" spans="1:20" s="17" customFormat="1">
      <c r="A41" s="168"/>
      <c r="B41" s="157"/>
      <c r="C41" s="130"/>
      <c r="D41" s="154">
        <f>SUM(D39:D40)</f>
        <v>386542773.12</v>
      </c>
      <c r="E41" s="154">
        <f t="shared" ref="E41:H41" si="6">SUM(E39:E40)</f>
        <v>259824620.19</v>
      </c>
      <c r="F41" s="154">
        <f t="shared" si="6"/>
        <v>30862427.59</v>
      </c>
      <c r="G41" s="154">
        <f t="shared" si="6"/>
        <v>0</v>
      </c>
      <c r="H41" s="154">
        <f t="shared" si="6"/>
        <v>126718152.93000001</v>
      </c>
      <c r="I41" s="45"/>
      <c r="J41" s="45"/>
      <c r="K41" s="20"/>
      <c r="L41" s="20"/>
      <c r="M41" s="154"/>
      <c r="N41" s="20"/>
      <c r="O41" s="193"/>
      <c r="S41" s="126"/>
      <c r="T41" s="126"/>
    </row>
    <row r="42" spans="1:20">
      <c r="A42" s="174"/>
      <c r="B42" s="157"/>
      <c r="C42" s="130"/>
      <c r="D42" s="158"/>
      <c r="E42" s="208"/>
      <c r="F42" s="158"/>
      <c r="G42" s="380"/>
      <c r="H42" s="145"/>
      <c r="I42" s="184"/>
      <c r="J42" s="184"/>
      <c r="K42" s="170"/>
      <c r="L42" s="170"/>
      <c r="M42" s="158"/>
      <c r="N42" s="170"/>
      <c r="O42" s="185"/>
      <c r="S42" s="126"/>
      <c r="T42" s="126"/>
    </row>
    <row r="43" spans="1:20" ht="16.5" customHeight="1">
      <c r="A43" s="156" t="s">
        <v>43</v>
      </c>
      <c r="B43" s="173"/>
      <c r="C43" s="130"/>
      <c r="D43" s="158"/>
      <c r="F43" s="158"/>
      <c r="G43" s="380"/>
      <c r="H43" s="145"/>
      <c r="I43" s="184"/>
      <c r="J43" s="184"/>
      <c r="K43" s="170"/>
      <c r="L43" s="170"/>
      <c r="M43" s="158"/>
      <c r="N43" s="170"/>
      <c r="O43" s="185"/>
      <c r="S43" s="126"/>
      <c r="T43" s="126"/>
    </row>
    <row r="44" spans="1:20" ht="15.6">
      <c r="A44" s="168" t="s">
        <v>51</v>
      </c>
      <c r="B44" s="173" t="s">
        <v>197</v>
      </c>
      <c r="C44" s="123" t="s">
        <v>7</v>
      </c>
      <c r="D44" s="145">
        <f>'Anexo 1'!E44</f>
        <v>191194644.69618949</v>
      </c>
      <c r="E44" s="411">
        <f>(3766958616+22206058)/'Anexo 5'!O84</f>
        <v>27873802.221568339</v>
      </c>
      <c r="F44" s="158">
        <f>(16021102+22206058)/'Anexo 5'!O84</f>
        <v>281206.12034721201</v>
      </c>
      <c r="G44" s="380">
        <v>0</v>
      </c>
      <c r="H44" s="411">
        <f>D44-E44</f>
        <v>163320842.47462115</v>
      </c>
      <c r="I44" s="569">
        <f>E44/D44</f>
        <v>0.14578756777346005</v>
      </c>
      <c r="J44" s="184">
        <v>0.27681873999999995</v>
      </c>
      <c r="K44" s="170">
        <v>9</v>
      </c>
      <c r="L44" s="170" t="s">
        <v>5</v>
      </c>
      <c r="M44" s="158">
        <f>($A$5-'Anexo 1'!F44)/365</f>
        <v>5.0301369863013701</v>
      </c>
      <c r="N44" s="170">
        <f>('Anexo 1'!J44-'Anexo 1'!I44)/365</f>
        <v>9</v>
      </c>
      <c r="O44" s="185">
        <f>($A$5-'Anexo 1'!I44)/365</f>
        <v>4.7534246575342465</v>
      </c>
      <c r="S44" s="126"/>
      <c r="T44" s="126"/>
    </row>
    <row r="45" spans="1:20">
      <c r="A45" s="142"/>
      <c r="B45" s="173"/>
      <c r="C45" s="130"/>
      <c r="D45" s="154">
        <f>SUM(D44:D44)</f>
        <v>191194644.69618949</v>
      </c>
      <c r="E45" s="154">
        <f t="shared" ref="E45:H45" si="7">SUM(E44:E44)</f>
        <v>27873802.221568339</v>
      </c>
      <c r="F45" s="154">
        <f t="shared" si="7"/>
        <v>281206.12034721201</v>
      </c>
      <c r="G45" s="154">
        <f t="shared" si="7"/>
        <v>0</v>
      </c>
      <c r="H45" s="154">
        <f t="shared" si="7"/>
        <v>163320842.47462115</v>
      </c>
      <c r="I45" s="184"/>
      <c r="J45" s="184"/>
      <c r="K45" s="170"/>
      <c r="L45" s="170"/>
      <c r="M45" s="170"/>
      <c r="N45" s="170"/>
      <c r="O45" s="185"/>
      <c r="S45" s="126"/>
      <c r="T45" s="126"/>
    </row>
    <row r="46" spans="1:20" s="17" customFormat="1">
      <c r="A46" s="142"/>
      <c r="B46" s="195"/>
      <c r="C46" s="130"/>
      <c r="D46" s="323"/>
      <c r="E46" s="177"/>
      <c r="F46" s="177"/>
      <c r="G46" s="177"/>
      <c r="H46" s="177"/>
      <c r="I46" s="154"/>
      <c r="J46" s="45"/>
      <c r="K46" s="20"/>
      <c r="L46" s="20"/>
      <c r="M46" s="20"/>
      <c r="N46" s="20"/>
      <c r="O46" s="193"/>
      <c r="S46" s="126"/>
      <c r="T46" s="126"/>
    </row>
    <row r="47" spans="1:20" s="17" customFormat="1">
      <c r="A47" s="142" t="s">
        <v>80</v>
      </c>
      <c r="B47" s="195"/>
      <c r="C47" s="130"/>
      <c r="D47" s="323"/>
      <c r="E47" s="177"/>
      <c r="F47" s="177"/>
      <c r="G47" s="177"/>
      <c r="H47" s="177"/>
      <c r="I47" s="154"/>
      <c r="J47" s="45"/>
      <c r="K47" s="20"/>
      <c r="L47" s="20"/>
      <c r="M47" s="20"/>
      <c r="N47" s="20"/>
      <c r="O47" s="193"/>
      <c r="S47" s="126"/>
      <c r="T47" s="126"/>
    </row>
    <row r="48" spans="1:20" s="17" customFormat="1" ht="20.25" customHeight="1">
      <c r="A48" s="142">
        <f>'Anexo 1'!A48</f>
        <v>28568</v>
      </c>
      <c r="B48" s="196" t="s">
        <v>198</v>
      </c>
      <c r="C48" s="130" t="str">
        <f>'Anexo 1'!C48</f>
        <v>AyA</v>
      </c>
      <c r="D48" s="323">
        <f>'Anexo 1'!E48</f>
        <v>82624147.540199995</v>
      </c>
      <c r="E48" s="328">
        <f>0*'Anexo 5'!N83</f>
        <v>0</v>
      </c>
      <c r="F48" s="328">
        <v>0</v>
      </c>
      <c r="G48" s="384">
        <v>0</v>
      </c>
      <c r="H48" s="328">
        <f>D48-E48</f>
        <v>82624147.540199995</v>
      </c>
      <c r="I48" s="184">
        <f>E48/D48</f>
        <v>0</v>
      </c>
      <c r="J48" s="184">
        <v>0.1814741879657239</v>
      </c>
      <c r="K48" s="170">
        <v>5</v>
      </c>
      <c r="L48" s="170" t="s">
        <v>5</v>
      </c>
      <c r="M48" s="158">
        <f>($A$5-'Anexo 1'!G48)/365</f>
        <v>2.7589041095890412</v>
      </c>
      <c r="N48" s="170">
        <f>('Anexo 1'!J48-'Anexo 1'!I48)/365</f>
        <v>4.5945205479452058</v>
      </c>
      <c r="O48" s="185">
        <f>($A$5-'Anexo 1'!I48)/365</f>
        <v>2.591780821917808</v>
      </c>
      <c r="S48" s="126"/>
      <c r="T48" s="126"/>
    </row>
    <row r="49" spans="1:20" s="17" customFormat="1">
      <c r="A49" s="142"/>
      <c r="B49" s="195"/>
      <c r="C49" s="130"/>
      <c r="D49" s="154">
        <f>SUM(D48)</f>
        <v>82624147.540199995</v>
      </c>
      <c r="E49" s="154">
        <f t="shared" ref="E49:H49" si="8">SUM(E48)</f>
        <v>0</v>
      </c>
      <c r="F49" s="154">
        <f t="shared" si="8"/>
        <v>0</v>
      </c>
      <c r="G49" s="154">
        <f t="shared" si="8"/>
        <v>0</v>
      </c>
      <c r="H49" s="154">
        <f t="shared" si="8"/>
        <v>82624147.540199995</v>
      </c>
      <c r="I49" s="154"/>
      <c r="J49" s="154"/>
      <c r="K49" s="20"/>
      <c r="L49" s="20"/>
      <c r="M49" s="20"/>
      <c r="N49" s="20"/>
      <c r="O49" s="193"/>
      <c r="S49" s="126"/>
      <c r="T49" s="126"/>
    </row>
    <row r="50" spans="1:20" s="17" customFormat="1">
      <c r="A50" s="142"/>
      <c r="B50" s="195"/>
      <c r="C50" s="130"/>
      <c r="D50" s="323"/>
      <c r="E50" s="177"/>
      <c r="F50" s="177"/>
      <c r="G50" s="177"/>
      <c r="H50" s="177"/>
      <c r="I50" s="154"/>
      <c r="J50" s="154"/>
      <c r="K50" s="20"/>
      <c r="L50" s="20"/>
      <c r="M50" s="20"/>
      <c r="N50" s="20"/>
      <c r="O50" s="193"/>
      <c r="S50" s="126"/>
      <c r="T50" s="126"/>
    </row>
    <row r="51" spans="1:20" s="17" customFormat="1">
      <c r="A51" s="142" t="s">
        <v>13</v>
      </c>
      <c r="B51" s="195"/>
      <c r="C51" s="197"/>
      <c r="D51" s="177">
        <f>D19+D30+D36+D41+D45+D49</f>
        <v>4193918022.646389</v>
      </c>
      <c r="E51" s="177">
        <f>E19+E30+E36+E41+E45+E49</f>
        <v>1889550520.3915684</v>
      </c>
      <c r="F51" s="177">
        <f>F19+F30+F36+F41+F45+F49</f>
        <v>162722901.71034721</v>
      </c>
      <c r="G51" s="177">
        <f>G19+G30+G36+G41+G45+G49</f>
        <v>80660218.49000001</v>
      </c>
      <c r="H51" s="177">
        <f>H19+H30+H36+H41+H45+H49</f>
        <v>2304367502.2548208</v>
      </c>
      <c r="I51" s="154"/>
      <c r="J51" s="154"/>
      <c r="K51" s="154"/>
      <c r="L51" s="154"/>
      <c r="M51" s="20"/>
      <c r="N51" s="154"/>
      <c r="O51" s="198"/>
      <c r="S51" s="126"/>
      <c r="T51" s="126"/>
    </row>
    <row r="52" spans="1:20" ht="14.4" thickBot="1">
      <c r="A52" s="23"/>
      <c r="B52" s="199"/>
      <c r="C52" s="200"/>
      <c r="D52" s="179"/>
      <c r="E52" s="201"/>
      <c r="F52" s="201"/>
      <c r="G52" s="201"/>
      <c r="H52" s="201"/>
      <c r="I52" s="179"/>
      <c r="J52" s="202"/>
      <c r="K52" s="203"/>
      <c r="L52" s="203"/>
      <c r="M52" s="204"/>
      <c r="N52" s="203"/>
      <c r="O52" s="205"/>
      <c r="S52" s="126"/>
      <c r="T52" s="126"/>
    </row>
    <row r="53" spans="1:20">
      <c r="A53" s="29"/>
      <c r="B53" s="29"/>
      <c r="C53" s="136"/>
      <c r="D53" s="50"/>
      <c r="E53" s="47"/>
      <c r="F53" s="47"/>
      <c r="G53" s="47"/>
      <c r="H53" s="47"/>
      <c r="J53" s="126"/>
    </row>
    <row r="54" spans="1:20">
      <c r="A54" s="29"/>
      <c r="B54" s="29"/>
      <c r="C54" s="136"/>
      <c r="E54" s="47"/>
      <c r="F54" s="47"/>
      <c r="G54" s="47"/>
      <c r="H54" s="47"/>
      <c r="J54" s="126"/>
    </row>
    <row r="55" spans="1:20" ht="27" customHeight="1">
      <c r="A55" s="29" t="s">
        <v>45</v>
      </c>
      <c r="B55" s="29"/>
      <c r="C55" s="136"/>
      <c r="E55" s="47"/>
      <c r="F55" s="47"/>
      <c r="G55" s="47"/>
      <c r="H55" s="47"/>
      <c r="J55" s="1"/>
    </row>
    <row r="56" spans="1:20" ht="12.75" customHeight="1">
      <c r="A56" s="1"/>
      <c r="B56" s="1"/>
      <c r="C56" s="113"/>
      <c r="E56" s="47"/>
      <c r="F56" s="47"/>
      <c r="G56" s="47"/>
      <c r="H56" s="47"/>
      <c r="J56" s="1"/>
    </row>
    <row r="57" spans="1:20" s="98" customFormat="1" ht="27.6" customHeight="1">
      <c r="A57" s="387" t="s">
        <v>84</v>
      </c>
      <c r="B57" s="387"/>
      <c r="C57" s="639"/>
      <c r="D57" s="388"/>
      <c r="E57" s="389"/>
      <c r="F57" s="389"/>
      <c r="G57" s="389"/>
      <c r="H57" s="389"/>
    </row>
    <row r="58" spans="1:20" s="98" customFormat="1" ht="27.6" customHeight="1">
      <c r="A58" s="641" t="s">
        <v>119</v>
      </c>
      <c r="B58" s="387"/>
      <c r="C58" s="639"/>
      <c r="D58" s="388"/>
      <c r="E58" s="389"/>
      <c r="F58" s="389"/>
      <c r="G58" s="389"/>
      <c r="H58" s="389"/>
      <c r="M58" s="389"/>
    </row>
    <row r="59" spans="1:20" s="98" customFormat="1" ht="38.4" customHeight="1">
      <c r="A59" s="641" t="s">
        <v>120</v>
      </c>
      <c r="B59" s="387"/>
      <c r="C59" s="639"/>
      <c r="D59" s="388"/>
      <c r="E59" s="389"/>
      <c r="F59" s="389"/>
      <c r="G59" s="389"/>
      <c r="H59" s="389"/>
      <c r="M59" s="389"/>
    </row>
    <row r="60" spans="1:20" s="98" customFormat="1" ht="39" customHeight="1">
      <c r="A60" s="678" t="s">
        <v>280</v>
      </c>
      <c r="B60" s="678"/>
      <c r="C60" s="678"/>
      <c r="D60" s="678"/>
      <c r="E60" s="678"/>
      <c r="F60" s="678"/>
      <c r="G60" s="678"/>
      <c r="H60" s="678"/>
      <c r="I60" s="678"/>
      <c r="J60" s="678"/>
      <c r="K60" s="678"/>
      <c r="L60" s="678"/>
      <c r="M60" s="678"/>
      <c r="N60" s="678"/>
      <c r="O60" s="678"/>
    </row>
    <row r="61" spans="1:20" s="98" customFormat="1" ht="27.6" customHeight="1">
      <c r="A61" s="391" t="s">
        <v>250</v>
      </c>
      <c r="B61" s="387"/>
      <c r="C61" s="639"/>
      <c r="D61" s="388"/>
      <c r="E61" s="389"/>
      <c r="F61" s="389"/>
      <c r="G61" s="389"/>
      <c r="H61" s="389"/>
      <c r="M61" s="389"/>
    </row>
    <row r="62" spans="1:20" s="98" customFormat="1" ht="59.4" customHeight="1">
      <c r="A62" s="679" t="s">
        <v>344</v>
      </c>
      <c r="B62" s="679"/>
      <c r="C62" s="679"/>
      <c r="D62" s="679"/>
      <c r="E62" s="679"/>
      <c r="F62" s="679"/>
      <c r="G62" s="679"/>
      <c r="H62" s="679"/>
      <c r="I62" s="679"/>
      <c r="J62" s="679"/>
      <c r="K62" s="679"/>
      <c r="L62" s="679"/>
      <c r="M62" s="679"/>
      <c r="N62" s="643"/>
      <c r="O62" s="643"/>
    </row>
    <row r="63" spans="1:20" s="98" customFormat="1" ht="33.6" customHeight="1">
      <c r="A63" s="98" t="s">
        <v>196</v>
      </c>
      <c r="B63" s="387"/>
      <c r="C63" s="639"/>
      <c r="D63" s="388"/>
      <c r="E63" s="389"/>
      <c r="F63" s="389"/>
      <c r="G63" s="389"/>
      <c r="H63" s="389"/>
      <c r="M63" s="389"/>
    </row>
    <row r="64" spans="1:20" s="98" customFormat="1" ht="39.6" customHeight="1">
      <c r="A64" s="180" t="s">
        <v>251</v>
      </c>
      <c r="B64" s="333"/>
      <c r="C64" s="53"/>
      <c r="E64" s="389"/>
      <c r="F64" s="389"/>
      <c r="G64" s="389"/>
      <c r="H64" s="389"/>
    </row>
    <row r="65" spans="1:27" s="98" customFormat="1" ht="62.4" customHeight="1">
      <c r="A65" s="680" t="s">
        <v>290</v>
      </c>
      <c r="B65" s="680"/>
      <c r="C65" s="680"/>
      <c r="D65" s="680"/>
      <c r="E65" s="680"/>
      <c r="F65" s="680"/>
      <c r="G65" s="680"/>
      <c r="H65" s="680"/>
      <c r="I65" s="680"/>
      <c r="J65" s="680"/>
      <c r="K65" s="680"/>
      <c r="L65" s="680"/>
      <c r="M65" s="680"/>
      <c r="N65" s="420"/>
      <c r="O65" s="420"/>
    </row>
    <row r="66" spans="1:27" s="98" customFormat="1" ht="42.6" customHeight="1">
      <c r="A66" s="98" t="s">
        <v>234</v>
      </c>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row>
    <row r="67" spans="1:27" ht="30" customHeight="1">
      <c r="A67" s="1"/>
      <c r="B67" s="420"/>
      <c r="C67" s="420"/>
      <c r="D67" s="420"/>
      <c r="E67" s="420"/>
      <c r="F67" s="420"/>
      <c r="G67" s="420"/>
      <c r="H67" s="420"/>
      <c r="I67" s="420"/>
      <c r="J67" s="420"/>
      <c r="K67" s="420"/>
      <c r="L67" s="420"/>
      <c r="M67" s="420"/>
      <c r="N67" s="420"/>
      <c r="O67" s="420"/>
    </row>
    <row r="68" spans="1:27" ht="16.5" customHeight="1">
      <c r="A68" s="1"/>
      <c r="B68" s="246"/>
      <c r="C68" s="401"/>
      <c r="D68" s="246"/>
      <c r="E68" s="246"/>
      <c r="F68" s="422"/>
      <c r="G68" s="422"/>
      <c r="H68" s="103"/>
      <c r="I68" s="103"/>
      <c r="J68" s="111"/>
      <c r="K68" s="103"/>
      <c r="L68" s="103"/>
      <c r="M68" s="103"/>
      <c r="N68" s="103"/>
      <c r="O68" s="103"/>
      <c r="P68" s="103"/>
      <c r="Q68" s="103"/>
      <c r="R68" s="103"/>
      <c r="S68" s="103"/>
      <c r="T68" s="103"/>
      <c r="U68" s="103"/>
      <c r="V68" s="103"/>
      <c r="W68" s="103"/>
      <c r="X68" s="103"/>
      <c r="Y68" s="103"/>
      <c r="Z68" s="103"/>
      <c r="AA68" s="103"/>
    </row>
    <row r="70" spans="1:27" s="42" customFormat="1">
      <c r="A70" s="674"/>
      <c r="B70" s="674"/>
      <c r="C70" s="674"/>
      <c r="D70" s="674"/>
      <c r="E70" s="674"/>
      <c r="F70" s="674"/>
      <c r="G70" s="674"/>
      <c r="H70" s="674"/>
      <c r="I70" s="674"/>
      <c r="J70" s="674"/>
      <c r="K70" s="674"/>
      <c r="L70" s="674"/>
      <c r="M70" s="674"/>
      <c r="N70" s="674"/>
      <c r="O70" s="674"/>
      <c r="P70" s="674"/>
      <c r="Q70" s="674"/>
      <c r="R70" s="674"/>
      <c r="S70" s="674"/>
      <c r="T70" s="674"/>
      <c r="U70" s="674"/>
      <c r="V70" s="674"/>
      <c r="W70" s="674"/>
      <c r="X70" s="674"/>
      <c r="Y70" s="674"/>
      <c r="Z70" s="674"/>
      <c r="AA70" s="674"/>
    </row>
    <row r="71" spans="1:27" s="42" customFormat="1">
      <c r="A71" s="38"/>
      <c r="B71" s="38"/>
      <c r="C71" s="4"/>
      <c r="D71" s="1"/>
      <c r="E71" s="50"/>
      <c r="F71" s="30"/>
      <c r="G71" s="30"/>
      <c r="H71" s="50"/>
      <c r="I71" s="1"/>
      <c r="J71" s="31"/>
      <c r="K71" s="1"/>
      <c r="L71" s="1"/>
      <c r="M71" s="1"/>
      <c r="N71" s="1"/>
      <c r="O71" s="1"/>
      <c r="P71" s="1"/>
      <c r="Q71" s="1"/>
      <c r="R71" s="1"/>
      <c r="S71" s="1"/>
      <c r="T71" s="1"/>
      <c r="U71" s="1"/>
      <c r="V71" s="1"/>
      <c r="W71" s="1"/>
      <c r="X71" s="1"/>
      <c r="Y71" s="1"/>
      <c r="Z71" s="1"/>
      <c r="AA71" s="1"/>
    </row>
    <row r="72" spans="1:27" s="42" customFormat="1">
      <c r="A72" s="38"/>
      <c r="B72" s="38"/>
      <c r="C72" s="4"/>
      <c r="D72" s="1"/>
      <c r="E72" s="50"/>
      <c r="F72" s="30"/>
      <c r="G72" s="30"/>
      <c r="H72" s="50"/>
      <c r="I72" s="1"/>
      <c r="J72" s="31"/>
      <c r="K72" s="1"/>
      <c r="L72" s="1"/>
      <c r="M72" s="1"/>
      <c r="N72" s="1"/>
      <c r="O72" s="1"/>
      <c r="P72" s="1"/>
      <c r="Q72" s="1"/>
      <c r="R72" s="1"/>
      <c r="S72" s="1"/>
      <c r="T72" s="1"/>
      <c r="U72" s="1"/>
      <c r="V72" s="1"/>
      <c r="W72" s="1"/>
      <c r="X72" s="1"/>
      <c r="Y72" s="1"/>
      <c r="Z72" s="1"/>
      <c r="AA72" s="1"/>
    </row>
    <row r="73" spans="1:27" s="42" customFormat="1">
      <c r="A73" s="421"/>
      <c r="B73" s="421"/>
      <c r="C73" s="421"/>
      <c r="D73" s="421"/>
      <c r="E73" s="421"/>
      <c r="F73" s="421"/>
      <c r="G73" s="421"/>
      <c r="H73" s="421"/>
      <c r="I73" s="421"/>
      <c r="J73" s="421"/>
      <c r="K73" s="421"/>
      <c r="L73" s="421"/>
      <c r="M73" s="421"/>
      <c r="N73" s="421"/>
      <c r="O73" s="421"/>
      <c r="P73" s="421"/>
      <c r="Q73" s="421"/>
      <c r="R73" s="421"/>
      <c r="S73" s="421"/>
      <c r="T73" s="421"/>
      <c r="U73" s="421"/>
      <c r="V73" s="421"/>
      <c r="W73" s="421"/>
      <c r="X73" s="421"/>
      <c r="Y73" s="421"/>
      <c r="Z73" s="421"/>
      <c r="AA73" s="421"/>
    </row>
    <row r="74" spans="1:27" s="42" customFormat="1">
      <c r="A74" s="104"/>
      <c r="B74" s="52"/>
      <c r="C74" s="116"/>
      <c r="D74" s="52"/>
      <c r="E74" s="52"/>
      <c r="F74" s="112"/>
      <c r="G74" s="112"/>
      <c r="H74" s="52"/>
      <c r="I74" s="52"/>
      <c r="J74" s="112"/>
      <c r="K74" s="52"/>
      <c r="L74" s="52"/>
      <c r="M74" s="52"/>
      <c r="N74" s="52"/>
      <c r="O74" s="52"/>
      <c r="P74" s="1"/>
      <c r="Q74" s="1"/>
      <c r="R74" s="1"/>
      <c r="S74" s="1"/>
      <c r="T74" s="1"/>
      <c r="U74" s="1"/>
      <c r="V74" s="1"/>
      <c r="W74" s="1"/>
      <c r="X74" s="1"/>
      <c r="Y74" s="1"/>
      <c r="Z74" s="1"/>
      <c r="AA74" s="1"/>
    </row>
    <row r="75" spans="1:27">
      <c r="A75" s="1"/>
    </row>
    <row r="76" spans="1:27">
      <c r="A76" s="1"/>
    </row>
  </sheetData>
  <sheetProtection algorithmName="SHA-512" hashValue="lu6+Fhi+K4VpPrc7KVOUgFZGPl8czMcC7x6grw34ArSwqDknbCEiybEre/JyzGIS8wIQDj9pIGduWzDOYqnLMg==" saltValue="41rNIsqX3lpY09LJQyCkkw==" spinCount="100000" sheet="1" objects="1" scenarios="1" selectLockedCells="1" selectUnlockedCells="1"/>
  <mergeCells count="28">
    <mergeCell ref="K6:M6"/>
    <mergeCell ref="C23:C24"/>
    <mergeCell ref="A5:O5"/>
    <mergeCell ref="A2:O2"/>
    <mergeCell ref="A3:O3"/>
    <mergeCell ref="A4:O4"/>
    <mergeCell ref="A6:A7"/>
    <mergeCell ref="B6:B7"/>
    <mergeCell ref="I6:J6"/>
    <mergeCell ref="C6:C7"/>
    <mergeCell ref="D6:D7"/>
    <mergeCell ref="E6:E7"/>
    <mergeCell ref="F6:F7"/>
    <mergeCell ref="H6:H7"/>
    <mergeCell ref="N6:O6"/>
    <mergeCell ref="G6:G7"/>
    <mergeCell ref="L23:L24"/>
    <mergeCell ref="A70:AA70"/>
    <mergeCell ref="C39:C40"/>
    <mergeCell ref="K23:K24"/>
    <mergeCell ref="M23:M24"/>
    <mergeCell ref="J39:J40"/>
    <mergeCell ref="J23:J24"/>
    <mergeCell ref="O23:O24"/>
    <mergeCell ref="A60:O60"/>
    <mergeCell ref="N23:N24"/>
    <mergeCell ref="A62:M62"/>
    <mergeCell ref="A65:M65"/>
  </mergeCells>
  <phoneticPr fontId="0" type="noConversion"/>
  <printOptions horizontalCentered="1" verticalCentered="1"/>
  <pageMargins left="0.15748031496062992" right="0" top="0.15748031496062992" bottom="0.39370078740157483" header="0" footer="0.39370078740157483"/>
  <pageSetup scale="27" orientation="landscape" r:id="rId1"/>
  <headerFooter alignWithMargins="0"/>
  <ignoredErrors>
    <ignoredError sqref="P42:R43 P44:R46 H54:H55 I52 C52:F52 H52 A53:C53 A52:B52 U42:V43 U30:V32 U19:V19 U21:V21 U36:V36 U44:V46 H53:O53 K52:O52 E53:F53 K44:O44 D44:D46 C44:C45 K50:O50 K48:O48 K46:O47 K41:O41 K45:O45 K42:O43 K51:O51 K49:O49 I50 A44 A45:B45 A41:B41 A50:B50 A46:B46 A42:B43 A47:B47 A51:B51 A49:B49 A48 D51 H42:H43 D41:D43 C48 C50:F50 D48 C41:C43 I48 C47:F47 I46:I47 I41 C46 E46:F46 I45 F42 I42:I43 C51 I51 C49:D49 I49 J51 E48:F48 J50 F43 D35 C17:D17 H46:H48 H50 H44 G46:G48 G50 H17:H18 H35 H9 D18 E51:H51 E44 E15" unlockedFormula="1"/>
    <ignoredError sqref="I22 H29:I29 A9:C10 I20:I21 H8:O8 D20:F21 A22:C22 D9:D14 A13:C14 A19:C21 H1:O5 A16:D16 A30:D30 K37:O40 D38:F38 C31:F32 C37:F37 I38:I39 C38:C40 H38:H40 A34 A31:B32 A37:B38 H37:I37 I27:I28 H20:H21 I36 P21:R21 P30:R32 A11 C11:C12 A6:C6 J6:O6 H7 N7:O7 I19 A7:F7 A8:F8 A1:F2 A36:C36 D22 A28:D29 C33:D34 D40 H22 K22:O22 K30:O32 K20:O21 H10:I16 K10:O10 K27:O28 K36:R36 K19:R19 A25:C25 A33 A40:B40 A39 K7:L7 A27 C27:D27 K29:M29 A26 C26 L34:O34 I9 K9:L9 O9 D39 K13:O16 L11:M11 A4:F5 B3:F3 H31:I34 I30 K12 M12:O12 K26:O26 K25 M25:O25 K33 M33:O33 K24:M24 O24 A15 C15:D15 B23:C23 B24:C24 I23:I26 D23:D26 H23:H28 K23:O23" numberStoredAsText="1" unlockedFormula="1"/>
    <ignoredError sqref="P1:R8 P29:R29 P22:R22 P28:R28 P37:R37 P38:R38 P33:R33 P40:R40 P39:R39 P34:R34 P9:R10 P20:R20 P11:R14 P15:R16 P27:R27 P23:R26"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dimension ref="A1:AA66"/>
  <sheetViews>
    <sheetView showGridLines="0" zoomScale="70" zoomScaleNormal="70" zoomScaleSheetLayoutView="40" workbookViewId="0">
      <selection activeCell="B1" sqref="B1"/>
    </sheetView>
  </sheetViews>
  <sheetFormatPr baseColWidth="10" defaultColWidth="11" defaultRowHeight="13.8"/>
  <cols>
    <col min="1" max="1" width="18.33203125" style="38" customWidth="1"/>
    <col min="2" max="2" width="52.33203125" style="38" customWidth="1"/>
    <col min="3" max="3" width="10.109375" style="1" customWidth="1"/>
    <col min="4" max="4" width="21" style="1" customWidth="1"/>
    <col min="5" max="7" width="23" style="1" customWidth="1"/>
    <col min="8" max="8" width="22.44140625" style="1" customWidth="1"/>
    <col min="9" max="9" width="0.109375" style="1" hidden="1" customWidth="1"/>
    <col min="10" max="10" width="18.5546875" style="1" hidden="1" customWidth="1"/>
    <col min="11" max="11" width="16" style="60" hidden="1" customWidth="1"/>
    <col min="12" max="12" width="20.44140625" style="60" hidden="1" customWidth="1"/>
    <col min="13" max="13" width="18.5546875" style="1" hidden="1" customWidth="1"/>
    <col min="14" max="14" width="18.88671875" style="1" customWidth="1"/>
    <col min="15" max="15" width="19.77734375" style="1" customWidth="1"/>
    <col min="16" max="16" width="19.21875" style="1" customWidth="1"/>
    <col min="17" max="17" width="18.88671875" style="1" customWidth="1"/>
    <col min="18" max="18" width="21.77734375" style="1" customWidth="1"/>
    <col min="19" max="19" width="21" style="53" customWidth="1"/>
    <col min="20" max="21" width="18.44140625" style="53" customWidth="1"/>
    <col min="22" max="22" width="13.21875" style="1" bestFit="1" customWidth="1"/>
    <col min="23" max="23" width="15.21875" style="1" bestFit="1" customWidth="1"/>
    <col min="24" max="24" width="13.21875" style="1" bestFit="1" customWidth="1"/>
    <col min="25" max="25" width="12.109375" style="1" bestFit="1" customWidth="1"/>
    <col min="26" max="16384" width="11" style="1"/>
  </cols>
  <sheetData>
    <row r="1" spans="1:27" ht="25.05" customHeight="1"/>
    <row r="2" spans="1:27" ht="25.05" customHeight="1">
      <c r="A2" s="689" t="s">
        <v>14</v>
      </c>
      <c r="B2" s="689"/>
      <c r="C2" s="689"/>
      <c r="D2" s="689"/>
      <c r="E2" s="689"/>
      <c r="F2" s="689"/>
      <c r="G2" s="689"/>
      <c r="H2" s="689"/>
      <c r="I2" s="689"/>
      <c r="J2" s="689"/>
      <c r="K2" s="689"/>
      <c r="L2" s="689"/>
      <c r="M2" s="689"/>
      <c r="N2" s="689"/>
      <c r="O2" s="689"/>
      <c r="P2" s="689"/>
      <c r="Q2" s="689"/>
      <c r="R2" s="689"/>
      <c r="S2" s="689"/>
      <c r="T2" s="489"/>
      <c r="U2" s="407"/>
    </row>
    <row r="3" spans="1:27" ht="25.05" customHeight="1">
      <c r="A3" s="689" t="s">
        <v>108</v>
      </c>
      <c r="B3" s="689"/>
      <c r="C3" s="689"/>
      <c r="D3" s="689"/>
      <c r="E3" s="689"/>
      <c r="F3" s="689"/>
      <c r="G3" s="689"/>
      <c r="H3" s="689"/>
      <c r="I3" s="689"/>
      <c r="J3" s="689"/>
      <c r="K3" s="689"/>
      <c r="L3" s="689"/>
      <c r="M3" s="689"/>
      <c r="N3" s="689"/>
      <c r="O3" s="689"/>
      <c r="P3" s="689"/>
      <c r="Q3" s="689"/>
      <c r="R3" s="689"/>
      <c r="S3" s="689"/>
      <c r="T3" s="489"/>
      <c r="U3" s="407"/>
    </row>
    <row r="4" spans="1:27" ht="25.05" customHeight="1">
      <c r="A4" s="689" t="s">
        <v>106</v>
      </c>
      <c r="B4" s="689"/>
      <c r="C4" s="689"/>
      <c r="D4" s="689"/>
      <c r="E4" s="689"/>
      <c r="F4" s="689"/>
      <c r="G4" s="689"/>
      <c r="H4" s="689"/>
      <c r="I4" s="689"/>
      <c r="J4" s="689"/>
      <c r="K4" s="689"/>
      <c r="L4" s="689"/>
      <c r="M4" s="689"/>
      <c r="N4" s="689"/>
      <c r="O4" s="689"/>
      <c r="P4" s="689"/>
      <c r="Q4" s="689"/>
      <c r="R4" s="689"/>
      <c r="S4" s="689"/>
      <c r="T4" s="489"/>
      <c r="U4" s="407"/>
    </row>
    <row r="5" spans="1:27" s="4" customFormat="1" ht="25.05" customHeight="1" thickBot="1">
      <c r="A5" s="690">
        <f>+'Anexo 1'!A5:M5</f>
        <v>44742</v>
      </c>
      <c r="B5" s="690"/>
      <c r="C5" s="690"/>
      <c r="D5" s="690"/>
      <c r="E5" s="690"/>
      <c r="F5" s="690"/>
      <c r="G5" s="690"/>
      <c r="H5" s="690"/>
      <c r="I5" s="690"/>
      <c r="J5" s="690"/>
      <c r="K5" s="690"/>
      <c r="L5" s="690"/>
      <c r="M5" s="691"/>
      <c r="N5" s="691"/>
      <c r="O5" s="691"/>
      <c r="P5" s="691"/>
      <c r="Q5" s="691"/>
      <c r="R5" s="691"/>
      <c r="S5" s="691"/>
      <c r="T5" s="490"/>
      <c r="U5" s="423"/>
    </row>
    <row r="6" spans="1:27" s="4" customFormat="1" ht="14.25" customHeight="1" thickBot="1">
      <c r="A6" s="685" t="s">
        <v>11</v>
      </c>
      <c r="B6" s="685" t="s">
        <v>38</v>
      </c>
      <c r="C6" s="685" t="s">
        <v>10</v>
      </c>
      <c r="D6" s="685" t="s">
        <v>88</v>
      </c>
      <c r="E6" s="685" t="s">
        <v>252</v>
      </c>
      <c r="F6" s="693" t="s">
        <v>221</v>
      </c>
      <c r="G6" s="694"/>
      <c r="H6" s="695"/>
      <c r="I6" s="693" t="s">
        <v>222</v>
      </c>
      <c r="J6" s="694"/>
      <c r="K6" s="695"/>
      <c r="L6" s="681" t="s">
        <v>91</v>
      </c>
      <c r="M6" s="682"/>
      <c r="N6" s="682"/>
      <c r="O6" s="682"/>
      <c r="P6" s="682"/>
      <c r="Q6" s="682"/>
      <c r="R6" s="682"/>
      <c r="S6" s="682"/>
      <c r="T6" s="682"/>
      <c r="U6" s="683"/>
    </row>
    <row r="7" spans="1:27" s="4" customFormat="1" ht="54" customHeight="1" thickBot="1">
      <c r="A7" s="686"/>
      <c r="B7" s="686"/>
      <c r="C7" s="686"/>
      <c r="D7" s="686"/>
      <c r="E7" s="686"/>
      <c r="F7" s="54" t="s">
        <v>81</v>
      </c>
      <c r="G7" s="54" t="s">
        <v>82</v>
      </c>
      <c r="H7" s="55" t="s">
        <v>83</v>
      </c>
      <c r="I7" s="54" t="s">
        <v>81</v>
      </c>
      <c r="J7" s="54" t="s">
        <v>82</v>
      </c>
      <c r="K7" s="55" t="s">
        <v>83</v>
      </c>
      <c r="L7" s="406" t="s">
        <v>223</v>
      </c>
      <c r="M7" s="406" t="s">
        <v>224</v>
      </c>
      <c r="N7" s="406" t="s">
        <v>179</v>
      </c>
      <c r="O7" s="406" t="s">
        <v>180</v>
      </c>
      <c r="P7" s="125">
        <v>2023</v>
      </c>
      <c r="Q7" s="124">
        <v>2024</v>
      </c>
      <c r="R7" s="125">
        <v>2025</v>
      </c>
      <c r="S7" s="335">
        <v>2026</v>
      </c>
      <c r="T7" s="335">
        <v>2027</v>
      </c>
      <c r="U7" s="335">
        <v>2028</v>
      </c>
    </row>
    <row r="8" spans="1:27">
      <c r="A8" s="5"/>
      <c r="B8" s="6"/>
      <c r="C8" s="7"/>
      <c r="D8" s="9"/>
      <c r="E8" s="9"/>
      <c r="F8" s="9"/>
      <c r="G8" s="9"/>
      <c r="H8" s="9"/>
      <c r="I8" s="9"/>
      <c r="J8" s="9"/>
      <c r="K8" s="56"/>
      <c r="L8" s="56"/>
      <c r="M8" s="9"/>
      <c r="N8" s="9"/>
      <c r="O8" s="9"/>
      <c r="P8" s="9"/>
      <c r="Q8" s="9"/>
      <c r="R8" s="13"/>
      <c r="S8" s="13"/>
      <c r="T8" s="13"/>
      <c r="U8" s="19"/>
    </row>
    <row r="9" spans="1:27">
      <c r="A9" s="140" t="s">
        <v>1</v>
      </c>
      <c r="B9" s="11"/>
      <c r="C9" s="408"/>
      <c r="D9" s="13"/>
      <c r="E9" s="13"/>
      <c r="F9" s="13"/>
      <c r="G9" s="13"/>
      <c r="H9" s="13"/>
      <c r="I9" s="13"/>
      <c r="J9" s="13"/>
      <c r="K9" s="207"/>
      <c r="L9" s="207"/>
      <c r="M9" s="13"/>
      <c r="N9" s="13"/>
      <c r="O9" s="13"/>
      <c r="P9" s="13"/>
      <c r="Q9" s="13"/>
      <c r="R9" s="13"/>
      <c r="S9" s="13"/>
      <c r="T9" s="13"/>
      <c r="U9" s="19"/>
    </row>
    <row r="10" spans="1:27" ht="43.2">
      <c r="A10" s="142">
        <v>1725</v>
      </c>
      <c r="B10" s="143" t="s">
        <v>333</v>
      </c>
      <c r="C10" s="408" t="s">
        <v>77</v>
      </c>
      <c r="D10" s="411">
        <f>'Anexo 1'!E9</f>
        <v>99453757</v>
      </c>
      <c r="E10" s="411">
        <f>'Anexo 2'!H9</f>
        <v>0</v>
      </c>
      <c r="F10" s="571">
        <v>0</v>
      </c>
      <c r="G10" s="411">
        <f>+'Anexo 2'!F9</f>
        <v>0</v>
      </c>
      <c r="H10" s="208" t="s">
        <v>5</v>
      </c>
      <c r="I10" s="411">
        <v>0</v>
      </c>
      <c r="J10" s="411">
        <f>+'Anexo 2'!G9</f>
        <v>12483757</v>
      </c>
      <c r="K10" s="208" t="s">
        <v>5</v>
      </c>
      <c r="L10" s="208" t="s">
        <v>5</v>
      </c>
      <c r="M10" s="208" t="s">
        <v>5</v>
      </c>
      <c r="N10" s="208" t="s">
        <v>5</v>
      </c>
      <c r="O10" s="208" t="s">
        <v>5</v>
      </c>
      <c r="P10" s="208" t="s">
        <v>5</v>
      </c>
      <c r="Q10" s="208" t="s">
        <v>5</v>
      </c>
      <c r="R10" s="208" t="s">
        <v>5</v>
      </c>
      <c r="S10" s="208" t="s">
        <v>5</v>
      </c>
      <c r="T10" s="208" t="s">
        <v>5</v>
      </c>
      <c r="U10" s="410" t="s">
        <v>5</v>
      </c>
      <c r="V10" s="578"/>
      <c r="W10" s="467"/>
      <c r="X10" s="50"/>
      <c r="Y10" s="468"/>
    </row>
    <row r="11" spans="1:27" ht="30.6" customHeight="1">
      <c r="A11" s="142">
        <v>2080</v>
      </c>
      <c r="B11" s="143" t="s">
        <v>39</v>
      </c>
      <c r="C11" s="408" t="s">
        <v>35</v>
      </c>
      <c r="D11" s="411">
        <f>'Anexo 1'!E10</f>
        <v>340000000</v>
      </c>
      <c r="E11" s="571">
        <f>'Anexo 2'!H10</f>
        <v>0</v>
      </c>
      <c r="F11" s="571">
        <v>0</v>
      </c>
      <c r="G11" s="411">
        <f>+'Anexo 2'!F10</f>
        <v>0</v>
      </c>
      <c r="H11" s="208" t="s">
        <v>5</v>
      </c>
      <c r="I11" s="411">
        <v>0</v>
      </c>
      <c r="J11" s="411">
        <f>+'Anexo 2'!G10</f>
        <v>42672450</v>
      </c>
      <c r="K11" s="208" t="s">
        <v>5</v>
      </c>
      <c r="L11" s="208" t="s">
        <v>5</v>
      </c>
      <c r="M11" s="208" t="s">
        <v>5</v>
      </c>
      <c r="N11" s="568" t="s">
        <v>5</v>
      </c>
      <c r="O11" s="208" t="s">
        <v>5</v>
      </c>
      <c r="P11" s="208" t="s">
        <v>5</v>
      </c>
      <c r="Q11" s="208" t="s">
        <v>5</v>
      </c>
      <c r="R11" s="208" t="s">
        <v>5</v>
      </c>
      <c r="S11" s="208" t="s">
        <v>5</v>
      </c>
      <c r="T11" s="208" t="s">
        <v>5</v>
      </c>
      <c r="U11" s="410" t="s">
        <v>5</v>
      </c>
      <c r="V11" s="578"/>
      <c r="W11" s="467"/>
      <c r="X11" s="50"/>
      <c r="Y11" s="468"/>
    </row>
    <row r="12" spans="1:27" ht="33.6" customHeight="1">
      <c r="A12" s="142" t="s">
        <v>98</v>
      </c>
      <c r="B12" s="143" t="s">
        <v>104</v>
      </c>
      <c r="C12" s="408" t="s">
        <v>35</v>
      </c>
      <c r="D12" s="411">
        <f>'Anexo 1'!E11</f>
        <v>90055000</v>
      </c>
      <c r="E12" s="411">
        <f>'Anexo 2'!H11</f>
        <v>63555000</v>
      </c>
      <c r="F12" s="571">
        <v>25000000</v>
      </c>
      <c r="G12" s="411">
        <f>+'Anexo 2'!F11</f>
        <v>26500000</v>
      </c>
      <c r="H12" s="208">
        <f t="shared" ref="H12:H16" si="0">+G12/F12</f>
        <v>1.06</v>
      </c>
      <c r="I12" s="411">
        <v>0</v>
      </c>
      <c r="J12" s="411">
        <f>+'Anexo 2'!G11</f>
        <v>0</v>
      </c>
      <c r="K12" s="208" t="e">
        <f t="shared" ref="K12:K17" si="1">J12/I12</f>
        <v>#DIV/0!</v>
      </c>
      <c r="L12" s="403">
        <v>0</v>
      </c>
      <c r="M12" s="403">
        <v>0</v>
      </c>
      <c r="N12" s="403">
        <v>16370355</v>
      </c>
      <c r="O12" s="403">
        <v>0</v>
      </c>
      <c r="P12" s="403">
        <v>47184645</v>
      </c>
      <c r="Q12" s="403" t="s">
        <v>5</v>
      </c>
      <c r="R12" s="403" t="s">
        <v>5</v>
      </c>
      <c r="S12" s="208" t="s">
        <v>5</v>
      </c>
      <c r="T12" s="208" t="s">
        <v>5</v>
      </c>
      <c r="U12" s="410" t="s">
        <v>5</v>
      </c>
      <c r="V12" s="578"/>
      <c r="W12" s="467"/>
      <c r="X12" s="50"/>
      <c r="Y12" s="468"/>
    </row>
    <row r="13" spans="1:27" ht="44.4" customHeight="1">
      <c r="A13" s="142">
        <v>2128</v>
      </c>
      <c r="B13" s="143" t="s">
        <v>40</v>
      </c>
      <c r="C13" s="408" t="s">
        <v>0</v>
      </c>
      <c r="D13" s="411">
        <f>'Anexo 1'!E12</f>
        <v>270000000</v>
      </c>
      <c r="E13" s="411">
        <f>'Anexo 2'!H12</f>
        <v>110199766.72999999</v>
      </c>
      <c r="F13" s="571">
        <v>35618889.600000001</v>
      </c>
      <c r="G13" s="411">
        <f>+'Anexo 2'!F12</f>
        <v>26909173.879999999</v>
      </c>
      <c r="H13" s="208">
        <f t="shared" si="0"/>
        <v>0.75547481075883949</v>
      </c>
      <c r="I13" s="411">
        <v>0</v>
      </c>
      <c r="J13" s="411">
        <f>+'Anexo 2'!G12</f>
        <v>0</v>
      </c>
      <c r="K13" s="208" t="e">
        <f t="shared" si="1"/>
        <v>#DIV/0!</v>
      </c>
      <c r="L13" s="403">
        <v>0</v>
      </c>
      <c r="M13" s="403">
        <v>0</v>
      </c>
      <c r="N13" s="403">
        <v>38176090.229999997</v>
      </c>
      <c r="O13" s="403">
        <v>36775748.520000003</v>
      </c>
      <c r="P13" s="403">
        <v>35247927.980000004</v>
      </c>
      <c r="Q13" s="403" t="s">
        <v>5</v>
      </c>
      <c r="R13" s="403" t="s">
        <v>5</v>
      </c>
      <c r="S13" s="403" t="s">
        <v>5</v>
      </c>
      <c r="T13" s="485" t="s">
        <v>5</v>
      </c>
      <c r="U13" s="410" t="s">
        <v>5</v>
      </c>
      <c r="V13" s="578"/>
      <c r="W13" s="467"/>
      <c r="X13" s="50"/>
      <c r="Y13" s="468"/>
    </row>
    <row r="14" spans="1:27" ht="44.4" customHeight="1">
      <c r="A14" s="142">
        <v>2129</v>
      </c>
      <c r="B14" s="143" t="s">
        <v>121</v>
      </c>
      <c r="C14" s="408" t="s">
        <v>77</v>
      </c>
      <c r="D14" s="411">
        <f>'Anexo 1'!E13</f>
        <v>130000000</v>
      </c>
      <c r="E14" s="411">
        <f>'Anexo 2'!H13</f>
        <v>118800000</v>
      </c>
      <c r="F14" s="571">
        <v>2460000</v>
      </c>
      <c r="G14" s="411">
        <f>+'Anexo 2'!F13</f>
        <v>3000000</v>
      </c>
      <c r="H14" s="208">
        <f t="shared" si="0"/>
        <v>1.2195121951219512</v>
      </c>
      <c r="I14" s="411">
        <v>0</v>
      </c>
      <c r="J14" s="411">
        <f>+'Anexo 2'!G13</f>
        <v>0</v>
      </c>
      <c r="K14" s="208" t="e">
        <f t="shared" si="1"/>
        <v>#DIV/0!</v>
      </c>
      <c r="L14" s="403">
        <v>0</v>
      </c>
      <c r="M14" s="403">
        <v>0</v>
      </c>
      <c r="N14" s="403">
        <v>0</v>
      </c>
      <c r="O14" s="403">
        <v>0</v>
      </c>
      <c r="P14" s="403">
        <v>25700000.000000007</v>
      </c>
      <c r="Q14" s="403">
        <v>75600000.000000015</v>
      </c>
      <c r="R14" s="403">
        <v>17500000.000000004</v>
      </c>
      <c r="S14" s="403" t="s">
        <v>5</v>
      </c>
      <c r="T14" s="485" t="s">
        <v>5</v>
      </c>
      <c r="U14" s="410" t="s">
        <v>5</v>
      </c>
      <c r="V14" s="578"/>
      <c r="W14" s="467"/>
      <c r="X14" s="50"/>
      <c r="Y14" s="468"/>
    </row>
    <row r="15" spans="1:27" ht="53.4" customHeight="1">
      <c r="A15" s="142">
        <v>2164</v>
      </c>
      <c r="B15" s="143" t="s">
        <v>64</v>
      </c>
      <c r="C15" s="408" t="s">
        <v>77</v>
      </c>
      <c r="D15" s="411">
        <f>'Anexo 1'!E14</f>
        <v>154562390.28999999</v>
      </c>
      <c r="E15" s="411">
        <f>'Anexo 2'!H14</f>
        <v>143594728.79999998</v>
      </c>
      <c r="F15" s="571">
        <v>4660433.7338644359</v>
      </c>
      <c r="G15" s="411">
        <f>+'Anexo 2'!F14</f>
        <v>0</v>
      </c>
      <c r="H15" s="208">
        <f t="shared" si="0"/>
        <v>0</v>
      </c>
      <c r="I15" s="411">
        <v>0</v>
      </c>
      <c r="J15" s="411">
        <f>+'Anexo 2'!G14</f>
        <v>9467661.4900000002</v>
      </c>
      <c r="K15" s="208" t="s">
        <v>5</v>
      </c>
      <c r="L15" s="403">
        <v>0</v>
      </c>
      <c r="M15" s="403">
        <v>0</v>
      </c>
      <c r="N15" s="403">
        <v>790681.42342136148</v>
      </c>
      <c r="O15" s="403">
        <v>2261555.6633006898</v>
      </c>
      <c r="P15" s="403">
        <v>10689290.770100038</v>
      </c>
      <c r="Q15" s="403">
        <v>129853200.943178</v>
      </c>
      <c r="R15" s="403" t="s">
        <v>5</v>
      </c>
      <c r="S15" s="403" t="s">
        <v>5</v>
      </c>
      <c r="T15" s="485" t="s">
        <v>5</v>
      </c>
      <c r="U15" s="410" t="s">
        <v>5</v>
      </c>
      <c r="V15" s="578"/>
      <c r="W15" s="467"/>
      <c r="X15" s="50"/>
      <c r="Y15" s="468"/>
      <c r="Z15" s="50"/>
      <c r="AA15" s="50"/>
    </row>
    <row r="16" spans="1:27" ht="40.200000000000003" customHeight="1">
      <c r="A16" s="142" t="s">
        <v>74</v>
      </c>
      <c r="B16" s="143" t="s">
        <v>90</v>
      </c>
      <c r="C16" s="408" t="str">
        <f>+'Anexo 1'!C15</f>
        <v>AyA</v>
      </c>
      <c r="D16" s="411">
        <f>'Anexo 1'!E15</f>
        <v>111128810</v>
      </c>
      <c r="E16" s="411">
        <f>'Anexo 2'!H15</f>
        <v>109040810</v>
      </c>
      <c r="F16" s="571">
        <v>1346478.8732394367</v>
      </c>
      <c r="G16" s="630">
        <f>+'Anexo 2'!F15</f>
        <v>1088000</v>
      </c>
      <c r="H16" s="208">
        <f t="shared" si="0"/>
        <v>0.80803347280334725</v>
      </c>
      <c r="I16" s="411">
        <v>0</v>
      </c>
      <c r="J16" s="411">
        <f>+'Anexo 2'!G15</f>
        <v>-88000</v>
      </c>
      <c r="K16" s="208" t="e">
        <f t="shared" si="1"/>
        <v>#DIV/0!</v>
      </c>
      <c r="L16" s="403">
        <v>0</v>
      </c>
      <c r="M16" s="403">
        <v>0</v>
      </c>
      <c r="N16" s="403">
        <v>1204870.8920187794</v>
      </c>
      <c r="O16" s="403">
        <v>2288387.7934272317</v>
      </c>
      <c r="P16" s="403">
        <v>10031242.259068711</v>
      </c>
      <c r="Q16" s="456">
        <v>39968273.658092074</v>
      </c>
      <c r="R16" s="456">
        <v>37222634.001477353</v>
      </c>
      <c r="S16" s="456">
        <v>18371201.395915851</v>
      </c>
      <c r="T16" s="485" t="s">
        <v>5</v>
      </c>
      <c r="U16" s="457" t="s">
        <v>5</v>
      </c>
      <c r="V16" s="578"/>
      <c r="W16" s="467"/>
      <c r="X16" s="50"/>
      <c r="Y16" s="468"/>
    </row>
    <row r="17" spans="1:25" ht="30.6" customHeight="1">
      <c r="A17" s="142">
        <v>2198</v>
      </c>
      <c r="B17" s="143" t="s">
        <v>349</v>
      </c>
      <c r="C17" s="408" t="str">
        <f>+'Anexo 1'!C16</f>
        <v>AyA/SENARA</v>
      </c>
      <c r="D17" s="411">
        <f>'Anexo 1'!E16</f>
        <v>55080000</v>
      </c>
      <c r="E17" s="411">
        <f>'Anexo 2'!H16</f>
        <v>54580000</v>
      </c>
      <c r="F17" s="571">
        <v>0</v>
      </c>
      <c r="G17" s="411">
        <f>+'Anexo 2'!F16</f>
        <v>0</v>
      </c>
      <c r="H17" s="208" t="s">
        <v>5</v>
      </c>
      <c r="I17" s="411">
        <v>0</v>
      </c>
      <c r="J17" s="411">
        <f>+'Anexo 2'!G16</f>
        <v>0</v>
      </c>
      <c r="K17" s="208" t="e">
        <f t="shared" si="1"/>
        <v>#DIV/0!</v>
      </c>
      <c r="L17" s="403">
        <v>0</v>
      </c>
      <c r="M17" s="403">
        <v>0</v>
      </c>
      <c r="N17" s="633">
        <v>0</v>
      </c>
      <c r="O17" s="633">
        <v>0</v>
      </c>
      <c r="P17" s="633">
        <v>12780556</v>
      </c>
      <c r="Q17" s="633">
        <v>22748500</v>
      </c>
      <c r="R17" s="633">
        <v>19050944</v>
      </c>
      <c r="S17" s="633" t="s">
        <v>5</v>
      </c>
      <c r="T17" s="633" t="s">
        <v>5</v>
      </c>
      <c r="U17" s="457" t="s">
        <v>5</v>
      </c>
      <c r="V17" s="578"/>
      <c r="W17" s="467"/>
      <c r="X17" s="50"/>
      <c r="Y17" s="468"/>
    </row>
    <row r="18" spans="1:25" ht="27.6" customHeight="1">
      <c r="A18" s="142">
        <v>2270</v>
      </c>
      <c r="B18" s="143" t="str">
        <f>+'Anexo 1'!B17</f>
        <v>Adquisición y Aplicación de Vacunas COVID-19</v>
      </c>
      <c r="C18" s="408" t="str">
        <f>+'Anexo 1'!C17</f>
        <v>CNE</v>
      </c>
      <c r="D18" s="411">
        <f>'Anexo 1'!E17</f>
        <v>80000000</v>
      </c>
      <c r="E18" s="411">
        <f>'Anexo 2'!H17</f>
        <v>311546.45999999344</v>
      </c>
      <c r="F18" s="571">
        <v>10574632.459999993</v>
      </c>
      <c r="G18" s="492">
        <f>+'Anexo 2'!F17</f>
        <v>10263086</v>
      </c>
      <c r="H18" s="208" t="s">
        <v>5</v>
      </c>
      <c r="I18" s="411">
        <v>0</v>
      </c>
      <c r="J18" s="411">
        <f>+'Anexo 2'!G17</f>
        <v>0</v>
      </c>
      <c r="K18" s="208" t="s">
        <v>5</v>
      </c>
      <c r="L18" s="403">
        <v>0</v>
      </c>
      <c r="M18" s="403">
        <v>0</v>
      </c>
      <c r="N18" s="485">
        <v>311546.45999999344</v>
      </c>
      <c r="O18" s="485" t="s">
        <v>5</v>
      </c>
      <c r="P18" s="485" t="s">
        <v>5</v>
      </c>
      <c r="Q18" s="485" t="s">
        <v>5</v>
      </c>
      <c r="R18" s="485" t="s">
        <v>5</v>
      </c>
      <c r="S18" s="485" t="s">
        <v>5</v>
      </c>
      <c r="T18" s="208" t="s">
        <v>5</v>
      </c>
      <c r="U18" s="410" t="s">
        <v>5</v>
      </c>
      <c r="V18" s="578"/>
      <c r="W18" s="467"/>
      <c r="X18" s="50"/>
      <c r="Y18" s="468"/>
    </row>
    <row r="19" spans="1:25" ht="30.6" customHeight="1">
      <c r="A19" s="142">
        <v>2220</v>
      </c>
      <c r="B19" s="143" t="str">
        <f>+'Anexo 1'!B18</f>
        <v>Proyecto de Abastecimiento de Agua para la Cuenca Media del río Tempisque y Comunidades Costeras (PAACUME)</v>
      </c>
      <c r="C19" s="488" t="str">
        <f>+'Anexo 1'!C18</f>
        <v xml:space="preserve">SENARA </v>
      </c>
      <c r="D19" s="492">
        <f>'Anexo 1'!E18</f>
        <v>425000000</v>
      </c>
      <c r="E19" s="492">
        <f>'Anexo 2'!H18</f>
        <v>425000000</v>
      </c>
      <c r="F19" s="571" t="s">
        <v>5</v>
      </c>
      <c r="G19" s="492">
        <f>+'Anexo 2'!F18</f>
        <v>0</v>
      </c>
      <c r="H19" s="208"/>
      <c r="I19" s="492"/>
      <c r="J19" s="492"/>
      <c r="K19" s="208"/>
      <c r="L19" s="485"/>
      <c r="M19" s="485"/>
      <c r="N19" s="485">
        <v>0</v>
      </c>
      <c r="O19" s="485">
        <v>0</v>
      </c>
      <c r="P19" s="485">
        <v>13270364.646666668</v>
      </c>
      <c r="Q19" s="485">
        <v>56781685.446666673</v>
      </c>
      <c r="R19" s="485">
        <v>93094800.48666665</v>
      </c>
      <c r="S19" s="485">
        <v>132169798.32666668</v>
      </c>
      <c r="T19" s="485">
        <v>78772748.851124927</v>
      </c>
      <c r="U19" s="491">
        <v>50910602.242208436</v>
      </c>
      <c r="V19" s="578"/>
      <c r="W19" s="467"/>
      <c r="X19" s="50"/>
      <c r="Y19" s="468"/>
    </row>
    <row r="20" spans="1:25" s="17" customFormat="1">
      <c r="A20" s="142"/>
      <c r="B20" s="152"/>
      <c r="C20" s="210"/>
      <c r="D20" s="154">
        <f>SUM(D10:D19)</f>
        <v>1755279957.29</v>
      </c>
      <c r="E20" s="154">
        <f t="shared" ref="E20:G20" si="2">SUM(E10:E19)</f>
        <v>1025081851.99</v>
      </c>
      <c r="F20" s="154">
        <f t="shared" si="2"/>
        <v>79660434.667103872</v>
      </c>
      <c r="G20" s="154">
        <f t="shared" si="2"/>
        <v>67760259.879999995</v>
      </c>
      <c r="H20" s="154"/>
      <c r="I20" s="154">
        <f>SUM(I10:I18)</f>
        <v>0</v>
      </c>
      <c r="J20" s="154">
        <f>SUM(J10:J18)</f>
        <v>64535868.490000002</v>
      </c>
      <c r="K20" s="45"/>
      <c r="L20" s="154">
        <f>SUM(L10:L18)</f>
        <v>0</v>
      </c>
      <c r="M20" s="154">
        <f t="shared" ref="M20" si="3">SUM(M10:M18)</f>
        <v>0</v>
      </c>
      <c r="N20" s="154">
        <f>SUM(N10:N19)</f>
        <v>56853544.005440131</v>
      </c>
      <c r="O20" s="154">
        <f t="shared" ref="O20:T20" si="4">SUM(O10:O19)</f>
        <v>41325691.976727925</v>
      </c>
      <c r="P20" s="154">
        <f t="shared" si="4"/>
        <v>154904026.65583545</v>
      </c>
      <c r="Q20" s="154">
        <f t="shared" si="4"/>
        <v>324951660.04793674</v>
      </c>
      <c r="R20" s="154">
        <f t="shared" si="4"/>
        <v>166868378.48814401</v>
      </c>
      <c r="S20" s="154">
        <f t="shared" si="4"/>
        <v>150540999.72258252</v>
      </c>
      <c r="T20" s="154">
        <f t="shared" si="4"/>
        <v>78772748.851124927</v>
      </c>
      <c r="U20" s="198">
        <f>SUM(U10:U19)</f>
        <v>50910602.242208436</v>
      </c>
      <c r="V20" s="578"/>
      <c r="W20" s="467"/>
      <c r="X20" s="50"/>
      <c r="Y20" s="468"/>
    </row>
    <row r="21" spans="1:25" s="17" customFormat="1">
      <c r="A21" s="142"/>
      <c r="B21" s="152"/>
      <c r="C21" s="210"/>
      <c r="D21" s="154"/>
      <c r="E21" s="154"/>
      <c r="F21" s="154"/>
      <c r="G21" s="154"/>
      <c r="H21" s="154"/>
      <c r="I21" s="154"/>
      <c r="J21" s="154"/>
      <c r="K21" s="45"/>
      <c r="L21" s="45"/>
      <c r="M21" s="154"/>
      <c r="N21" s="154"/>
      <c r="O21" s="154"/>
      <c r="P21" s="154"/>
      <c r="Q21" s="154"/>
      <c r="R21" s="154"/>
      <c r="S21" s="154"/>
      <c r="T21" s="154"/>
      <c r="U21" s="171"/>
      <c r="V21" s="578"/>
      <c r="W21" s="467"/>
      <c r="X21" s="50"/>
      <c r="Y21" s="468"/>
    </row>
    <row r="22" spans="1:25">
      <c r="A22" s="156" t="s">
        <v>2</v>
      </c>
      <c r="B22" s="157"/>
      <c r="C22" s="408"/>
      <c r="D22" s="403"/>
      <c r="E22" s="403"/>
      <c r="F22" s="403"/>
      <c r="G22" s="403"/>
      <c r="H22" s="403"/>
      <c r="I22" s="403"/>
      <c r="J22" s="403"/>
      <c r="K22" s="404"/>
      <c r="L22" s="404"/>
      <c r="M22" s="403"/>
      <c r="N22" s="403"/>
      <c r="O22" s="403"/>
      <c r="P22" s="403"/>
      <c r="Q22" s="403"/>
      <c r="R22" s="403"/>
      <c r="S22" s="403"/>
      <c r="T22" s="485"/>
      <c r="U22" s="19"/>
      <c r="V22" s="578"/>
      <c r="W22" s="467"/>
      <c r="X22" s="50"/>
      <c r="Y22" s="468"/>
    </row>
    <row r="23" spans="1:25">
      <c r="A23" s="142" t="s">
        <v>20</v>
      </c>
      <c r="B23" s="161" t="s">
        <v>85</v>
      </c>
      <c r="C23" s="409" t="s">
        <v>77</v>
      </c>
      <c r="D23" s="411">
        <f>'Anexo 1'!E22</f>
        <v>73000000</v>
      </c>
      <c r="E23" s="411">
        <f>'Anexo 2'!H22</f>
        <v>13841956.219999999</v>
      </c>
      <c r="F23" s="571">
        <v>17937083.65784641</v>
      </c>
      <c r="G23" s="411">
        <f>+'Anexo 2'!F22</f>
        <v>14040000</v>
      </c>
      <c r="H23" s="208">
        <f t="shared" ref="H23:H27" si="5">+G23/F23</f>
        <v>0.78273593789357909</v>
      </c>
      <c r="I23" s="411">
        <v>0</v>
      </c>
      <c r="J23" s="411">
        <f>+'Anexo 2'!G22</f>
        <v>0</v>
      </c>
      <c r="K23" s="208" t="e">
        <f>J23/I23</f>
        <v>#DIV/0!</v>
      </c>
      <c r="L23" s="211">
        <v>0</v>
      </c>
      <c r="M23" s="211">
        <v>0</v>
      </c>
      <c r="N23" s="211">
        <v>2460000</v>
      </c>
      <c r="O23" s="403">
        <v>0</v>
      </c>
      <c r="P23" s="211">
        <v>11381956.219999999</v>
      </c>
      <c r="Q23" s="403" t="s">
        <v>5</v>
      </c>
      <c r="R23" s="208" t="s">
        <v>5</v>
      </c>
      <c r="S23" s="208" t="s">
        <v>5</v>
      </c>
      <c r="T23" s="208" t="s">
        <v>5</v>
      </c>
      <c r="U23" s="410" t="s">
        <v>5</v>
      </c>
      <c r="V23" s="578"/>
      <c r="W23" s="467"/>
      <c r="X23" s="50"/>
      <c r="Y23" s="468"/>
    </row>
    <row r="24" spans="1:25" ht="15.6">
      <c r="A24" s="164" t="s">
        <v>66</v>
      </c>
      <c r="B24" s="157" t="s">
        <v>350</v>
      </c>
      <c r="C24" s="692" t="s">
        <v>4</v>
      </c>
      <c r="D24" s="411">
        <f>'Anexo 1'!E23</f>
        <v>400000000</v>
      </c>
      <c r="E24" s="411">
        <f>'Anexo 2'!H23</f>
        <v>160000000</v>
      </c>
      <c r="F24" s="571">
        <v>40000000</v>
      </c>
      <c r="G24" s="411">
        <f>+'Anexo 2'!F23</f>
        <v>40000000</v>
      </c>
      <c r="H24" s="208">
        <f t="shared" si="5"/>
        <v>1</v>
      </c>
      <c r="I24" s="411">
        <v>0</v>
      </c>
      <c r="J24" s="411">
        <f>+'Anexo 2'!G23</f>
        <v>-10000000</v>
      </c>
      <c r="K24" s="208" t="e">
        <f t="shared" ref="K24:K29" si="6">J24/I24</f>
        <v>#DIV/0!</v>
      </c>
      <c r="L24" s="403">
        <v>0</v>
      </c>
      <c r="M24" s="403">
        <v>0</v>
      </c>
      <c r="N24" s="403">
        <v>40000000.000000007</v>
      </c>
      <c r="O24" s="403">
        <v>0</v>
      </c>
      <c r="P24" s="403">
        <v>109999999.99999997</v>
      </c>
      <c r="Q24" s="503">
        <v>10000000</v>
      </c>
      <c r="R24" s="208" t="s">
        <v>5</v>
      </c>
      <c r="S24" s="208" t="s">
        <v>5</v>
      </c>
      <c r="T24" s="208" t="s">
        <v>5</v>
      </c>
      <c r="U24" s="410" t="s">
        <v>5</v>
      </c>
      <c r="V24" s="578"/>
      <c r="W24" s="467"/>
      <c r="X24" s="50"/>
      <c r="Y24" s="468"/>
    </row>
    <row r="25" spans="1:25" ht="15.6">
      <c r="A25" s="164" t="s">
        <v>53</v>
      </c>
      <c r="B25" s="157" t="s">
        <v>350</v>
      </c>
      <c r="C25" s="692"/>
      <c r="D25" s="411">
        <f>'Anexo 1'!E24</f>
        <v>50000000</v>
      </c>
      <c r="E25" s="411">
        <f>'Anexo 2'!H24</f>
        <v>30000000</v>
      </c>
      <c r="F25" s="571">
        <v>5000000</v>
      </c>
      <c r="G25" s="411">
        <f>+'Anexo 2'!F24</f>
        <v>0</v>
      </c>
      <c r="H25" s="208" t="s">
        <v>5</v>
      </c>
      <c r="I25" s="411">
        <v>0</v>
      </c>
      <c r="J25" s="411">
        <f>+'Anexo 2'!G24</f>
        <v>5000000</v>
      </c>
      <c r="K25" s="208" t="e">
        <f t="shared" si="6"/>
        <v>#DIV/0!</v>
      </c>
      <c r="L25" s="403">
        <v>0</v>
      </c>
      <c r="M25" s="403">
        <v>0</v>
      </c>
      <c r="N25" s="403">
        <v>10000000</v>
      </c>
      <c r="O25" s="403">
        <v>0</v>
      </c>
      <c r="P25" s="403">
        <v>20000000</v>
      </c>
      <c r="Q25" s="208"/>
      <c r="R25" s="208" t="s">
        <v>5</v>
      </c>
      <c r="S25" s="208" t="s">
        <v>5</v>
      </c>
      <c r="T25" s="208" t="s">
        <v>5</v>
      </c>
      <c r="U25" s="410" t="s">
        <v>5</v>
      </c>
      <c r="V25" s="578"/>
      <c r="W25" s="467"/>
      <c r="X25" s="50"/>
      <c r="Y25" s="468"/>
    </row>
    <row r="26" spans="1:25" s="17" customFormat="1">
      <c r="A26" s="164" t="s">
        <v>49</v>
      </c>
      <c r="B26" s="157" t="s">
        <v>50</v>
      </c>
      <c r="C26" s="409" t="s">
        <v>54</v>
      </c>
      <c r="D26" s="411">
        <f>'Anexo 1'!E25</f>
        <v>100000000</v>
      </c>
      <c r="E26" s="411">
        <f>'Anexo 2'!H25</f>
        <v>79447301.620000005</v>
      </c>
      <c r="F26" s="571">
        <v>18000000</v>
      </c>
      <c r="G26" s="411">
        <f>+'Anexo 2'!F25</f>
        <v>0</v>
      </c>
      <c r="H26" s="208">
        <f t="shared" si="5"/>
        <v>0</v>
      </c>
      <c r="I26" s="411">
        <v>0</v>
      </c>
      <c r="J26" s="411">
        <f>+'Anexo 2'!G25</f>
        <v>0</v>
      </c>
      <c r="K26" s="208" t="s">
        <v>5</v>
      </c>
      <c r="L26" s="403">
        <v>0</v>
      </c>
      <c r="M26" s="403">
        <v>0</v>
      </c>
      <c r="N26" s="403">
        <v>11847217.52</v>
      </c>
      <c r="O26" s="403">
        <v>0</v>
      </c>
      <c r="P26" s="403">
        <v>49566266.25999999</v>
      </c>
      <c r="Q26" s="403">
        <v>18033817.840000004</v>
      </c>
      <c r="R26" s="403" t="s">
        <v>5</v>
      </c>
      <c r="S26" s="403" t="s">
        <v>5</v>
      </c>
      <c r="T26" s="485" t="s">
        <v>5</v>
      </c>
      <c r="U26" s="410" t="s">
        <v>5</v>
      </c>
      <c r="V26" s="578"/>
      <c r="W26" s="467"/>
      <c r="X26" s="50"/>
      <c r="Y26" s="468"/>
    </row>
    <row r="27" spans="1:25" s="17" customFormat="1">
      <c r="A27" s="164" t="s">
        <v>67</v>
      </c>
      <c r="B27" s="157" t="s">
        <v>68</v>
      </c>
      <c r="C27" s="409" t="s">
        <v>4</v>
      </c>
      <c r="D27" s="411">
        <f>'Anexo 1'!E26</f>
        <v>144036000</v>
      </c>
      <c r="E27" s="411">
        <f>'Anexo 2'!H26</f>
        <v>82046707.569999993</v>
      </c>
      <c r="F27" s="571">
        <v>10628600.050000001</v>
      </c>
      <c r="G27" s="411">
        <f>+'Anexo 2'!F26</f>
        <v>7664808.1200000001</v>
      </c>
      <c r="H27" s="208">
        <f t="shared" si="5"/>
        <v>0.72114935964685201</v>
      </c>
      <c r="I27" s="411">
        <v>0</v>
      </c>
      <c r="J27" s="411">
        <f>+'Anexo 2'!G26</f>
        <v>0</v>
      </c>
      <c r="K27" s="208" t="e">
        <f t="shared" si="6"/>
        <v>#DIV/0!</v>
      </c>
      <c r="L27" s="403">
        <v>0</v>
      </c>
      <c r="M27" s="403">
        <v>0</v>
      </c>
      <c r="N27" s="403">
        <v>0</v>
      </c>
      <c r="O27" s="403">
        <v>8743243.6999999993</v>
      </c>
      <c r="P27" s="403">
        <v>73303463.870000005</v>
      </c>
      <c r="Q27" s="403"/>
      <c r="R27" s="403" t="s">
        <v>5</v>
      </c>
      <c r="S27" s="403" t="s">
        <v>5</v>
      </c>
      <c r="T27" s="485" t="s">
        <v>5</v>
      </c>
      <c r="U27" s="410" t="s">
        <v>5</v>
      </c>
      <c r="V27" s="578"/>
      <c r="W27" s="467"/>
      <c r="X27" s="50"/>
      <c r="Y27" s="468"/>
    </row>
    <row r="28" spans="1:25" s="17" customFormat="1" ht="27.6">
      <c r="A28" s="164" t="str">
        <f>+'Anexo 1'!A27</f>
        <v>3589/OC-CR</v>
      </c>
      <c r="B28" s="157" t="s">
        <v>72</v>
      </c>
      <c r="C28" s="409" t="str">
        <f>+'Anexo 1'!C27</f>
        <v>ICE</v>
      </c>
      <c r="D28" s="411">
        <f>+'Anexo 1'!E27</f>
        <v>134500000</v>
      </c>
      <c r="E28" s="411">
        <f>'Anexo 2'!H27</f>
        <v>80936543.159999996</v>
      </c>
      <c r="F28" s="571">
        <v>400000</v>
      </c>
      <c r="G28" s="411">
        <f>+'Anexo 2'!F27</f>
        <v>0</v>
      </c>
      <c r="H28" s="208" t="s">
        <v>5</v>
      </c>
      <c r="I28" s="411">
        <v>0</v>
      </c>
      <c r="J28" s="411">
        <f>+'Anexo 2'!G27</f>
        <v>0</v>
      </c>
      <c r="K28" s="208" t="e">
        <f t="shared" si="6"/>
        <v>#DIV/0!</v>
      </c>
      <c r="L28" s="403">
        <v>0</v>
      </c>
      <c r="M28" s="403">
        <v>0</v>
      </c>
      <c r="N28" s="403">
        <v>1073893</v>
      </c>
      <c r="O28" s="403">
        <v>2025731.4903772776</v>
      </c>
      <c r="P28" s="403">
        <v>50403612.509622723</v>
      </c>
      <c r="Q28" s="403">
        <v>27433306.159999996</v>
      </c>
      <c r="R28" s="403" t="s">
        <v>5</v>
      </c>
      <c r="S28" s="403" t="s">
        <v>5</v>
      </c>
      <c r="T28" s="485" t="s">
        <v>5</v>
      </c>
      <c r="U28" s="410" t="s">
        <v>5</v>
      </c>
      <c r="V28" s="578"/>
      <c r="W28" s="467"/>
      <c r="X28" s="50"/>
      <c r="Y28" s="468"/>
    </row>
    <row r="29" spans="1:25" s="17" customFormat="1" ht="27.6">
      <c r="A29" s="164" t="str">
        <f>+'Anexo 1'!A28</f>
        <v>4864/OC-CR</v>
      </c>
      <c r="B29" s="157" t="s">
        <v>102</v>
      </c>
      <c r="C29" s="409" t="str">
        <f>+'Anexo 1'!C28</f>
        <v>MOPT</v>
      </c>
      <c r="D29" s="411">
        <f>+'Anexo 1'!E28</f>
        <v>125000000</v>
      </c>
      <c r="E29" s="411">
        <f>'Anexo 2'!H28</f>
        <v>105000000</v>
      </c>
      <c r="F29" s="571">
        <v>0</v>
      </c>
      <c r="G29" s="411">
        <f>+'Anexo 2'!F28</f>
        <v>0</v>
      </c>
      <c r="H29" s="208" t="s">
        <v>5</v>
      </c>
      <c r="I29" s="411">
        <v>0</v>
      </c>
      <c r="J29" s="411">
        <f>+'Anexo 2'!G28</f>
        <v>20000000</v>
      </c>
      <c r="K29" s="208" t="e">
        <f t="shared" si="6"/>
        <v>#DIV/0!</v>
      </c>
      <c r="L29" s="403">
        <v>0</v>
      </c>
      <c r="M29" s="403">
        <v>0</v>
      </c>
      <c r="N29" s="403">
        <v>20000000</v>
      </c>
      <c r="O29" s="403">
        <v>0</v>
      </c>
      <c r="P29" s="403">
        <v>65000000.003333338</v>
      </c>
      <c r="Q29" s="403">
        <v>18699999.996666666</v>
      </c>
      <c r="R29" s="403">
        <v>1300000</v>
      </c>
      <c r="S29" s="403" t="s">
        <v>5</v>
      </c>
      <c r="T29" s="485" t="s">
        <v>5</v>
      </c>
      <c r="U29" s="410" t="s">
        <v>5</v>
      </c>
      <c r="V29" s="578"/>
      <c r="W29" s="467"/>
      <c r="X29" s="50"/>
      <c r="Y29" s="468"/>
    </row>
    <row r="30" spans="1:25" s="17" customFormat="1">
      <c r="A30" s="164" t="str">
        <f>+'Anexo 1'!A29</f>
        <v>4871/OC-CR</v>
      </c>
      <c r="B30" s="157" t="s">
        <v>110</v>
      </c>
      <c r="C30" s="409" t="str">
        <f>+'Anexo 1'!C29</f>
        <v>MJP</v>
      </c>
      <c r="D30" s="411">
        <f>+'Anexo 1'!E29</f>
        <v>100000000</v>
      </c>
      <c r="E30" s="411">
        <f>'Anexo 2'!H29</f>
        <v>99150000</v>
      </c>
      <c r="F30" s="571">
        <v>0</v>
      </c>
      <c r="G30" s="411">
        <f>+'Anexo 2'!F29</f>
        <v>0</v>
      </c>
      <c r="H30" s="411" t="s">
        <v>5</v>
      </c>
      <c r="I30" s="411">
        <v>0</v>
      </c>
      <c r="J30" s="411">
        <f>+'Anexo 2'!G29</f>
        <v>0</v>
      </c>
      <c r="K30" s="208" t="s">
        <v>5</v>
      </c>
      <c r="L30" s="403">
        <v>0</v>
      </c>
      <c r="M30" s="403">
        <v>0</v>
      </c>
      <c r="N30" s="403">
        <v>5100000</v>
      </c>
      <c r="O30" s="403">
        <v>0</v>
      </c>
      <c r="P30" s="403">
        <v>12306648</v>
      </c>
      <c r="Q30" s="403">
        <v>47631320</v>
      </c>
      <c r="R30" s="403">
        <v>34112032</v>
      </c>
      <c r="S30" s="403" t="s">
        <v>5</v>
      </c>
      <c r="T30" s="485" t="s">
        <v>5</v>
      </c>
      <c r="U30" s="410" t="s">
        <v>5</v>
      </c>
      <c r="V30" s="578"/>
      <c r="W30" s="467"/>
      <c r="X30" s="50"/>
      <c r="Y30" s="468"/>
    </row>
    <row r="31" spans="1:25">
      <c r="A31" s="168"/>
      <c r="B31" s="169"/>
      <c r="C31" s="210"/>
      <c r="D31" s="154">
        <f>SUM(D23:D30)</f>
        <v>1126536000</v>
      </c>
      <c r="E31" s="154">
        <f>SUM(E23:E30)</f>
        <v>650422508.57000005</v>
      </c>
      <c r="F31" s="154">
        <f>SUM(F23:F30)</f>
        <v>91965683.707846403</v>
      </c>
      <c r="G31" s="154">
        <f>SUM(G23:G30)</f>
        <v>61704808.119999997</v>
      </c>
      <c r="H31" s="154"/>
      <c r="I31" s="154">
        <f>SUM(I23:I30)</f>
        <v>0</v>
      </c>
      <c r="J31" s="154">
        <f>SUM(J23:J30)</f>
        <v>15000000</v>
      </c>
      <c r="K31" s="154"/>
      <c r="L31" s="154">
        <f t="shared" ref="L31:U31" si="7">SUM(L23:L30)</f>
        <v>0</v>
      </c>
      <c r="M31" s="154">
        <f t="shared" si="7"/>
        <v>0</v>
      </c>
      <c r="N31" s="154">
        <f t="shared" si="7"/>
        <v>90481110.520000011</v>
      </c>
      <c r="O31" s="154">
        <f t="shared" si="7"/>
        <v>10768975.190377276</v>
      </c>
      <c r="P31" s="154">
        <f t="shared" si="7"/>
        <v>391961946.86295605</v>
      </c>
      <c r="Q31" s="154">
        <f t="shared" si="7"/>
        <v>121798443.99666667</v>
      </c>
      <c r="R31" s="154">
        <f t="shared" si="7"/>
        <v>35412032</v>
      </c>
      <c r="S31" s="154">
        <f t="shared" si="7"/>
        <v>0</v>
      </c>
      <c r="T31" s="154">
        <f t="shared" si="7"/>
        <v>0</v>
      </c>
      <c r="U31" s="198">
        <f t="shared" si="7"/>
        <v>0</v>
      </c>
      <c r="V31" s="578"/>
      <c r="W31" s="467"/>
      <c r="X31" s="50"/>
      <c r="Y31" s="468"/>
    </row>
    <row r="32" spans="1:25">
      <c r="A32" s="172"/>
      <c r="B32" s="143"/>
      <c r="C32" s="408"/>
      <c r="D32" s="403"/>
      <c r="E32" s="403"/>
      <c r="F32" s="403"/>
      <c r="G32" s="411"/>
      <c r="H32" s="403"/>
      <c r="I32" s="403"/>
      <c r="J32" s="403"/>
      <c r="K32" s="404"/>
      <c r="L32" s="404"/>
      <c r="M32" s="403"/>
      <c r="N32" s="403"/>
      <c r="O32" s="403"/>
      <c r="P32" s="403"/>
      <c r="Q32" s="403"/>
      <c r="R32" s="403"/>
      <c r="S32" s="403"/>
      <c r="T32" s="485"/>
      <c r="U32" s="410"/>
      <c r="V32" s="578"/>
      <c r="W32" s="467"/>
      <c r="X32" s="50"/>
      <c r="Y32" s="468"/>
    </row>
    <row r="33" spans="1:25" s="17" customFormat="1">
      <c r="A33" s="156" t="s">
        <v>3</v>
      </c>
      <c r="B33" s="157"/>
      <c r="C33" s="408"/>
      <c r="D33" s="403"/>
      <c r="E33" s="411"/>
      <c r="F33" s="411"/>
      <c r="G33" s="411"/>
      <c r="H33" s="411"/>
      <c r="I33" s="411"/>
      <c r="J33" s="411"/>
      <c r="K33" s="208"/>
      <c r="L33" s="208"/>
      <c r="M33" s="403"/>
      <c r="N33" s="403"/>
      <c r="O33" s="403"/>
      <c r="P33" s="403"/>
      <c r="Q33" s="403"/>
      <c r="R33" s="403"/>
      <c r="S33" s="403"/>
      <c r="T33" s="485"/>
      <c r="U33" s="410"/>
      <c r="V33" s="578"/>
      <c r="W33" s="467"/>
      <c r="X33" s="50"/>
      <c r="Y33" s="468"/>
    </row>
    <row r="34" spans="1:25" ht="27.6">
      <c r="A34" s="168" t="s">
        <v>46</v>
      </c>
      <c r="B34" s="173" t="s">
        <v>47</v>
      </c>
      <c r="C34" s="408" t="s">
        <v>0</v>
      </c>
      <c r="D34" s="411">
        <f>'Anexo 1'!E33</f>
        <v>420000000</v>
      </c>
      <c r="E34" s="411">
        <f>'Anexo 2'!H33</f>
        <v>30000000</v>
      </c>
      <c r="F34" s="571">
        <v>0</v>
      </c>
      <c r="G34" s="411">
        <f>+'Anexo 2'!F33</f>
        <v>0</v>
      </c>
      <c r="H34" s="430" t="s">
        <v>5</v>
      </c>
      <c r="I34" s="411">
        <v>0</v>
      </c>
      <c r="J34" s="411">
        <f>+'Anexo 2'!G33</f>
        <v>0</v>
      </c>
      <c r="K34" s="208" t="s">
        <v>5</v>
      </c>
      <c r="L34" s="403">
        <v>0</v>
      </c>
      <c r="M34" s="403">
        <v>0</v>
      </c>
      <c r="N34" s="403">
        <v>0</v>
      </c>
      <c r="O34" s="403">
        <v>0</v>
      </c>
      <c r="P34" s="403">
        <v>30000000</v>
      </c>
      <c r="Q34" s="403" t="s">
        <v>5</v>
      </c>
      <c r="R34" s="403" t="s">
        <v>5</v>
      </c>
      <c r="S34" s="403" t="s">
        <v>5</v>
      </c>
      <c r="T34" s="485" t="s">
        <v>5</v>
      </c>
      <c r="U34" s="410" t="s">
        <v>5</v>
      </c>
      <c r="V34" s="578"/>
      <c r="W34" s="467"/>
      <c r="X34" s="50"/>
      <c r="Y34" s="468"/>
    </row>
    <row r="35" spans="1:25" ht="40.799999999999997" customHeight="1">
      <c r="A35" s="164" t="str">
        <f>+'Anexo 1'!A34</f>
        <v>9075-CR</v>
      </c>
      <c r="B35" s="173" t="s">
        <v>215</v>
      </c>
      <c r="C35" s="408" t="s">
        <v>86</v>
      </c>
      <c r="D35" s="411">
        <f>'Anexo 1'!E34</f>
        <v>156640000</v>
      </c>
      <c r="E35" s="411">
        <f>'Anexo 2'!H34</f>
        <v>151287250</v>
      </c>
      <c r="F35" s="571">
        <v>0</v>
      </c>
      <c r="G35" s="411">
        <f>+'Anexo 2'!F34</f>
        <v>2114200</v>
      </c>
      <c r="H35" s="208" t="s">
        <v>5</v>
      </c>
      <c r="I35" s="411">
        <v>0</v>
      </c>
      <c r="J35" s="411">
        <f>+'Anexo 2'!G34</f>
        <v>1124350</v>
      </c>
      <c r="K35" s="208" t="e">
        <f>J35/I35</f>
        <v>#DIV/0!</v>
      </c>
      <c r="L35" s="427">
        <v>0</v>
      </c>
      <c r="M35" s="427">
        <v>0</v>
      </c>
      <c r="N35" s="427">
        <v>1685800</v>
      </c>
      <c r="O35" s="427">
        <v>4165000</v>
      </c>
      <c r="P35" s="427">
        <v>72029793.129999995</v>
      </c>
      <c r="Q35" s="427">
        <v>45590646.640000001</v>
      </c>
      <c r="R35" s="427">
        <v>22816805.309999999</v>
      </c>
      <c r="S35" s="427">
        <v>4999204.92</v>
      </c>
      <c r="T35" s="485" t="s">
        <v>5</v>
      </c>
      <c r="U35" s="429" t="s">
        <v>5</v>
      </c>
      <c r="V35" s="578"/>
      <c r="W35" s="467"/>
      <c r="X35" s="50"/>
      <c r="Y35" s="468"/>
    </row>
    <row r="36" spans="1:25" ht="27.6">
      <c r="A36" s="164" t="s">
        <v>185</v>
      </c>
      <c r="B36" s="173" t="s">
        <v>187</v>
      </c>
      <c r="C36" s="408" t="s">
        <v>186</v>
      </c>
      <c r="D36" s="411">
        <f>'Anexo 1'!E35</f>
        <v>75100500</v>
      </c>
      <c r="E36" s="411">
        <f>'Anexo 2'!H35</f>
        <v>74912748.75</v>
      </c>
      <c r="F36" s="571">
        <v>0</v>
      </c>
      <c r="G36" s="411" t="s">
        <v>5</v>
      </c>
      <c r="H36" s="411" t="s">
        <v>5</v>
      </c>
      <c r="I36" s="411">
        <v>0</v>
      </c>
      <c r="J36" s="411">
        <f>+'Anexo 2'!G35</f>
        <v>0</v>
      </c>
      <c r="K36" s="208" t="s">
        <v>5</v>
      </c>
      <c r="L36" s="462">
        <v>0</v>
      </c>
      <c r="M36" s="403">
        <v>0</v>
      </c>
      <c r="N36" s="403">
        <v>0</v>
      </c>
      <c r="O36" s="403">
        <v>347504.45999999996</v>
      </c>
      <c r="P36" s="403">
        <v>9565782.7699999996</v>
      </c>
      <c r="Q36" s="403">
        <v>13474260.310000001</v>
      </c>
      <c r="R36" s="403">
        <v>21615624.420000002</v>
      </c>
      <c r="S36" s="403">
        <v>16659514.560000001</v>
      </c>
      <c r="T36" s="485">
        <v>0</v>
      </c>
      <c r="U36" s="410">
        <v>13250062.23</v>
      </c>
      <c r="V36" s="578"/>
      <c r="W36" s="467"/>
      <c r="X36" s="50"/>
      <c r="Y36" s="468"/>
    </row>
    <row r="37" spans="1:25">
      <c r="A37" s="168"/>
      <c r="B37" s="173"/>
      <c r="C37" s="408"/>
      <c r="D37" s="154">
        <f>SUM(D34:D36)</f>
        <v>651740500</v>
      </c>
      <c r="E37" s="154">
        <f t="shared" ref="E37:G37" si="8">SUM(E34:E36)</f>
        <v>256199998.75</v>
      </c>
      <c r="F37" s="154">
        <f t="shared" si="8"/>
        <v>0</v>
      </c>
      <c r="G37" s="154">
        <f t="shared" si="8"/>
        <v>2114200</v>
      </c>
      <c r="H37" s="154"/>
      <c r="I37" s="154">
        <f>SUM(I34:I36)</f>
        <v>0</v>
      </c>
      <c r="J37" s="154">
        <f t="shared" ref="J37:T37" si="9">SUM(J34:J36)</f>
        <v>1124350</v>
      </c>
      <c r="K37" s="154"/>
      <c r="L37" s="154">
        <f t="shared" si="9"/>
        <v>0</v>
      </c>
      <c r="M37" s="154">
        <f t="shared" si="9"/>
        <v>0</v>
      </c>
      <c r="N37" s="154">
        <f t="shared" si="9"/>
        <v>1685800</v>
      </c>
      <c r="O37" s="154">
        <f t="shared" si="9"/>
        <v>4512504.46</v>
      </c>
      <c r="P37" s="154">
        <f t="shared" si="9"/>
        <v>111595575.89999999</v>
      </c>
      <c r="Q37" s="154">
        <f t="shared" si="9"/>
        <v>59064906.950000003</v>
      </c>
      <c r="R37" s="154">
        <f t="shared" si="9"/>
        <v>44432429.730000004</v>
      </c>
      <c r="S37" s="154">
        <f t="shared" si="9"/>
        <v>21658719.48</v>
      </c>
      <c r="T37" s="154">
        <f t="shared" si="9"/>
        <v>0</v>
      </c>
      <c r="U37" s="198">
        <f>SUM(U34:U36)</f>
        <v>13250062.23</v>
      </c>
      <c r="V37" s="578"/>
      <c r="W37" s="467"/>
      <c r="X37" s="50"/>
      <c r="Y37" s="468"/>
    </row>
    <row r="38" spans="1:25">
      <c r="A38" s="168"/>
      <c r="B38" s="173"/>
      <c r="C38" s="408"/>
      <c r="D38" s="154"/>
      <c r="E38" s="154"/>
      <c r="F38" s="154"/>
      <c r="G38" s="154"/>
      <c r="H38" s="154"/>
      <c r="I38" s="154"/>
      <c r="J38" s="154"/>
      <c r="K38" s="45"/>
      <c r="L38" s="45"/>
      <c r="M38" s="154"/>
      <c r="N38" s="154"/>
      <c r="O38" s="154"/>
      <c r="P38" s="154"/>
      <c r="Q38" s="403"/>
      <c r="R38" s="403"/>
      <c r="S38" s="403"/>
      <c r="T38" s="485"/>
      <c r="U38" s="410"/>
      <c r="V38" s="578"/>
      <c r="W38" s="467"/>
      <c r="X38" s="50"/>
      <c r="Y38" s="468"/>
    </row>
    <row r="39" spans="1:25">
      <c r="A39" s="168"/>
      <c r="B39" s="173"/>
      <c r="C39" s="408"/>
      <c r="D39" s="154"/>
      <c r="E39" s="154"/>
      <c r="F39" s="154"/>
      <c r="G39" s="154"/>
      <c r="H39" s="154"/>
      <c r="I39" s="154"/>
      <c r="J39" s="154"/>
      <c r="K39" s="45"/>
      <c r="L39" s="45"/>
      <c r="M39" s="154"/>
      <c r="N39" s="154"/>
      <c r="O39" s="154"/>
      <c r="P39" s="154"/>
      <c r="Q39" s="403"/>
      <c r="R39" s="403"/>
      <c r="S39" s="403"/>
      <c r="T39" s="485"/>
      <c r="U39" s="410"/>
      <c r="V39" s="578"/>
      <c r="W39" s="467"/>
      <c r="X39" s="50"/>
      <c r="Y39" s="468"/>
    </row>
    <row r="40" spans="1:25">
      <c r="A40" s="142" t="s">
        <v>34</v>
      </c>
      <c r="B40" s="157"/>
      <c r="C40" s="408"/>
      <c r="D40" s="403"/>
      <c r="E40" s="411"/>
      <c r="F40" s="411"/>
      <c r="G40" s="411"/>
      <c r="H40" s="411"/>
      <c r="I40" s="411"/>
      <c r="J40" s="411"/>
      <c r="K40" s="208"/>
      <c r="L40" s="208"/>
      <c r="M40" s="403"/>
      <c r="N40" s="403"/>
      <c r="O40" s="403"/>
      <c r="P40" s="403"/>
      <c r="Q40" s="403"/>
      <c r="R40" s="403"/>
      <c r="S40" s="403"/>
      <c r="T40" s="485"/>
      <c r="U40" s="410"/>
      <c r="V40" s="578"/>
      <c r="W40" s="467"/>
      <c r="X40" s="50"/>
      <c r="Y40" s="468"/>
    </row>
    <row r="41" spans="1:25" ht="24.6" customHeight="1">
      <c r="A41" s="168" t="s">
        <v>37</v>
      </c>
      <c r="B41" s="157" t="s">
        <v>345</v>
      </c>
      <c r="C41" s="696" t="s">
        <v>35</v>
      </c>
      <c r="D41" s="411">
        <f>'Anexo 1'!E39</f>
        <v>90542773.120000005</v>
      </c>
      <c r="E41" s="411">
        <f>'Anexo 2'!H39</f>
        <v>0</v>
      </c>
      <c r="F41" s="571" t="s">
        <v>5</v>
      </c>
      <c r="G41" s="411" t="s">
        <v>5</v>
      </c>
      <c r="H41" s="411" t="s">
        <v>5</v>
      </c>
      <c r="I41" s="411"/>
      <c r="J41" s="411" t="s">
        <v>5</v>
      </c>
      <c r="K41" s="208" t="s">
        <v>5</v>
      </c>
      <c r="L41" s="208" t="s">
        <v>5</v>
      </c>
      <c r="M41" s="208" t="s">
        <v>5</v>
      </c>
      <c r="N41" s="208" t="s">
        <v>5</v>
      </c>
      <c r="O41" s="208" t="s">
        <v>5</v>
      </c>
      <c r="P41" s="208" t="s">
        <v>5</v>
      </c>
      <c r="Q41" s="208" t="s">
        <v>5</v>
      </c>
      <c r="R41" s="208" t="s">
        <v>5</v>
      </c>
      <c r="S41" s="208" t="s">
        <v>5</v>
      </c>
      <c r="T41" s="208" t="s">
        <v>5</v>
      </c>
      <c r="U41" s="410" t="s">
        <v>5</v>
      </c>
      <c r="V41" s="578"/>
      <c r="W41" s="467"/>
      <c r="X41" s="50"/>
      <c r="Y41" s="468"/>
    </row>
    <row r="42" spans="1:25" ht="21.6" customHeight="1">
      <c r="A42" s="168" t="s">
        <v>36</v>
      </c>
      <c r="B42" s="157" t="s">
        <v>76</v>
      </c>
      <c r="C42" s="696"/>
      <c r="D42" s="411">
        <f>'Anexo 1'!E40</f>
        <v>296000000</v>
      </c>
      <c r="E42" s="411">
        <f>'Anexo 2'!H40</f>
        <v>126718152.93000001</v>
      </c>
      <c r="F42" s="571">
        <v>55466390.506206468</v>
      </c>
      <c r="G42" s="411">
        <f>+'Anexo 2'!F40</f>
        <v>30862427.59</v>
      </c>
      <c r="H42" s="208">
        <f t="shared" ref="H42" si="10">+G42/F42</f>
        <v>0.55641672927223595</v>
      </c>
      <c r="I42" s="411">
        <v>0</v>
      </c>
      <c r="J42" s="411">
        <f>+'Anexo 2'!G40</f>
        <v>0</v>
      </c>
      <c r="K42" s="208" t="e">
        <f t="shared" ref="K42" si="11">J42/I42</f>
        <v>#DIV/0!</v>
      </c>
      <c r="L42" s="403">
        <v>0</v>
      </c>
      <c r="M42" s="403">
        <v>0</v>
      </c>
      <c r="N42" s="403">
        <v>30598080.996406466</v>
      </c>
      <c r="O42" s="403">
        <v>45530560.342799991</v>
      </c>
      <c r="P42" s="403">
        <v>50589511.59079355</v>
      </c>
      <c r="Q42" s="208" t="s">
        <v>5</v>
      </c>
      <c r="R42" s="208" t="s">
        <v>5</v>
      </c>
      <c r="S42" s="208" t="s">
        <v>5</v>
      </c>
      <c r="T42" s="208" t="s">
        <v>5</v>
      </c>
      <c r="U42" s="410" t="s">
        <v>5</v>
      </c>
      <c r="V42" s="578"/>
      <c r="W42" s="467"/>
      <c r="X42" s="50"/>
      <c r="Y42" s="468"/>
    </row>
    <row r="43" spans="1:25">
      <c r="A43" s="168"/>
      <c r="B43" s="157"/>
      <c r="C43" s="408"/>
      <c r="D43" s="154">
        <f>SUM(D41:D42)</f>
        <v>386542773.12</v>
      </c>
      <c r="E43" s="154">
        <f t="shared" ref="E43:G43" si="12">SUM(E41:E42)</f>
        <v>126718152.93000001</v>
      </c>
      <c r="F43" s="154">
        <f t="shared" si="12"/>
        <v>55466390.506206468</v>
      </c>
      <c r="G43" s="154">
        <f t="shared" si="12"/>
        <v>30862427.59</v>
      </c>
      <c r="H43" s="154"/>
      <c r="I43" s="154">
        <f>SUM(I41:I42)</f>
        <v>0</v>
      </c>
      <c r="J43" s="154">
        <f t="shared" ref="J43" si="13">SUM(J41:J42)</f>
        <v>0</v>
      </c>
      <c r="K43" s="45"/>
      <c r="L43" s="154">
        <f t="shared" ref="L43:U43" si="14">SUM(L41:L42)</f>
        <v>0</v>
      </c>
      <c r="M43" s="154">
        <f t="shared" si="14"/>
        <v>0</v>
      </c>
      <c r="N43" s="154">
        <f t="shared" si="14"/>
        <v>30598080.996406466</v>
      </c>
      <c r="O43" s="154">
        <f t="shared" si="14"/>
        <v>45530560.342799991</v>
      </c>
      <c r="P43" s="154">
        <f t="shared" si="14"/>
        <v>50589511.59079355</v>
      </c>
      <c r="Q43" s="154">
        <f t="shared" si="14"/>
        <v>0</v>
      </c>
      <c r="R43" s="154">
        <f t="shared" si="14"/>
        <v>0</v>
      </c>
      <c r="S43" s="154">
        <f t="shared" si="14"/>
        <v>0</v>
      </c>
      <c r="T43" s="154">
        <f t="shared" si="14"/>
        <v>0</v>
      </c>
      <c r="U43" s="198">
        <f t="shared" si="14"/>
        <v>0</v>
      </c>
      <c r="V43" s="578"/>
      <c r="W43" s="467"/>
      <c r="X43" s="50"/>
      <c r="Y43" s="468"/>
    </row>
    <row r="44" spans="1:25">
      <c r="A44" s="174"/>
      <c r="B44" s="157"/>
      <c r="C44" s="408"/>
      <c r="D44" s="403"/>
      <c r="E44" s="411"/>
      <c r="F44" s="411"/>
      <c r="G44" s="411"/>
      <c r="H44" s="411"/>
      <c r="I44" s="411"/>
      <c r="J44" s="411"/>
      <c r="K44" s="208"/>
      <c r="L44" s="208"/>
      <c r="M44" s="403"/>
      <c r="N44" s="403"/>
      <c r="O44" s="403"/>
      <c r="P44" s="403"/>
      <c r="Q44" s="403"/>
      <c r="R44" s="403"/>
      <c r="S44" s="403"/>
      <c r="T44" s="485"/>
      <c r="U44" s="410"/>
      <c r="V44" s="578"/>
      <c r="W44" s="467"/>
      <c r="X44" s="50"/>
      <c r="Y44" s="468"/>
    </row>
    <row r="45" spans="1:25">
      <c r="A45" s="156" t="s">
        <v>43</v>
      </c>
      <c r="B45" s="173"/>
      <c r="C45" s="408"/>
      <c r="D45" s="403"/>
      <c r="E45" s="411"/>
      <c r="F45" s="411"/>
      <c r="G45" s="411"/>
      <c r="H45" s="411"/>
      <c r="I45" s="411"/>
      <c r="J45" s="411"/>
      <c r="K45" s="208"/>
      <c r="L45" s="403"/>
      <c r="M45" s="403"/>
      <c r="N45" s="403"/>
      <c r="O45" s="403"/>
      <c r="P45" s="403"/>
      <c r="Q45" s="403"/>
      <c r="R45" s="403"/>
      <c r="S45" s="403"/>
      <c r="T45" s="485"/>
      <c r="U45" s="410"/>
      <c r="V45" s="578"/>
      <c r="W45" s="467"/>
      <c r="X45" s="50"/>
      <c r="Y45" s="468"/>
    </row>
    <row r="46" spans="1:25" ht="15.6">
      <c r="A46" s="168" t="s">
        <v>51</v>
      </c>
      <c r="B46" s="173" t="s">
        <v>352</v>
      </c>
      <c r="C46" s="409" t="s">
        <v>7</v>
      </c>
      <c r="D46" s="411">
        <f>'Anexo 1'!E44</f>
        <v>191194644.69618949</v>
      </c>
      <c r="E46" s="411">
        <f>'Anexo 2'!H44</f>
        <v>163320842.47462115</v>
      </c>
      <c r="F46" s="571">
        <f>+(18956836+361160728.50379)/'Anexo 5'!O84</f>
        <v>2796215.7165204505</v>
      </c>
      <c r="G46" s="411">
        <f>+'Anexo 2'!F44</f>
        <v>281206.12034721201</v>
      </c>
      <c r="H46" s="208">
        <f t="shared" ref="H46" si="15">+G46/F46</f>
        <v>0.10056667612795579</v>
      </c>
      <c r="I46" s="411">
        <v>0</v>
      </c>
      <c r="J46" s="411">
        <f>+'Anexo 2'!G44</f>
        <v>0</v>
      </c>
      <c r="K46" s="208" t="e">
        <f t="shared" ref="K46" si="16">J46/I46</f>
        <v>#DIV/0!</v>
      </c>
      <c r="L46" s="403">
        <v>0</v>
      </c>
      <c r="M46" s="403">
        <v>0</v>
      </c>
      <c r="N46" s="403">
        <f>641000000/'Anexo 5'!O84</f>
        <v>4715315.5804031193</v>
      </c>
      <c r="O46" s="403">
        <f>36005972/'Anexo 5'!O84</f>
        <v>264866.64705016918</v>
      </c>
      <c r="P46" s="403">
        <f>1593510116.4509/'Anexo 5'!O84</f>
        <v>11722157.690531854</v>
      </c>
      <c r="Q46" s="403">
        <f>3529222897.23878/'Anexo 5'!O84</f>
        <v>25961622.018822864</v>
      </c>
      <c r="R46" s="403">
        <f>4113257285.58309/'Anexo 5'!O84</f>
        <v>30257887.932787184</v>
      </c>
      <c r="S46" s="403">
        <f>6839726202.33598/'Anexo 5'!O84</f>
        <v>50314301.915080041</v>
      </c>
      <c r="T46" s="485">
        <f>5449112852.39125/'Anexo 5'!O84</f>
        <v>40084690.689945929</v>
      </c>
      <c r="U46" s="457" t="s">
        <v>5</v>
      </c>
      <c r="V46" s="578"/>
      <c r="W46" s="467"/>
      <c r="X46" s="50"/>
      <c r="Y46" s="468"/>
    </row>
    <row r="47" spans="1:25">
      <c r="A47" s="142"/>
      <c r="B47" s="173"/>
      <c r="C47" s="408"/>
      <c r="D47" s="154">
        <f>SUM(D46:D46)</f>
        <v>191194644.69618949</v>
      </c>
      <c r="E47" s="154">
        <f t="shared" ref="E47:G47" si="17">SUM(E46:E46)</f>
        <v>163320842.47462115</v>
      </c>
      <c r="F47" s="154">
        <f t="shared" si="17"/>
        <v>2796215.7165204505</v>
      </c>
      <c r="G47" s="154">
        <f t="shared" si="17"/>
        <v>281206.12034721201</v>
      </c>
      <c r="H47" s="154"/>
      <c r="I47" s="154">
        <f>SUM(I46:I46)</f>
        <v>0</v>
      </c>
      <c r="J47" s="154">
        <f>SUM(J46:J46)</f>
        <v>0</v>
      </c>
      <c r="K47" s="45"/>
      <c r="L47" s="154">
        <f t="shared" ref="L47:U47" si="18">SUM(L46:L46)</f>
        <v>0</v>
      </c>
      <c r="M47" s="154">
        <f t="shared" si="18"/>
        <v>0</v>
      </c>
      <c r="N47" s="154">
        <f t="shared" si="18"/>
        <v>4715315.5804031193</v>
      </c>
      <c r="O47" s="154">
        <f t="shared" si="18"/>
        <v>264866.64705016918</v>
      </c>
      <c r="P47" s="154">
        <f t="shared" si="18"/>
        <v>11722157.690531854</v>
      </c>
      <c r="Q47" s="154">
        <f t="shared" si="18"/>
        <v>25961622.018822864</v>
      </c>
      <c r="R47" s="154">
        <f t="shared" si="18"/>
        <v>30257887.932787184</v>
      </c>
      <c r="S47" s="154">
        <f t="shared" si="18"/>
        <v>50314301.915080041</v>
      </c>
      <c r="T47" s="154">
        <f t="shared" si="18"/>
        <v>40084690.689945929</v>
      </c>
      <c r="U47" s="198">
        <f t="shared" si="18"/>
        <v>0</v>
      </c>
      <c r="V47" s="578"/>
      <c r="W47" s="467"/>
      <c r="X47" s="50"/>
      <c r="Y47" s="468"/>
    </row>
    <row r="48" spans="1:25">
      <c r="A48" s="142"/>
      <c r="B48" s="173"/>
      <c r="C48" s="408"/>
      <c r="D48" s="154"/>
      <c r="E48" s="154"/>
      <c r="F48" s="154"/>
      <c r="G48" s="154"/>
      <c r="H48" s="154"/>
      <c r="I48" s="154"/>
      <c r="J48" s="154"/>
      <c r="K48" s="45"/>
      <c r="L48" s="45"/>
      <c r="M48" s="154"/>
      <c r="N48" s="154"/>
      <c r="O48" s="154"/>
      <c r="P48" s="154"/>
      <c r="Q48" s="154"/>
      <c r="R48" s="154"/>
      <c r="S48" s="154"/>
      <c r="T48" s="154"/>
      <c r="U48" s="410"/>
      <c r="V48" s="578"/>
      <c r="W48" s="467"/>
      <c r="X48" s="50"/>
      <c r="Y48" s="468"/>
    </row>
    <row r="49" spans="1:25">
      <c r="A49" s="142" t="s">
        <v>80</v>
      </c>
      <c r="B49" s="173"/>
      <c r="C49" s="408"/>
      <c r="D49" s="154"/>
      <c r="E49" s="154"/>
      <c r="F49" s="154"/>
      <c r="G49" s="154"/>
      <c r="H49" s="154"/>
      <c r="I49" s="154"/>
      <c r="J49" s="154"/>
      <c r="K49" s="45"/>
      <c r="L49" s="45"/>
      <c r="M49" s="154"/>
      <c r="N49" s="154"/>
      <c r="O49" s="154"/>
      <c r="P49" s="154"/>
      <c r="Q49" s="154"/>
      <c r="R49" s="154"/>
      <c r="S49" s="154"/>
      <c r="T49" s="154"/>
      <c r="U49" s="410"/>
      <c r="V49" s="578"/>
      <c r="W49" s="467"/>
      <c r="X49" s="50"/>
      <c r="Y49" s="468"/>
    </row>
    <row r="50" spans="1:25" ht="15.6">
      <c r="A50" s="142">
        <f>'Anexo 2'!A48</f>
        <v>28568</v>
      </c>
      <c r="B50" s="173" t="s">
        <v>353</v>
      </c>
      <c r="C50" s="408" t="str">
        <f>'Anexo 2'!C48</f>
        <v>AyA</v>
      </c>
      <c r="D50" s="411">
        <f>'Anexo 1'!E48</f>
        <v>82624147.540199995</v>
      </c>
      <c r="E50" s="411">
        <f>'Anexo 2'!H48</f>
        <v>82624147.540199995</v>
      </c>
      <c r="F50" s="571">
        <f>(50000+50000)*'Anexo 5'!O83</f>
        <v>104220</v>
      </c>
      <c r="G50" s="411">
        <f>+'Anexo 2'!F48</f>
        <v>0</v>
      </c>
      <c r="H50" s="208">
        <f t="shared" ref="H50" si="19">+G50/F50</f>
        <v>0</v>
      </c>
      <c r="I50" s="411">
        <v>0</v>
      </c>
      <c r="J50" s="411">
        <f>+'Anexo 2'!G48</f>
        <v>0</v>
      </c>
      <c r="K50" s="208" t="e">
        <f t="shared" ref="K50" si="20">J50/I50</f>
        <v>#DIV/0!</v>
      </c>
      <c r="L50" s="403">
        <v>0</v>
      </c>
      <c r="M50" s="403">
        <v>0</v>
      </c>
      <c r="N50" s="403">
        <v>0</v>
      </c>
      <c r="O50" s="403">
        <f>935732.118680149*'Anexo 5'!O83</f>
        <v>975220.01408845128</v>
      </c>
      <c r="P50" s="403">
        <f>1517672.60976583*'Anexo 5'!O83</f>
        <v>1581718.3938979481</v>
      </c>
      <c r="Q50" s="403">
        <f>18281822.5536189*'Anexo 5'!O83</f>
        <v>19053315.465381619</v>
      </c>
      <c r="R50" s="403">
        <f>37325276.3928065*'Anexo 5'!O83</f>
        <v>38900403.056582935</v>
      </c>
      <c r="S50" s="403">
        <f>18403592.878038*'Anexo 5'!O83</f>
        <v>19180224.497491203</v>
      </c>
      <c r="T50" s="485">
        <f>2814494.44709061*'Anexo 5'!O83</f>
        <v>2933266.1127578337</v>
      </c>
      <c r="U50" s="410" t="s">
        <v>5</v>
      </c>
      <c r="V50" s="578"/>
      <c r="W50" s="467"/>
      <c r="X50" s="50"/>
      <c r="Y50" s="468"/>
    </row>
    <row r="51" spans="1:25">
      <c r="A51" s="142"/>
      <c r="B51" s="173"/>
      <c r="C51" s="408"/>
      <c r="D51" s="154">
        <f>SUM(D50)</f>
        <v>82624147.540199995</v>
      </c>
      <c r="E51" s="154">
        <f t="shared" ref="E51:G51" si="21">SUM(E50)</f>
        <v>82624147.540199995</v>
      </c>
      <c r="F51" s="154">
        <f t="shared" si="21"/>
        <v>104220</v>
      </c>
      <c r="G51" s="154">
        <f t="shared" si="21"/>
        <v>0</v>
      </c>
      <c r="H51" s="154"/>
      <c r="I51" s="154">
        <f t="shared" ref="I51:J51" si="22">SUM(I50)</f>
        <v>0</v>
      </c>
      <c r="J51" s="154">
        <f t="shared" si="22"/>
        <v>0</v>
      </c>
      <c r="K51" s="45"/>
      <c r="L51" s="154">
        <f t="shared" ref="L51:U51" si="23">SUM(L50)</f>
        <v>0</v>
      </c>
      <c r="M51" s="154">
        <f t="shared" si="23"/>
        <v>0</v>
      </c>
      <c r="N51" s="154">
        <f t="shared" si="23"/>
        <v>0</v>
      </c>
      <c r="O51" s="154">
        <f t="shared" si="23"/>
        <v>975220.01408845128</v>
      </c>
      <c r="P51" s="154">
        <f t="shared" si="23"/>
        <v>1581718.3938979481</v>
      </c>
      <c r="Q51" s="154">
        <f t="shared" si="23"/>
        <v>19053315.465381619</v>
      </c>
      <c r="R51" s="154">
        <f t="shared" si="23"/>
        <v>38900403.056582935</v>
      </c>
      <c r="S51" s="154">
        <f t="shared" si="23"/>
        <v>19180224.497491203</v>
      </c>
      <c r="T51" s="154">
        <f t="shared" si="23"/>
        <v>2933266.1127578337</v>
      </c>
      <c r="U51" s="198">
        <f t="shared" si="23"/>
        <v>0</v>
      </c>
      <c r="V51" s="578"/>
      <c r="W51" s="467"/>
      <c r="X51" s="50"/>
      <c r="Y51" s="468"/>
    </row>
    <row r="52" spans="1:25">
      <c r="A52" s="142"/>
      <c r="B52" s="173"/>
      <c r="C52" s="408"/>
      <c r="D52" s="154"/>
      <c r="E52" s="154"/>
      <c r="F52" s="154"/>
      <c r="G52" s="154"/>
      <c r="H52" s="154"/>
      <c r="I52" s="154"/>
      <c r="J52" s="154"/>
      <c r="K52" s="45"/>
      <c r="L52" s="45"/>
      <c r="M52" s="154"/>
      <c r="N52" s="154"/>
      <c r="O52" s="154"/>
      <c r="P52" s="154"/>
      <c r="Q52" s="154"/>
      <c r="R52" s="154"/>
      <c r="S52" s="154"/>
      <c r="T52" s="154"/>
      <c r="U52" s="410"/>
      <c r="V52" s="578"/>
      <c r="W52" s="467"/>
      <c r="X52" s="50"/>
      <c r="Y52" s="468"/>
    </row>
    <row r="53" spans="1:25">
      <c r="A53" s="142"/>
      <c r="B53" s="173"/>
      <c r="C53" s="408"/>
      <c r="D53" s="154"/>
      <c r="E53" s="154"/>
      <c r="F53" s="154"/>
      <c r="G53" s="154"/>
      <c r="H53" s="154"/>
      <c r="I53" s="154"/>
      <c r="J53" s="154"/>
      <c r="K53" s="45"/>
      <c r="L53" s="45"/>
      <c r="M53" s="154"/>
      <c r="N53" s="154"/>
      <c r="O53" s="154"/>
      <c r="P53" s="154"/>
      <c r="Q53" s="154"/>
      <c r="R53" s="154"/>
      <c r="S53" s="154"/>
      <c r="T53" s="154"/>
      <c r="U53" s="410"/>
      <c r="V53" s="578"/>
      <c r="W53" s="467"/>
      <c r="X53" s="50"/>
      <c r="Y53" s="468"/>
    </row>
    <row r="54" spans="1:25">
      <c r="A54" s="142"/>
      <c r="B54" s="195"/>
      <c r="C54" s="408"/>
      <c r="D54" s="403"/>
      <c r="E54" s="411"/>
      <c r="F54" s="411"/>
      <c r="G54" s="411"/>
      <c r="H54" s="411"/>
      <c r="I54" s="411"/>
      <c r="J54" s="411"/>
      <c r="K54" s="208"/>
      <c r="L54" s="208"/>
      <c r="M54" s="403"/>
      <c r="N54" s="403"/>
      <c r="O54" s="403"/>
      <c r="P54" s="403"/>
      <c r="Q54" s="403"/>
      <c r="R54" s="403"/>
      <c r="S54" s="403"/>
      <c r="T54" s="485"/>
      <c r="U54" s="410"/>
      <c r="V54" s="578"/>
      <c r="W54" s="467"/>
      <c r="X54" s="50"/>
      <c r="Y54" s="468"/>
    </row>
    <row r="55" spans="1:25">
      <c r="A55" s="142" t="s">
        <v>13</v>
      </c>
      <c r="B55" s="195"/>
      <c r="C55" s="214"/>
      <c r="D55" s="177">
        <f>D20+D31+D37+D43+D47+D51</f>
        <v>4193918022.646389</v>
      </c>
      <c r="E55" s="177">
        <f>E20+E31+E37+E43+E47+E51</f>
        <v>2304367502.2548208</v>
      </c>
      <c r="F55" s="177">
        <f>F20+F31+F37+F43+F47+F51</f>
        <v>229992944.5976772</v>
      </c>
      <c r="G55" s="177">
        <f>G20+G31+G37+G43+G47+G51</f>
        <v>162722901.71034721</v>
      </c>
      <c r="H55" s="208"/>
      <c r="I55" s="177"/>
      <c r="J55" s="177">
        <f>J20+J31+J37+J43+J47+J51</f>
        <v>80660218.49000001</v>
      </c>
      <c r="K55" s="177"/>
      <c r="L55" s="177">
        <f t="shared" ref="L55:U55" si="24">L20+L31+L37+L43+L47+L51</f>
        <v>0</v>
      </c>
      <c r="M55" s="177">
        <f t="shared" si="24"/>
        <v>0</v>
      </c>
      <c r="N55" s="177">
        <f t="shared" si="24"/>
        <v>184333851.10224974</v>
      </c>
      <c r="O55" s="177">
        <f t="shared" si="24"/>
        <v>103377818.63104382</v>
      </c>
      <c r="P55" s="177">
        <f t="shared" si="24"/>
        <v>722354937.09401464</v>
      </c>
      <c r="Q55" s="177">
        <f t="shared" si="24"/>
        <v>550829948.47880781</v>
      </c>
      <c r="R55" s="177">
        <f t="shared" si="24"/>
        <v>315871131.20751411</v>
      </c>
      <c r="S55" s="177">
        <f t="shared" si="24"/>
        <v>241694245.61515376</v>
      </c>
      <c r="T55" s="177">
        <f t="shared" si="24"/>
        <v>121790705.65382868</v>
      </c>
      <c r="U55" s="579">
        <f t="shared" si="24"/>
        <v>64160664.47220844</v>
      </c>
      <c r="V55" s="578"/>
      <c r="W55" s="467"/>
      <c r="X55" s="50"/>
      <c r="Y55" s="468"/>
    </row>
    <row r="56" spans="1:25" ht="14.4" thickBot="1">
      <c r="A56" s="23"/>
      <c r="B56" s="24"/>
      <c r="C56" s="24"/>
      <c r="D56" s="201"/>
      <c r="E56" s="215"/>
      <c r="F56" s="215"/>
      <c r="G56" s="215"/>
      <c r="H56" s="215"/>
      <c r="I56" s="215"/>
      <c r="J56" s="215"/>
      <c r="K56" s="216"/>
      <c r="L56" s="216"/>
      <c r="M56" s="215"/>
      <c r="N56" s="215"/>
      <c r="O56" s="215"/>
      <c r="P56" s="215"/>
      <c r="Q56" s="215"/>
      <c r="R56" s="201"/>
      <c r="S56" s="201"/>
      <c r="T56" s="201"/>
      <c r="U56" s="294"/>
      <c r="V56" s="50"/>
    </row>
    <row r="57" spans="1:25">
      <c r="A57" s="57"/>
      <c r="B57" s="22"/>
      <c r="C57" s="18"/>
      <c r="D57" s="20"/>
      <c r="E57" s="20"/>
      <c r="F57" s="20"/>
      <c r="G57" s="20"/>
      <c r="H57" s="20"/>
      <c r="I57" s="20"/>
      <c r="J57" s="20"/>
      <c r="K57" s="45"/>
      <c r="L57" s="45"/>
      <c r="M57" s="58"/>
      <c r="N57" s="58"/>
      <c r="O57" s="58"/>
      <c r="P57" s="58"/>
      <c r="Q57" s="58"/>
      <c r="R57" s="58"/>
      <c r="S57" s="58"/>
      <c r="T57" s="58"/>
      <c r="U57" s="58"/>
    </row>
    <row r="58" spans="1:25" ht="30.6" customHeight="1">
      <c r="A58" s="29" t="s">
        <v>44</v>
      </c>
      <c r="B58" s="29"/>
      <c r="C58" s="29"/>
      <c r="D58" s="50"/>
      <c r="E58" s="49">
        <f>+E55-'Anexo 2'!H51</f>
        <v>0</v>
      </c>
      <c r="F58" s="59"/>
      <c r="G58" s="59"/>
      <c r="H58" s="59"/>
      <c r="I58" s="59"/>
      <c r="J58" s="59"/>
    </row>
    <row r="59" spans="1:25">
      <c r="A59" s="1"/>
      <c r="B59" s="1"/>
      <c r="C59" s="13"/>
      <c r="M59" s="43"/>
      <c r="N59" s="43"/>
      <c r="O59" s="43"/>
      <c r="P59" s="43"/>
      <c r="Q59" s="43"/>
      <c r="R59" s="43"/>
    </row>
    <row r="60" spans="1:25" s="98" customFormat="1" ht="29.4" customHeight="1">
      <c r="A60" s="387" t="s">
        <v>84</v>
      </c>
      <c r="B60" s="387"/>
      <c r="C60" s="644"/>
      <c r="K60" s="392"/>
      <c r="L60" s="392"/>
      <c r="S60" s="53"/>
      <c r="T60" s="53"/>
      <c r="U60" s="53"/>
    </row>
    <row r="61" spans="1:25" s="98" customFormat="1" ht="29.4" customHeight="1">
      <c r="A61" s="391" t="s">
        <v>124</v>
      </c>
      <c r="B61" s="391"/>
      <c r="K61" s="392"/>
      <c r="L61" s="392"/>
      <c r="S61" s="53"/>
      <c r="T61" s="53"/>
      <c r="U61" s="53"/>
    </row>
    <row r="62" spans="1:25" s="98" customFormat="1" ht="29.4" customHeight="1">
      <c r="A62" s="98" t="s">
        <v>347</v>
      </c>
      <c r="B62" s="391"/>
      <c r="K62" s="392"/>
      <c r="L62" s="392"/>
      <c r="S62" s="53"/>
      <c r="T62" s="53"/>
      <c r="U62" s="53"/>
    </row>
    <row r="63" spans="1:25" s="98" customFormat="1" ht="29.4" customHeight="1">
      <c r="A63" s="180" t="s">
        <v>348</v>
      </c>
      <c r="B63" s="180"/>
      <c r="K63" s="392"/>
      <c r="L63" s="392"/>
      <c r="S63" s="53"/>
      <c r="T63" s="53"/>
      <c r="U63" s="53"/>
    </row>
    <row r="64" spans="1:25" s="98" customFormat="1" ht="29.4" customHeight="1">
      <c r="A64" s="680" t="s">
        <v>346</v>
      </c>
      <c r="B64" s="680"/>
      <c r="C64" s="680"/>
      <c r="D64" s="680"/>
      <c r="E64" s="680"/>
      <c r="F64" s="680"/>
      <c r="G64" s="680"/>
      <c r="H64" s="680"/>
      <c r="I64" s="680"/>
      <c r="J64" s="680"/>
      <c r="K64" s="680"/>
      <c r="L64" s="680"/>
      <c r="M64" s="680"/>
      <c r="N64" s="680"/>
      <c r="O64" s="680"/>
      <c r="P64" s="680"/>
      <c r="Q64" s="680"/>
      <c r="R64" s="680"/>
      <c r="S64" s="680"/>
      <c r="T64" s="640"/>
      <c r="U64" s="640"/>
    </row>
    <row r="65" spans="1:21" s="98" customFormat="1" ht="29.4" customHeight="1">
      <c r="A65" s="390" t="s">
        <v>351</v>
      </c>
      <c r="B65" s="391"/>
      <c r="K65" s="392"/>
      <c r="L65" s="392"/>
      <c r="S65" s="53"/>
      <c r="T65" s="53"/>
      <c r="U65" s="53"/>
    </row>
    <row r="66" spans="1:21" s="98" customFormat="1" ht="29.4" customHeight="1">
      <c r="A66" s="180" t="s">
        <v>235</v>
      </c>
      <c r="B66" s="391"/>
      <c r="K66" s="392"/>
      <c r="L66" s="392"/>
      <c r="S66" s="53"/>
      <c r="T66" s="53"/>
      <c r="U66" s="53"/>
    </row>
  </sheetData>
  <sheetProtection algorithmName="SHA-512" hashValue="3RMWkp7Dlmczx+jSFevSh27ucNQ9YH/lHB6Ir1Nh5lBLnwoOQU4IHnEKFlgFUmMXNR4FbbZZq/sYCAyt1x9rzw==" saltValue="84uYnNG/IEl5AvCWBmM4uw==" spinCount="100000" sheet="1" objects="1" scenarios="1" selectLockedCells="1" selectUnlockedCells="1"/>
  <mergeCells count="15">
    <mergeCell ref="C24:C25"/>
    <mergeCell ref="I6:K6"/>
    <mergeCell ref="A64:S64"/>
    <mergeCell ref="F6:H6"/>
    <mergeCell ref="L6:U6"/>
    <mergeCell ref="C41:C42"/>
    <mergeCell ref="A6:A7"/>
    <mergeCell ref="B6:B7"/>
    <mergeCell ref="C6:C7"/>
    <mergeCell ref="D6:D7"/>
    <mergeCell ref="A2:S2"/>
    <mergeCell ref="A3:S3"/>
    <mergeCell ref="A4:S4"/>
    <mergeCell ref="A5:S5"/>
    <mergeCell ref="E6:E7"/>
  </mergeCells>
  <printOptions horizontalCentered="1" verticalCentered="1"/>
  <pageMargins left="0.15748031496062992" right="0.15748031496062992" top="0.15748031496062992" bottom="0.39370078740157483" header="0" footer="0.39370078740157483"/>
  <pageSetup scale="29" orientation="landscape" r:id="rId1"/>
  <headerFooter alignWithMargins="0"/>
  <ignoredErrors>
    <ignoredError sqref="M59:S61 M65:N65 P65:S65 I65:K65 I57:J58 A70:E72 B65:E65 G56:H56 A56:E57 L38:L40 D37 F7:H9 U37:U40 L41:M41 U43:U45 U47:U49 A1:S1 I44:I45 A44:E45 J34:J37 G36:I36 F2:H5 F21:H22 A18:E18 I10:I11 I15 K26:L26 A36:E36 K36:M36 H34:I34 K18:L18 K10:M11 L17:M17 K15 M12 G6:H6 U1:U5 L8 U8:U9 U31:U33 U21:U22 F32:H33 L34:M35 U6 L21:L22 L31:L33 L2:L5 L29:M30 L27:L28 G30:I30 G34:G35 H43:I43 G39:H42 G44:H46 G50:H50 G52:I52 J41:J56 A52:F54 G53:H54 U51:U55 L51:L55 I53:I56 K43:K58 M52:S54 L25 M24 J10:J18 C19:E19 H18:I18 F38:F40 G48:I49 H20:J20 L6:S6 L9:S9 L20:M20 L48:S49 L44:S45 K37:N37 H31:I31 G38:I38 H37:I37 A43:D43 A48:E49 A47:D47 H47:I47 H51:I51 A51:D51 A55:H55 L43:N43 L47:N47 M51:N51 M56:S56 M55:T55 A59:E61 A58:D58 G12:H16 F44:F50 G17:G19 G10:G11 G23:H28 G29 J23:J31 A46 C46:E46 I59:K61 M70:S72 I70:K72 A50 C50:E50" unlockedFormula="1"/>
    <ignoredError sqref="A42 D41:E42 A41 A37:C37 M38:R40 B42:C42 S38:S40 K42 C41 K39:K40 K41 A38:E40 K38 I39:I40 J38 J39:J40 A16 J21:J22 J32:J33 I32:I33 C10 C11:C12 C13:C15 E13:E17 D10:D15 E12 E10 C16:D17 K27:K29 K16:K17 K24:K25 A17 D31 E8 A32:E33 A2:E2 D7 K34 I7:K7 I2:K5 K32:K33 K21:K22 K20 K12:K14 J6:K6 C35:E35 K35 D30:E30 K30 K31 D23:E23 K23 M21:S22 S32:S33 P8:S8 A31:C31 M32:R33 A35 A34:E34 A29:E29 M8:N8 I9:K9 I21:I22 I8:K8 E9 A28 D21:E22 C20 A6 A7:C7 M2:S5 A8:D8 P7:S7 B6:D6 A26:C27 A20:B20 A13:B15 A11:B12 A10 A21:C22 A23:C23 A30:C30 B28:C28 A9:D9 O8 M31:N31 A4:E5 B3:E3 A24 C24 A25 C25 D24:E28" numberStoredAsText="1"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0"/>
  <dimension ref="A1:O62"/>
  <sheetViews>
    <sheetView showGridLines="0" zoomScale="70" zoomScaleNormal="70" zoomScaleSheetLayoutView="55" workbookViewId="0">
      <selection activeCell="B1" sqref="B1"/>
    </sheetView>
  </sheetViews>
  <sheetFormatPr baseColWidth="10" defaultColWidth="11" defaultRowHeight="13.8"/>
  <cols>
    <col min="1" max="1" width="18.88671875" style="66" customWidth="1"/>
    <col min="2" max="2" width="67.6640625" style="66" bestFit="1" customWidth="1"/>
    <col min="3" max="3" width="11.21875" style="118" customWidth="1"/>
    <col min="4" max="4" width="23.109375" style="62" customWidth="1"/>
    <col min="5" max="5" width="18" style="62" bestFit="1" customWidth="1"/>
    <col min="6" max="6" width="18.88671875" style="121" customWidth="1"/>
    <col min="7" max="7" width="18.77734375" style="62" customWidth="1"/>
    <col min="8" max="8" width="18.109375" style="62" customWidth="1"/>
    <col min="9" max="9" width="18.6640625" style="62" customWidth="1"/>
    <col min="10" max="10" width="17.109375" style="62" customWidth="1"/>
    <col min="11" max="11" width="17.44140625" style="62" customWidth="1"/>
    <col min="12" max="12" width="16.33203125" style="62" customWidth="1"/>
    <col min="13" max="13" width="16.88671875" style="62" customWidth="1"/>
    <col min="14" max="16384" width="11" style="62"/>
  </cols>
  <sheetData>
    <row r="1" spans="1:14" s="61" customFormat="1" ht="25.05" customHeight="1">
      <c r="A1" s="51"/>
      <c r="B1" s="51"/>
      <c r="C1" s="21"/>
      <c r="D1" s="13"/>
      <c r="E1" s="13"/>
      <c r="F1" s="12"/>
      <c r="G1" s="13"/>
      <c r="H1" s="13"/>
      <c r="I1" s="13"/>
      <c r="J1" s="13"/>
      <c r="K1" s="13"/>
      <c r="L1" s="13"/>
    </row>
    <row r="2" spans="1:14" ht="25.05" customHeight="1">
      <c r="A2" s="699" t="s">
        <v>17</v>
      </c>
      <c r="B2" s="699"/>
      <c r="C2" s="699"/>
      <c r="D2" s="699"/>
      <c r="E2" s="699"/>
      <c r="F2" s="699"/>
      <c r="G2" s="699"/>
      <c r="H2" s="699"/>
      <c r="I2" s="699"/>
      <c r="J2" s="699"/>
      <c r="K2" s="699"/>
      <c r="L2" s="699"/>
      <c r="M2" s="699"/>
      <c r="N2" s="1"/>
    </row>
    <row r="3" spans="1:14" ht="25.05" customHeight="1">
      <c r="A3" s="699" t="s">
        <v>245</v>
      </c>
      <c r="B3" s="699"/>
      <c r="C3" s="699"/>
      <c r="D3" s="699"/>
      <c r="E3" s="699"/>
      <c r="F3" s="699"/>
      <c r="G3" s="699"/>
      <c r="H3" s="699"/>
      <c r="I3" s="699"/>
      <c r="J3" s="699"/>
      <c r="K3" s="699"/>
      <c r="L3" s="699"/>
      <c r="M3" s="699"/>
      <c r="N3" s="1"/>
    </row>
    <row r="4" spans="1:14" ht="25.05" customHeight="1">
      <c r="A4" s="698" t="s">
        <v>106</v>
      </c>
      <c r="B4" s="698"/>
      <c r="C4" s="698"/>
      <c r="D4" s="698"/>
      <c r="E4" s="698"/>
      <c r="F4" s="698"/>
      <c r="G4" s="698"/>
      <c r="H4" s="698"/>
      <c r="I4" s="698"/>
      <c r="J4" s="698"/>
      <c r="K4" s="698"/>
      <c r="L4" s="698"/>
      <c r="M4" s="698"/>
    </row>
    <row r="5" spans="1:14" ht="25.05" customHeight="1" thickBot="1">
      <c r="A5" s="697">
        <f>+'Anexo 1'!A5:M5</f>
        <v>44742</v>
      </c>
      <c r="B5" s="697"/>
      <c r="C5" s="697"/>
      <c r="D5" s="697"/>
      <c r="E5" s="697"/>
      <c r="F5" s="697"/>
      <c r="G5" s="697"/>
      <c r="H5" s="697"/>
      <c r="I5" s="697"/>
      <c r="J5" s="697"/>
      <c r="K5" s="697"/>
      <c r="L5" s="697"/>
      <c r="M5" s="697"/>
    </row>
    <row r="6" spans="1:14" s="63" customFormat="1" ht="14.4" thickBot="1">
      <c r="A6" s="685" t="s">
        <v>11</v>
      </c>
      <c r="B6" s="685" t="s">
        <v>38</v>
      </c>
      <c r="C6" s="685" t="s">
        <v>10</v>
      </c>
      <c r="D6" s="685" t="s">
        <v>174</v>
      </c>
      <c r="E6" s="681" t="s">
        <v>15</v>
      </c>
      <c r="F6" s="682"/>
      <c r="G6" s="682"/>
      <c r="H6" s="682"/>
      <c r="I6" s="683"/>
      <c r="J6" s="681" t="s">
        <v>16</v>
      </c>
      <c r="K6" s="682"/>
      <c r="L6" s="682"/>
      <c r="M6" s="683"/>
    </row>
    <row r="7" spans="1:14" s="63" customFormat="1" ht="54" customHeight="1" thickBot="1">
      <c r="A7" s="700"/>
      <c r="B7" s="700"/>
      <c r="C7" s="700"/>
      <c r="D7" s="700"/>
      <c r="E7" s="139" t="s">
        <v>171</v>
      </c>
      <c r="F7" s="139" t="s">
        <v>172</v>
      </c>
      <c r="G7" s="139" t="s">
        <v>225</v>
      </c>
      <c r="H7" s="139" t="s">
        <v>107</v>
      </c>
      <c r="I7" s="298" t="s">
        <v>181</v>
      </c>
      <c r="J7" s="139" t="s">
        <v>32</v>
      </c>
      <c r="K7" s="139" t="s">
        <v>226</v>
      </c>
      <c r="L7" s="139" t="s">
        <v>28</v>
      </c>
      <c r="M7" s="298" t="s">
        <v>181</v>
      </c>
    </row>
    <row r="8" spans="1:14" s="1" customFormat="1">
      <c r="A8" s="5"/>
      <c r="B8" s="6"/>
      <c r="C8" s="117"/>
      <c r="D8" s="9"/>
      <c r="E8" s="9"/>
      <c r="F8" s="119"/>
      <c r="G8" s="6"/>
      <c r="H8" s="6"/>
      <c r="I8" s="6"/>
      <c r="J8" s="6"/>
      <c r="K8" s="6"/>
      <c r="L8" s="6"/>
      <c r="M8" s="10"/>
    </row>
    <row r="9" spans="1:14" s="1" customFormat="1">
      <c r="A9" s="65" t="s">
        <v>1</v>
      </c>
      <c r="B9" s="11"/>
      <c r="C9" s="194"/>
      <c r="D9" s="13"/>
      <c r="E9" s="13"/>
      <c r="F9" s="120"/>
      <c r="G9" s="14"/>
      <c r="H9" s="14"/>
      <c r="I9" s="14"/>
      <c r="J9" s="14"/>
      <c r="K9" s="14"/>
      <c r="L9" s="14"/>
      <c r="M9" s="15"/>
    </row>
    <row r="10" spans="1:14" s="1" customFormat="1" ht="27.6">
      <c r="A10" s="142">
        <v>1725</v>
      </c>
      <c r="B10" s="143" t="s">
        <v>103</v>
      </c>
      <c r="C10" s="194" t="s">
        <v>77</v>
      </c>
      <c r="D10" s="225">
        <f>'Anexo 1'!E9</f>
        <v>99453757</v>
      </c>
      <c r="E10" s="225">
        <v>69810000.189999998</v>
      </c>
      <c r="F10" s="225">
        <v>73208236.189999983</v>
      </c>
      <c r="G10" s="225">
        <v>71907321.465355203</v>
      </c>
      <c r="H10" s="190">
        <f t="shared" ref="H10:H19" si="0">F10-G10</f>
        <v>1300914.7246447802</v>
      </c>
      <c r="I10" s="633">
        <v>3585950.1751464056</v>
      </c>
      <c r="J10" s="633" t="s">
        <v>5</v>
      </c>
      <c r="K10" s="633" t="s">
        <v>5</v>
      </c>
      <c r="L10" s="633" t="s">
        <v>5</v>
      </c>
      <c r="M10" s="634" t="s">
        <v>5</v>
      </c>
    </row>
    <row r="11" spans="1:14" s="1" customFormat="1">
      <c r="A11" s="57">
        <v>2080</v>
      </c>
      <c r="B11" s="212" t="s">
        <v>39</v>
      </c>
      <c r="C11" s="194" t="s">
        <v>35</v>
      </c>
      <c r="D11" s="225">
        <f>'Anexo 1'!E10</f>
        <v>340000000</v>
      </c>
      <c r="E11" s="225">
        <v>30540000</v>
      </c>
      <c r="F11" s="225">
        <v>144860000</v>
      </c>
      <c r="G11" s="225">
        <v>128560000</v>
      </c>
      <c r="H11" s="190">
        <f t="shared" si="0"/>
        <v>16300000</v>
      </c>
      <c r="I11" s="633">
        <v>16300000</v>
      </c>
      <c r="J11" s="633" t="s">
        <v>5</v>
      </c>
      <c r="K11" s="633" t="s">
        <v>5</v>
      </c>
      <c r="L11" s="633" t="s">
        <v>5</v>
      </c>
      <c r="M11" s="634" t="s">
        <v>5</v>
      </c>
    </row>
    <row r="12" spans="1:14" s="1" customFormat="1">
      <c r="A12" s="57" t="s">
        <v>98</v>
      </c>
      <c r="B12" s="212" t="s">
        <v>104</v>
      </c>
      <c r="C12" s="194" t="s">
        <v>35</v>
      </c>
      <c r="D12" s="225">
        <f>'Anexo 1'!E11</f>
        <v>90055000</v>
      </c>
      <c r="E12" s="225">
        <v>2673000</v>
      </c>
      <c r="F12" s="225">
        <v>2673000</v>
      </c>
      <c r="G12" s="225">
        <v>0</v>
      </c>
      <c r="H12" s="190">
        <f t="shared" si="0"/>
        <v>2673000</v>
      </c>
      <c r="I12" s="633">
        <v>2673000</v>
      </c>
      <c r="J12" s="633"/>
      <c r="K12" s="633"/>
      <c r="L12" s="633"/>
      <c r="M12" s="634"/>
    </row>
    <row r="13" spans="1:14" s="1" customFormat="1">
      <c r="A13" s="142">
        <v>2128</v>
      </c>
      <c r="B13" s="143" t="s">
        <v>40</v>
      </c>
      <c r="C13" s="194" t="s">
        <v>0</v>
      </c>
      <c r="D13" s="225">
        <f>'Anexo 1'!E12</f>
        <v>270000000</v>
      </c>
      <c r="E13" s="225">
        <v>82880641</v>
      </c>
      <c r="F13" s="225">
        <v>82880641.579999998</v>
      </c>
      <c r="G13" s="225">
        <v>47422343.909999996</v>
      </c>
      <c r="H13" s="190">
        <f>F13-G13</f>
        <v>35458297.670000002</v>
      </c>
      <c r="I13" s="633">
        <v>14830883.960000001</v>
      </c>
      <c r="J13" s="633" t="s">
        <v>5</v>
      </c>
      <c r="K13" s="633" t="s">
        <v>5</v>
      </c>
      <c r="L13" s="633" t="s">
        <v>5</v>
      </c>
      <c r="M13" s="634" t="s">
        <v>5</v>
      </c>
    </row>
    <row r="14" spans="1:14" s="1" customFormat="1" ht="27.6">
      <c r="A14" s="142">
        <v>2129</v>
      </c>
      <c r="B14" s="143" t="s">
        <v>57</v>
      </c>
      <c r="C14" s="194" t="s">
        <v>77</v>
      </c>
      <c r="D14" s="225">
        <f>'Anexo 1'!E13</f>
        <v>130000000</v>
      </c>
      <c r="E14" s="225">
        <v>30196728</v>
      </c>
      <c r="F14" s="328">
        <v>46931372.729999997</v>
      </c>
      <c r="G14" s="225">
        <v>10150189.279999999</v>
      </c>
      <c r="H14" s="190">
        <f t="shared" si="0"/>
        <v>36781183.449999996</v>
      </c>
      <c r="I14" s="633">
        <v>1422720</v>
      </c>
      <c r="J14" s="633">
        <f>1700000*'Anexo 5'!O83</f>
        <v>1771740</v>
      </c>
      <c r="K14" s="633">
        <f>429620.6*'Anexo 5'!O83</f>
        <v>447750.58931999997</v>
      </c>
      <c r="L14" s="633">
        <f>J14-K14</f>
        <v>1323989.41068</v>
      </c>
      <c r="M14" s="634">
        <f>352682*'Anexo 5'!O83</f>
        <v>367565.18040000001</v>
      </c>
    </row>
    <row r="15" spans="1:14" s="1" customFormat="1" ht="27.6">
      <c r="A15" s="142">
        <v>2164</v>
      </c>
      <c r="B15" s="143" t="s">
        <v>64</v>
      </c>
      <c r="C15" s="194" t="s">
        <v>77</v>
      </c>
      <c r="D15" s="225">
        <f>'Anexo 1'!E14</f>
        <v>154562390.28999999</v>
      </c>
      <c r="E15" s="225">
        <v>31304300</v>
      </c>
      <c r="F15" s="225">
        <v>31304243.059999999</v>
      </c>
      <c r="G15" s="430">
        <v>5772050.5278419238</v>
      </c>
      <c r="H15" s="190">
        <f t="shared" si="0"/>
        <v>25532192.532158077</v>
      </c>
      <c r="I15" s="633">
        <v>1606556.6315140845</v>
      </c>
      <c r="J15" s="633" t="s">
        <v>5</v>
      </c>
      <c r="K15" s="633" t="s">
        <v>5</v>
      </c>
      <c r="L15" s="633" t="s">
        <v>5</v>
      </c>
      <c r="M15" s="634" t="s">
        <v>5</v>
      </c>
    </row>
    <row r="16" spans="1:14" s="1" customFormat="1" ht="27.6">
      <c r="A16" s="142" t="s">
        <v>74</v>
      </c>
      <c r="B16" s="143" t="s">
        <v>70</v>
      </c>
      <c r="C16" s="217" t="str">
        <f>+'Anexo 1'!C15</f>
        <v>AyA</v>
      </c>
      <c r="D16" s="225">
        <f>'Anexo 1'!E15</f>
        <v>111128810</v>
      </c>
      <c r="E16" s="328">
        <v>28734720</v>
      </c>
      <c r="F16" s="328">
        <v>28734720</v>
      </c>
      <c r="G16" s="630">
        <v>1454372.87633209</v>
      </c>
      <c r="H16" s="190">
        <f t="shared" si="0"/>
        <v>27280347.123667911</v>
      </c>
      <c r="I16" s="633">
        <v>849397.00704225351</v>
      </c>
      <c r="J16" s="633" t="s">
        <v>5</v>
      </c>
      <c r="K16" s="633" t="s">
        <v>5</v>
      </c>
      <c r="L16" s="633" t="s">
        <v>5</v>
      </c>
      <c r="M16" s="634" t="s">
        <v>5</v>
      </c>
    </row>
    <row r="17" spans="1:14" s="1" customFormat="1">
      <c r="A17" s="142">
        <v>2198</v>
      </c>
      <c r="B17" s="143" t="str">
        <f>+'Anexo 1'!B16</f>
        <v>Programa de Alcantarillado y Control de Inundaciones para Limón</v>
      </c>
      <c r="C17" s="217" t="str">
        <f>+'Anexo 1'!C16</f>
        <v>AyA/SENARA</v>
      </c>
      <c r="D17" s="225">
        <f>'Anexo 1'!E16</f>
        <v>55080000</v>
      </c>
      <c r="E17" s="225">
        <v>1610800</v>
      </c>
      <c r="F17" s="225">
        <v>1610800</v>
      </c>
      <c r="G17" s="225">
        <v>958168.52580645168</v>
      </c>
      <c r="H17" s="190">
        <f t="shared" si="0"/>
        <v>652631.47419354832</v>
      </c>
      <c r="I17" s="633">
        <v>561023.49297289108</v>
      </c>
      <c r="J17" s="633" t="s">
        <v>5</v>
      </c>
      <c r="K17" s="633" t="s">
        <v>5</v>
      </c>
      <c r="L17" s="633" t="s">
        <v>5</v>
      </c>
      <c r="M17" s="634" t="s">
        <v>5</v>
      </c>
    </row>
    <row r="18" spans="1:14" s="1" customFormat="1">
      <c r="A18" s="142">
        <v>2270</v>
      </c>
      <c r="B18" s="143" t="str">
        <f>+'Anexo 1'!B17</f>
        <v>Adquisición y Aplicación de Vacunas COVID-19</v>
      </c>
      <c r="C18" s="217" t="str">
        <f>+'Anexo 1'!C17</f>
        <v>CNE</v>
      </c>
      <c r="D18" s="384">
        <f>'Anexo 1'!E17</f>
        <v>80000000</v>
      </c>
      <c r="E18" s="384" t="s">
        <v>5</v>
      </c>
      <c r="F18" s="384" t="s">
        <v>5</v>
      </c>
      <c r="G18" s="384" t="s">
        <v>5</v>
      </c>
      <c r="H18" s="380" t="s">
        <v>5</v>
      </c>
      <c r="I18" s="633" t="s">
        <v>5</v>
      </c>
      <c r="J18" s="633" t="s">
        <v>5</v>
      </c>
      <c r="K18" s="633" t="s">
        <v>5</v>
      </c>
      <c r="L18" s="633" t="s">
        <v>5</v>
      </c>
      <c r="M18" s="634" t="s">
        <v>5</v>
      </c>
    </row>
    <row r="19" spans="1:14" s="1" customFormat="1" ht="31.2" customHeight="1">
      <c r="A19" s="142">
        <v>2220</v>
      </c>
      <c r="B19" s="143" t="str">
        <f>+'Anexo 1'!B18</f>
        <v>Proyecto de Abastecimiento de Agua para la Cuenca Media del río Tempisque y Comunidades Costeras (PAACUME)</v>
      </c>
      <c r="C19" s="217" t="str">
        <f>+'Anexo 1'!C18</f>
        <v xml:space="preserve">SENARA </v>
      </c>
      <c r="D19" s="492">
        <f>'Anexo 1'!E18</f>
        <v>425000000</v>
      </c>
      <c r="E19" s="492">
        <v>32797287.809999999</v>
      </c>
      <c r="F19" s="492">
        <v>32797287.809999999</v>
      </c>
      <c r="G19" s="649">
        <v>4156165.0787172001</v>
      </c>
      <c r="H19" s="645">
        <f t="shared" si="0"/>
        <v>28641122.7312828</v>
      </c>
      <c r="I19" s="645">
        <v>250000</v>
      </c>
      <c r="J19" s="633" t="s">
        <v>5</v>
      </c>
      <c r="K19" s="633" t="s">
        <v>5</v>
      </c>
      <c r="L19" s="633" t="s">
        <v>5</v>
      </c>
      <c r="M19" s="634" t="s">
        <v>5</v>
      </c>
    </row>
    <row r="20" spans="1:14" s="17" customFormat="1">
      <c r="A20" s="57"/>
      <c r="B20" s="22"/>
      <c r="C20" s="187"/>
      <c r="D20" s="154">
        <f>SUM(D10:D19)</f>
        <v>1755279957.29</v>
      </c>
      <c r="E20" s="154">
        <f t="shared" ref="E20:I20" si="1">SUM(E10:E19)</f>
        <v>310547477</v>
      </c>
      <c r="F20" s="154">
        <f t="shared" si="1"/>
        <v>445000301.37</v>
      </c>
      <c r="G20" s="154">
        <f t="shared" si="1"/>
        <v>270380611.6640529</v>
      </c>
      <c r="H20" s="154">
        <f t="shared" si="1"/>
        <v>174619689.7059471</v>
      </c>
      <c r="I20" s="154">
        <f t="shared" si="1"/>
        <v>42079531.266675636</v>
      </c>
      <c r="J20" s="154">
        <f t="shared" ref="J20" si="2">SUM(J10:J19)</f>
        <v>1771740</v>
      </c>
      <c r="K20" s="154">
        <f t="shared" ref="K20" si="3">SUM(K10:K19)</f>
        <v>447750.58931999997</v>
      </c>
      <c r="L20" s="154">
        <f t="shared" ref="L20" si="4">SUM(L10:L19)</f>
        <v>1323989.41068</v>
      </c>
      <c r="M20" s="198">
        <f t="shared" ref="M20" si="5">SUM(M10:M19)</f>
        <v>367565.18040000001</v>
      </c>
    </row>
    <row r="21" spans="1:14" s="17" customFormat="1">
      <c r="A21" s="57"/>
      <c r="B21" s="22"/>
      <c r="C21" s="187"/>
      <c r="D21" s="154"/>
      <c r="E21" s="154"/>
      <c r="F21" s="154"/>
      <c r="G21" s="154"/>
      <c r="H21" s="154"/>
      <c r="I21" s="154"/>
      <c r="J21" s="154"/>
      <c r="K21" s="154"/>
      <c r="L21" s="154"/>
      <c r="M21" s="132"/>
    </row>
    <row r="22" spans="1:14" s="1" customFormat="1">
      <c r="A22" s="218" t="s">
        <v>2</v>
      </c>
      <c r="B22" s="219"/>
      <c r="C22" s="194"/>
      <c r="D22" s="190"/>
      <c r="E22" s="190"/>
      <c r="F22" s="225"/>
      <c r="G22" s="225"/>
      <c r="H22" s="225"/>
      <c r="I22" s="635"/>
      <c r="J22" s="633"/>
      <c r="K22" s="633"/>
      <c r="L22" s="633"/>
      <c r="M22" s="15"/>
    </row>
    <row r="23" spans="1:14" s="1" customFormat="1">
      <c r="A23" s="57" t="s">
        <v>20</v>
      </c>
      <c r="B23" s="161" t="s">
        <v>85</v>
      </c>
      <c r="C23" s="188" t="s">
        <v>77</v>
      </c>
      <c r="D23" s="225">
        <f>'Anexo 1'!E22</f>
        <v>73000000</v>
      </c>
      <c r="E23" s="225">
        <v>12025899.7040902</v>
      </c>
      <c r="F23" s="328">
        <v>12788905.785192</v>
      </c>
      <c r="G23" s="225">
        <v>9760962.8614896294</v>
      </c>
      <c r="H23" s="190">
        <f t="shared" ref="H23" si="6">F23-G23</f>
        <v>3027942.9237023704</v>
      </c>
      <c r="I23" s="633">
        <v>2782347.7206089967</v>
      </c>
      <c r="J23" s="633">
        <v>20000000</v>
      </c>
      <c r="K23" s="635">
        <v>17994580.350000001</v>
      </c>
      <c r="L23" s="633">
        <f>J23-K23</f>
        <v>2005419.6499999985</v>
      </c>
      <c r="M23" s="634">
        <v>500000</v>
      </c>
      <c r="N23" s="60"/>
    </row>
    <row r="24" spans="1:14" s="1" customFormat="1">
      <c r="A24" s="220" t="s">
        <v>66</v>
      </c>
      <c r="B24" s="213" t="s">
        <v>33</v>
      </c>
      <c r="C24" s="188" t="s">
        <v>4</v>
      </c>
      <c r="D24" s="225">
        <f>'Anexo 1'!E23</f>
        <v>400000000</v>
      </c>
      <c r="E24" s="225" t="s">
        <v>5</v>
      </c>
      <c r="F24" s="225" t="s">
        <v>5</v>
      </c>
      <c r="G24" s="411" t="s">
        <v>5</v>
      </c>
      <c r="H24" s="411" t="s">
        <v>5</v>
      </c>
      <c r="I24" s="411" t="s">
        <v>5</v>
      </c>
      <c r="J24" s="190" t="s">
        <v>5</v>
      </c>
      <c r="K24" s="190" t="s">
        <v>5</v>
      </c>
      <c r="L24" s="190" t="s">
        <v>5</v>
      </c>
      <c r="M24" s="209" t="s">
        <v>5</v>
      </c>
    </row>
    <row r="25" spans="1:14" s="1" customFormat="1">
      <c r="A25" s="142" t="s">
        <v>65</v>
      </c>
      <c r="B25" s="213" t="s">
        <v>33</v>
      </c>
      <c r="C25" s="188" t="s">
        <v>4</v>
      </c>
      <c r="D25" s="225">
        <f>'Anexo 1'!E24</f>
        <v>50000000</v>
      </c>
      <c r="E25" s="225" t="s">
        <v>5</v>
      </c>
      <c r="F25" s="225" t="s">
        <v>5</v>
      </c>
      <c r="G25" s="411" t="s">
        <v>5</v>
      </c>
      <c r="H25" s="411" t="s">
        <v>5</v>
      </c>
      <c r="I25" s="411" t="s">
        <v>5</v>
      </c>
      <c r="J25" s="190" t="s">
        <v>5</v>
      </c>
      <c r="K25" s="190" t="s">
        <v>5</v>
      </c>
      <c r="L25" s="190" t="s">
        <v>5</v>
      </c>
      <c r="M25" s="209" t="s">
        <v>5</v>
      </c>
    </row>
    <row r="26" spans="1:14" s="1" customFormat="1">
      <c r="A26" s="164" t="s">
        <v>49</v>
      </c>
      <c r="B26" s="161" t="s">
        <v>50</v>
      </c>
      <c r="C26" s="188" t="s">
        <v>54</v>
      </c>
      <c r="D26" s="225">
        <f>'Anexo 1'!E25</f>
        <v>100000000</v>
      </c>
      <c r="E26" s="225" t="s">
        <v>5</v>
      </c>
      <c r="F26" s="225" t="s">
        <v>5</v>
      </c>
      <c r="G26" s="225" t="s">
        <v>5</v>
      </c>
      <c r="H26" s="190" t="s">
        <v>5</v>
      </c>
      <c r="I26" s="190" t="s">
        <v>5</v>
      </c>
      <c r="J26" s="190" t="s">
        <v>5</v>
      </c>
      <c r="K26" s="190" t="s">
        <v>5</v>
      </c>
      <c r="L26" s="190" t="s">
        <v>5</v>
      </c>
      <c r="M26" s="209" t="s">
        <v>5</v>
      </c>
    </row>
    <row r="27" spans="1:14" s="1" customFormat="1">
      <c r="A27" s="164" t="s">
        <v>67</v>
      </c>
      <c r="B27" s="161" t="s">
        <v>68</v>
      </c>
      <c r="C27" s="188" t="s">
        <v>4</v>
      </c>
      <c r="D27" s="225">
        <f>'Anexo 1'!E26</f>
        <v>144036000</v>
      </c>
      <c r="E27" s="225">
        <v>8000000</v>
      </c>
      <c r="F27" s="225">
        <v>8000000</v>
      </c>
      <c r="G27" s="225">
        <v>4007853.79</v>
      </c>
      <c r="H27" s="190">
        <f t="shared" ref="H27:H28" si="7">F27-G27</f>
        <v>3992146.21</v>
      </c>
      <c r="I27" s="190">
        <v>967107.28</v>
      </c>
      <c r="J27" s="190" t="s">
        <v>5</v>
      </c>
      <c r="K27" s="190" t="s">
        <v>5</v>
      </c>
      <c r="L27" s="190" t="s">
        <v>5</v>
      </c>
      <c r="M27" s="209" t="s">
        <v>5</v>
      </c>
    </row>
    <row r="28" spans="1:14" s="1" customFormat="1" ht="39.6" customHeight="1">
      <c r="A28" s="164" t="str">
        <f>+'Anexo 1'!A27</f>
        <v>3589/OC-CR</v>
      </c>
      <c r="B28" s="161" t="s">
        <v>72</v>
      </c>
      <c r="C28" s="188" t="str">
        <f>+'Anexo 1'!C27</f>
        <v>ICE</v>
      </c>
      <c r="D28" s="225">
        <f>+'Anexo 1'!E27</f>
        <v>134500000</v>
      </c>
      <c r="E28" s="225">
        <v>91700000</v>
      </c>
      <c r="F28" s="225">
        <v>91700000</v>
      </c>
      <c r="G28" s="417">
        <v>29982417.932370201</v>
      </c>
      <c r="H28" s="190">
        <f t="shared" si="7"/>
        <v>61717582.067629799</v>
      </c>
      <c r="I28" s="190">
        <v>3304087.934640523</v>
      </c>
      <c r="J28" s="190" t="s">
        <v>5</v>
      </c>
      <c r="K28" s="190" t="s">
        <v>5</v>
      </c>
      <c r="L28" s="190" t="s">
        <v>5</v>
      </c>
      <c r="M28" s="209" t="s">
        <v>5</v>
      </c>
    </row>
    <row r="29" spans="1:14" s="1" customFormat="1">
      <c r="A29" s="164" t="str">
        <f>+'Anexo 1'!A28</f>
        <v>4864/OC-CR</v>
      </c>
      <c r="B29" s="161" t="s">
        <v>102</v>
      </c>
      <c r="C29" s="188" t="str">
        <f>+'Anexo 1'!C28</f>
        <v>MOPT</v>
      </c>
      <c r="D29" s="225">
        <f>+'Anexo 1'!E28</f>
        <v>125000000</v>
      </c>
      <c r="E29" s="225">
        <v>53000000</v>
      </c>
      <c r="F29" s="225">
        <v>53000000</v>
      </c>
      <c r="G29" s="225">
        <v>27418063.269126981</v>
      </c>
      <c r="H29" s="190">
        <f t="shared" ref="H29" si="8">F29-G29</f>
        <v>25581936.730873019</v>
      </c>
      <c r="I29" s="190">
        <v>21397095.009999998</v>
      </c>
      <c r="J29" s="190" t="s">
        <v>5</v>
      </c>
      <c r="K29" s="190" t="s">
        <v>5</v>
      </c>
      <c r="L29" s="190" t="s">
        <v>5</v>
      </c>
      <c r="M29" s="209" t="s">
        <v>5</v>
      </c>
    </row>
    <row r="30" spans="1:14" s="1" customFormat="1">
      <c r="A30" s="164" t="str">
        <f>+'Anexo 1'!A29</f>
        <v>4871/OC-CR</v>
      </c>
      <c r="B30" s="157" t="s">
        <v>110</v>
      </c>
      <c r="C30" s="188" t="str">
        <f>+'Anexo 1'!C29</f>
        <v>MJP</v>
      </c>
      <c r="D30" s="328">
        <f>+'Anexo 1'!E29</f>
        <v>100000000</v>
      </c>
      <c r="E30" s="328" t="s">
        <v>5</v>
      </c>
      <c r="F30" s="328" t="s">
        <v>5</v>
      </c>
      <c r="G30" s="328" t="s">
        <v>5</v>
      </c>
      <c r="H30" s="323" t="s">
        <v>5</v>
      </c>
      <c r="I30" s="323" t="s">
        <v>5</v>
      </c>
      <c r="J30" s="323" t="s">
        <v>5</v>
      </c>
      <c r="K30" s="323" t="s">
        <v>5</v>
      </c>
      <c r="L30" s="323" t="s">
        <v>5</v>
      </c>
      <c r="M30" s="327" t="s">
        <v>5</v>
      </c>
    </row>
    <row r="31" spans="1:14" s="17" customFormat="1">
      <c r="A31" s="221"/>
      <c r="B31" s="222"/>
      <c r="C31" s="187"/>
      <c r="D31" s="154">
        <f t="shared" ref="D31:M31" si="9">SUM(D23:D30)</f>
        <v>1126536000</v>
      </c>
      <c r="E31" s="154">
        <f t="shared" si="9"/>
        <v>164725899.70409021</v>
      </c>
      <c r="F31" s="154">
        <f t="shared" si="9"/>
        <v>165488905.78519201</v>
      </c>
      <c r="G31" s="154">
        <f t="shared" si="9"/>
        <v>71169297.852986813</v>
      </c>
      <c r="H31" s="154">
        <f t="shared" si="9"/>
        <v>94319607.932205185</v>
      </c>
      <c r="I31" s="154">
        <f t="shared" si="9"/>
        <v>28450637.945249517</v>
      </c>
      <c r="J31" s="154">
        <f t="shared" si="9"/>
        <v>20000000</v>
      </c>
      <c r="K31" s="154">
        <f t="shared" si="9"/>
        <v>17994580.350000001</v>
      </c>
      <c r="L31" s="154">
        <f t="shared" si="9"/>
        <v>2005419.6499999985</v>
      </c>
      <c r="M31" s="198">
        <f t="shared" si="9"/>
        <v>500000</v>
      </c>
    </row>
    <row r="32" spans="1:14" s="1" customFormat="1">
      <c r="A32" s="223"/>
      <c r="B32" s="51"/>
      <c r="C32" s="194"/>
      <c r="D32" s="190"/>
      <c r="E32" s="190"/>
      <c r="F32" s="190"/>
      <c r="G32" s="190"/>
      <c r="H32" s="190"/>
      <c r="I32" s="190"/>
      <c r="J32" s="190"/>
      <c r="K32" s="190"/>
      <c r="L32" s="190"/>
      <c r="M32" s="15"/>
    </row>
    <row r="33" spans="1:13" s="1" customFormat="1">
      <c r="A33" s="218" t="s">
        <v>3</v>
      </c>
      <c r="B33" s="219"/>
      <c r="C33" s="194"/>
      <c r="D33" s="190"/>
      <c r="E33" s="190"/>
      <c r="F33" s="225"/>
      <c r="G33" s="225"/>
      <c r="H33" s="225"/>
      <c r="I33" s="225"/>
      <c r="J33" s="190"/>
      <c r="K33" s="190"/>
      <c r="L33" s="190"/>
      <c r="M33" s="15"/>
    </row>
    <row r="34" spans="1:13" s="1" customFormat="1">
      <c r="A34" s="221" t="s">
        <v>46</v>
      </c>
      <c r="B34" s="18" t="s">
        <v>47</v>
      </c>
      <c r="C34" s="194" t="s">
        <v>0</v>
      </c>
      <c r="D34" s="225">
        <f>'Anexo 1'!E33</f>
        <v>420000000</v>
      </c>
      <c r="E34" s="225" t="s">
        <v>5</v>
      </c>
      <c r="F34" s="225" t="s">
        <v>5</v>
      </c>
      <c r="G34" s="225" t="s">
        <v>5</v>
      </c>
      <c r="H34" s="225" t="s">
        <v>5</v>
      </c>
      <c r="I34" s="225" t="s">
        <v>5</v>
      </c>
      <c r="J34" s="225" t="s">
        <v>5</v>
      </c>
      <c r="K34" s="225" t="s">
        <v>5</v>
      </c>
      <c r="L34" s="190" t="s">
        <v>5</v>
      </c>
      <c r="M34" s="209" t="s">
        <v>5</v>
      </c>
    </row>
    <row r="35" spans="1:13" s="1" customFormat="1" ht="30" customHeight="1">
      <c r="A35" s="168" t="s">
        <v>96</v>
      </c>
      <c r="B35" s="224" t="s">
        <v>215</v>
      </c>
      <c r="C35" s="194" t="s">
        <v>86</v>
      </c>
      <c r="D35" s="411">
        <f>'Anexo 1'!E34</f>
        <v>156640000</v>
      </c>
      <c r="E35" s="411" t="s">
        <v>130</v>
      </c>
      <c r="F35" s="411" t="s">
        <v>5</v>
      </c>
      <c r="G35" s="411" t="s">
        <v>5</v>
      </c>
      <c r="H35" s="411" t="s">
        <v>5</v>
      </c>
      <c r="I35" s="411" t="s">
        <v>5</v>
      </c>
      <c r="J35" s="411" t="s">
        <v>5</v>
      </c>
      <c r="K35" s="411" t="s">
        <v>5</v>
      </c>
      <c r="L35" s="403" t="s">
        <v>5</v>
      </c>
      <c r="M35" s="410" t="s">
        <v>5</v>
      </c>
    </row>
    <row r="36" spans="1:13" s="1" customFormat="1" ht="25.2" customHeight="1">
      <c r="A36" s="164" t="s">
        <v>185</v>
      </c>
      <c r="B36" s="173" t="s">
        <v>187</v>
      </c>
      <c r="C36" s="383" t="s">
        <v>186</v>
      </c>
      <c r="D36" s="411">
        <f>'Anexo 1'!E35</f>
        <v>75100500</v>
      </c>
      <c r="E36" s="411">
        <v>7000000</v>
      </c>
      <c r="F36" s="411">
        <v>7000000</v>
      </c>
      <c r="G36" s="411">
        <v>0</v>
      </c>
      <c r="H36" s="403">
        <f t="shared" ref="H36" si="10">F36-G36</f>
        <v>7000000</v>
      </c>
      <c r="I36" s="411">
        <v>86673.88</v>
      </c>
      <c r="J36" s="568" t="s">
        <v>5</v>
      </c>
      <c r="K36" s="568" t="s">
        <v>5</v>
      </c>
      <c r="L36" s="568" t="s">
        <v>5</v>
      </c>
      <c r="M36" s="570" t="s">
        <v>5</v>
      </c>
    </row>
    <row r="37" spans="1:13" s="17" customFormat="1">
      <c r="A37" s="57"/>
      <c r="B37" s="22"/>
      <c r="C37" s="187"/>
      <c r="D37" s="154">
        <f>SUM(D34:D36)</f>
        <v>651740500</v>
      </c>
      <c r="E37" s="154">
        <f t="shared" ref="E37:L37" si="11">SUM(E34:E36)</f>
        <v>7000000</v>
      </c>
      <c r="F37" s="154">
        <f t="shared" si="11"/>
        <v>7000000</v>
      </c>
      <c r="G37" s="154">
        <f t="shared" si="11"/>
        <v>0</v>
      </c>
      <c r="H37" s="154">
        <f t="shared" si="11"/>
        <v>7000000</v>
      </c>
      <c r="I37" s="154">
        <f t="shared" si="11"/>
        <v>86673.88</v>
      </c>
      <c r="J37" s="154">
        <f t="shared" si="11"/>
        <v>0</v>
      </c>
      <c r="K37" s="154">
        <f t="shared" si="11"/>
        <v>0</v>
      </c>
      <c r="L37" s="154">
        <f t="shared" si="11"/>
        <v>0</v>
      </c>
      <c r="M37" s="198">
        <f>SUM(M34:M36)</f>
        <v>0</v>
      </c>
    </row>
    <row r="38" spans="1:13" s="17" customFormat="1">
      <c r="A38" s="57"/>
      <c r="B38" s="22"/>
      <c r="C38" s="187"/>
      <c r="D38" s="154"/>
      <c r="E38" s="154"/>
      <c r="F38" s="154"/>
      <c r="G38" s="154"/>
      <c r="H38" s="154"/>
      <c r="I38" s="154"/>
      <c r="J38" s="154"/>
      <c r="K38" s="154"/>
      <c r="L38" s="154"/>
      <c r="M38" s="132"/>
    </row>
    <row r="39" spans="1:13" s="17" customFormat="1">
      <c r="A39" s="57" t="s">
        <v>34</v>
      </c>
      <c r="B39" s="196"/>
      <c r="C39" s="194"/>
      <c r="D39" s="154"/>
      <c r="E39" s="154"/>
      <c r="F39" s="154"/>
      <c r="G39" s="154"/>
      <c r="H39" s="154"/>
      <c r="I39" s="154"/>
      <c r="J39" s="154"/>
      <c r="K39" s="154"/>
      <c r="L39" s="154"/>
      <c r="M39" s="132"/>
    </row>
    <row r="40" spans="1:13" s="17" customFormat="1" ht="27" customHeight="1">
      <c r="A40" s="221" t="s">
        <v>37</v>
      </c>
      <c r="B40" s="157" t="s">
        <v>281</v>
      </c>
      <c r="C40" s="668" t="s">
        <v>35</v>
      </c>
      <c r="D40" s="341">
        <f>'Anexo 1'!E39</f>
        <v>90542773.120000005</v>
      </c>
      <c r="E40" s="702">
        <v>147727758.05608001</v>
      </c>
      <c r="F40" s="702">
        <v>133616951.65607999</v>
      </c>
      <c r="G40" s="702">
        <v>95970586.2608594</v>
      </c>
      <c r="H40" s="702">
        <f>+F40-G40</f>
        <v>37646365.395220593</v>
      </c>
      <c r="I40" s="702">
        <v>39500181.3371647</v>
      </c>
      <c r="J40" s="702" t="s">
        <v>5</v>
      </c>
      <c r="K40" s="702" t="s">
        <v>5</v>
      </c>
      <c r="L40" s="675" t="s">
        <v>5</v>
      </c>
      <c r="M40" s="701" t="s">
        <v>5</v>
      </c>
    </row>
    <row r="41" spans="1:13" s="17" customFormat="1" ht="19.8" customHeight="1">
      <c r="A41" s="221" t="s">
        <v>36</v>
      </c>
      <c r="B41" s="157" t="s">
        <v>76</v>
      </c>
      <c r="C41" s="668"/>
      <c r="D41" s="225">
        <f>'Anexo 1'!E40</f>
        <v>296000000</v>
      </c>
      <c r="E41" s="702"/>
      <c r="F41" s="702"/>
      <c r="G41" s="702"/>
      <c r="H41" s="702"/>
      <c r="I41" s="702"/>
      <c r="J41" s="702"/>
      <c r="K41" s="702"/>
      <c r="L41" s="675"/>
      <c r="M41" s="701"/>
    </row>
    <row r="42" spans="1:13" s="17" customFormat="1">
      <c r="A42" s="221"/>
      <c r="B42" s="196"/>
      <c r="C42" s="194"/>
      <c r="D42" s="154">
        <f>SUM(D40:D41)</f>
        <v>386542773.12</v>
      </c>
      <c r="E42" s="154">
        <f t="shared" ref="E42:L42" si="12">SUM(E40:E41)</f>
        <v>147727758.05608001</v>
      </c>
      <c r="F42" s="154">
        <f t="shared" si="12"/>
        <v>133616951.65607999</v>
      </c>
      <c r="G42" s="154">
        <f t="shared" si="12"/>
        <v>95970586.2608594</v>
      </c>
      <c r="H42" s="154">
        <f t="shared" si="12"/>
        <v>37646365.395220593</v>
      </c>
      <c r="I42" s="154">
        <f t="shared" si="12"/>
        <v>39500181.3371647</v>
      </c>
      <c r="J42" s="154">
        <f t="shared" si="12"/>
        <v>0</v>
      </c>
      <c r="K42" s="154">
        <f t="shared" si="12"/>
        <v>0</v>
      </c>
      <c r="L42" s="154">
        <f t="shared" si="12"/>
        <v>0</v>
      </c>
      <c r="M42" s="198">
        <f t="shared" ref="M42" si="13">SUM(M40:M41)</f>
        <v>0</v>
      </c>
    </row>
    <row r="43" spans="1:13" s="1" customFormat="1">
      <c r="A43" s="226"/>
      <c r="B43" s="219"/>
      <c r="C43" s="194"/>
      <c r="D43" s="190"/>
      <c r="E43" s="190"/>
      <c r="F43" s="225"/>
      <c r="G43" s="225"/>
      <c r="H43" s="225"/>
      <c r="I43" s="225"/>
      <c r="J43" s="190"/>
      <c r="K43" s="190"/>
      <c r="L43" s="190"/>
      <c r="M43" s="15"/>
    </row>
    <row r="44" spans="1:13" s="1" customFormat="1">
      <c r="A44" s="218" t="s">
        <v>43</v>
      </c>
      <c r="B44" s="18"/>
      <c r="C44" s="194"/>
      <c r="D44" s="190"/>
      <c r="E44" s="190"/>
      <c r="F44" s="225"/>
      <c r="G44" s="225"/>
      <c r="H44" s="225"/>
      <c r="I44" s="225"/>
      <c r="J44" s="190"/>
      <c r="K44" s="190"/>
      <c r="L44" s="190"/>
      <c r="M44" s="15"/>
    </row>
    <row r="45" spans="1:13" s="1" customFormat="1" ht="19.2" customHeight="1">
      <c r="A45" s="221" t="s">
        <v>51</v>
      </c>
      <c r="B45" s="18" t="s">
        <v>284</v>
      </c>
      <c r="C45" s="188" t="s">
        <v>7</v>
      </c>
      <c r="D45" s="225">
        <f>'Anexo 1'!E44</f>
        <v>191194644.69618949</v>
      </c>
      <c r="E45" s="225">
        <v>134325323.47975999</v>
      </c>
      <c r="F45" s="225">
        <v>134325323.47504601</v>
      </c>
      <c r="G45" s="225">
        <v>22363884.85147604</v>
      </c>
      <c r="H45" s="190">
        <f t="shared" ref="H45" si="14">F45-G45</f>
        <v>111961438.62356997</v>
      </c>
      <c r="I45" s="190">
        <v>3457526.5779758366</v>
      </c>
      <c r="J45" s="190" t="s">
        <v>5</v>
      </c>
      <c r="K45" s="190" t="s">
        <v>5</v>
      </c>
      <c r="L45" s="190" t="s">
        <v>5</v>
      </c>
      <c r="M45" s="209" t="s">
        <v>5</v>
      </c>
    </row>
    <row r="46" spans="1:13" s="1" customFormat="1">
      <c r="A46" s="57"/>
      <c r="B46" s="18"/>
      <c r="C46" s="194"/>
      <c r="D46" s="154">
        <f>SUM(D45:D45)</f>
        <v>191194644.69618949</v>
      </c>
      <c r="E46" s="154">
        <f t="shared" ref="E46:L46" si="15">SUM(E45:E45)</f>
        <v>134325323.47975999</v>
      </c>
      <c r="F46" s="154">
        <f t="shared" si="15"/>
        <v>134325323.47504601</v>
      </c>
      <c r="G46" s="154">
        <f t="shared" si="15"/>
        <v>22363884.85147604</v>
      </c>
      <c r="H46" s="154">
        <f t="shared" si="15"/>
        <v>111961438.62356997</v>
      </c>
      <c r="I46" s="154">
        <f t="shared" si="15"/>
        <v>3457526.5779758366</v>
      </c>
      <c r="J46" s="154">
        <f t="shared" si="15"/>
        <v>0</v>
      </c>
      <c r="K46" s="154">
        <f t="shared" si="15"/>
        <v>0</v>
      </c>
      <c r="L46" s="154">
        <f t="shared" si="15"/>
        <v>0</v>
      </c>
      <c r="M46" s="198">
        <f t="shared" ref="M46" si="16">SUM(M45:M45)</f>
        <v>0</v>
      </c>
    </row>
    <row r="47" spans="1:13" s="1" customFormat="1">
      <c r="A47" s="227"/>
      <c r="B47" s="18"/>
      <c r="C47" s="194"/>
      <c r="D47" s="154"/>
      <c r="E47" s="154"/>
      <c r="F47" s="154"/>
      <c r="G47" s="154"/>
      <c r="H47" s="154"/>
      <c r="I47" s="154"/>
      <c r="J47" s="154"/>
      <c r="K47" s="154"/>
      <c r="L47" s="154"/>
      <c r="M47" s="44"/>
    </row>
    <row r="48" spans="1:13" s="1" customFormat="1">
      <c r="A48" s="57" t="s">
        <v>80</v>
      </c>
      <c r="B48" s="18"/>
      <c r="C48" s="194"/>
      <c r="D48" s="154"/>
      <c r="E48" s="154"/>
      <c r="F48" s="154"/>
      <c r="G48" s="154"/>
      <c r="H48" s="154"/>
      <c r="I48" s="154"/>
      <c r="J48" s="154"/>
      <c r="K48" s="154"/>
      <c r="L48" s="154"/>
      <c r="M48" s="44"/>
    </row>
    <row r="49" spans="1:15" s="1" customFormat="1" ht="23.4" customHeight="1">
      <c r="A49" s="57">
        <f>'Anexo 3'!A50</f>
        <v>28568</v>
      </c>
      <c r="B49" s="18" t="s">
        <v>285</v>
      </c>
      <c r="C49" s="194" t="str">
        <f>'Anexo 3'!C50</f>
        <v>AyA</v>
      </c>
      <c r="D49" s="225">
        <f>'Anexo 3'!D50</f>
        <v>82624147.540199995</v>
      </c>
      <c r="E49" s="225">
        <f>8725000*'Anexo 5'!O83</f>
        <v>9093195</v>
      </c>
      <c r="F49" s="190">
        <f>8725000*'Anexo 5'!O83</f>
        <v>9093195</v>
      </c>
      <c r="G49" s="190">
        <f>5430188.29686798*'Anexo 5'!O83</f>
        <v>5659342.2429958088</v>
      </c>
      <c r="H49" s="190">
        <f t="shared" ref="H49" si="17">F49-G49</f>
        <v>3433852.7570041912</v>
      </c>
      <c r="I49" s="403">
        <f>504695.7*'Anexo 5'!O83</f>
        <v>525993.85854000004</v>
      </c>
      <c r="J49" s="190" t="s">
        <v>5</v>
      </c>
      <c r="K49" s="190" t="s">
        <v>5</v>
      </c>
      <c r="L49" s="190" t="s">
        <v>5</v>
      </c>
      <c r="M49" s="209" t="s">
        <v>5</v>
      </c>
    </row>
    <row r="50" spans="1:15" s="1" customFormat="1">
      <c r="A50" s="57"/>
      <c r="B50" s="18"/>
      <c r="C50" s="194"/>
      <c r="D50" s="154">
        <f>SUM(D49)</f>
        <v>82624147.540199995</v>
      </c>
      <c r="E50" s="154">
        <f t="shared" ref="E50:L50" si="18">SUM(E49)</f>
        <v>9093195</v>
      </c>
      <c r="F50" s="154">
        <f t="shared" si="18"/>
        <v>9093195</v>
      </c>
      <c r="G50" s="154">
        <f t="shared" si="18"/>
        <v>5659342.2429958088</v>
      </c>
      <c r="H50" s="154">
        <f t="shared" si="18"/>
        <v>3433852.7570041912</v>
      </c>
      <c r="I50" s="154">
        <f t="shared" si="18"/>
        <v>525993.85854000004</v>
      </c>
      <c r="J50" s="154">
        <f t="shared" si="18"/>
        <v>0</v>
      </c>
      <c r="K50" s="154">
        <f t="shared" si="18"/>
        <v>0</v>
      </c>
      <c r="L50" s="154">
        <f t="shared" si="18"/>
        <v>0</v>
      </c>
      <c r="M50" s="198">
        <f>SUM(M49)</f>
        <v>0</v>
      </c>
    </row>
    <row r="51" spans="1:15" s="1" customFormat="1">
      <c r="A51" s="57"/>
      <c r="B51" s="18"/>
      <c r="C51" s="194"/>
      <c r="D51" s="154"/>
      <c r="E51" s="154"/>
      <c r="F51" s="154"/>
      <c r="G51" s="154"/>
      <c r="H51" s="154"/>
      <c r="I51" s="154"/>
      <c r="J51" s="154"/>
      <c r="K51" s="154"/>
      <c r="L51" s="154"/>
      <c r="M51" s="198"/>
    </row>
    <row r="52" spans="1:15" s="1" customFormat="1">
      <c r="A52" s="57"/>
      <c r="B52" s="22"/>
      <c r="C52" s="194"/>
      <c r="D52" s="154"/>
      <c r="E52" s="154"/>
      <c r="F52" s="154"/>
      <c r="G52" s="154"/>
      <c r="H52" s="154"/>
      <c r="I52" s="154"/>
      <c r="J52" s="154"/>
      <c r="K52" s="154"/>
      <c r="L52" s="154"/>
      <c r="M52" s="198"/>
    </row>
    <row r="53" spans="1:15" s="1" customFormat="1">
      <c r="A53" s="57" t="s">
        <v>13</v>
      </c>
      <c r="B53" s="22"/>
      <c r="C53" s="194"/>
      <c r="D53" s="154">
        <f t="shared" ref="D53:M53" si="19">D20+D31+D37+D42+D46+D50</f>
        <v>4193918022.646389</v>
      </c>
      <c r="E53" s="154">
        <f t="shared" si="19"/>
        <v>773419653.23993015</v>
      </c>
      <c r="F53" s="154">
        <f t="shared" si="19"/>
        <v>894524677.28631806</v>
      </c>
      <c r="G53" s="154">
        <f t="shared" si="19"/>
        <v>465543722.87237096</v>
      </c>
      <c r="H53" s="154">
        <f t="shared" si="19"/>
        <v>428980954.41394705</v>
      </c>
      <c r="I53" s="154">
        <f t="shared" si="19"/>
        <v>114100544.86560568</v>
      </c>
      <c r="J53" s="154">
        <f t="shared" si="19"/>
        <v>21771740</v>
      </c>
      <c r="K53" s="154">
        <f t="shared" si="19"/>
        <v>18442330.939320002</v>
      </c>
      <c r="L53" s="154">
        <f t="shared" si="19"/>
        <v>3329409.0606799982</v>
      </c>
      <c r="M53" s="198">
        <f t="shared" si="19"/>
        <v>867565.18039999995</v>
      </c>
    </row>
    <row r="54" spans="1:15" s="17" customFormat="1" ht="14.4" thickBot="1">
      <c r="A54" s="23"/>
      <c r="B54" s="24"/>
      <c r="C54" s="200"/>
      <c r="D54" s="179"/>
      <c r="E54" s="179"/>
      <c r="F54" s="27"/>
      <c r="G54" s="27"/>
      <c r="H54" s="27"/>
      <c r="I54" s="27"/>
      <c r="J54" s="228"/>
      <c r="K54" s="228"/>
      <c r="L54" s="228"/>
      <c r="M54" s="133"/>
    </row>
    <row r="55" spans="1:15" s="1" customFormat="1">
      <c r="A55" s="29"/>
      <c r="B55" s="29"/>
      <c r="C55" s="137"/>
      <c r="F55" s="29"/>
      <c r="G55" s="127"/>
      <c r="H55" s="29"/>
      <c r="I55" s="29"/>
      <c r="J55" s="38"/>
      <c r="K55" s="38"/>
      <c r="L55" s="38"/>
    </row>
    <row r="56" spans="1:15" s="1" customFormat="1" ht="24.6" customHeight="1">
      <c r="A56" s="29" t="s">
        <v>44</v>
      </c>
      <c r="B56" s="29"/>
      <c r="C56" s="137"/>
      <c r="F56" s="29"/>
      <c r="G56" s="29"/>
      <c r="H56" s="29"/>
      <c r="I56" s="29"/>
      <c r="J56" s="38"/>
      <c r="K56" s="38"/>
      <c r="L56" s="38"/>
    </row>
    <row r="57" spans="1:15" s="1" customFormat="1" ht="12.75" customHeight="1">
      <c r="C57" s="123"/>
      <c r="F57" s="13"/>
      <c r="G57" s="13"/>
      <c r="H57" s="13"/>
      <c r="I57" s="13"/>
      <c r="J57" s="38"/>
      <c r="K57" s="38"/>
      <c r="L57" s="38"/>
    </row>
    <row r="58" spans="1:15" s="1" customFormat="1" ht="31.8" customHeight="1">
      <c r="A58" s="48" t="s">
        <v>84</v>
      </c>
      <c r="B58" s="48"/>
      <c r="C58" s="123"/>
      <c r="F58" s="128"/>
      <c r="G58" s="128"/>
      <c r="H58" s="13"/>
      <c r="I58" s="13"/>
    </row>
    <row r="59" spans="1:15" s="1" customFormat="1" ht="27" customHeight="1">
      <c r="A59" s="391" t="s">
        <v>176</v>
      </c>
      <c r="B59" s="391"/>
      <c r="C59" s="53"/>
      <c r="D59" s="98"/>
      <c r="E59" s="98"/>
      <c r="F59" s="98"/>
      <c r="G59" s="98"/>
      <c r="H59" s="98"/>
      <c r="I59" s="98"/>
      <c r="J59" s="98"/>
      <c r="K59" s="98"/>
      <c r="L59" s="98"/>
      <c r="M59" s="98"/>
      <c r="N59" s="98"/>
      <c r="O59" s="98"/>
    </row>
    <row r="60" spans="1:15" s="1" customFormat="1" ht="36.6" customHeight="1">
      <c r="A60" s="680" t="s">
        <v>282</v>
      </c>
      <c r="B60" s="680"/>
      <c r="C60" s="680"/>
      <c r="D60" s="680"/>
      <c r="E60" s="680"/>
      <c r="F60" s="680"/>
      <c r="G60" s="680"/>
      <c r="H60" s="680"/>
      <c r="I60" s="680"/>
      <c r="J60" s="680"/>
      <c r="K60" s="680"/>
      <c r="L60" s="680"/>
      <c r="M60" s="680"/>
      <c r="N60" s="680"/>
      <c r="O60" s="680"/>
    </row>
    <row r="61" spans="1:15" s="1" customFormat="1" ht="26.4" customHeight="1">
      <c r="A61" s="703" t="s">
        <v>283</v>
      </c>
      <c r="B61" s="703"/>
      <c r="C61" s="703"/>
      <c r="D61" s="703"/>
      <c r="E61" s="703"/>
      <c r="F61" s="703"/>
      <c r="G61" s="703"/>
      <c r="H61" s="703"/>
      <c r="I61" s="703"/>
      <c r="J61" s="703"/>
      <c r="K61" s="703"/>
      <c r="L61" s="703"/>
      <c r="M61" s="98"/>
      <c r="N61" s="98"/>
      <c r="O61" s="98"/>
    </row>
    <row r="62" spans="1:15" s="1" customFormat="1">
      <c r="A62" s="674"/>
      <c r="B62" s="674"/>
      <c r="C62" s="674"/>
      <c r="D62" s="674"/>
      <c r="E62" s="674"/>
      <c r="F62" s="674"/>
      <c r="G62" s="674"/>
      <c r="H62" s="674"/>
      <c r="I62" s="674"/>
      <c r="J62" s="674"/>
      <c r="K62" s="674"/>
      <c r="L62" s="674"/>
    </row>
  </sheetData>
  <sheetProtection algorithmName="SHA-512" hashValue="mgALw4rPhu3TICONzZI2IkbhZQGrW3FPIq1eigZho/FhC3g4gQwuwTdbUXeeRSshsE4G/YhF5ogGhGQmwHgk0g==" saltValue="H5wYbZ/FGHAe4ZvRDOkRNw==" spinCount="100000" sheet="1" objects="1" scenarios="1" selectLockedCells="1" selectUnlockedCells="1"/>
  <mergeCells count="23">
    <mergeCell ref="M40:M41"/>
    <mergeCell ref="E40:E41"/>
    <mergeCell ref="A62:L62"/>
    <mergeCell ref="A61:L61"/>
    <mergeCell ref="C40:C41"/>
    <mergeCell ref="F40:F41"/>
    <mergeCell ref="G40:G41"/>
    <mergeCell ref="H40:H41"/>
    <mergeCell ref="J40:J41"/>
    <mergeCell ref="K40:K41"/>
    <mergeCell ref="L40:L41"/>
    <mergeCell ref="I40:I41"/>
    <mergeCell ref="A60:O60"/>
    <mergeCell ref="J6:M6"/>
    <mergeCell ref="A5:M5"/>
    <mergeCell ref="A4:M4"/>
    <mergeCell ref="A3:M3"/>
    <mergeCell ref="A2:M2"/>
    <mergeCell ref="A6:A7"/>
    <mergeCell ref="B6:B7"/>
    <mergeCell ref="C6:C7"/>
    <mergeCell ref="D6:D7"/>
    <mergeCell ref="E6:I6"/>
  </mergeCells>
  <phoneticPr fontId="12" type="noConversion"/>
  <printOptions horizontalCentered="1" verticalCentered="1"/>
  <pageMargins left="0.15748031496062992" right="0.15748031496062992" top="0.19685039370078741" bottom="0.19685039370078741" header="0" footer="0"/>
  <pageSetup scale="44" orientation="landscape" r:id="rId1"/>
  <headerFooter alignWithMargins="0"/>
  <ignoredErrors>
    <ignoredError sqref="A49 A28:A29 A2:M2 A23:C23 A21:N22 A10:C15 D10:F17 B29:C29 A8:M9 A7:D7 H7 A6:C6 E6:M6 H10:H17 J7 J10:M13 L7 J15:M17 A17:C17 A16 C16 C28 L14 J23 J24:N30 H26:H29 H40:H41 D38:D41 J40:L41 D55:N57 E41:F41 M40:N41 D47:N48 D53 D52:L52 D51:N51 C49:E49 E38:N39 D32:N35 I40:I41 D54:L54 D43:N44 D45:F45 D24:F29 A30:H30 G24:I25 G26 I26:I30 L23 M52:N54 H45:N45 H49 D18:N18 A20:C20 D19 N20 D23:E23 H23 N23 D37 D36:H36 N36 J49:N49 A4:M5 B3:M3 D31 M31:N31 M37:N37 D42:E42 M42:N42 D46 M46:N46 D50 M50:N50 E40 A24:C27"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1"/>
  <dimension ref="A1:CG86"/>
  <sheetViews>
    <sheetView showGridLines="0" zoomScale="60" zoomScaleNormal="60" zoomScaleSheetLayoutView="55" workbookViewId="0">
      <selection activeCell="A35" sqref="A35"/>
    </sheetView>
  </sheetViews>
  <sheetFormatPr baseColWidth="10" defaultColWidth="11" defaultRowHeight="13.8"/>
  <cols>
    <col min="1" max="1" width="20" style="66" customWidth="1"/>
    <col min="2" max="2" width="60.77734375" style="66" bestFit="1" customWidth="1"/>
    <col min="3" max="3" width="13.44140625" style="62" customWidth="1"/>
    <col min="4" max="4" width="20.44140625" style="62" customWidth="1"/>
    <col min="5" max="5" width="18.33203125" style="62" customWidth="1"/>
    <col min="6" max="7" width="16.77734375" style="62" customWidth="1"/>
    <col min="8" max="8" width="19.33203125" style="62" customWidth="1"/>
    <col min="9" max="9" width="17.6640625" style="62" customWidth="1"/>
    <col min="10" max="10" width="16.33203125" style="62" customWidth="1"/>
    <col min="11" max="11" width="18.21875" style="1" customWidth="1"/>
    <col min="12" max="12" width="18.6640625" style="1" customWidth="1"/>
    <col min="13" max="13" width="18.33203125" style="1" customWidth="1"/>
    <col min="14" max="15" width="18.109375" style="1" customWidth="1"/>
    <col min="16" max="25" width="14.88671875" style="1" customWidth="1"/>
    <col min="26" max="26" width="8.6640625" style="62" customWidth="1"/>
    <col min="27" max="27" width="7.5546875" style="62" customWidth="1"/>
    <col min="28" max="28" width="8" style="1" customWidth="1"/>
    <col min="29" max="29" width="8.6640625" style="1" customWidth="1"/>
    <col min="30" max="30" width="8.33203125" style="62" customWidth="1"/>
    <col min="31" max="31" width="8.88671875" style="62" customWidth="1"/>
    <col min="32" max="35" width="8.6640625" style="62" customWidth="1"/>
    <col min="36" max="36" width="6.6640625" style="62" customWidth="1"/>
    <col min="37" max="37" width="7.44140625" style="62" customWidth="1"/>
    <col min="38" max="38" width="7.5546875" style="62" customWidth="1"/>
    <col min="39" max="39" width="8.5546875" style="62" customWidth="1"/>
    <col min="40" max="40" width="7.6640625" style="62" customWidth="1"/>
    <col min="41" max="41" width="8" style="62" customWidth="1"/>
    <col min="42" max="43" width="8.6640625" style="62" customWidth="1"/>
    <col min="44" max="45" width="10.33203125" style="16" customWidth="1"/>
    <col min="46" max="48" width="11" style="16"/>
    <col min="49" max="49" width="11" style="469"/>
    <col min="50" max="85" width="11" style="16"/>
    <col min="86" max="16384" width="11" style="62"/>
  </cols>
  <sheetData>
    <row r="1" spans="1:85" ht="25.05" customHeight="1"/>
    <row r="2" spans="1:85" ht="25.05" customHeight="1">
      <c r="A2" s="698" t="s">
        <v>63</v>
      </c>
      <c r="B2" s="698"/>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c r="AG2" s="698"/>
      <c r="AH2" s="698"/>
      <c r="AI2" s="698"/>
      <c r="AJ2" s="698"/>
      <c r="AK2" s="698"/>
      <c r="AL2" s="698"/>
      <c r="AM2" s="698"/>
      <c r="AN2" s="698"/>
      <c r="AO2" s="698"/>
      <c r="AP2" s="698"/>
      <c r="AQ2" s="698"/>
      <c r="AR2" s="698"/>
      <c r="AS2" s="698"/>
      <c r="AT2" s="1"/>
    </row>
    <row r="3" spans="1:85" ht="25.05" customHeight="1">
      <c r="A3" s="699" t="s">
        <v>246</v>
      </c>
      <c r="B3" s="699"/>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9"/>
      <c r="AM3" s="699"/>
      <c r="AN3" s="699"/>
      <c r="AO3" s="699"/>
      <c r="AP3" s="699"/>
      <c r="AQ3" s="699"/>
      <c r="AR3" s="699"/>
      <c r="AS3" s="699"/>
    </row>
    <row r="4" spans="1:85" ht="25.05" customHeight="1">
      <c r="A4" s="698" t="s">
        <v>106</v>
      </c>
      <c r="B4" s="698"/>
      <c r="C4" s="698"/>
      <c r="D4" s="698"/>
      <c r="E4" s="698"/>
      <c r="F4" s="698"/>
      <c r="G4" s="698"/>
      <c r="H4" s="698"/>
      <c r="I4" s="698"/>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8"/>
      <c r="AK4" s="698"/>
      <c r="AL4" s="698"/>
      <c r="AM4" s="698"/>
      <c r="AN4" s="698"/>
      <c r="AO4" s="698"/>
      <c r="AP4" s="698"/>
      <c r="AQ4" s="698"/>
      <c r="AR4" s="698"/>
      <c r="AS4" s="698"/>
    </row>
    <row r="5" spans="1:85" ht="25.05" customHeight="1" thickBot="1">
      <c r="A5" s="697">
        <f>+'Anexo 1'!A5:M5</f>
        <v>44742</v>
      </c>
      <c r="B5" s="697"/>
      <c r="C5" s="697"/>
      <c r="D5" s="697"/>
      <c r="E5" s="697"/>
      <c r="F5" s="697"/>
      <c r="G5" s="697"/>
      <c r="H5" s="697"/>
      <c r="I5" s="697"/>
      <c r="J5" s="697"/>
      <c r="K5" s="697"/>
      <c r="L5" s="697"/>
      <c r="M5" s="697"/>
      <c r="N5" s="697"/>
      <c r="O5" s="697"/>
      <c r="P5" s="697"/>
      <c r="Q5" s="697"/>
      <c r="R5" s="697"/>
      <c r="S5" s="697"/>
      <c r="T5" s="697"/>
      <c r="U5" s="697"/>
      <c r="V5" s="697"/>
      <c r="W5" s="697"/>
      <c r="X5" s="697"/>
      <c r="Y5" s="697"/>
      <c r="Z5" s="697"/>
      <c r="AA5" s="697"/>
      <c r="AB5" s="697"/>
      <c r="AC5" s="697"/>
      <c r="AD5" s="697"/>
      <c r="AE5" s="697"/>
      <c r="AF5" s="697"/>
      <c r="AG5" s="697"/>
      <c r="AH5" s="697"/>
      <c r="AI5" s="697"/>
      <c r="AJ5" s="697"/>
      <c r="AK5" s="697"/>
      <c r="AL5" s="697"/>
      <c r="AM5" s="697"/>
      <c r="AN5" s="697"/>
      <c r="AO5" s="697"/>
      <c r="AP5" s="697"/>
      <c r="AQ5" s="697"/>
      <c r="AR5" s="697"/>
      <c r="AS5" s="697"/>
    </row>
    <row r="6" spans="1:85" s="63" customFormat="1" ht="27" customHeight="1" thickBot="1">
      <c r="A6" s="685" t="s">
        <v>11</v>
      </c>
      <c r="B6" s="685" t="s">
        <v>38</v>
      </c>
      <c r="C6" s="685" t="s">
        <v>10</v>
      </c>
      <c r="D6" s="685" t="s">
        <v>89</v>
      </c>
      <c r="E6" s="685" t="s">
        <v>227</v>
      </c>
      <c r="F6" s="681" t="s">
        <v>131</v>
      </c>
      <c r="G6" s="682"/>
      <c r="H6" s="682"/>
      <c r="I6" s="682"/>
      <c r="J6" s="682"/>
      <c r="K6" s="682"/>
      <c r="L6" s="682"/>
      <c r="M6" s="682"/>
      <c r="N6" s="682"/>
      <c r="O6" s="683"/>
      <c r="P6" s="681" t="s">
        <v>253</v>
      </c>
      <c r="Q6" s="682"/>
      <c r="R6" s="682"/>
      <c r="S6" s="682"/>
      <c r="T6" s="682"/>
      <c r="U6" s="682"/>
      <c r="V6" s="682"/>
      <c r="W6" s="682"/>
      <c r="X6" s="682"/>
      <c r="Y6" s="683"/>
      <c r="Z6" s="681" t="s">
        <v>134</v>
      </c>
      <c r="AA6" s="682"/>
      <c r="AB6" s="682"/>
      <c r="AC6" s="682"/>
      <c r="AD6" s="682"/>
      <c r="AE6" s="682"/>
      <c r="AF6" s="682"/>
      <c r="AG6" s="682"/>
      <c r="AH6" s="682"/>
      <c r="AI6" s="683"/>
      <c r="AJ6" s="682" t="s">
        <v>135</v>
      </c>
      <c r="AK6" s="682"/>
      <c r="AL6" s="682"/>
      <c r="AM6" s="682"/>
      <c r="AN6" s="682"/>
      <c r="AO6" s="682"/>
      <c r="AP6" s="682"/>
      <c r="AQ6" s="682"/>
      <c r="AR6" s="682"/>
      <c r="AS6" s="683"/>
      <c r="AT6" s="68"/>
      <c r="AU6" s="68"/>
      <c r="AV6" s="68"/>
      <c r="AW6" s="470"/>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row>
    <row r="7" spans="1:85" s="63" customFormat="1" ht="48" customHeight="1" thickBot="1">
      <c r="A7" s="700"/>
      <c r="B7" s="700"/>
      <c r="C7" s="700"/>
      <c r="D7" s="700"/>
      <c r="E7" s="700"/>
      <c r="F7" s="2">
        <v>2013</v>
      </c>
      <c r="G7" s="2">
        <v>2014</v>
      </c>
      <c r="H7" s="2">
        <v>2015</v>
      </c>
      <c r="I7" s="2">
        <v>2016</v>
      </c>
      <c r="J7" s="2">
        <v>2017</v>
      </c>
      <c r="K7" s="2">
        <v>2018</v>
      </c>
      <c r="L7" s="2">
        <v>2019</v>
      </c>
      <c r="M7" s="2">
        <v>2020</v>
      </c>
      <c r="N7" s="2">
        <v>2021</v>
      </c>
      <c r="O7" s="2" t="s">
        <v>228</v>
      </c>
      <c r="P7" s="2">
        <v>2013</v>
      </c>
      <c r="Q7" s="2">
        <v>2014</v>
      </c>
      <c r="R7" s="2">
        <v>2015</v>
      </c>
      <c r="S7" s="2">
        <v>2016</v>
      </c>
      <c r="T7" s="2">
        <v>2017</v>
      </c>
      <c r="U7" s="2">
        <v>2018</v>
      </c>
      <c r="V7" s="2">
        <v>2019</v>
      </c>
      <c r="W7" s="2">
        <v>2020</v>
      </c>
      <c r="X7" s="2">
        <v>2021</v>
      </c>
      <c r="Y7" s="498" t="s">
        <v>228</v>
      </c>
      <c r="Z7" s="2">
        <v>2013</v>
      </c>
      <c r="AA7" s="464">
        <v>2014</v>
      </c>
      <c r="AB7" s="2">
        <v>2015</v>
      </c>
      <c r="AC7" s="464">
        <v>2016</v>
      </c>
      <c r="AD7" s="2">
        <v>2017</v>
      </c>
      <c r="AE7" s="464">
        <v>2018</v>
      </c>
      <c r="AF7" s="2">
        <v>2019</v>
      </c>
      <c r="AG7" s="464">
        <v>2020</v>
      </c>
      <c r="AH7" s="2">
        <v>2021</v>
      </c>
      <c r="AI7" s="2" t="s">
        <v>228</v>
      </c>
      <c r="AJ7" s="498">
        <v>2013</v>
      </c>
      <c r="AK7" s="2">
        <v>2014</v>
      </c>
      <c r="AL7" s="464">
        <v>2015</v>
      </c>
      <c r="AM7" s="2">
        <v>2016</v>
      </c>
      <c r="AN7" s="464">
        <v>2017</v>
      </c>
      <c r="AO7" s="2">
        <v>2018</v>
      </c>
      <c r="AP7" s="464">
        <v>2019</v>
      </c>
      <c r="AQ7" s="2">
        <v>2020</v>
      </c>
      <c r="AR7" s="2">
        <v>2021</v>
      </c>
      <c r="AS7" s="2" t="s">
        <v>228</v>
      </c>
      <c r="AT7" s="68"/>
      <c r="AU7" s="68"/>
      <c r="AV7" s="68"/>
      <c r="AW7" s="470"/>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row>
    <row r="8" spans="1:85">
      <c r="A8" s="69"/>
      <c r="B8" s="70"/>
      <c r="C8" s="71"/>
      <c r="D8" s="72"/>
      <c r="E8" s="122"/>
      <c r="F8" s="70"/>
      <c r="G8" s="70"/>
      <c r="H8" s="70"/>
      <c r="I8" s="6"/>
      <c r="J8" s="6"/>
      <c r="K8" s="6"/>
      <c r="L8" s="6"/>
      <c r="M8" s="6"/>
      <c r="N8" s="6"/>
      <c r="O8" s="64"/>
      <c r="P8" s="5"/>
      <c r="Q8" s="6"/>
      <c r="R8" s="6"/>
      <c r="S8" s="6"/>
      <c r="T8" s="6"/>
      <c r="U8" s="6"/>
      <c r="V8" s="6"/>
      <c r="W8" s="6"/>
      <c r="X8" s="6"/>
      <c r="Y8" s="64"/>
      <c r="Z8" s="73"/>
      <c r="AA8" s="74"/>
      <c r="AB8" s="6"/>
      <c r="AC8" s="6"/>
      <c r="AD8" s="70"/>
      <c r="AE8" s="70"/>
      <c r="AF8" s="70"/>
      <c r="AG8" s="134"/>
      <c r="AH8" s="134"/>
      <c r="AI8" s="502"/>
      <c r="AJ8" s="499"/>
      <c r="AK8" s="61"/>
      <c r="AL8" s="61"/>
      <c r="AM8" s="61"/>
      <c r="AN8" s="61"/>
      <c r="AO8" s="61"/>
      <c r="AP8" s="61"/>
      <c r="AQ8" s="61"/>
      <c r="AR8" s="129"/>
      <c r="AS8" s="105"/>
    </row>
    <row r="9" spans="1:85">
      <c r="A9" s="229" t="s">
        <v>1</v>
      </c>
      <c r="B9" s="230"/>
      <c r="C9" s="231"/>
      <c r="D9" s="232"/>
      <c r="E9" s="233"/>
      <c r="F9" s="234"/>
      <c r="G9" s="234"/>
      <c r="H9" s="234"/>
      <c r="I9" s="14"/>
      <c r="J9" s="14"/>
      <c r="K9" s="14"/>
      <c r="L9" s="14"/>
      <c r="M9" s="14"/>
      <c r="N9" s="14"/>
      <c r="O9" s="235"/>
      <c r="P9" s="303"/>
      <c r="Q9" s="14"/>
      <c r="R9" s="14"/>
      <c r="S9" s="14"/>
      <c r="T9" s="14"/>
      <c r="U9" s="14"/>
      <c r="V9" s="14"/>
      <c r="W9" s="14"/>
      <c r="X9" s="14"/>
      <c r="Y9" s="235"/>
      <c r="Z9" s="310"/>
      <c r="AA9" s="236"/>
      <c r="AB9" s="237"/>
      <c r="AC9" s="14"/>
      <c r="AD9" s="236"/>
      <c r="AE9" s="236"/>
      <c r="AF9" s="236"/>
      <c r="AG9" s="236"/>
      <c r="AH9" s="496"/>
      <c r="AI9" s="238"/>
      <c r="AJ9" s="499"/>
      <c r="AK9" s="61"/>
      <c r="AL9" s="61"/>
      <c r="AM9" s="61"/>
      <c r="AN9" s="61"/>
      <c r="AO9" s="61"/>
      <c r="AP9" s="61"/>
      <c r="AQ9" s="61"/>
      <c r="AR9" s="497"/>
      <c r="AS9" s="239"/>
      <c r="AU9" s="75"/>
      <c r="AV9" s="75"/>
    </row>
    <row r="10" spans="1:85" s="1" customFormat="1" ht="53.4" customHeight="1">
      <c r="A10" s="142">
        <v>1725</v>
      </c>
      <c r="B10" s="143" t="s">
        <v>114</v>
      </c>
      <c r="C10" s="213" t="s">
        <v>77</v>
      </c>
      <c r="D10" s="225">
        <f>'Anexo 1'!E9</f>
        <v>99453757</v>
      </c>
      <c r="E10" s="284">
        <f>'Anexo 2'!E9</f>
        <v>99453757</v>
      </c>
      <c r="F10" s="190">
        <v>8500000</v>
      </c>
      <c r="G10" s="190">
        <v>13000000</v>
      </c>
      <c r="H10" s="190">
        <v>9000000</v>
      </c>
      <c r="I10" s="190">
        <v>16770000</v>
      </c>
      <c r="J10" s="190">
        <v>10000000</v>
      </c>
      <c r="K10" s="190">
        <v>0</v>
      </c>
      <c r="L10" s="190">
        <v>0</v>
      </c>
      <c r="M10" s="190">
        <v>0</v>
      </c>
      <c r="N10" s="476">
        <v>12483757</v>
      </c>
      <c r="O10" s="478">
        <f>'Anexo 2'!F9</f>
        <v>0</v>
      </c>
      <c r="P10" s="304">
        <v>299893.65999999997</v>
      </c>
      <c r="Q10" s="190">
        <v>424609.42</v>
      </c>
      <c r="R10" s="190">
        <v>392287.5</v>
      </c>
      <c r="S10" s="190">
        <v>320323.25</v>
      </c>
      <c r="T10" s="190">
        <v>198467.26</v>
      </c>
      <c r="U10" s="190">
        <v>129149.48</v>
      </c>
      <c r="V10" s="190">
        <v>124012.5</v>
      </c>
      <c r="W10" s="190">
        <v>124348.26</v>
      </c>
      <c r="X10" s="476">
        <v>74978.53</v>
      </c>
      <c r="Y10" s="478">
        <v>0</v>
      </c>
      <c r="Z10" s="311">
        <v>0.36906429639999999</v>
      </c>
      <c r="AA10" s="241">
        <v>0.49466209360000002</v>
      </c>
      <c r="AB10" s="241">
        <v>0.58161441476257181</v>
      </c>
      <c r="AC10" s="241">
        <v>0.74363557316071682</v>
      </c>
      <c r="AD10" s="241">
        <v>0.84024926332061256</v>
      </c>
      <c r="AE10" s="241">
        <v>0.84024926332061256</v>
      </c>
      <c r="AF10" s="241">
        <v>0.84024926332061256</v>
      </c>
      <c r="AG10" s="241">
        <v>0.84024926332061256</v>
      </c>
      <c r="AH10" s="241">
        <v>0.96085944640355536</v>
      </c>
      <c r="AI10" s="580">
        <f>'Anexo 2'!I9</f>
        <v>1</v>
      </c>
      <c r="AJ10" s="312" t="s">
        <v>6</v>
      </c>
      <c r="AK10" s="480" t="s">
        <v>6</v>
      </c>
      <c r="AL10" s="480">
        <v>0.61199999999999999</v>
      </c>
      <c r="AM10" s="480">
        <v>0.68979999999999997</v>
      </c>
      <c r="AN10" s="480">
        <v>0.79579999999999995</v>
      </c>
      <c r="AO10" s="480">
        <v>0.70109999999999995</v>
      </c>
      <c r="AP10" s="480">
        <v>0.76898207225784998</v>
      </c>
      <c r="AQ10" s="480">
        <v>0.83728779432698874</v>
      </c>
      <c r="AR10" s="477">
        <v>0.91349999999999998</v>
      </c>
      <c r="AS10" s="631">
        <f>'Anexo 2'!J9</f>
        <v>0.90769999999999995</v>
      </c>
      <c r="AT10" s="126"/>
      <c r="AU10" s="126"/>
      <c r="AV10" s="126"/>
      <c r="AW10" s="60"/>
    </row>
    <row r="11" spans="1:85" s="1" customFormat="1" ht="14.4" customHeight="1">
      <c r="A11" s="57">
        <v>2080</v>
      </c>
      <c r="B11" s="51" t="s">
        <v>39</v>
      </c>
      <c r="C11" s="213" t="s">
        <v>35</v>
      </c>
      <c r="D11" s="225">
        <f>'Anexo 1'!E10</f>
        <v>340000000</v>
      </c>
      <c r="E11" s="284">
        <f>'Anexo 2'!E10</f>
        <v>340000000</v>
      </c>
      <c r="F11" s="190">
        <v>7500000</v>
      </c>
      <c r="G11" s="190">
        <v>39953803</v>
      </c>
      <c r="H11" s="190">
        <v>30618366</v>
      </c>
      <c r="I11" s="190">
        <v>93500569</v>
      </c>
      <c r="J11" s="190">
        <v>13134370</v>
      </c>
      <c r="K11" s="190">
        <v>6000000</v>
      </c>
      <c r="L11" s="190">
        <v>85381480</v>
      </c>
      <c r="M11" s="190">
        <v>21238960</v>
      </c>
      <c r="N11" s="476">
        <v>42672450</v>
      </c>
      <c r="O11" s="478">
        <f>'Anexo 2'!F10</f>
        <v>0</v>
      </c>
      <c r="P11" s="304">
        <f>2531174.38-850000</f>
        <v>1681174.38</v>
      </c>
      <c r="Q11" s="190">
        <v>1605670.15</v>
      </c>
      <c r="R11" s="190">
        <v>1371441.04</v>
      </c>
      <c r="S11" s="190">
        <v>1146012.1000000001</v>
      </c>
      <c r="T11" s="190">
        <v>784140.77</v>
      </c>
      <c r="U11" s="190">
        <v>749425.65</v>
      </c>
      <c r="V11" s="190">
        <v>566647.53</v>
      </c>
      <c r="W11" s="190">
        <v>289753.03999999998</v>
      </c>
      <c r="X11" s="476">
        <v>83841.59</v>
      </c>
      <c r="Y11" s="478">
        <v>0</v>
      </c>
      <c r="Z11" s="311">
        <v>2.205882353E-2</v>
      </c>
      <c r="AA11" s="241">
        <v>0.13957000880000001</v>
      </c>
      <c r="AB11" s="241">
        <v>0.22962402647058824</v>
      </c>
      <c r="AC11" s="241">
        <v>0.50462569999999995</v>
      </c>
      <c r="AD11" s="241">
        <v>0.54325619999999997</v>
      </c>
      <c r="AE11" s="241">
        <v>0.56090325882352943</v>
      </c>
      <c r="AF11" s="241">
        <v>0.81202525882352938</v>
      </c>
      <c r="AG11" s="241">
        <v>0.87449278823529408</v>
      </c>
      <c r="AH11" s="241">
        <v>0.99999999411764706</v>
      </c>
      <c r="AI11" s="580">
        <f>'Anexo 2'!I10</f>
        <v>1</v>
      </c>
      <c r="AJ11" s="312" t="s">
        <v>6</v>
      </c>
      <c r="AK11" s="480" t="s">
        <v>6</v>
      </c>
      <c r="AL11" s="480">
        <v>0.38</v>
      </c>
      <c r="AM11" s="480">
        <v>0.46</v>
      </c>
      <c r="AN11" s="480">
        <v>0.51880000000000004</v>
      </c>
      <c r="AO11" s="480">
        <v>0.68</v>
      </c>
      <c r="AP11" s="480">
        <v>0.75</v>
      </c>
      <c r="AQ11" s="480">
        <v>0.82</v>
      </c>
      <c r="AR11" s="477">
        <v>0.97</v>
      </c>
      <c r="AS11" s="631">
        <f>'Anexo 2'!J10</f>
        <v>0.98</v>
      </c>
      <c r="AT11" s="126"/>
      <c r="AU11" s="126"/>
      <c r="AV11" s="126"/>
      <c r="AW11" s="60"/>
    </row>
    <row r="12" spans="1:85" s="1" customFormat="1">
      <c r="A12" s="57" t="s">
        <v>98</v>
      </c>
      <c r="B12" s="51" t="s">
        <v>104</v>
      </c>
      <c r="C12" s="213" t="s">
        <v>99</v>
      </c>
      <c r="D12" s="225">
        <f>'Anexo 1'!E11</f>
        <v>90055000</v>
      </c>
      <c r="E12" s="284">
        <f>'Anexo 2'!E11</f>
        <v>26500000</v>
      </c>
      <c r="F12" s="190" t="s">
        <v>5</v>
      </c>
      <c r="G12" s="190" t="s">
        <v>5</v>
      </c>
      <c r="H12" s="190" t="s">
        <v>5</v>
      </c>
      <c r="I12" s="190" t="s">
        <v>5</v>
      </c>
      <c r="J12" s="190" t="s">
        <v>5</v>
      </c>
      <c r="K12" s="190" t="s">
        <v>5</v>
      </c>
      <c r="L12" s="190" t="s">
        <v>5</v>
      </c>
      <c r="M12" s="190">
        <v>0</v>
      </c>
      <c r="N12" s="476">
        <v>0</v>
      </c>
      <c r="O12" s="478">
        <f>'Anexo 2'!F11</f>
        <v>26500000</v>
      </c>
      <c r="P12" s="304" t="s">
        <v>5</v>
      </c>
      <c r="Q12" s="190" t="s">
        <v>5</v>
      </c>
      <c r="R12" s="190" t="s">
        <v>5</v>
      </c>
      <c r="S12" s="190" t="s">
        <v>5</v>
      </c>
      <c r="T12" s="190" t="s">
        <v>5</v>
      </c>
      <c r="U12" s="190" t="s">
        <v>5</v>
      </c>
      <c r="V12" s="190" t="s">
        <v>5</v>
      </c>
      <c r="W12" s="190">
        <v>0</v>
      </c>
      <c r="X12" s="476">
        <v>0</v>
      </c>
      <c r="Y12" s="478">
        <v>0</v>
      </c>
      <c r="Z12" s="311" t="s">
        <v>5</v>
      </c>
      <c r="AA12" s="241" t="s">
        <v>5</v>
      </c>
      <c r="AB12" s="241" t="s">
        <v>5</v>
      </c>
      <c r="AC12" s="241" t="s">
        <v>5</v>
      </c>
      <c r="AD12" s="241" t="s">
        <v>5</v>
      </c>
      <c r="AE12" s="241" t="s">
        <v>5</v>
      </c>
      <c r="AF12" s="241" t="s">
        <v>5</v>
      </c>
      <c r="AG12" s="241">
        <v>0</v>
      </c>
      <c r="AH12" s="241">
        <v>0</v>
      </c>
      <c r="AI12" s="580">
        <f>'Anexo 2'!I11</f>
        <v>0.29426461606795845</v>
      </c>
      <c r="AJ12" s="312" t="s">
        <v>5</v>
      </c>
      <c r="AK12" s="480" t="s">
        <v>5</v>
      </c>
      <c r="AL12" s="480" t="s">
        <v>5</v>
      </c>
      <c r="AM12" s="480" t="s">
        <v>5</v>
      </c>
      <c r="AN12" s="480" t="s">
        <v>5</v>
      </c>
      <c r="AO12" s="480" t="s">
        <v>5</v>
      </c>
      <c r="AP12" s="480" t="s">
        <v>5</v>
      </c>
      <c r="AQ12" s="480">
        <v>0</v>
      </c>
      <c r="AR12" s="477">
        <v>0.06</v>
      </c>
      <c r="AS12" s="631">
        <f>'Anexo 2'!J11</f>
        <v>0.38</v>
      </c>
      <c r="AT12" s="126"/>
      <c r="AU12" s="126"/>
      <c r="AV12" s="126"/>
      <c r="AW12" s="60"/>
    </row>
    <row r="13" spans="1:85" s="1" customFormat="1">
      <c r="A13" s="142">
        <v>2128</v>
      </c>
      <c r="B13" s="143" t="s">
        <v>40</v>
      </c>
      <c r="C13" s="213" t="s">
        <v>0</v>
      </c>
      <c r="D13" s="225">
        <f>'Anexo 1'!E12</f>
        <v>270000000</v>
      </c>
      <c r="E13" s="284">
        <f>'Anexo 2'!E12</f>
        <v>159800233.27000001</v>
      </c>
      <c r="F13" s="190" t="s">
        <v>5</v>
      </c>
      <c r="G13" s="190">
        <v>5000000</v>
      </c>
      <c r="H13" s="190">
        <v>26078740.899999999</v>
      </c>
      <c r="I13" s="190">
        <v>12297306.35</v>
      </c>
      <c r="J13" s="190">
        <v>7682132.7299999995</v>
      </c>
      <c r="K13" s="190">
        <v>12790856.84</v>
      </c>
      <c r="L13" s="190">
        <v>9087363.0399999991</v>
      </c>
      <c r="M13" s="190">
        <v>59954659.530000001</v>
      </c>
      <c r="N13" s="476">
        <v>0</v>
      </c>
      <c r="O13" s="478">
        <f>'Anexo 2'!F12</f>
        <v>26909173.879999999</v>
      </c>
      <c r="P13" s="304" t="s">
        <v>5</v>
      </c>
      <c r="Q13" s="190" t="s">
        <v>5</v>
      </c>
      <c r="R13" s="190" t="s">
        <v>5</v>
      </c>
      <c r="S13" s="190" t="s">
        <v>5</v>
      </c>
      <c r="T13" s="190" t="s">
        <v>5</v>
      </c>
      <c r="U13" s="190" t="s">
        <v>5</v>
      </c>
      <c r="V13" s="190" t="s">
        <v>5</v>
      </c>
      <c r="W13" s="190" t="s">
        <v>5</v>
      </c>
      <c r="X13" s="476">
        <v>0</v>
      </c>
      <c r="Y13" s="478">
        <v>0</v>
      </c>
      <c r="Z13" s="312" t="s">
        <v>5</v>
      </c>
      <c r="AA13" s="241">
        <v>1.8518518519999999E-2</v>
      </c>
      <c r="AB13" s="241">
        <v>0.11510644777777777</v>
      </c>
      <c r="AC13" s="241">
        <v>0.16065202685185184</v>
      </c>
      <c r="AD13" s="241">
        <v>0.18910437029629629</v>
      </c>
      <c r="AE13" s="241">
        <v>0.23647791414814814</v>
      </c>
      <c r="AF13" s="241">
        <v>0.27013481429629632</v>
      </c>
      <c r="AG13" s="241">
        <v>0.49218910885185185</v>
      </c>
      <c r="AH13" s="241">
        <v>0.49218910885185185</v>
      </c>
      <c r="AI13" s="580">
        <f>'Anexo 2'!I12</f>
        <v>0.5918527158148148</v>
      </c>
      <c r="AJ13" s="312" t="s">
        <v>5</v>
      </c>
      <c r="AK13" s="480" t="s">
        <v>6</v>
      </c>
      <c r="AL13" s="480">
        <v>0.37</v>
      </c>
      <c r="AM13" s="480">
        <v>0.52610000000000001</v>
      </c>
      <c r="AN13" s="480">
        <v>0.58799999999999997</v>
      </c>
      <c r="AO13" s="480">
        <v>0.74729999999999996</v>
      </c>
      <c r="AP13" s="480">
        <v>0.81330000000000002</v>
      </c>
      <c r="AQ13" s="480">
        <v>0.85089999999999999</v>
      </c>
      <c r="AR13" s="477">
        <v>0.87529999999999997</v>
      </c>
      <c r="AS13" s="631">
        <f>'Anexo 2'!J12</f>
        <v>0.89890000000000003</v>
      </c>
      <c r="AT13" s="126"/>
      <c r="AU13" s="126"/>
      <c r="AV13" s="126"/>
      <c r="AW13" s="60"/>
    </row>
    <row r="14" spans="1:85" s="1" customFormat="1" ht="27.6">
      <c r="A14" s="142">
        <v>2129</v>
      </c>
      <c r="B14" s="143" t="s">
        <v>57</v>
      </c>
      <c r="C14" s="213" t="s">
        <v>77</v>
      </c>
      <c r="D14" s="225">
        <f>'Anexo 1'!E13</f>
        <v>130000000</v>
      </c>
      <c r="E14" s="284">
        <f>'Anexo 2'!E13</f>
        <v>11200000</v>
      </c>
      <c r="F14" s="190" t="s">
        <v>5</v>
      </c>
      <c r="G14" s="190" t="s">
        <v>5</v>
      </c>
      <c r="H14" s="190">
        <v>0</v>
      </c>
      <c r="I14" s="190">
        <v>200000</v>
      </c>
      <c r="J14" s="190">
        <v>3000000</v>
      </c>
      <c r="K14" s="190">
        <v>0</v>
      </c>
      <c r="L14" s="190">
        <v>5000000</v>
      </c>
      <c r="M14" s="190">
        <v>0</v>
      </c>
      <c r="N14" s="476">
        <v>0</v>
      </c>
      <c r="O14" s="478">
        <f>'Anexo 2'!F13</f>
        <v>3000000</v>
      </c>
      <c r="P14" s="304" t="s">
        <v>5</v>
      </c>
      <c r="Q14" s="190" t="s">
        <v>5</v>
      </c>
      <c r="R14" s="190">
        <v>0</v>
      </c>
      <c r="S14" s="190">
        <v>330416.67</v>
      </c>
      <c r="T14" s="190">
        <v>330163.89</v>
      </c>
      <c r="U14" s="190">
        <v>322147.21999999997</v>
      </c>
      <c r="V14" s="190">
        <v>320522.23</v>
      </c>
      <c r="W14" s="190">
        <v>312144.45</v>
      </c>
      <c r="X14" s="476">
        <v>308729.15999999997</v>
      </c>
      <c r="Y14" s="478">
        <v>157325</v>
      </c>
      <c r="Z14" s="312" t="s">
        <v>5</v>
      </c>
      <c r="AA14" s="245" t="s">
        <v>5</v>
      </c>
      <c r="AB14" s="241">
        <v>0</v>
      </c>
      <c r="AC14" s="241">
        <v>1.5384615384615385E-3</v>
      </c>
      <c r="AD14" s="241">
        <v>2.4615384615384615E-2</v>
      </c>
      <c r="AE14" s="241">
        <v>2.4615384615384615E-2</v>
      </c>
      <c r="AF14" s="241">
        <v>6.3076923076923072E-2</v>
      </c>
      <c r="AG14" s="241">
        <v>6.3076923076923072E-2</v>
      </c>
      <c r="AH14" s="241">
        <v>6.3076923076923072E-2</v>
      </c>
      <c r="AI14" s="580">
        <f>'Anexo 2'!I13</f>
        <v>8.615384615384615E-2</v>
      </c>
      <c r="AJ14" s="312" t="s">
        <v>5</v>
      </c>
      <c r="AK14" s="480" t="s">
        <v>5</v>
      </c>
      <c r="AL14" s="480">
        <v>0</v>
      </c>
      <c r="AM14" s="480">
        <v>3.1199999999999999E-2</v>
      </c>
      <c r="AN14" s="480">
        <v>4.3299999999999998E-2</v>
      </c>
      <c r="AO14" s="480">
        <v>6.6699999999999995E-2</v>
      </c>
      <c r="AP14" s="480">
        <v>0.104</v>
      </c>
      <c r="AQ14" s="480">
        <v>0.14829999999999999</v>
      </c>
      <c r="AR14" s="477">
        <v>0.26419999999999999</v>
      </c>
      <c r="AS14" s="631">
        <f>'Anexo 2'!J13</f>
        <v>0.28179999999999999</v>
      </c>
      <c r="AT14" s="126"/>
      <c r="AU14" s="126"/>
      <c r="AV14" s="126"/>
      <c r="AW14" s="60"/>
    </row>
    <row r="15" spans="1:85" s="1" customFormat="1" ht="29.4">
      <c r="A15" s="142">
        <v>2164</v>
      </c>
      <c r="B15" s="143" t="s">
        <v>294</v>
      </c>
      <c r="C15" s="213" t="s">
        <v>77</v>
      </c>
      <c r="D15" s="225">
        <f>'Anexo 1'!E14</f>
        <v>154562390.28999999</v>
      </c>
      <c r="E15" s="284">
        <f>'Anexo 2'!E14</f>
        <v>10967661.49</v>
      </c>
      <c r="F15" s="190" t="s">
        <v>5</v>
      </c>
      <c r="G15" s="190" t="s">
        <v>5</v>
      </c>
      <c r="H15" s="190" t="s">
        <v>5</v>
      </c>
      <c r="I15" s="190" t="s">
        <v>5</v>
      </c>
      <c r="J15" s="190" t="s">
        <v>5</v>
      </c>
      <c r="K15" s="190">
        <v>0</v>
      </c>
      <c r="L15" s="190">
        <v>1500000</v>
      </c>
      <c r="M15" s="190">
        <v>0</v>
      </c>
      <c r="N15" s="476">
        <v>9467661.4900000002</v>
      </c>
      <c r="O15" s="478">
        <f>'Anexo 2'!F14</f>
        <v>0</v>
      </c>
      <c r="P15" s="304" t="s">
        <v>5</v>
      </c>
      <c r="Q15" s="190" t="s">
        <v>5</v>
      </c>
      <c r="R15" s="190" t="s">
        <v>5</v>
      </c>
      <c r="S15" s="190" t="s">
        <v>5</v>
      </c>
      <c r="T15" s="190" t="s">
        <v>5</v>
      </c>
      <c r="U15" s="190">
        <v>0</v>
      </c>
      <c r="V15" s="568">
        <v>0</v>
      </c>
      <c r="W15" s="190">
        <v>0</v>
      </c>
      <c r="X15" s="476">
        <v>0</v>
      </c>
      <c r="Y15" s="478">
        <v>0</v>
      </c>
      <c r="Z15" s="312" t="s">
        <v>5</v>
      </c>
      <c r="AA15" s="245" t="s">
        <v>5</v>
      </c>
      <c r="AB15" s="241" t="s">
        <v>5</v>
      </c>
      <c r="AC15" s="241" t="s">
        <v>5</v>
      </c>
      <c r="AD15" s="241" t="s">
        <v>5</v>
      </c>
      <c r="AE15" s="241">
        <v>0</v>
      </c>
      <c r="AF15" s="241">
        <v>9.7048188578450593E-3</v>
      </c>
      <c r="AG15" s="241">
        <v>9.7048188578450593E-3</v>
      </c>
      <c r="AH15" s="241">
        <v>7.0959445369742025E-2</v>
      </c>
      <c r="AI15" s="580">
        <f>'Anexo 2'!I14</f>
        <v>7.0959445369742025E-2</v>
      </c>
      <c r="AJ15" s="312" t="s">
        <v>5</v>
      </c>
      <c r="AK15" s="480" t="s">
        <v>5</v>
      </c>
      <c r="AL15" s="480" t="s">
        <v>5</v>
      </c>
      <c r="AM15" s="480" t="s">
        <v>5</v>
      </c>
      <c r="AN15" s="480" t="s">
        <v>5</v>
      </c>
      <c r="AO15" s="480">
        <v>0</v>
      </c>
      <c r="AP15" s="480">
        <v>0.118505012987553</v>
      </c>
      <c r="AQ15" s="480">
        <v>0.13700000000000001</v>
      </c>
      <c r="AR15" s="477">
        <v>0.19315930093031164</v>
      </c>
      <c r="AS15" s="631">
        <f>'Anexo 2'!J14</f>
        <v>0.18745672259101054</v>
      </c>
      <c r="AT15" s="126"/>
      <c r="AU15" s="126"/>
      <c r="AV15" s="126"/>
      <c r="AW15" s="60"/>
    </row>
    <row r="16" spans="1:85" s="1" customFormat="1" ht="29.4">
      <c r="A16" s="142" t="s">
        <v>74</v>
      </c>
      <c r="B16" s="143" t="s">
        <v>295</v>
      </c>
      <c r="C16" s="647" t="str">
        <f>+'Anexo 1'!C15</f>
        <v>AyA</v>
      </c>
      <c r="D16" s="649">
        <f>'Anexo 1'!E15</f>
        <v>111128810</v>
      </c>
      <c r="E16" s="653">
        <f>'Anexo 2'!E15</f>
        <v>2088000</v>
      </c>
      <c r="F16" s="645" t="s">
        <v>5</v>
      </c>
      <c r="G16" s="645" t="s">
        <v>5</v>
      </c>
      <c r="H16" s="645" t="s">
        <v>5</v>
      </c>
      <c r="I16" s="645" t="s">
        <v>5</v>
      </c>
      <c r="J16" s="645" t="s">
        <v>5</v>
      </c>
      <c r="K16" s="645" t="s">
        <v>5</v>
      </c>
      <c r="L16" s="645">
        <v>0</v>
      </c>
      <c r="M16" s="645">
        <v>0</v>
      </c>
      <c r="N16" s="645">
        <v>1000000</v>
      </c>
      <c r="O16" s="648">
        <f>'Anexo 2'!F15</f>
        <v>1088000</v>
      </c>
      <c r="P16" s="304" t="s">
        <v>5</v>
      </c>
      <c r="Q16" s="645" t="s">
        <v>5</v>
      </c>
      <c r="R16" s="645" t="s">
        <v>5</v>
      </c>
      <c r="S16" s="645" t="s">
        <v>5</v>
      </c>
      <c r="T16" s="645" t="s">
        <v>5</v>
      </c>
      <c r="U16" s="645" t="s">
        <v>5</v>
      </c>
      <c r="V16" s="654">
        <v>112231.92</v>
      </c>
      <c r="W16" s="655">
        <v>225333.52000000002</v>
      </c>
      <c r="X16" s="655">
        <v>225660.46000000002</v>
      </c>
      <c r="Y16" s="656">
        <v>108981.38</v>
      </c>
      <c r="Z16" s="651" t="s">
        <v>5</v>
      </c>
      <c r="AA16" s="650" t="s">
        <v>5</v>
      </c>
      <c r="AB16" s="241" t="s">
        <v>5</v>
      </c>
      <c r="AC16" s="241" t="s">
        <v>5</v>
      </c>
      <c r="AD16" s="241" t="s">
        <v>5</v>
      </c>
      <c r="AE16" s="241" t="s">
        <v>5</v>
      </c>
      <c r="AF16" s="241">
        <v>0</v>
      </c>
      <c r="AG16" s="241">
        <v>0</v>
      </c>
      <c r="AH16" s="241">
        <v>8.9985666183233677E-3</v>
      </c>
      <c r="AI16" s="580">
        <f>'Anexo 2'!I15</f>
        <v>1.8789007099059191E-2</v>
      </c>
      <c r="AJ16" s="651" t="s">
        <v>5</v>
      </c>
      <c r="AK16" s="650" t="s">
        <v>5</v>
      </c>
      <c r="AL16" s="241" t="s">
        <v>5</v>
      </c>
      <c r="AM16" s="241" t="s">
        <v>5</v>
      </c>
      <c r="AN16" s="241" t="s">
        <v>5</v>
      </c>
      <c r="AO16" s="650">
        <v>0</v>
      </c>
      <c r="AP16" s="650">
        <v>0</v>
      </c>
      <c r="AQ16" s="650">
        <v>9.1619426159301826E-2</v>
      </c>
      <c r="AR16" s="646">
        <v>0.11447100739696221</v>
      </c>
      <c r="AS16" s="652">
        <f>'Anexo 2'!J15</f>
        <v>8.4696054401005125E-2</v>
      </c>
      <c r="AT16" s="126"/>
      <c r="AU16" s="126"/>
      <c r="AV16" s="126"/>
      <c r="AW16" s="60"/>
    </row>
    <row r="17" spans="1:49" s="1" customFormat="1">
      <c r="A17" s="142">
        <v>2198</v>
      </c>
      <c r="B17" s="143" t="str">
        <f>+'Anexo 1'!B16</f>
        <v>Programa de Alcantarillado y Control de Inundaciones para Limón</v>
      </c>
      <c r="C17" s="213" t="str">
        <f>+'Anexo 1'!C16</f>
        <v>AyA/SENARA</v>
      </c>
      <c r="D17" s="225">
        <f>'Anexo 1'!E16</f>
        <v>55080000</v>
      </c>
      <c r="E17" s="284">
        <f>'Anexo 2'!E16</f>
        <v>500000</v>
      </c>
      <c r="F17" s="190" t="s">
        <v>5</v>
      </c>
      <c r="G17" s="190" t="s">
        <v>5</v>
      </c>
      <c r="H17" s="190" t="s">
        <v>5</v>
      </c>
      <c r="I17" s="190" t="s">
        <v>5</v>
      </c>
      <c r="J17" s="190" t="s">
        <v>5</v>
      </c>
      <c r="K17" s="190" t="s">
        <v>5</v>
      </c>
      <c r="L17" s="190">
        <v>0</v>
      </c>
      <c r="M17" s="190">
        <v>500000</v>
      </c>
      <c r="N17" s="476">
        <v>0</v>
      </c>
      <c r="O17" s="478">
        <f>'Anexo 2'!F16</f>
        <v>0</v>
      </c>
      <c r="P17" s="304" t="s">
        <v>5</v>
      </c>
      <c r="Q17" s="190" t="s">
        <v>5</v>
      </c>
      <c r="R17" s="190" t="s">
        <v>5</v>
      </c>
      <c r="S17" s="190" t="s">
        <v>5</v>
      </c>
      <c r="T17" s="190" t="s">
        <v>5</v>
      </c>
      <c r="U17" s="190" t="s">
        <v>5</v>
      </c>
      <c r="V17" s="190">
        <v>0</v>
      </c>
      <c r="W17" s="190">
        <v>0</v>
      </c>
      <c r="X17" s="414">
        <v>0</v>
      </c>
      <c r="Y17" s="478">
        <v>0</v>
      </c>
      <c r="Z17" s="312" t="s">
        <v>5</v>
      </c>
      <c r="AA17" s="245" t="s">
        <v>5</v>
      </c>
      <c r="AB17" s="241" t="s">
        <v>5</v>
      </c>
      <c r="AC17" s="241" t="s">
        <v>5</v>
      </c>
      <c r="AD17" s="241" t="s">
        <v>5</v>
      </c>
      <c r="AE17" s="241" t="s">
        <v>5</v>
      </c>
      <c r="AF17" s="241">
        <v>0</v>
      </c>
      <c r="AG17" s="241">
        <v>9.0777051561365292E-3</v>
      </c>
      <c r="AH17" s="241">
        <v>9.0777051561365292E-3</v>
      </c>
      <c r="AI17" s="580">
        <f>'Anexo 2'!I16</f>
        <v>9.0777051561365292E-3</v>
      </c>
      <c r="AJ17" s="312" t="s">
        <v>5</v>
      </c>
      <c r="AK17" s="480" t="s">
        <v>5</v>
      </c>
      <c r="AL17" s="241" t="s">
        <v>5</v>
      </c>
      <c r="AM17" s="241" t="s">
        <v>5</v>
      </c>
      <c r="AN17" s="241" t="s">
        <v>5</v>
      </c>
      <c r="AO17" s="480">
        <v>0</v>
      </c>
      <c r="AP17" s="480">
        <v>9.1399999999999995E-2</v>
      </c>
      <c r="AQ17" s="480">
        <v>0.15978758169934643</v>
      </c>
      <c r="AR17" s="477">
        <v>0.18149999999999999</v>
      </c>
      <c r="AS17" s="631">
        <f>'Anexo 2'!J16</f>
        <v>0.20572993681917212</v>
      </c>
      <c r="AT17" s="126"/>
      <c r="AU17" s="126"/>
      <c r="AV17" s="126"/>
      <c r="AW17" s="60"/>
    </row>
    <row r="18" spans="1:49" s="1" customFormat="1">
      <c r="A18" s="142">
        <v>2270</v>
      </c>
      <c r="B18" s="143" t="str">
        <f>+'Anexo 1'!B17</f>
        <v>Adquisición y Aplicación de Vacunas COVID-19</v>
      </c>
      <c r="C18" s="383" t="str">
        <f>+'Anexo 1'!C17</f>
        <v>CNE</v>
      </c>
      <c r="D18" s="384">
        <f>'Anexo 1'!E17</f>
        <v>80000000</v>
      </c>
      <c r="E18" s="385">
        <f>'Anexo 2'!E17</f>
        <v>79688453.540000007</v>
      </c>
      <c r="F18" s="380" t="s">
        <v>5</v>
      </c>
      <c r="G18" s="380" t="s">
        <v>5</v>
      </c>
      <c r="H18" s="380" t="s">
        <v>5</v>
      </c>
      <c r="I18" s="380" t="s">
        <v>5</v>
      </c>
      <c r="J18" s="380" t="s">
        <v>5</v>
      </c>
      <c r="K18" s="380" t="s">
        <v>5</v>
      </c>
      <c r="L18" s="380" t="s">
        <v>5</v>
      </c>
      <c r="M18" s="380" t="s">
        <v>5</v>
      </c>
      <c r="N18" s="476">
        <v>69425367.540000007</v>
      </c>
      <c r="O18" s="478">
        <f>'Anexo 2'!F17</f>
        <v>10263086</v>
      </c>
      <c r="P18" s="304" t="s">
        <v>5</v>
      </c>
      <c r="Q18" s="403" t="s">
        <v>5</v>
      </c>
      <c r="R18" s="403" t="s">
        <v>5</v>
      </c>
      <c r="S18" s="403" t="s">
        <v>5</v>
      </c>
      <c r="T18" s="403" t="s">
        <v>5</v>
      </c>
      <c r="U18" s="403" t="s">
        <v>5</v>
      </c>
      <c r="V18" s="403" t="s">
        <v>5</v>
      </c>
      <c r="W18" s="403" t="s">
        <v>5</v>
      </c>
      <c r="X18" s="414">
        <v>0</v>
      </c>
      <c r="Y18" s="478">
        <v>46815.89</v>
      </c>
      <c r="Z18" s="312" t="s">
        <v>5</v>
      </c>
      <c r="AA18" s="412" t="s">
        <v>5</v>
      </c>
      <c r="AB18" s="241" t="s">
        <v>5</v>
      </c>
      <c r="AC18" s="241" t="s">
        <v>5</v>
      </c>
      <c r="AD18" s="241" t="s">
        <v>5</v>
      </c>
      <c r="AE18" s="241" t="s">
        <v>5</v>
      </c>
      <c r="AF18" s="241" t="s">
        <v>5</v>
      </c>
      <c r="AG18" s="241" t="s">
        <v>5</v>
      </c>
      <c r="AH18" s="241">
        <v>0.86781709425000009</v>
      </c>
      <c r="AI18" s="580">
        <f>'Anexo 2'!I17</f>
        <v>0.9961056692500001</v>
      </c>
      <c r="AJ18" s="312" t="s">
        <v>5</v>
      </c>
      <c r="AK18" s="480" t="s">
        <v>5</v>
      </c>
      <c r="AL18" s="241" t="s">
        <v>5</v>
      </c>
      <c r="AM18" s="241" t="s">
        <v>5</v>
      </c>
      <c r="AN18" s="241" t="s">
        <v>5</v>
      </c>
      <c r="AO18" s="241" t="s">
        <v>5</v>
      </c>
      <c r="AP18" s="241" t="s">
        <v>5</v>
      </c>
      <c r="AQ18" s="241" t="s">
        <v>5</v>
      </c>
      <c r="AR18" s="477" t="s">
        <v>5</v>
      </c>
      <c r="AS18" s="631" t="str">
        <f>'Anexo 2'!J17</f>
        <v>N/A</v>
      </c>
      <c r="AT18" s="126"/>
      <c r="AU18" s="126"/>
      <c r="AV18" s="126"/>
      <c r="AW18" s="60"/>
    </row>
    <row r="19" spans="1:49" s="1" customFormat="1" ht="31.2" customHeight="1">
      <c r="A19" s="142">
        <v>2220</v>
      </c>
      <c r="B19" s="143" t="str">
        <f>+'Anexo 1'!B18</f>
        <v>Proyecto de Abastecimiento de Agua para la Cuenca Media del río Tempisque y Comunidades Costeras (PAACUME)</v>
      </c>
      <c r="C19" s="488" t="str">
        <f>+'Anexo 1'!C18</f>
        <v xml:space="preserve">SENARA </v>
      </c>
      <c r="D19" s="492">
        <f>'Anexo 1'!E18</f>
        <v>425000000</v>
      </c>
      <c r="E19" s="494">
        <f>'Anexo 2'!E18</f>
        <v>0</v>
      </c>
      <c r="F19" s="485" t="s">
        <v>5</v>
      </c>
      <c r="G19" s="485" t="s">
        <v>5</v>
      </c>
      <c r="H19" s="485" t="s">
        <v>5</v>
      </c>
      <c r="I19" s="485" t="s">
        <v>5</v>
      </c>
      <c r="J19" s="485" t="s">
        <v>5</v>
      </c>
      <c r="K19" s="485" t="s">
        <v>5</v>
      </c>
      <c r="L19" s="485" t="s">
        <v>5</v>
      </c>
      <c r="M19" s="485" t="s">
        <v>5</v>
      </c>
      <c r="N19" s="485">
        <v>0</v>
      </c>
      <c r="O19" s="485">
        <f>'Anexo 2'!F18</f>
        <v>0</v>
      </c>
      <c r="P19" s="304" t="s">
        <v>5</v>
      </c>
      <c r="Q19" s="485" t="s">
        <v>5</v>
      </c>
      <c r="R19" s="485" t="s">
        <v>5</v>
      </c>
      <c r="S19" s="485" t="s">
        <v>5</v>
      </c>
      <c r="T19" s="485" t="s">
        <v>5</v>
      </c>
      <c r="U19" s="485" t="s">
        <v>5</v>
      </c>
      <c r="V19" s="485" t="s">
        <v>5</v>
      </c>
      <c r="W19" s="485" t="s">
        <v>5</v>
      </c>
      <c r="X19" s="568" t="s">
        <v>5</v>
      </c>
      <c r="Y19" s="485">
        <v>0</v>
      </c>
      <c r="Z19" s="500" t="s">
        <v>5</v>
      </c>
      <c r="AA19" s="493" t="s">
        <v>5</v>
      </c>
      <c r="AB19" s="241" t="s">
        <v>5</v>
      </c>
      <c r="AC19" s="241" t="s">
        <v>5</v>
      </c>
      <c r="AD19" s="241" t="s">
        <v>5</v>
      </c>
      <c r="AE19" s="241" t="s">
        <v>5</v>
      </c>
      <c r="AF19" s="241" t="s">
        <v>5</v>
      </c>
      <c r="AG19" s="241" t="s">
        <v>5</v>
      </c>
      <c r="AH19" s="241" t="s">
        <v>5</v>
      </c>
      <c r="AI19" s="580">
        <f>'Anexo 2'!I18</f>
        <v>0</v>
      </c>
      <c r="AJ19" s="500" t="s">
        <v>5</v>
      </c>
      <c r="AK19" s="493" t="s">
        <v>5</v>
      </c>
      <c r="AL19" s="241" t="s">
        <v>5</v>
      </c>
      <c r="AM19" s="241" t="s">
        <v>5</v>
      </c>
      <c r="AN19" s="241" t="s">
        <v>5</v>
      </c>
      <c r="AO19" s="241" t="s">
        <v>5</v>
      </c>
      <c r="AP19" s="241" t="s">
        <v>5</v>
      </c>
      <c r="AQ19" s="241" t="s">
        <v>5</v>
      </c>
      <c r="AR19" s="486" t="s">
        <v>5</v>
      </c>
      <c r="AS19" s="631" t="str">
        <f>'Anexo 2'!J18</f>
        <v>N/D</v>
      </c>
      <c r="AT19" s="126"/>
      <c r="AU19" s="126"/>
      <c r="AV19" s="126"/>
      <c r="AW19" s="60"/>
    </row>
    <row r="20" spans="1:49" s="17" customFormat="1">
      <c r="A20" s="57"/>
      <c r="B20" s="22"/>
      <c r="C20" s="210"/>
      <c r="D20" s="154">
        <f>SUM(D10:D19)</f>
        <v>1755279957.29</v>
      </c>
      <c r="E20" s="198">
        <f>SUM(E10:E19)</f>
        <v>730198105.29999995</v>
      </c>
      <c r="F20" s="154">
        <f>SUM(F10:F19)</f>
        <v>16000000</v>
      </c>
      <c r="G20" s="154">
        <f>SUM(G10:G19)</f>
        <v>57953803</v>
      </c>
      <c r="H20" s="154">
        <f t="shared" ref="H20:M20" si="0">SUM(H10:H19)</f>
        <v>65697106.899999999</v>
      </c>
      <c r="I20" s="154">
        <f t="shared" si="0"/>
        <v>122767875.34999999</v>
      </c>
      <c r="J20" s="154">
        <f t="shared" si="0"/>
        <v>33816502.730000004</v>
      </c>
      <c r="K20" s="154">
        <f t="shared" si="0"/>
        <v>18790856.84</v>
      </c>
      <c r="L20" s="154">
        <f t="shared" si="0"/>
        <v>100968843.03999999</v>
      </c>
      <c r="M20" s="154">
        <f t="shared" si="0"/>
        <v>81693619.530000001</v>
      </c>
      <c r="N20" s="154">
        <f>SUM(N10:N19)</f>
        <v>135049236.03</v>
      </c>
      <c r="O20" s="154">
        <f>SUM(O10:O19)</f>
        <v>67760259.879999995</v>
      </c>
      <c r="P20" s="305">
        <f>SUM(P10:P19)</f>
        <v>1981068.0399999998</v>
      </c>
      <c r="Q20" s="154">
        <f>SUM(Q10:Q19)</f>
        <v>2030279.5699999998</v>
      </c>
      <c r="R20" s="154">
        <f t="shared" ref="R20:X20" si="1">SUM(R10:R19)</f>
        <v>1763728.54</v>
      </c>
      <c r="S20" s="154">
        <f t="shared" si="1"/>
        <v>1796752.02</v>
      </c>
      <c r="T20" s="154">
        <f t="shared" si="1"/>
        <v>1312771.92</v>
      </c>
      <c r="U20" s="154">
        <f t="shared" si="1"/>
        <v>1200722.3500000001</v>
      </c>
      <c r="V20" s="154">
        <f t="shared" si="1"/>
        <v>1123414.18</v>
      </c>
      <c r="W20" s="154">
        <f t="shared" si="1"/>
        <v>951579.27</v>
      </c>
      <c r="X20" s="154">
        <f t="shared" si="1"/>
        <v>693209.74</v>
      </c>
      <c r="Y20" s="154">
        <f>SUM(Y10:Y19)</f>
        <v>313122.27</v>
      </c>
      <c r="Z20" s="313"/>
      <c r="AA20" s="242"/>
      <c r="AB20" s="242"/>
      <c r="AC20" s="242"/>
      <c r="AD20" s="242"/>
      <c r="AE20" s="242"/>
      <c r="AF20" s="242"/>
      <c r="AG20" s="242"/>
      <c r="AH20" s="316"/>
      <c r="AI20" s="132"/>
      <c r="AJ20" s="313"/>
      <c r="AK20" s="242"/>
      <c r="AL20" s="480"/>
      <c r="AM20" s="480"/>
      <c r="AN20" s="480"/>
      <c r="AO20" s="480"/>
      <c r="AP20" s="480"/>
      <c r="AQ20" s="480"/>
      <c r="AR20" s="45"/>
      <c r="AS20" s="244"/>
      <c r="AT20" s="126"/>
      <c r="AU20" s="126"/>
      <c r="AV20" s="126"/>
      <c r="AW20" s="60"/>
    </row>
    <row r="21" spans="1:49" s="17" customFormat="1">
      <c r="A21" s="57"/>
      <c r="B21" s="22"/>
      <c r="C21" s="210"/>
      <c r="D21" s="154"/>
      <c r="E21" s="198"/>
      <c r="F21" s="154"/>
      <c r="G21" s="154"/>
      <c r="H21" s="154"/>
      <c r="I21" s="154"/>
      <c r="J21" s="154"/>
      <c r="K21" s="154"/>
      <c r="L21" s="154"/>
      <c r="M21" s="154"/>
      <c r="N21" s="154"/>
      <c r="O21" s="198"/>
      <c r="P21" s="305"/>
      <c r="Q21" s="154"/>
      <c r="R21" s="154"/>
      <c r="S21" s="154"/>
      <c r="T21" s="154"/>
      <c r="U21" s="154"/>
      <c r="V21" s="154"/>
      <c r="W21" s="154"/>
      <c r="X21" s="316"/>
      <c r="Y21" s="132"/>
      <c r="Z21" s="313"/>
      <c r="AA21" s="242"/>
      <c r="AB21" s="242"/>
      <c r="AC21" s="242"/>
      <c r="AD21" s="242"/>
      <c r="AE21" s="242"/>
      <c r="AF21" s="242"/>
      <c r="AG21" s="242"/>
      <c r="AH21" s="316"/>
      <c r="AI21" s="132"/>
      <c r="AJ21" s="313"/>
      <c r="AK21" s="242"/>
      <c r="AL21" s="480"/>
      <c r="AM21" s="480"/>
      <c r="AN21" s="480"/>
      <c r="AO21" s="480"/>
      <c r="AP21" s="480"/>
      <c r="AQ21" s="480"/>
      <c r="AR21" s="45"/>
      <c r="AS21" s="244"/>
      <c r="AT21" s="126"/>
      <c r="AU21" s="126"/>
      <c r="AV21" s="126"/>
      <c r="AW21" s="60"/>
    </row>
    <row r="22" spans="1:49" s="1" customFormat="1">
      <c r="A22" s="218" t="s">
        <v>2</v>
      </c>
      <c r="B22" s="219"/>
      <c r="C22" s="213"/>
      <c r="D22" s="190"/>
      <c r="E22" s="209"/>
      <c r="F22" s="225"/>
      <c r="G22" s="225"/>
      <c r="H22" s="225"/>
      <c r="I22" s="225"/>
      <c r="J22" s="225"/>
      <c r="K22" s="225"/>
      <c r="L22" s="225"/>
      <c r="M22" s="225"/>
      <c r="N22" s="479"/>
      <c r="O22" s="481"/>
      <c r="P22" s="306"/>
      <c r="Q22" s="225"/>
      <c r="R22" s="225"/>
      <c r="S22" s="225"/>
      <c r="T22" s="225"/>
      <c r="U22" s="225"/>
      <c r="V22" s="225"/>
      <c r="W22" s="225"/>
      <c r="X22" s="13"/>
      <c r="Y22" s="504"/>
      <c r="Z22" s="311"/>
      <c r="AA22" s="241"/>
      <c r="AB22" s="241"/>
      <c r="AC22" s="241"/>
      <c r="AD22" s="241"/>
      <c r="AE22" s="241"/>
      <c r="AF22" s="241"/>
      <c r="AG22" s="241"/>
      <c r="AH22" s="13"/>
      <c r="AI22" s="15"/>
      <c r="AJ22" s="312"/>
      <c r="AK22" s="480"/>
      <c r="AL22" s="480"/>
      <c r="AM22" s="480"/>
      <c r="AN22" s="480"/>
      <c r="AO22" s="480"/>
      <c r="AP22" s="480"/>
      <c r="AQ22" s="480"/>
      <c r="AR22" s="477"/>
      <c r="AS22" s="631"/>
      <c r="AT22" s="126"/>
      <c r="AU22" s="126"/>
      <c r="AV22" s="126"/>
      <c r="AW22" s="60"/>
    </row>
    <row r="23" spans="1:49" s="1" customFormat="1">
      <c r="A23" s="142" t="s">
        <v>20</v>
      </c>
      <c r="B23" s="161" t="s">
        <v>85</v>
      </c>
      <c r="C23" s="212" t="s">
        <v>77</v>
      </c>
      <c r="D23" s="225">
        <f>'Anexo 1'!E22</f>
        <v>73000000</v>
      </c>
      <c r="E23" s="284">
        <f>'Anexo 2'!E22</f>
        <v>59158043.780000001</v>
      </c>
      <c r="F23" s="190">
        <v>0</v>
      </c>
      <c r="G23" s="190">
        <v>0</v>
      </c>
      <c r="H23" s="190">
        <v>5075849.51</v>
      </c>
      <c r="I23" s="190">
        <v>0</v>
      </c>
      <c r="J23" s="190">
        <v>4104373.5300000003</v>
      </c>
      <c r="K23" s="190">
        <v>0</v>
      </c>
      <c r="L23" s="190">
        <v>10302672.949999999</v>
      </c>
      <c r="M23" s="190">
        <v>13635147.789999999</v>
      </c>
      <c r="N23" s="476">
        <v>12000000</v>
      </c>
      <c r="O23" s="478">
        <f>'Anexo 2'!F22</f>
        <v>14040000</v>
      </c>
      <c r="P23" s="304">
        <v>0</v>
      </c>
      <c r="Q23" s="190">
        <v>333949.45</v>
      </c>
      <c r="R23" s="190">
        <v>182500</v>
      </c>
      <c r="S23" s="190">
        <v>387517.82</v>
      </c>
      <c r="T23" s="190">
        <v>337285.27</v>
      </c>
      <c r="U23" s="190">
        <v>321804.31</v>
      </c>
      <c r="V23" s="190">
        <v>319098.89</v>
      </c>
      <c r="W23" s="190">
        <v>250945.59</v>
      </c>
      <c r="X23" s="476">
        <v>188508.58</v>
      </c>
      <c r="Y23" s="504">
        <v>62830.61</v>
      </c>
      <c r="Z23" s="311">
        <v>0</v>
      </c>
      <c r="AA23" s="241">
        <v>0</v>
      </c>
      <c r="AB23" s="241">
        <v>6.9532185068493152E-2</v>
      </c>
      <c r="AC23" s="241">
        <v>6.9532185068493152E-2</v>
      </c>
      <c r="AD23" s="241">
        <v>0.12575647999999998</v>
      </c>
      <c r="AE23" s="241">
        <v>0.12575647999999998</v>
      </c>
      <c r="AF23" s="241">
        <v>0.26688898616438356</v>
      </c>
      <c r="AG23" s="241">
        <v>0.45367183260273974</v>
      </c>
      <c r="AH23" s="241">
        <v>0.61805539424657541</v>
      </c>
      <c r="AI23" s="580">
        <f>'Anexo 2'!I22</f>
        <v>0.81038416136986302</v>
      </c>
      <c r="AJ23" s="312">
        <v>0</v>
      </c>
      <c r="AK23" s="480">
        <v>0</v>
      </c>
      <c r="AL23" s="480">
        <v>4.1999999999999997E-3</v>
      </c>
      <c r="AM23" s="480">
        <v>3.5200000000000002E-2</v>
      </c>
      <c r="AN23" s="480">
        <v>9.6299999999999997E-2</v>
      </c>
      <c r="AO23" s="480">
        <v>0.2094</v>
      </c>
      <c r="AP23" s="480">
        <v>0.51609044573377705</v>
      </c>
      <c r="AQ23" s="480">
        <v>0.71730000000000005</v>
      </c>
      <c r="AR23" s="477">
        <v>0.87362317168177506</v>
      </c>
      <c r="AS23" s="631">
        <f>'Anexo 2'!J22</f>
        <v>0.87414313489402262</v>
      </c>
      <c r="AT23" s="126"/>
      <c r="AU23" s="126"/>
      <c r="AV23" s="126"/>
      <c r="AW23" s="60"/>
    </row>
    <row r="24" spans="1:49" s="246" customFormat="1" ht="15.6">
      <c r="A24" s="142" t="s">
        <v>52</v>
      </c>
      <c r="B24" s="299" t="s">
        <v>297</v>
      </c>
      <c r="C24" s="300" t="s">
        <v>4</v>
      </c>
      <c r="D24" s="301">
        <f>'Anexo 1'!E23</f>
        <v>400000000</v>
      </c>
      <c r="E24" s="302">
        <f>'Anexo 2'!E23</f>
        <v>240000000</v>
      </c>
      <c r="F24" s="297" t="s">
        <v>5</v>
      </c>
      <c r="G24" s="297">
        <v>0</v>
      </c>
      <c r="H24" s="297">
        <v>0</v>
      </c>
      <c r="I24" s="297">
        <v>5000000</v>
      </c>
      <c r="J24" s="297">
        <v>45000000</v>
      </c>
      <c r="K24" s="297">
        <v>120000000</v>
      </c>
      <c r="L24" s="297">
        <v>0</v>
      </c>
      <c r="M24" s="297">
        <v>0</v>
      </c>
      <c r="N24" s="476">
        <v>30000000</v>
      </c>
      <c r="O24" s="478">
        <f>'Anexo 2'!F23</f>
        <v>40000000</v>
      </c>
      <c r="P24" s="304" t="s">
        <v>5</v>
      </c>
      <c r="Q24" s="297">
        <v>0</v>
      </c>
      <c r="R24" s="297">
        <v>1369863.01</v>
      </c>
      <c r="S24" s="297">
        <v>2278532.2599999998</v>
      </c>
      <c r="T24" s="297">
        <v>1966518.08</v>
      </c>
      <c r="U24" s="297">
        <v>1785068.5</v>
      </c>
      <c r="V24" s="297">
        <v>1230547.94</v>
      </c>
      <c r="W24" s="297">
        <v>1150671.45</v>
      </c>
      <c r="X24" s="476">
        <v>1055629.9099999999</v>
      </c>
      <c r="Y24" s="478">
        <v>454246.58</v>
      </c>
      <c r="Z24" s="312" t="s">
        <v>5</v>
      </c>
      <c r="AA24" s="241">
        <v>0</v>
      </c>
      <c r="AB24" s="241">
        <v>0</v>
      </c>
      <c r="AC24" s="241">
        <v>1.1111111111111112E-2</v>
      </c>
      <c r="AD24" s="241">
        <v>0.125</v>
      </c>
      <c r="AE24" s="241">
        <v>0.42499999999999999</v>
      </c>
      <c r="AF24" s="241">
        <v>0.42499999999999999</v>
      </c>
      <c r="AG24" s="241">
        <v>0.42499999999999999</v>
      </c>
      <c r="AH24" s="241">
        <v>0.5</v>
      </c>
      <c r="AI24" s="580">
        <f>'Anexo 2'!I23</f>
        <v>0.6</v>
      </c>
      <c r="AJ24" s="705" t="s">
        <v>5</v>
      </c>
      <c r="AK24" s="704">
        <v>0</v>
      </c>
      <c r="AL24" s="704">
        <v>0</v>
      </c>
      <c r="AM24" s="704">
        <v>0.13</v>
      </c>
      <c r="AN24" s="704">
        <v>0.31</v>
      </c>
      <c r="AO24" s="704">
        <v>0.49</v>
      </c>
      <c r="AP24" s="704">
        <v>0.59</v>
      </c>
      <c r="AQ24" s="704">
        <v>0.74</v>
      </c>
      <c r="AR24" s="676">
        <v>0.47</v>
      </c>
      <c r="AS24" s="708">
        <f>'Anexo 2'!J23</f>
        <v>0.57620000000000005</v>
      </c>
      <c r="AT24" s="126"/>
      <c r="AU24" s="126"/>
      <c r="AV24" s="126"/>
      <c r="AW24" s="60"/>
    </row>
    <row r="25" spans="1:49" s="246" customFormat="1" ht="15.6">
      <c r="A25" s="142" t="s">
        <v>55</v>
      </c>
      <c r="B25" s="299" t="s">
        <v>297</v>
      </c>
      <c r="C25" s="300" t="s">
        <v>4</v>
      </c>
      <c r="D25" s="301">
        <f>'Anexo 1'!E24</f>
        <v>50000000</v>
      </c>
      <c r="E25" s="302">
        <f>'Anexo 2'!E24</f>
        <v>20000000</v>
      </c>
      <c r="F25" s="297" t="s">
        <v>5</v>
      </c>
      <c r="G25" s="297">
        <v>0</v>
      </c>
      <c r="H25" s="297">
        <v>0</v>
      </c>
      <c r="I25" s="297">
        <v>0</v>
      </c>
      <c r="J25" s="297">
        <v>0</v>
      </c>
      <c r="K25" s="297">
        <v>0</v>
      </c>
      <c r="L25" s="297">
        <v>0</v>
      </c>
      <c r="M25" s="297">
        <v>15000000</v>
      </c>
      <c r="N25" s="476">
        <v>5000000</v>
      </c>
      <c r="O25" s="478">
        <f>'Anexo 2'!F24</f>
        <v>0</v>
      </c>
      <c r="P25" s="304" t="s">
        <v>5</v>
      </c>
      <c r="Q25" s="297">
        <v>0</v>
      </c>
      <c r="R25" s="297">
        <v>171232.87</v>
      </c>
      <c r="S25" s="297">
        <v>286447.34000000003</v>
      </c>
      <c r="T25" s="297">
        <v>249854.04</v>
      </c>
      <c r="U25" s="297">
        <v>250000</v>
      </c>
      <c r="V25" s="297">
        <v>250020.01</v>
      </c>
      <c r="W25" s="297">
        <v>250145.97</v>
      </c>
      <c r="X25" s="476">
        <v>176300.79999999999</v>
      </c>
      <c r="Y25" s="478">
        <v>74794.52</v>
      </c>
      <c r="Z25" s="312" t="s">
        <v>5</v>
      </c>
      <c r="AA25" s="241">
        <v>0</v>
      </c>
      <c r="AB25" s="241">
        <v>0</v>
      </c>
      <c r="AC25" s="241">
        <v>0</v>
      </c>
      <c r="AD25" s="241">
        <v>0</v>
      </c>
      <c r="AE25" s="241">
        <v>0</v>
      </c>
      <c r="AF25" s="241">
        <v>0</v>
      </c>
      <c r="AG25" s="241">
        <v>0.3</v>
      </c>
      <c r="AH25" s="241">
        <v>0.4</v>
      </c>
      <c r="AI25" s="580">
        <f>'Anexo 2'!I24</f>
        <v>0.4</v>
      </c>
      <c r="AJ25" s="705"/>
      <c r="AK25" s="704"/>
      <c r="AL25" s="704"/>
      <c r="AM25" s="704"/>
      <c r="AN25" s="704"/>
      <c r="AO25" s="704"/>
      <c r="AP25" s="704">
        <f>+'Anexo 2'!J24</f>
        <v>0</v>
      </c>
      <c r="AQ25" s="704"/>
      <c r="AR25" s="676"/>
      <c r="AS25" s="708"/>
      <c r="AT25" s="126"/>
      <c r="AU25" s="126"/>
      <c r="AV25" s="126"/>
      <c r="AW25" s="60"/>
    </row>
    <row r="26" spans="1:49" s="1" customFormat="1" ht="14.4" customHeight="1">
      <c r="A26" s="164" t="s">
        <v>49</v>
      </c>
      <c r="B26" s="213" t="s">
        <v>50</v>
      </c>
      <c r="C26" s="212" t="s">
        <v>54</v>
      </c>
      <c r="D26" s="225">
        <f>'Anexo 1'!E25</f>
        <v>100000000</v>
      </c>
      <c r="E26" s="284">
        <f>'Anexo 2'!E25</f>
        <v>20552698.379999999</v>
      </c>
      <c r="F26" s="190" t="s">
        <v>5</v>
      </c>
      <c r="G26" s="190" t="s">
        <v>5</v>
      </c>
      <c r="H26" s="190" t="s">
        <v>5</v>
      </c>
      <c r="I26" s="190" t="s">
        <v>5</v>
      </c>
      <c r="J26" s="190">
        <v>0</v>
      </c>
      <c r="K26" s="190">
        <v>0</v>
      </c>
      <c r="L26" s="190">
        <v>5145797.18</v>
      </c>
      <c r="M26" s="190">
        <v>0</v>
      </c>
      <c r="N26" s="476">
        <v>15406901.199999999</v>
      </c>
      <c r="O26" s="478">
        <f>'Anexo 2'!F25</f>
        <v>0</v>
      </c>
      <c r="P26" s="304" t="s">
        <v>5</v>
      </c>
      <c r="Q26" s="190" t="s">
        <v>5</v>
      </c>
      <c r="R26" s="190" t="s">
        <v>5</v>
      </c>
      <c r="S26" s="190" t="s">
        <v>5</v>
      </c>
      <c r="T26" s="190">
        <v>874141.03</v>
      </c>
      <c r="U26" s="190">
        <v>499003.72</v>
      </c>
      <c r="V26" s="190">
        <v>498315.07</v>
      </c>
      <c r="W26" s="190">
        <v>473928.73</v>
      </c>
      <c r="X26" s="476">
        <v>469989.67</v>
      </c>
      <c r="Y26" s="478">
        <v>0</v>
      </c>
      <c r="Z26" s="312" t="s">
        <v>5</v>
      </c>
      <c r="AA26" s="241" t="s">
        <v>5</v>
      </c>
      <c r="AB26" s="241" t="s">
        <v>5</v>
      </c>
      <c r="AC26" s="241" t="s">
        <v>5</v>
      </c>
      <c r="AD26" s="241" t="s">
        <v>5</v>
      </c>
      <c r="AE26" s="241">
        <v>0</v>
      </c>
      <c r="AF26" s="241">
        <v>5.1457971799999995E-2</v>
      </c>
      <c r="AG26" s="241">
        <v>5.1457971799999995E-2</v>
      </c>
      <c r="AH26" s="241">
        <v>0.20552698379999998</v>
      </c>
      <c r="AI26" s="580">
        <f>'Anexo 2'!I25</f>
        <v>0.20552698379999998</v>
      </c>
      <c r="AJ26" s="312" t="s">
        <v>5</v>
      </c>
      <c r="AK26" s="480" t="s">
        <v>5</v>
      </c>
      <c r="AL26" s="480" t="s">
        <v>5</v>
      </c>
      <c r="AM26" s="480" t="s">
        <v>5</v>
      </c>
      <c r="AN26" s="480">
        <v>0</v>
      </c>
      <c r="AO26" s="480">
        <v>0</v>
      </c>
      <c r="AP26" s="480">
        <v>7.5999999999999998E-2</v>
      </c>
      <c r="AQ26" s="480">
        <v>0.19453353999999998</v>
      </c>
      <c r="AR26" s="477">
        <v>0.31290000000000001</v>
      </c>
      <c r="AS26" s="631">
        <f>'Anexo 2'!J25</f>
        <v>0.369174</v>
      </c>
      <c r="AT26" s="126"/>
      <c r="AU26" s="126"/>
      <c r="AV26" s="126"/>
      <c r="AW26" s="60"/>
    </row>
    <row r="27" spans="1:49" s="1" customFormat="1">
      <c r="A27" s="164" t="s">
        <v>67</v>
      </c>
      <c r="B27" s="213" t="s">
        <v>68</v>
      </c>
      <c r="C27" s="212" t="s">
        <v>4</v>
      </c>
      <c r="D27" s="225">
        <f>'Anexo 1'!E26</f>
        <v>144036000</v>
      </c>
      <c r="E27" s="284">
        <f>'Anexo 2'!E26</f>
        <v>61989292.43</v>
      </c>
      <c r="F27" s="190" t="s">
        <v>5</v>
      </c>
      <c r="G27" s="190" t="s">
        <v>5</v>
      </c>
      <c r="H27" s="190" t="s">
        <v>5</v>
      </c>
      <c r="I27" s="190" t="s">
        <v>5</v>
      </c>
      <c r="J27" s="190" t="s">
        <v>5</v>
      </c>
      <c r="K27" s="190">
        <v>0</v>
      </c>
      <c r="L27" s="190">
        <v>11450375.07</v>
      </c>
      <c r="M27" s="190">
        <v>32874109.239999998</v>
      </c>
      <c r="N27" s="476">
        <v>10000000</v>
      </c>
      <c r="O27" s="478">
        <f>'Anexo 2'!F26</f>
        <v>7664808.1200000001</v>
      </c>
      <c r="P27" s="304" t="s">
        <v>5</v>
      </c>
      <c r="Q27" s="190" t="s">
        <v>5</v>
      </c>
      <c r="R27" s="190" t="s">
        <v>5</v>
      </c>
      <c r="S27" s="190" t="s">
        <v>5</v>
      </c>
      <c r="T27" s="190" t="s">
        <v>5</v>
      </c>
      <c r="U27" s="190">
        <v>0</v>
      </c>
      <c r="V27" s="190">
        <v>530146.37</v>
      </c>
      <c r="W27" s="190">
        <v>656164.29</v>
      </c>
      <c r="X27" s="476">
        <v>513855.42</v>
      </c>
      <c r="Y27" s="478">
        <v>226122.18</v>
      </c>
      <c r="Z27" s="312" t="s">
        <v>5</v>
      </c>
      <c r="AA27" s="241" t="s">
        <v>5</v>
      </c>
      <c r="AB27" s="241" t="s">
        <v>5</v>
      </c>
      <c r="AC27" s="241" t="s">
        <v>5</v>
      </c>
      <c r="AD27" s="241" t="s">
        <v>5</v>
      </c>
      <c r="AE27" s="241">
        <v>0</v>
      </c>
      <c r="AF27" s="241">
        <v>7.9496619386819969E-2</v>
      </c>
      <c r="AG27" s="241">
        <v>0.30773198582298872</v>
      </c>
      <c r="AH27" s="241">
        <v>0.37715907349551503</v>
      </c>
      <c r="AI27" s="580">
        <f>'Anexo 2'!I26</f>
        <v>0.43037360402954816</v>
      </c>
      <c r="AJ27" s="312" t="s">
        <v>5</v>
      </c>
      <c r="AK27" s="480" t="s">
        <v>5</v>
      </c>
      <c r="AL27" s="480" t="s">
        <v>5</v>
      </c>
      <c r="AM27" s="480" t="s">
        <v>5</v>
      </c>
      <c r="AN27" s="480" t="s">
        <v>5</v>
      </c>
      <c r="AO27" s="480">
        <v>0</v>
      </c>
      <c r="AP27" s="480">
        <v>0.12</v>
      </c>
      <c r="AQ27" s="480">
        <v>0.25</v>
      </c>
      <c r="AR27" s="477">
        <v>0.44</v>
      </c>
      <c r="AS27" s="631">
        <f>'Anexo 2'!J26</f>
        <v>0.52</v>
      </c>
      <c r="AT27" s="126"/>
      <c r="AU27" s="126"/>
      <c r="AV27" s="126"/>
      <c r="AW27" s="60"/>
    </row>
    <row r="28" spans="1:49" s="1" customFormat="1">
      <c r="A28" s="164" t="str">
        <f>+'Anexo 1'!A27</f>
        <v>3589/OC-CR</v>
      </c>
      <c r="B28" s="213" t="s">
        <v>79</v>
      </c>
      <c r="C28" s="212" t="str">
        <f>+'Anexo 1'!C27</f>
        <v>ICE</v>
      </c>
      <c r="D28" s="225">
        <f>+'Anexo 1'!E27</f>
        <v>134500000</v>
      </c>
      <c r="E28" s="284">
        <f>'Anexo 2'!E27</f>
        <v>53563456.840000004</v>
      </c>
      <c r="F28" s="190" t="s">
        <v>5</v>
      </c>
      <c r="G28" s="190" t="s">
        <v>5</v>
      </c>
      <c r="H28" s="190" t="s">
        <v>5</v>
      </c>
      <c r="I28" s="190" t="s">
        <v>5</v>
      </c>
      <c r="J28" s="190" t="s">
        <v>5</v>
      </c>
      <c r="K28" s="190" t="s">
        <v>5</v>
      </c>
      <c r="L28" s="190">
        <v>44485703.280000001</v>
      </c>
      <c r="M28" s="190">
        <v>4077753.56</v>
      </c>
      <c r="N28" s="476">
        <v>5000000</v>
      </c>
      <c r="O28" s="478">
        <f>'Anexo 2'!F27</f>
        <v>0</v>
      </c>
      <c r="P28" s="304" t="s">
        <v>5</v>
      </c>
      <c r="Q28" s="190" t="s">
        <v>5</v>
      </c>
      <c r="R28" s="190" t="s">
        <v>5</v>
      </c>
      <c r="S28" s="190" t="s">
        <v>5</v>
      </c>
      <c r="T28" s="190" t="s">
        <v>5</v>
      </c>
      <c r="U28" s="190" t="s">
        <v>5</v>
      </c>
      <c r="V28" s="190">
        <v>180561.65</v>
      </c>
      <c r="W28" s="190">
        <v>486532.13</v>
      </c>
      <c r="X28" s="476">
        <v>436210.72</v>
      </c>
      <c r="Y28" s="478">
        <v>213593.43</v>
      </c>
      <c r="Z28" s="304" t="s">
        <v>5</v>
      </c>
      <c r="AA28" s="190" t="s">
        <v>5</v>
      </c>
      <c r="AB28" s="190" t="s">
        <v>5</v>
      </c>
      <c r="AC28" s="190" t="s">
        <v>5</v>
      </c>
      <c r="AD28" s="190" t="s">
        <v>5</v>
      </c>
      <c r="AE28" s="190" t="s">
        <v>5</v>
      </c>
      <c r="AF28" s="241">
        <v>0.3307487232713755</v>
      </c>
      <c r="AG28" s="241">
        <v>0.36106659360594801</v>
      </c>
      <c r="AH28" s="241">
        <v>0.39824131479553904</v>
      </c>
      <c r="AI28" s="580">
        <f>'Anexo 2'!I27</f>
        <v>0.39824131479553904</v>
      </c>
      <c r="AJ28" s="304" t="s">
        <v>5</v>
      </c>
      <c r="AK28" s="476" t="s">
        <v>5</v>
      </c>
      <c r="AL28" s="476" t="s">
        <v>5</v>
      </c>
      <c r="AM28" s="476" t="s">
        <v>5</v>
      </c>
      <c r="AN28" s="476" t="s">
        <v>5</v>
      </c>
      <c r="AO28" s="480">
        <v>0</v>
      </c>
      <c r="AP28" s="480">
        <v>0.37309999999999999</v>
      </c>
      <c r="AQ28" s="480">
        <v>0.46954288240495146</v>
      </c>
      <c r="AR28" s="477">
        <v>0.51822292634144429</v>
      </c>
      <c r="AS28" s="631">
        <f>'Anexo 2'!J27</f>
        <v>0.5706</v>
      </c>
      <c r="AT28" s="126"/>
      <c r="AU28" s="126"/>
      <c r="AV28" s="126"/>
      <c r="AW28" s="60"/>
    </row>
    <row r="29" spans="1:49" s="1" customFormat="1">
      <c r="A29" s="164" t="str">
        <f>+'Anexo 1'!A28</f>
        <v>4864/OC-CR</v>
      </c>
      <c r="B29" s="161" t="s">
        <v>102</v>
      </c>
      <c r="C29" s="212" t="str">
        <f>+'Anexo 1'!C28</f>
        <v>MOPT</v>
      </c>
      <c r="D29" s="225">
        <f>+'Anexo 1'!E28</f>
        <v>125000000</v>
      </c>
      <c r="E29" s="284">
        <f>'Anexo 2'!E28</f>
        <v>20000000</v>
      </c>
      <c r="F29" s="190" t="s">
        <v>5</v>
      </c>
      <c r="G29" s="190" t="s">
        <v>5</v>
      </c>
      <c r="H29" s="190" t="s">
        <v>5</v>
      </c>
      <c r="I29" s="190" t="s">
        <v>5</v>
      </c>
      <c r="J29" s="190" t="s">
        <v>5</v>
      </c>
      <c r="K29" s="190" t="s">
        <v>5</v>
      </c>
      <c r="L29" s="190" t="s">
        <v>5</v>
      </c>
      <c r="M29" s="190">
        <v>0</v>
      </c>
      <c r="N29" s="476">
        <v>20000000</v>
      </c>
      <c r="O29" s="478">
        <f>'Anexo 2'!F28</f>
        <v>0</v>
      </c>
      <c r="P29" s="304" t="s">
        <v>5</v>
      </c>
      <c r="Q29" s="190" t="s">
        <v>5</v>
      </c>
      <c r="R29" s="190" t="s">
        <v>5</v>
      </c>
      <c r="S29" s="190" t="s">
        <v>5</v>
      </c>
      <c r="T29" s="190" t="s">
        <v>5</v>
      </c>
      <c r="U29" s="190" t="s">
        <v>5</v>
      </c>
      <c r="V29" s="190" t="s">
        <v>5</v>
      </c>
      <c r="W29" s="190">
        <v>0</v>
      </c>
      <c r="X29" s="476">
        <v>809476.57</v>
      </c>
      <c r="Y29" s="478">
        <v>260342.47</v>
      </c>
      <c r="Z29" s="304" t="s">
        <v>5</v>
      </c>
      <c r="AA29" s="190" t="s">
        <v>5</v>
      </c>
      <c r="AB29" s="190" t="s">
        <v>5</v>
      </c>
      <c r="AC29" s="190" t="s">
        <v>5</v>
      </c>
      <c r="AD29" s="190" t="s">
        <v>5</v>
      </c>
      <c r="AE29" s="190" t="s">
        <v>5</v>
      </c>
      <c r="AF29" s="190" t="s">
        <v>5</v>
      </c>
      <c r="AG29" s="190">
        <v>0</v>
      </c>
      <c r="AH29" s="241">
        <v>0.16</v>
      </c>
      <c r="AI29" s="580">
        <f>'Anexo 2'!I28</f>
        <v>0.16</v>
      </c>
      <c r="AJ29" s="304" t="s">
        <v>5</v>
      </c>
      <c r="AK29" s="476" t="s">
        <v>5</v>
      </c>
      <c r="AL29" s="476" t="s">
        <v>5</v>
      </c>
      <c r="AM29" s="476" t="s">
        <v>5</v>
      </c>
      <c r="AN29" s="476" t="s">
        <v>5</v>
      </c>
      <c r="AO29" s="476" t="s">
        <v>5</v>
      </c>
      <c r="AP29" s="476" t="s">
        <v>5</v>
      </c>
      <c r="AQ29" s="476">
        <v>0</v>
      </c>
      <c r="AR29" s="477">
        <v>0.40300000000000002</v>
      </c>
      <c r="AS29" s="631">
        <f>'Anexo 2'!J28</f>
        <v>0.42899999999999999</v>
      </c>
      <c r="AT29" s="126"/>
      <c r="AU29" s="126"/>
      <c r="AV29" s="126"/>
      <c r="AW29" s="60"/>
    </row>
    <row r="30" spans="1:49" s="1" customFormat="1">
      <c r="A30" s="164" t="str">
        <f>+'Anexo 1'!A29</f>
        <v>4871/OC-CR</v>
      </c>
      <c r="B30" s="161" t="s">
        <v>110</v>
      </c>
      <c r="C30" s="212" t="str">
        <f>+'Anexo 1'!C29</f>
        <v>MJP</v>
      </c>
      <c r="D30" s="225">
        <f>+'Anexo 1'!E29</f>
        <v>100000000</v>
      </c>
      <c r="E30" s="284">
        <f>'Anexo 2'!E29</f>
        <v>850000</v>
      </c>
      <c r="F30" s="190" t="s">
        <v>5</v>
      </c>
      <c r="G30" s="190" t="s">
        <v>5</v>
      </c>
      <c r="H30" s="190" t="s">
        <v>5</v>
      </c>
      <c r="I30" s="190" t="s">
        <v>5</v>
      </c>
      <c r="J30" s="190" t="s">
        <v>5</v>
      </c>
      <c r="K30" s="190" t="s">
        <v>5</v>
      </c>
      <c r="L30" s="190" t="s">
        <v>5</v>
      </c>
      <c r="M30" s="190" t="s">
        <v>5</v>
      </c>
      <c r="N30" s="476">
        <v>850000</v>
      </c>
      <c r="O30" s="478">
        <f>'Anexo 2'!F29</f>
        <v>0</v>
      </c>
      <c r="P30" s="304" t="s">
        <v>5</v>
      </c>
      <c r="Q30" s="190" t="s">
        <v>5</v>
      </c>
      <c r="R30" s="190" t="s">
        <v>5</v>
      </c>
      <c r="S30" s="190" t="s">
        <v>5</v>
      </c>
      <c r="T30" s="190" t="s">
        <v>5</v>
      </c>
      <c r="U30" s="190" t="s">
        <v>5</v>
      </c>
      <c r="V30" s="190" t="s">
        <v>5</v>
      </c>
      <c r="W30" s="190" t="s">
        <v>5</v>
      </c>
      <c r="X30" s="476">
        <v>666262.44999999995</v>
      </c>
      <c r="Y30" s="478">
        <v>0</v>
      </c>
      <c r="Z30" s="304" t="s">
        <v>5</v>
      </c>
      <c r="AA30" s="190" t="s">
        <v>5</v>
      </c>
      <c r="AB30" s="190" t="s">
        <v>5</v>
      </c>
      <c r="AC30" s="190" t="s">
        <v>5</v>
      </c>
      <c r="AD30" s="190" t="s">
        <v>5</v>
      </c>
      <c r="AE30" s="190" t="s">
        <v>5</v>
      </c>
      <c r="AF30" s="190" t="s">
        <v>5</v>
      </c>
      <c r="AG30" s="190" t="s">
        <v>5</v>
      </c>
      <c r="AH30" s="241">
        <v>8.5000000000000006E-3</v>
      </c>
      <c r="AI30" s="580">
        <f>'Anexo 2'!I29</f>
        <v>8.5000000000000006E-3</v>
      </c>
      <c r="AJ30" s="304" t="s">
        <v>5</v>
      </c>
      <c r="AK30" s="476" t="s">
        <v>5</v>
      </c>
      <c r="AL30" s="476" t="s">
        <v>5</v>
      </c>
      <c r="AM30" s="476" t="s">
        <v>5</v>
      </c>
      <c r="AN30" s="476" t="s">
        <v>5</v>
      </c>
      <c r="AO30" s="476" t="s">
        <v>5</v>
      </c>
      <c r="AP30" s="476" t="s">
        <v>5</v>
      </c>
      <c r="AQ30" s="476" t="s">
        <v>5</v>
      </c>
      <c r="AR30" s="477">
        <v>2.9818721799999997E-3</v>
      </c>
      <c r="AS30" s="631">
        <f>'Anexo 2'!J29</f>
        <v>3.1737020438000002E-2</v>
      </c>
      <c r="AT30" s="126"/>
      <c r="AU30" s="126"/>
      <c r="AV30" s="126"/>
      <c r="AW30" s="60"/>
    </row>
    <row r="31" spans="1:49" s="17" customFormat="1">
      <c r="A31" s="221"/>
      <c r="B31" s="222"/>
      <c r="C31" s="210"/>
      <c r="D31" s="154">
        <f t="shared" ref="D31:Y31" si="2">SUM(D23:D30)</f>
        <v>1126536000</v>
      </c>
      <c r="E31" s="198">
        <f t="shared" si="2"/>
        <v>476113491.42999995</v>
      </c>
      <c r="F31" s="154">
        <f t="shared" si="2"/>
        <v>0</v>
      </c>
      <c r="G31" s="154">
        <f t="shared" si="2"/>
        <v>0</v>
      </c>
      <c r="H31" s="154">
        <f t="shared" si="2"/>
        <v>5075849.51</v>
      </c>
      <c r="I31" s="154">
        <f t="shared" si="2"/>
        <v>5000000</v>
      </c>
      <c r="J31" s="154">
        <f t="shared" si="2"/>
        <v>49104373.530000001</v>
      </c>
      <c r="K31" s="154">
        <f t="shared" si="2"/>
        <v>120000000</v>
      </c>
      <c r="L31" s="154">
        <f t="shared" si="2"/>
        <v>71384548.480000004</v>
      </c>
      <c r="M31" s="154">
        <f t="shared" si="2"/>
        <v>65587010.590000004</v>
      </c>
      <c r="N31" s="154">
        <f t="shared" si="2"/>
        <v>98256901.200000003</v>
      </c>
      <c r="O31" s="198">
        <f t="shared" si="2"/>
        <v>61704808.119999997</v>
      </c>
      <c r="P31" s="154">
        <f t="shared" si="2"/>
        <v>0</v>
      </c>
      <c r="Q31" s="154">
        <f t="shared" si="2"/>
        <v>333949.45</v>
      </c>
      <c r="R31" s="154">
        <f t="shared" si="2"/>
        <v>1723595.88</v>
      </c>
      <c r="S31" s="154">
        <f t="shared" si="2"/>
        <v>2952497.4199999995</v>
      </c>
      <c r="T31" s="154">
        <f t="shared" si="2"/>
        <v>3427798.42</v>
      </c>
      <c r="U31" s="154">
        <f t="shared" si="2"/>
        <v>2855876.5300000003</v>
      </c>
      <c r="V31" s="154">
        <f t="shared" si="2"/>
        <v>3008689.93</v>
      </c>
      <c r="W31" s="154">
        <f t="shared" si="2"/>
        <v>3268388.16</v>
      </c>
      <c r="X31" s="154">
        <f t="shared" si="2"/>
        <v>4316234.1199999992</v>
      </c>
      <c r="Y31" s="154">
        <f t="shared" si="2"/>
        <v>1291929.7899999998</v>
      </c>
      <c r="Z31" s="304"/>
      <c r="AA31" s="323"/>
      <c r="AB31" s="323"/>
      <c r="AC31" s="323"/>
      <c r="AD31" s="323"/>
      <c r="AE31" s="323"/>
      <c r="AF31" s="323"/>
      <c r="AG31" s="242"/>
      <c r="AH31" s="316"/>
      <c r="AI31" s="132"/>
      <c r="AJ31" s="313"/>
      <c r="AK31" s="242"/>
      <c r="AL31" s="480"/>
      <c r="AM31" s="480"/>
      <c r="AN31" s="480"/>
      <c r="AO31" s="480"/>
      <c r="AP31" s="480"/>
      <c r="AQ31" s="480"/>
      <c r="AR31" s="45"/>
      <c r="AS31" s="244"/>
      <c r="AT31" s="126"/>
      <c r="AU31" s="126"/>
      <c r="AV31" s="126"/>
      <c r="AW31" s="60"/>
    </row>
    <row r="32" spans="1:49" s="1" customFormat="1">
      <c r="A32" s="223"/>
      <c r="B32" s="51"/>
      <c r="C32" s="213"/>
      <c r="D32" s="190"/>
      <c r="E32" s="209"/>
      <c r="F32" s="190"/>
      <c r="G32" s="190"/>
      <c r="H32" s="190"/>
      <c r="I32" s="190"/>
      <c r="J32" s="190"/>
      <c r="K32" s="190"/>
      <c r="L32" s="190"/>
      <c r="M32" s="13"/>
      <c r="N32" s="476"/>
      <c r="O32" s="478"/>
      <c r="P32" s="304"/>
      <c r="Q32" s="190"/>
      <c r="R32" s="190"/>
      <c r="S32" s="190"/>
      <c r="T32" s="190"/>
      <c r="U32" s="190"/>
      <c r="V32" s="190"/>
      <c r="W32" s="190"/>
      <c r="X32" s="13"/>
      <c r="Y32" s="15"/>
      <c r="Z32" s="312"/>
      <c r="AA32" s="245"/>
      <c r="AB32" s="245"/>
      <c r="AC32" s="245"/>
      <c r="AD32" s="245"/>
      <c r="AE32" s="245"/>
      <c r="AF32" s="245"/>
      <c r="AG32" s="245"/>
      <c r="AH32" s="13"/>
      <c r="AI32" s="15"/>
      <c r="AJ32" s="312"/>
      <c r="AK32" s="480"/>
      <c r="AL32" s="480"/>
      <c r="AM32" s="480"/>
      <c r="AN32" s="480"/>
      <c r="AO32" s="480"/>
      <c r="AP32" s="480"/>
      <c r="AQ32" s="480"/>
      <c r="AR32" s="477"/>
      <c r="AS32" s="631"/>
      <c r="AT32" s="126"/>
      <c r="AU32" s="126"/>
      <c r="AV32" s="126"/>
      <c r="AW32" s="60"/>
    </row>
    <row r="33" spans="1:49" s="1" customFormat="1">
      <c r="A33" s="218" t="s">
        <v>3</v>
      </c>
      <c r="B33" s="219"/>
      <c r="C33" s="213"/>
      <c r="D33" s="190"/>
      <c r="E33" s="209"/>
      <c r="F33" s="225"/>
      <c r="G33" s="225"/>
      <c r="H33" s="225"/>
      <c r="I33" s="225"/>
      <c r="J33" s="225"/>
      <c r="K33" s="225"/>
      <c r="L33" s="225"/>
      <c r="M33" s="13"/>
      <c r="N33" s="479"/>
      <c r="O33" s="481"/>
      <c r="P33" s="306"/>
      <c r="Q33" s="225"/>
      <c r="R33" s="225"/>
      <c r="S33" s="225"/>
      <c r="T33" s="225"/>
      <c r="U33" s="225"/>
      <c r="V33" s="225"/>
      <c r="W33" s="225"/>
      <c r="X33" s="13"/>
      <c r="Y33" s="15"/>
      <c r="Z33" s="311"/>
      <c r="AA33" s="241"/>
      <c r="AB33" s="241"/>
      <c r="AC33" s="241"/>
      <c r="AD33" s="241"/>
      <c r="AE33" s="241"/>
      <c r="AF33" s="241"/>
      <c r="AG33" s="241"/>
      <c r="AH33" s="13"/>
      <c r="AI33" s="15"/>
      <c r="AJ33" s="312"/>
      <c r="AK33" s="480"/>
      <c r="AL33" s="480"/>
      <c r="AM33" s="480"/>
      <c r="AN33" s="480"/>
      <c r="AO33" s="480"/>
      <c r="AP33" s="480"/>
      <c r="AQ33" s="480"/>
      <c r="AR33" s="477"/>
      <c r="AS33" s="631"/>
      <c r="AT33" s="126"/>
      <c r="AU33" s="126"/>
      <c r="AV33" s="126"/>
      <c r="AW33" s="60"/>
    </row>
    <row r="34" spans="1:49" s="1" customFormat="1" ht="38.4" customHeight="1">
      <c r="A34" s="168" t="s">
        <v>46</v>
      </c>
      <c r="B34" s="161" t="s">
        <v>299</v>
      </c>
      <c r="C34" s="213" t="s">
        <v>0</v>
      </c>
      <c r="D34" s="225">
        <f>'Anexo 1'!E33</f>
        <v>420000000</v>
      </c>
      <c r="E34" s="284">
        <f>'Anexo 2'!E33</f>
        <v>390000000</v>
      </c>
      <c r="F34" s="190" t="s">
        <v>5</v>
      </c>
      <c r="G34" s="190" t="s">
        <v>5</v>
      </c>
      <c r="H34" s="190" t="s">
        <v>5</v>
      </c>
      <c r="I34" s="190">
        <v>105000000</v>
      </c>
      <c r="J34" s="190">
        <v>0</v>
      </c>
      <c r="K34" s="190">
        <v>120000000</v>
      </c>
      <c r="L34" s="190">
        <v>60000000</v>
      </c>
      <c r="M34" s="190">
        <v>105000000</v>
      </c>
      <c r="N34" s="476">
        <v>0</v>
      </c>
      <c r="O34" s="478">
        <f>'Anexo 2'!F33</f>
        <v>0</v>
      </c>
      <c r="P34" s="304" t="s">
        <v>5</v>
      </c>
      <c r="Q34" s="190" t="s">
        <v>5</v>
      </c>
      <c r="R34" s="190" t="s">
        <v>5</v>
      </c>
      <c r="S34" s="190">
        <v>0</v>
      </c>
      <c r="T34" s="190">
        <v>1039856.83</v>
      </c>
      <c r="U34" s="190">
        <v>787500</v>
      </c>
      <c r="V34" s="190">
        <v>596526.84</v>
      </c>
      <c r="W34" s="190">
        <v>299104.84999999998</v>
      </c>
      <c r="X34" s="476">
        <v>74921.94</v>
      </c>
      <c r="Y34" s="478">
        <v>37808.199999999997</v>
      </c>
      <c r="Z34" s="311">
        <v>0</v>
      </c>
      <c r="AA34" s="241">
        <v>0</v>
      </c>
      <c r="AB34" s="241">
        <v>0</v>
      </c>
      <c r="AC34" s="241">
        <v>0.25</v>
      </c>
      <c r="AD34" s="241">
        <v>0.25</v>
      </c>
      <c r="AE34" s="241">
        <v>0.5357142857142857</v>
      </c>
      <c r="AF34" s="241">
        <v>0.6785714285714286</v>
      </c>
      <c r="AG34" s="241">
        <v>0.9285714285714286</v>
      </c>
      <c r="AH34" s="241">
        <v>0.9285714285714286</v>
      </c>
      <c r="AI34" s="580">
        <f>'Anexo 2'!I33</f>
        <v>0.9285714285714286</v>
      </c>
      <c r="AJ34" s="312">
        <v>0</v>
      </c>
      <c r="AK34" s="480">
        <v>0</v>
      </c>
      <c r="AL34" s="480">
        <v>0</v>
      </c>
      <c r="AM34" s="480" t="s">
        <v>48</v>
      </c>
      <c r="AN34" s="480">
        <v>0.35539999999999999</v>
      </c>
      <c r="AO34" s="480">
        <v>0.6744</v>
      </c>
      <c r="AP34" s="480">
        <v>0.79400000000000004</v>
      </c>
      <c r="AQ34" s="480">
        <v>0.86355100000000007</v>
      </c>
      <c r="AR34" s="477">
        <v>0.92279999999999995</v>
      </c>
      <c r="AS34" s="631">
        <f>'Anexo 2'!J33</f>
        <v>0.93500000000000005</v>
      </c>
      <c r="AT34" s="126"/>
      <c r="AU34" s="126"/>
      <c r="AV34" s="126"/>
      <c r="AW34" s="60"/>
    </row>
    <row r="35" spans="1:49" s="1" customFormat="1" ht="45.6" customHeight="1">
      <c r="A35" s="168" t="s">
        <v>96</v>
      </c>
      <c r="B35" s="161" t="s">
        <v>215</v>
      </c>
      <c r="C35" s="213" t="s">
        <v>95</v>
      </c>
      <c r="D35" s="225">
        <v>156640000</v>
      </c>
      <c r="E35" s="284">
        <f>'Anexo 2'!E34</f>
        <v>5352750</v>
      </c>
      <c r="F35" s="190" t="s">
        <v>5</v>
      </c>
      <c r="G35" s="190" t="s">
        <v>5</v>
      </c>
      <c r="H35" s="190" t="s">
        <v>5</v>
      </c>
      <c r="I35" s="190" t="s">
        <v>5</v>
      </c>
      <c r="J35" s="190" t="s">
        <v>5</v>
      </c>
      <c r="K35" s="190" t="s">
        <v>5</v>
      </c>
      <c r="L35" s="190" t="s">
        <v>5</v>
      </c>
      <c r="M35" s="190">
        <v>0</v>
      </c>
      <c r="N35" s="476">
        <v>3238550</v>
      </c>
      <c r="O35" s="478">
        <f>'Anexo 2'!F34</f>
        <v>2114200</v>
      </c>
      <c r="P35" s="304" t="s">
        <v>5</v>
      </c>
      <c r="Q35" s="190" t="s">
        <v>5</v>
      </c>
      <c r="R35" s="190" t="s">
        <v>5</v>
      </c>
      <c r="S35" s="190" t="s">
        <v>5</v>
      </c>
      <c r="T35" s="190" t="s">
        <v>5</v>
      </c>
      <c r="U35" s="190" t="s">
        <v>5</v>
      </c>
      <c r="V35" s="190" t="s">
        <v>5</v>
      </c>
      <c r="W35" s="190">
        <v>0</v>
      </c>
      <c r="X35" s="476">
        <v>953381.87</v>
      </c>
      <c r="Y35" s="478">
        <v>0</v>
      </c>
      <c r="Z35" s="311" t="s">
        <v>5</v>
      </c>
      <c r="AA35" s="241" t="s">
        <v>5</v>
      </c>
      <c r="AB35" s="241" t="s">
        <v>5</v>
      </c>
      <c r="AC35" s="241" t="s">
        <v>5</v>
      </c>
      <c r="AD35" s="241" t="s">
        <v>5</v>
      </c>
      <c r="AE35" s="241" t="s">
        <v>5</v>
      </c>
      <c r="AF35" s="241" t="s">
        <v>5</v>
      </c>
      <c r="AG35" s="241">
        <v>0</v>
      </c>
      <c r="AH35" s="241">
        <v>2.0675114913176709E-2</v>
      </c>
      <c r="AI35" s="580">
        <f>'Anexo 2'!I34</f>
        <v>3.4172305924412665E-2</v>
      </c>
      <c r="AJ35" s="312" t="s">
        <v>5</v>
      </c>
      <c r="AK35" s="480" t="s">
        <v>5</v>
      </c>
      <c r="AL35" s="480" t="s">
        <v>5</v>
      </c>
      <c r="AM35" s="480" t="s">
        <v>5</v>
      </c>
      <c r="AN35" s="480" t="s">
        <v>5</v>
      </c>
      <c r="AO35" s="480" t="s">
        <v>5</v>
      </c>
      <c r="AP35" s="480" t="s">
        <v>5</v>
      </c>
      <c r="AQ35" s="480">
        <v>0</v>
      </c>
      <c r="AR35" s="477">
        <v>6.3E-3</v>
      </c>
      <c r="AS35" s="631">
        <f>'Anexo 2'!J34</f>
        <v>4.6699999999999998E-2</v>
      </c>
      <c r="AT35" s="126"/>
      <c r="AU35" s="126"/>
      <c r="AV35" s="126"/>
      <c r="AW35" s="60"/>
    </row>
    <row r="36" spans="1:49" s="1" customFormat="1">
      <c r="A36" s="164" t="s">
        <v>185</v>
      </c>
      <c r="B36" s="173" t="s">
        <v>187</v>
      </c>
      <c r="C36" s="383" t="s">
        <v>186</v>
      </c>
      <c r="D36" s="384">
        <v>75100500</v>
      </c>
      <c r="E36" s="385">
        <f>'Anexo 2'!E35</f>
        <v>187751.25</v>
      </c>
      <c r="F36" s="380" t="s">
        <v>5</v>
      </c>
      <c r="G36" s="380" t="s">
        <v>5</v>
      </c>
      <c r="H36" s="380" t="s">
        <v>5</v>
      </c>
      <c r="I36" s="380" t="s">
        <v>5</v>
      </c>
      <c r="J36" s="380" t="s">
        <v>5</v>
      </c>
      <c r="K36" s="380" t="s">
        <v>5</v>
      </c>
      <c r="L36" s="380" t="s">
        <v>5</v>
      </c>
      <c r="M36" s="380" t="s">
        <v>5</v>
      </c>
      <c r="N36" s="476">
        <v>187751.25</v>
      </c>
      <c r="O36" s="478">
        <f>'Anexo 2'!F35</f>
        <v>0</v>
      </c>
      <c r="P36" s="304" t="s">
        <v>5</v>
      </c>
      <c r="Q36" s="380" t="s">
        <v>5</v>
      </c>
      <c r="R36" s="380" t="s">
        <v>5</v>
      </c>
      <c r="S36" s="380" t="s">
        <v>5</v>
      </c>
      <c r="T36" s="380" t="s">
        <v>5</v>
      </c>
      <c r="U36" s="380" t="s">
        <v>5</v>
      </c>
      <c r="V36" s="380" t="s">
        <v>5</v>
      </c>
      <c r="W36" s="380" t="s">
        <v>5</v>
      </c>
      <c r="X36" s="476">
        <v>0</v>
      </c>
      <c r="Y36" s="478">
        <v>243021.19</v>
      </c>
      <c r="Z36" s="311" t="s">
        <v>5</v>
      </c>
      <c r="AA36" s="241" t="s">
        <v>5</v>
      </c>
      <c r="AB36" s="241" t="s">
        <v>5</v>
      </c>
      <c r="AC36" s="241" t="s">
        <v>5</v>
      </c>
      <c r="AD36" s="241" t="s">
        <v>5</v>
      </c>
      <c r="AE36" s="241" t="s">
        <v>5</v>
      </c>
      <c r="AF36" s="241" t="s">
        <v>5</v>
      </c>
      <c r="AG36" s="241" t="s">
        <v>5</v>
      </c>
      <c r="AH36" s="241">
        <v>2.5000000000000001E-3</v>
      </c>
      <c r="AI36" s="580">
        <f>'Anexo 2'!I35</f>
        <v>2.5000000000000001E-3</v>
      </c>
      <c r="AJ36" s="312" t="s">
        <v>5</v>
      </c>
      <c r="AK36" s="480" t="s">
        <v>5</v>
      </c>
      <c r="AL36" s="480" t="s">
        <v>5</v>
      </c>
      <c r="AM36" s="480" t="s">
        <v>5</v>
      </c>
      <c r="AN36" s="480" t="s">
        <v>5</v>
      </c>
      <c r="AO36" s="480" t="s">
        <v>5</v>
      </c>
      <c r="AP36" s="480" t="s">
        <v>5</v>
      </c>
      <c r="AQ36" s="480" t="s">
        <v>5</v>
      </c>
      <c r="AR36" s="477">
        <v>0</v>
      </c>
      <c r="AS36" s="631">
        <f>'Anexo 2'!J35</f>
        <v>8.2000000000000007E-3</v>
      </c>
      <c r="AT36" s="126"/>
      <c r="AU36" s="126"/>
      <c r="AV36" s="126"/>
      <c r="AW36" s="60"/>
    </row>
    <row r="37" spans="1:49" s="17" customFormat="1">
      <c r="A37" s="57"/>
      <c r="B37" s="22"/>
      <c r="C37" s="210"/>
      <c r="D37" s="154">
        <f>SUM(D34:D36)</f>
        <v>651740500</v>
      </c>
      <c r="E37" s="198">
        <f>SUM(E34:E36)</f>
        <v>395540501.25</v>
      </c>
      <c r="F37" s="154">
        <f>SUM(F34:F36)</f>
        <v>0</v>
      </c>
      <c r="G37" s="154">
        <f t="shared" ref="G37:N37" si="3">SUM(G34:G36)</f>
        <v>0</v>
      </c>
      <c r="H37" s="154">
        <f t="shared" si="3"/>
        <v>0</v>
      </c>
      <c r="I37" s="154">
        <f t="shared" si="3"/>
        <v>105000000</v>
      </c>
      <c r="J37" s="154">
        <f t="shared" si="3"/>
        <v>0</v>
      </c>
      <c r="K37" s="154">
        <f t="shared" si="3"/>
        <v>120000000</v>
      </c>
      <c r="L37" s="154">
        <f t="shared" si="3"/>
        <v>60000000</v>
      </c>
      <c r="M37" s="154">
        <f t="shared" si="3"/>
        <v>105000000</v>
      </c>
      <c r="N37" s="154">
        <f t="shared" si="3"/>
        <v>3426301.25</v>
      </c>
      <c r="O37" s="154">
        <f t="shared" ref="O37" si="4">SUM(O34:O36)</f>
        <v>2114200</v>
      </c>
      <c r="P37" s="305">
        <f>SUM(P34:P36)</f>
        <v>0</v>
      </c>
      <c r="Q37" s="154">
        <f>SUM(Q34:Q36)</f>
        <v>0</v>
      </c>
      <c r="R37" s="154">
        <f t="shared" ref="R37:X37" si="5">SUM(R34:R36)</f>
        <v>0</v>
      </c>
      <c r="S37" s="154">
        <f t="shared" si="5"/>
        <v>0</v>
      </c>
      <c r="T37" s="154">
        <f t="shared" si="5"/>
        <v>1039856.83</v>
      </c>
      <c r="U37" s="154">
        <f t="shared" si="5"/>
        <v>787500</v>
      </c>
      <c r="V37" s="154">
        <f t="shared" si="5"/>
        <v>596526.84</v>
      </c>
      <c r="W37" s="154">
        <f t="shared" si="5"/>
        <v>299104.84999999998</v>
      </c>
      <c r="X37" s="154">
        <f t="shared" si="5"/>
        <v>1028303.81</v>
      </c>
      <c r="Y37" s="154">
        <f>SUM(Y34:Y36)</f>
        <v>280829.39</v>
      </c>
      <c r="Z37" s="314"/>
      <c r="AA37" s="247"/>
      <c r="AB37" s="247"/>
      <c r="AC37" s="247"/>
      <c r="AD37" s="247"/>
      <c r="AE37" s="247"/>
      <c r="AF37" s="247"/>
      <c r="AG37" s="247"/>
      <c r="AH37" s="316"/>
      <c r="AI37" s="132"/>
      <c r="AJ37" s="313"/>
      <c r="AK37" s="242"/>
      <c r="AL37" s="480"/>
      <c r="AM37" s="480"/>
      <c r="AN37" s="480"/>
      <c r="AO37" s="480"/>
      <c r="AP37" s="480"/>
      <c r="AQ37" s="480"/>
      <c r="AR37" s="45"/>
      <c r="AS37" s="244"/>
      <c r="AT37" s="126"/>
      <c r="AU37" s="126"/>
      <c r="AV37" s="126"/>
      <c r="AW37" s="60"/>
    </row>
    <row r="38" spans="1:49" s="17" customFormat="1">
      <c r="A38" s="57"/>
      <c r="B38" s="22"/>
      <c r="C38" s="210"/>
      <c r="D38" s="154"/>
      <c r="E38" s="198"/>
      <c r="F38" s="154"/>
      <c r="G38" s="154"/>
      <c r="H38" s="154"/>
      <c r="I38" s="154"/>
      <c r="J38" s="154"/>
      <c r="K38" s="154"/>
      <c r="L38" s="154"/>
      <c r="M38" s="316"/>
      <c r="N38" s="154"/>
      <c r="O38" s="198"/>
      <c r="P38" s="305"/>
      <c r="Q38" s="154"/>
      <c r="R38" s="154"/>
      <c r="S38" s="154"/>
      <c r="T38" s="154"/>
      <c r="U38" s="154"/>
      <c r="V38" s="154"/>
      <c r="W38" s="154"/>
      <c r="X38" s="316"/>
      <c r="Y38" s="132"/>
      <c r="Z38" s="314"/>
      <c r="AA38" s="247"/>
      <c r="AB38" s="247"/>
      <c r="AC38" s="247"/>
      <c r="AD38" s="247"/>
      <c r="AE38" s="247"/>
      <c r="AF38" s="247"/>
      <c r="AG38" s="247"/>
      <c r="AH38" s="316"/>
      <c r="AI38" s="132"/>
      <c r="AJ38" s="313"/>
      <c r="AK38" s="242"/>
      <c r="AL38" s="480"/>
      <c r="AM38" s="480"/>
      <c r="AN38" s="480"/>
      <c r="AO38" s="480"/>
      <c r="AP38" s="480"/>
      <c r="AQ38" s="480"/>
      <c r="AR38" s="45"/>
      <c r="AS38" s="244"/>
      <c r="AT38" s="126"/>
      <c r="AU38" s="126"/>
      <c r="AV38" s="126"/>
      <c r="AW38" s="60"/>
    </row>
    <row r="39" spans="1:49" s="17" customFormat="1">
      <c r="A39" s="57" t="s">
        <v>34</v>
      </c>
      <c r="B39" s="196"/>
      <c r="C39" s="213"/>
      <c r="D39" s="154"/>
      <c r="E39" s="198"/>
      <c r="F39" s="154"/>
      <c r="G39" s="154"/>
      <c r="H39" s="154"/>
      <c r="I39" s="154"/>
      <c r="J39" s="154"/>
      <c r="K39" s="154"/>
      <c r="L39" s="154"/>
      <c r="M39" s="316"/>
      <c r="N39" s="154"/>
      <c r="O39" s="198"/>
      <c r="P39" s="305"/>
      <c r="Q39" s="154"/>
      <c r="R39" s="154"/>
      <c r="S39" s="154"/>
      <c r="T39" s="154"/>
      <c r="U39" s="154"/>
      <c r="V39" s="154"/>
      <c r="W39" s="154"/>
      <c r="X39" s="316"/>
      <c r="Y39" s="132"/>
      <c r="Z39" s="314"/>
      <c r="AA39" s="247"/>
      <c r="AB39" s="247"/>
      <c r="AC39" s="247"/>
      <c r="AD39" s="247"/>
      <c r="AE39" s="247"/>
      <c r="AF39" s="247"/>
      <c r="AG39" s="247"/>
      <c r="AH39" s="316"/>
      <c r="AI39" s="132"/>
      <c r="AJ39" s="313"/>
      <c r="AK39" s="242"/>
      <c r="AL39" s="480"/>
      <c r="AM39" s="480"/>
      <c r="AN39" s="480"/>
      <c r="AO39" s="480"/>
      <c r="AP39" s="480"/>
      <c r="AQ39" s="480"/>
      <c r="AR39" s="45"/>
      <c r="AS39" s="244"/>
      <c r="AT39" s="126"/>
      <c r="AU39" s="126"/>
      <c r="AV39" s="126"/>
      <c r="AW39" s="60"/>
    </row>
    <row r="40" spans="1:49" s="17" customFormat="1" ht="25.8" customHeight="1">
      <c r="A40" s="221" t="s">
        <v>37</v>
      </c>
      <c r="B40" s="157" t="s">
        <v>300</v>
      </c>
      <c r="C40" s="213" t="s">
        <v>35</v>
      </c>
      <c r="D40" s="341">
        <f>'Anexo 1'!E39</f>
        <v>90542773.120000005</v>
      </c>
      <c r="E40" s="342">
        <f>'Anexo 2'!E39</f>
        <v>90542773.120000005</v>
      </c>
      <c r="F40" s="190" t="s">
        <v>5</v>
      </c>
      <c r="G40" s="190" t="s">
        <v>5</v>
      </c>
      <c r="H40" s="190">
        <v>0</v>
      </c>
      <c r="I40" s="475">
        <v>79150875.799660102</v>
      </c>
      <c r="J40" s="475">
        <v>1899621.02</v>
      </c>
      <c r="K40" s="475">
        <v>6648673.5599999996</v>
      </c>
      <c r="L40" s="475">
        <v>2843602.7401996008</v>
      </c>
      <c r="M40" s="190">
        <v>0</v>
      </c>
      <c r="N40" s="476">
        <v>0</v>
      </c>
      <c r="O40" s="478">
        <f>'Anexo 2'!F39</f>
        <v>0</v>
      </c>
      <c r="P40" s="304" t="s">
        <v>5</v>
      </c>
      <c r="Q40" s="190" t="s">
        <v>5</v>
      </c>
      <c r="R40" s="190">
        <v>0</v>
      </c>
      <c r="S40" s="190">
        <v>0</v>
      </c>
      <c r="T40" s="190">
        <v>20174.240000000002</v>
      </c>
      <c r="U40" s="190">
        <v>21929.33</v>
      </c>
      <c r="V40" s="190">
        <v>3911.8</v>
      </c>
      <c r="W40" s="190">
        <v>0</v>
      </c>
      <c r="X40" s="476">
        <v>0</v>
      </c>
      <c r="Y40" s="478">
        <v>0</v>
      </c>
      <c r="Z40" s="312" t="s">
        <v>5</v>
      </c>
      <c r="AA40" s="245" t="s">
        <v>5</v>
      </c>
      <c r="AB40" s="241">
        <v>0</v>
      </c>
      <c r="AC40" s="241">
        <v>0.87788189914012749</v>
      </c>
      <c r="AD40" s="241">
        <v>0.89845126476114645</v>
      </c>
      <c r="AE40" s="241">
        <v>0.96937791681528662</v>
      </c>
      <c r="AF40" s="241">
        <v>1</v>
      </c>
      <c r="AG40" s="241">
        <v>1</v>
      </c>
      <c r="AH40" s="241">
        <v>1</v>
      </c>
      <c r="AI40" s="580">
        <f>'Anexo 2'!I39</f>
        <v>1</v>
      </c>
      <c r="AJ40" s="705" t="s">
        <v>5</v>
      </c>
      <c r="AK40" s="704" t="s">
        <v>5</v>
      </c>
      <c r="AL40" s="704">
        <v>0</v>
      </c>
      <c r="AM40" s="704">
        <v>7.1000000000000004E-3</v>
      </c>
      <c r="AN40" s="704">
        <v>2.5499999999999998E-2</v>
      </c>
      <c r="AO40" s="704">
        <v>6.0999999999999999E-2</v>
      </c>
      <c r="AP40" s="704">
        <v>0.20519999999999999</v>
      </c>
      <c r="AQ40" s="704">
        <v>0.3392</v>
      </c>
      <c r="AR40" s="706">
        <v>0.45479999999999998</v>
      </c>
      <c r="AS40" s="707">
        <f>'Anexo 2'!J39</f>
        <v>0.70369999999999999</v>
      </c>
      <c r="AT40" s="126"/>
      <c r="AU40" s="126"/>
      <c r="AV40" s="126"/>
      <c r="AW40" s="60"/>
    </row>
    <row r="41" spans="1:49" s="17" customFormat="1" ht="21.6" customHeight="1">
      <c r="A41" s="221" t="s">
        <v>36</v>
      </c>
      <c r="B41" s="157" t="s">
        <v>125</v>
      </c>
      <c r="C41" s="213" t="s">
        <v>35</v>
      </c>
      <c r="D41" s="225">
        <f>'Anexo 1'!E40</f>
        <v>296000000</v>
      </c>
      <c r="E41" s="284">
        <f>'Anexo 2'!E40</f>
        <v>169281847.06999999</v>
      </c>
      <c r="F41" s="190" t="s">
        <v>5</v>
      </c>
      <c r="G41" s="190" t="s">
        <v>5</v>
      </c>
      <c r="H41" s="190">
        <v>0</v>
      </c>
      <c r="I41" s="190">
        <v>0</v>
      </c>
      <c r="J41" s="190">
        <v>0</v>
      </c>
      <c r="K41" s="190">
        <v>0</v>
      </c>
      <c r="L41" s="190">
        <v>37374665.859999999</v>
      </c>
      <c r="M41" s="190">
        <v>39012508.710000001</v>
      </c>
      <c r="N41" s="476">
        <v>62032244.909999996</v>
      </c>
      <c r="O41" s="478">
        <f>'Anexo 2'!F40</f>
        <v>30862427.59</v>
      </c>
      <c r="P41" s="304" t="s">
        <v>5</v>
      </c>
      <c r="Q41" s="190" t="s">
        <v>5</v>
      </c>
      <c r="R41" s="190">
        <v>0</v>
      </c>
      <c r="S41" s="190">
        <v>0</v>
      </c>
      <c r="T41" s="190">
        <v>0</v>
      </c>
      <c r="U41" s="190">
        <v>0</v>
      </c>
      <c r="V41" s="190">
        <v>275444.44</v>
      </c>
      <c r="W41" s="190">
        <v>654723.52</v>
      </c>
      <c r="X41" s="476">
        <v>525697.44999999995</v>
      </c>
      <c r="Y41" s="478">
        <v>201780.29</v>
      </c>
      <c r="Z41" s="312" t="s">
        <v>5</v>
      </c>
      <c r="AA41" s="245" t="s">
        <v>5</v>
      </c>
      <c r="AB41" s="241">
        <v>0</v>
      </c>
      <c r="AC41" s="241">
        <v>0</v>
      </c>
      <c r="AD41" s="241">
        <v>0</v>
      </c>
      <c r="AE41" s="241">
        <v>0</v>
      </c>
      <c r="AF41" s="241">
        <v>0.12626576304054055</v>
      </c>
      <c r="AG41" s="241">
        <v>0.25806477895270274</v>
      </c>
      <c r="AH41" s="241">
        <v>0.46760000000000002</v>
      </c>
      <c r="AI41" s="580">
        <f>'Anexo 2'!I40</f>
        <v>0.57189813199324324</v>
      </c>
      <c r="AJ41" s="705"/>
      <c r="AK41" s="704"/>
      <c r="AL41" s="704"/>
      <c r="AM41" s="704"/>
      <c r="AN41" s="704">
        <v>0</v>
      </c>
      <c r="AO41" s="704"/>
      <c r="AP41" s="704"/>
      <c r="AQ41" s="704"/>
      <c r="AR41" s="706"/>
      <c r="AS41" s="707"/>
      <c r="AT41" s="126"/>
      <c r="AU41" s="126"/>
      <c r="AV41" s="126"/>
      <c r="AW41" s="60"/>
    </row>
    <row r="42" spans="1:49" s="17" customFormat="1">
      <c r="A42" s="221"/>
      <c r="B42" s="18"/>
      <c r="C42" s="325"/>
      <c r="D42" s="154">
        <f>SUM(D40:D41)</f>
        <v>386542773.12</v>
      </c>
      <c r="E42" s="198">
        <f>SUM(E40:E41)</f>
        <v>259824620.19</v>
      </c>
      <c r="F42" s="154">
        <f t="shared" ref="F42:O42" si="6">SUM(F40:F41)</f>
        <v>0</v>
      </c>
      <c r="G42" s="154">
        <f t="shared" si="6"/>
        <v>0</v>
      </c>
      <c r="H42" s="154">
        <f t="shared" si="6"/>
        <v>0</v>
      </c>
      <c r="I42" s="154">
        <f t="shared" si="6"/>
        <v>79150875.799660102</v>
      </c>
      <c r="J42" s="154">
        <f t="shared" si="6"/>
        <v>1899621.02</v>
      </c>
      <c r="K42" s="154">
        <f t="shared" si="6"/>
        <v>6648673.5599999996</v>
      </c>
      <c r="L42" s="154">
        <f t="shared" si="6"/>
        <v>40218268.600199603</v>
      </c>
      <c r="M42" s="154">
        <f t="shared" si="6"/>
        <v>39012508.710000001</v>
      </c>
      <c r="N42" s="154">
        <f t="shared" si="6"/>
        <v>62032244.909999996</v>
      </c>
      <c r="O42" s="154">
        <f t="shared" si="6"/>
        <v>30862427.59</v>
      </c>
      <c r="P42" s="305">
        <f t="shared" ref="P42:X42" si="7">SUM(P40:P41)</f>
        <v>0</v>
      </c>
      <c r="Q42" s="154">
        <f t="shared" si="7"/>
        <v>0</v>
      </c>
      <c r="R42" s="154">
        <f t="shared" si="7"/>
        <v>0</v>
      </c>
      <c r="S42" s="154">
        <f t="shared" si="7"/>
        <v>0</v>
      </c>
      <c r="T42" s="154">
        <f t="shared" si="7"/>
        <v>20174.240000000002</v>
      </c>
      <c r="U42" s="154">
        <f t="shared" si="7"/>
        <v>21929.33</v>
      </c>
      <c r="V42" s="154">
        <f t="shared" si="7"/>
        <v>279356.24</v>
      </c>
      <c r="W42" s="154">
        <f t="shared" si="7"/>
        <v>654723.52</v>
      </c>
      <c r="X42" s="154">
        <f t="shared" si="7"/>
        <v>525697.44999999995</v>
      </c>
      <c r="Y42" s="154">
        <f>SUM(Y40:Y41)</f>
        <v>201780.29</v>
      </c>
      <c r="Z42" s="314"/>
      <c r="AA42" s="247"/>
      <c r="AB42" s="247"/>
      <c r="AC42" s="247"/>
      <c r="AD42" s="247"/>
      <c r="AE42" s="247"/>
      <c r="AF42" s="247"/>
      <c r="AG42" s="247"/>
      <c r="AH42" s="316"/>
      <c r="AI42" s="132"/>
      <c r="AJ42" s="313"/>
      <c r="AK42" s="242"/>
      <c r="AL42" s="480"/>
      <c r="AM42" s="480"/>
      <c r="AN42" s="480"/>
      <c r="AO42" s="480"/>
      <c r="AP42" s="480"/>
      <c r="AQ42" s="480"/>
      <c r="AR42" s="45"/>
      <c r="AS42" s="244"/>
      <c r="AT42" s="126"/>
      <c r="AU42" s="126"/>
      <c r="AV42" s="126"/>
      <c r="AW42" s="60"/>
    </row>
    <row r="43" spans="1:49" s="1" customFormat="1">
      <c r="A43" s="226"/>
      <c r="B43" s="219"/>
      <c r="C43" s="213"/>
      <c r="D43" s="190"/>
      <c r="E43" s="209"/>
      <c r="F43" s="190"/>
      <c r="G43" s="190"/>
      <c r="H43" s="190"/>
      <c r="I43" s="190"/>
      <c r="J43" s="190"/>
      <c r="K43" s="190"/>
      <c r="L43" s="190"/>
      <c r="M43" s="13"/>
      <c r="N43" s="476"/>
      <c r="O43" s="478"/>
      <c r="P43" s="304"/>
      <c r="Q43" s="190"/>
      <c r="R43" s="190"/>
      <c r="S43" s="190"/>
      <c r="T43" s="190"/>
      <c r="U43" s="190"/>
      <c r="V43" s="190"/>
      <c r="W43" s="190"/>
      <c r="X43" s="13"/>
      <c r="Y43" s="15"/>
      <c r="Z43" s="311"/>
      <c r="AA43" s="241"/>
      <c r="AB43" s="241"/>
      <c r="AC43" s="241"/>
      <c r="AD43" s="241"/>
      <c r="AE43" s="241"/>
      <c r="AF43" s="241"/>
      <c r="AG43" s="241"/>
      <c r="AH43" s="13"/>
      <c r="AI43" s="15"/>
      <c r="AJ43" s="312"/>
      <c r="AK43" s="480"/>
      <c r="AL43" s="480"/>
      <c r="AM43" s="480"/>
      <c r="AN43" s="480"/>
      <c r="AO43" s="480"/>
      <c r="AP43" s="480"/>
      <c r="AQ43" s="480"/>
      <c r="AR43" s="477"/>
      <c r="AS43" s="631"/>
      <c r="AT43" s="126"/>
      <c r="AU43" s="126"/>
      <c r="AV43" s="126"/>
      <c r="AW43" s="60"/>
    </row>
    <row r="44" spans="1:49" s="1" customFormat="1">
      <c r="A44" s="218" t="s">
        <v>43</v>
      </c>
      <c r="B44" s="18"/>
      <c r="C44" s="213"/>
      <c r="D44" s="190"/>
      <c r="E44" s="209"/>
      <c r="F44" s="190"/>
      <c r="G44" s="190"/>
      <c r="H44" s="190"/>
      <c r="I44" s="190"/>
      <c r="J44" s="190"/>
      <c r="K44" s="190"/>
      <c r="L44" s="190"/>
      <c r="M44" s="13"/>
      <c r="N44" s="476"/>
      <c r="O44" s="478"/>
      <c r="P44" s="304"/>
      <c r="Q44" s="190"/>
      <c r="R44" s="190"/>
      <c r="S44" s="190"/>
      <c r="T44" s="190"/>
      <c r="U44" s="190"/>
      <c r="V44" s="190"/>
      <c r="W44" s="190"/>
      <c r="X44" s="13"/>
      <c r="Y44" s="15"/>
      <c r="Z44" s="311"/>
      <c r="AA44" s="241"/>
      <c r="AB44" s="241"/>
      <c r="AC44" s="241"/>
      <c r="AD44" s="241"/>
      <c r="AE44" s="241"/>
      <c r="AF44" s="241"/>
      <c r="AG44" s="241"/>
      <c r="AH44" s="13"/>
      <c r="AI44" s="15"/>
      <c r="AJ44" s="312"/>
      <c r="AK44" s="480"/>
      <c r="AL44" s="480"/>
      <c r="AM44" s="480"/>
      <c r="AN44" s="480"/>
      <c r="AO44" s="480"/>
      <c r="AP44" s="480"/>
      <c r="AQ44" s="480"/>
      <c r="AR44" s="477"/>
      <c r="AS44" s="631"/>
      <c r="AT44" s="126"/>
      <c r="AU44" s="126"/>
      <c r="AV44" s="126"/>
      <c r="AW44" s="60"/>
    </row>
    <row r="45" spans="1:49" s="1" customFormat="1" ht="22.95" customHeight="1">
      <c r="A45" s="221" t="s">
        <v>51</v>
      </c>
      <c r="B45" s="18" t="s">
        <v>303</v>
      </c>
      <c r="C45" s="212" t="s">
        <v>7</v>
      </c>
      <c r="D45" s="225">
        <f>'Anexo 1'!E44</f>
        <v>191194644.69618949</v>
      </c>
      <c r="E45" s="431">
        <f>'Anexo 2'!E44</f>
        <v>27873802.221568339</v>
      </c>
      <c r="F45" s="190" t="s">
        <v>5</v>
      </c>
      <c r="G45" s="190" t="s">
        <v>5</v>
      </c>
      <c r="H45" s="190" t="s">
        <v>5</v>
      </c>
      <c r="I45" s="190" t="s">
        <v>5</v>
      </c>
      <c r="J45" s="190">
        <v>0</v>
      </c>
      <c r="K45" s="190">
        <f>17318639/K84</f>
        <v>157399.24566027446</v>
      </c>
      <c r="L45" s="190">
        <f>1216372948/L84</f>
        <v>11210810.580645161</v>
      </c>
      <c r="M45" s="190">
        <f>(1118131105)/M84</f>
        <v>10848269.185990104</v>
      </c>
      <c r="N45" s="476">
        <v>62032244.909999996</v>
      </c>
      <c r="O45" s="478">
        <f>'Anexo 2'!F44</f>
        <v>281206.12034721201</v>
      </c>
      <c r="P45" s="304" t="s">
        <v>5</v>
      </c>
      <c r="Q45" s="190" t="s">
        <v>5</v>
      </c>
      <c r="R45" s="190" t="s">
        <v>5</v>
      </c>
      <c r="S45" s="190" t="s">
        <v>5</v>
      </c>
      <c r="T45" s="190">
        <v>0</v>
      </c>
      <c r="U45" s="190">
        <v>3273322.4019999998</v>
      </c>
      <c r="V45" s="190">
        <v>235399.253</v>
      </c>
      <c r="W45" s="190">
        <v>227368.64600000001</v>
      </c>
      <c r="X45" s="476">
        <v>204064.986</v>
      </c>
      <c r="Y45" s="478">
        <v>0</v>
      </c>
      <c r="Z45" s="312" t="s">
        <v>5</v>
      </c>
      <c r="AA45" s="241" t="s">
        <v>5</v>
      </c>
      <c r="AB45" s="241" t="s">
        <v>5</v>
      </c>
      <c r="AC45" s="241" t="s">
        <v>5</v>
      </c>
      <c r="AD45" s="241" t="s">
        <v>5</v>
      </c>
      <c r="AE45" s="241">
        <v>6.663321534377284E-4</v>
      </c>
      <c r="AF45" s="241">
        <v>4.7466106998576431E-2</v>
      </c>
      <c r="AG45" s="241">
        <v>9.0486041014197216E-2</v>
      </c>
      <c r="AH45" s="241">
        <v>0.14431678327113232</v>
      </c>
      <c r="AI45" s="580">
        <f>'Anexo 2'!I44</f>
        <v>0.14578756777346005</v>
      </c>
      <c r="AJ45" s="312" t="s">
        <v>5</v>
      </c>
      <c r="AK45" s="480" t="s">
        <v>5</v>
      </c>
      <c r="AL45" s="480" t="s">
        <v>5</v>
      </c>
      <c r="AM45" s="480" t="s">
        <v>5</v>
      </c>
      <c r="AN45" s="480">
        <v>2.5000000000000001E-3</v>
      </c>
      <c r="AO45" s="480">
        <v>1.6477200000000001E-2</v>
      </c>
      <c r="AP45" s="480">
        <v>0.10839093399999999</v>
      </c>
      <c r="AQ45" s="480">
        <v>0.16761234999999997</v>
      </c>
      <c r="AR45" s="477">
        <v>0.2567179544</v>
      </c>
      <c r="AS45" s="631">
        <f>'Anexo 2'!J44</f>
        <v>0.27681873999999995</v>
      </c>
      <c r="AT45" s="126"/>
      <c r="AU45" s="126"/>
      <c r="AV45" s="126"/>
      <c r="AW45" s="60"/>
    </row>
    <row r="46" spans="1:49" s="1" customFormat="1">
      <c r="A46" s="57"/>
      <c r="B46" s="18"/>
      <c r="C46" s="325"/>
      <c r="D46" s="154">
        <f t="shared" ref="D46:Y46" si="8">SUM(D45:D45)</f>
        <v>191194644.69618949</v>
      </c>
      <c r="E46" s="198">
        <f t="shared" si="8"/>
        <v>27873802.221568339</v>
      </c>
      <c r="F46" s="154">
        <f t="shared" si="8"/>
        <v>0</v>
      </c>
      <c r="G46" s="154">
        <f t="shared" si="8"/>
        <v>0</v>
      </c>
      <c r="H46" s="154">
        <f t="shared" si="8"/>
        <v>0</v>
      </c>
      <c r="I46" s="154">
        <f t="shared" si="8"/>
        <v>0</v>
      </c>
      <c r="J46" s="154">
        <f t="shared" si="8"/>
        <v>0</v>
      </c>
      <c r="K46" s="154">
        <f t="shared" si="8"/>
        <v>157399.24566027446</v>
      </c>
      <c r="L46" s="154">
        <f t="shared" si="8"/>
        <v>11210810.580645161</v>
      </c>
      <c r="M46" s="154">
        <f t="shared" si="8"/>
        <v>10848269.185990104</v>
      </c>
      <c r="N46" s="154">
        <f t="shared" si="8"/>
        <v>62032244.909999996</v>
      </c>
      <c r="O46" s="154">
        <f t="shared" si="8"/>
        <v>281206.12034721201</v>
      </c>
      <c r="P46" s="305">
        <f t="shared" si="8"/>
        <v>0</v>
      </c>
      <c r="Q46" s="154">
        <f t="shared" si="8"/>
        <v>0</v>
      </c>
      <c r="R46" s="154">
        <f t="shared" si="8"/>
        <v>0</v>
      </c>
      <c r="S46" s="154">
        <f t="shared" si="8"/>
        <v>0</v>
      </c>
      <c r="T46" s="154">
        <f t="shared" si="8"/>
        <v>0</v>
      </c>
      <c r="U46" s="154">
        <f t="shared" si="8"/>
        <v>3273322.4019999998</v>
      </c>
      <c r="V46" s="154">
        <f t="shared" si="8"/>
        <v>235399.253</v>
      </c>
      <c r="W46" s="154">
        <f t="shared" si="8"/>
        <v>227368.64600000001</v>
      </c>
      <c r="X46" s="154">
        <f t="shared" si="8"/>
        <v>204064.986</v>
      </c>
      <c r="Y46" s="154">
        <f t="shared" si="8"/>
        <v>0</v>
      </c>
      <c r="Z46" s="313"/>
      <c r="AA46" s="242"/>
      <c r="AB46" s="242"/>
      <c r="AC46" s="242"/>
      <c r="AD46" s="242"/>
      <c r="AE46" s="242"/>
      <c r="AF46" s="242"/>
      <c r="AG46" s="242"/>
      <c r="AH46" s="13"/>
      <c r="AI46" s="15"/>
      <c r="AJ46" s="312"/>
      <c r="AK46" s="480"/>
      <c r="AL46" s="480"/>
      <c r="AM46" s="480"/>
      <c r="AN46" s="480"/>
      <c r="AO46" s="480"/>
      <c r="AP46" s="480"/>
      <c r="AQ46" s="480"/>
      <c r="AR46" s="477"/>
      <c r="AS46" s="631"/>
      <c r="AT46" s="126"/>
      <c r="AU46" s="126"/>
      <c r="AV46" s="126"/>
      <c r="AW46" s="60"/>
    </row>
    <row r="47" spans="1:49" s="1" customFormat="1">
      <c r="A47" s="57"/>
      <c r="B47" s="18"/>
      <c r="C47" s="213"/>
      <c r="D47" s="154"/>
      <c r="E47" s="244"/>
      <c r="F47" s="154"/>
      <c r="G47" s="154"/>
      <c r="H47" s="154"/>
      <c r="I47" s="154"/>
      <c r="J47" s="154"/>
      <c r="K47" s="154"/>
      <c r="L47" s="154"/>
      <c r="M47" s="13"/>
      <c r="N47" s="154"/>
      <c r="O47" s="198"/>
      <c r="P47" s="305"/>
      <c r="Q47" s="154"/>
      <c r="R47" s="154"/>
      <c r="S47" s="154"/>
      <c r="T47" s="154"/>
      <c r="U47" s="154"/>
      <c r="V47" s="154"/>
      <c r="W47" s="154"/>
      <c r="X47" s="13"/>
      <c r="Y47" s="15"/>
      <c r="Z47" s="313"/>
      <c r="AA47" s="242"/>
      <c r="AB47" s="242"/>
      <c r="AC47" s="242"/>
      <c r="AD47" s="242"/>
      <c r="AE47" s="242"/>
      <c r="AF47" s="242"/>
      <c r="AG47" s="242"/>
      <c r="AH47" s="13"/>
      <c r="AI47" s="15"/>
      <c r="AJ47" s="312"/>
      <c r="AK47" s="480"/>
      <c r="AL47" s="480"/>
      <c r="AM47" s="480"/>
      <c r="AN47" s="480"/>
      <c r="AO47" s="480"/>
      <c r="AP47" s="480"/>
      <c r="AQ47" s="480"/>
      <c r="AR47" s="477"/>
      <c r="AS47" s="631"/>
      <c r="AT47" s="126"/>
      <c r="AU47" s="126"/>
      <c r="AV47" s="126"/>
      <c r="AW47" s="60"/>
    </row>
    <row r="48" spans="1:49" s="1" customFormat="1">
      <c r="A48" s="57" t="s">
        <v>80</v>
      </c>
      <c r="B48" s="18"/>
      <c r="C48" s="213"/>
      <c r="D48" s="154"/>
      <c r="E48" s="198"/>
      <c r="F48" s="154"/>
      <c r="G48" s="154"/>
      <c r="H48" s="154"/>
      <c r="I48" s="154"/>
      <c r="J48" s="154"/>
      <c r="K48" s="154"/>
      <c r="L48" s="154"/>
      <c r="M48" s="13"/>
      <c r="N48" s="154"/>
      <c r="O48" s="198"/>
      <c r="P48" s="305"/>
      <c r="Q48" s="154"/>
      <c r="R48" s="154"/>
      <c r="S48" s="154"/>
      <c r="T48" s="154"/>
      <c r="U48" s="154"/>
      <c r="V48" s="154"/>
      <c r="W48" s="154"/>
      <c r="X48" s="13"/>
      <c r="Y48" s="15"/>
      <c r="Z48" s="313"/>
      <c r="AA48" s="242"/>
      <c r="AB48" s="242"/>
      <c r="AC48" s="242"/>
      <c r="AD48" s="242"/>
      <c r="AE48" s="242"/>
      <c r="AF48" s="242"/>
      <c r="AG48" s="242"/>
      <c r="AH48" s="13"/>
      <c r="AI48" s="15"/>
      <c r="AJ48" s="312"/>
      <c r="AK48" s="480"/>
      <c r="AL48" s="480"/>
      <c r="AM48" s="480"/>
      <c r="AN48" s="480"/>
      <c r="AO48" s="480"/>
      <c r="AP48" s="480"/>
      <c r="AQ48" s="480"/>
      <c r="AR48" s="477"/>
      <c r="AS48" s="631"/>
      <c r="AT48" s="126"/>
      <c r="AU48" s="126"/>
      <c r="AV48" s="126"/>
      <c r="AW48" s="60"/>
    </row>
    <row r="49" spans="1:85" s="16" customFormat="1" ht="21" customHeight="1">
      <c r="A49" s="248">
        <f>'Anexo 4'!A49</f>
        <v>28568</v>
      </c>
      <c r="B49" s="249" t="s">
        <v>304</v>
      </c>
      <c r="C49" s="249" t="str">
        <f>'Anexo 4'!C49</f>
        <v>AyA</v>
      </c>
      <c r="D49" s="250">
        <f>'Anexo 4'!D49</f>
        <v>82624147.540199995</v>
      </c>
      <c r="E49" s="251">
        <f>'Anexo 2'!E48</f>
        <v>0</v>
      </c>
      <c r="F49" s="58" t="s">
        <v>5</v>
      </c>
      <c r="G49" s="58" t="s">
        <v>5</v>
      </c>
      <c r="H49" s="58" t="s">
        <v>5</v>
      </c>
      <c r="I49" s="58" t="s">
        <v>5</v>
      </c>
      <c r="J49" s="58" t="s">
        <v>5</v>
      </c>
      <c r="K49" s="58" t="s">
        <v>5</v>
      </c>
      <c r="L49" s="58">
        <v>0</v>
      </c>
      <c r="M49" s="58">
        <v>0</v>
      </c>
      <c r="N49" s="476">
        <v>0</v>
      </c>
      <c r="O49" s="478">
        <f>'Anexo 2'!F48</f>
        <v>0</v>
      </c>
      <c r="P49" s="307" t="s">
        <v>5</v>
      </c>
      <c r="Q49" s="58" t="s">
        <v>5</v>
      </c>
      <c r="R49" s="58" t="s">
        <v>5</v>
      </c>
      <c r="S49" s="58" t="s">
        <v>5</v>
      </c>
      <c r="T49" s="190" t="s">
        <v>5</v>
      </c>
      <c r="U49" s="190" t="s">
        <v>5</v>
      </c>
      <c r="V49" s="190">
        <v>88330.94</v>
      </c>
      <c r="W49" s="190">
        <v>224450.57</v>
      </c>
      <c r="X49" s="476">
        <v>233486.18</v>
      </c>
      <c r="Y49" s="478">
        <v>0</v>
      </c>
      <c r="Z49" s="312" t="s">
        <v>5</v>
      </c>
      <c r="AA49" s="241" t="s">
        <v>5</v>
      </c>
      <c r="AB49" s="241" t="s">
        <v>5</v>
      </c>
      <c r="AC49" s="241" t="s">
        <v>5</v>
      </c>
      <c r="AD49" s="241" t="s">
        <v>5</v>
      </c>
      <c r="AE49" s="241" t="s">
        <v>5</v>
      </c>
      <c r="AF49" s="241">
        <v>0</v>
      </c>
      <c r="AG49" s="241">
        <v>0</v>
      </c>
      <c r="AH49" s="241">
        <v>0</v>
      </c>
      <c r="AI49" s="580">
        <f>'Anexo 2'!I48</f>
        <v>0</v>
      </c>
      <c r="AJ49" s="312" t="s">
        <v>5</v>
      </c>
      <c r="AK49" s="241" t="s">
        <v>5</v>
      </c>
      <c r="AL49" s="241" t="s">
        <v>5</v>
      </c>
      <c r="AM49" s="241" t="s">
        <v>5</v>
      </c>
      <c r="AN49" s="241" t="s">
        <v>5</v>
      </c>
      <c r="AO49" s="241" t="s">
        <v>5</v>
      </c>
      <c r="AP49" s="480">
        <v>9.3100000000000002E-2</v>
      </c>
      <c r="AQ49" s="480">
        <v>0.17073874378793383</v>
      </c>
      <c r="AR49" s="477">
        <v>0.17979999999999999</v>
      </c>
      <c r="AS49" s="631">
        <f>'Anexo 2'!J48</f>
        <v>0.1814741879657239</v>
      </c>
      <c r="AT49" s="75"/>
      <c r="AU49" s="126"/>
      <c r="AV49" s="126"/>
      <c r="AW49" s="60"/>
    </row>
    <row r="50" spans="1:85" s="1" customFormat="1">
      <c r="A50" s="57"/>
      <c r="B50" s="18"/>
      <c r="C50" s="325"/>
      <c r="D50" s="154">
        <f>SUM(D49)</f>
        <v>82624147.540199995</v>
      </c>
      <c r="E50" s="198">
        <f>SUM(E49)</f>
        <v>0</v>
      </c>
      <c r="F50" s="154">
        <f t="shared" ref="F50:U50" si="9">SUM(F49)</f>
        <v>0</v>
      </c>
      <c r="G50" s="154">
        <f t="shared" si="9"/>
        <v>0</v>
      </c>
      <c r="H50" s="154">
        <f t="shared" si="9"/>
        <v>0</v>
      </c>
      <c r="I50" s="154">
        <f t="shared" si="9"/>
        <v>0</v>
      </c>
      <c r="J50" s="154">
        <f t="shared" si="9"/>
        <v>0</v>
      </c>
      <c r="K50" s="154">
        <f t="shared" si="9"/>
        <v>0</v>
      </c>
      <c r="L50" s="154">
        <f>SUM(L49)</f>
        <v>0</v>
      </c>
      <c r="M50" s="154">
        <f>SUM(M49)</f>
        <v>0</v>
      </c>
      <c r="N50" s="154">
        <f t="shared" si="9"/>
        <v>0</v>
      </c>
      <c r="O50" s="154">
        <f t="shared" si="9"/>
        <v>0</v>
      </c>
      <c r="P50" s="305">
        <f t="shared" si="9"/>
        <v>0</v>
      </c>
      <c r="Q50" s="154">
        <f t="shared" si="9"/>
        <v>0</v>
      </c>
      <c r="R50" s="154">
        <f t="shared" si="9"/>
        <v>0</v>
      </c>
      <c r="S50" s="154">
        <f t="shared" si="9"/>
        <v>0</v>
      </c>
      <c r="T50" s="154">
        <f t="shared" si="9"/>
        <v>0</v>
      </c>
      <c r="U50" s="154">
        <f t="shared" si="9"/>
        <v>0</v>
      </c>
      <c r="V50" s="154">
        <f>SUM(V49)</f>
        <v>88330.94</v>
      </c>
      <c r="W50" s="154">
        <f>SUM(W49)</f>
        <v>224450.57</v>
      </c>
      <c r="X50" s="154">
        <f>SUM(X49)</f>
        <v>233486.18</v>
      </c>
      <c r="Y50" s="154">
        <f>SUM(Y49)</f>
        <v>0</v>
      </c>
      <c r="Z50" s="313"/>
      <c r="AA50" s="242"/>
      <c r="AB50" s="242"/>
      <c r="AC50" s="242"/>
      <c r="AD50" s="242"/>
      <c r="AE50" s="242"/>
      <c r="AF50" s="242"/>
      <c r="AG50" s="242"/>
      <c r="AH50" s="242"/>
      <c r="AI50" s="243"/>
      <c r="AJ50" s="312"/>
      <c r="AK50" s="480"/>
      <c r="AL50" s="480"/>
      <c r="AM50" s="480"/>
      <c r="AN50" s="480"/>
      <c r="AO50" s="480"/>
      <c r="AP50" s="480"/>
      <c r="AQ50" s="480"/>
      <c r="AR50" s="13"/>
      <c r="AS50" s="15"/>
      <c r="AU50" s="126"/>
      <c r="AW50" s="471"/>
    </row>
    <row r="51" spans="1:85" s="16" customFormat="1">
      <c r="A51" s="248"/>
      <c r="B51" s="252"/>
      <c r="C51" s="253"/>
      <c r="D51" s="254"/>
      <c r="E51" s="255"/>
      <c r="F51" s="254"/>
      <c r="G51" s="254"/>
      <c r="H51" s="254"/>
      <c r="I51" s="254"/>
      <c r="J51" s="254"/>
      <c r="K51" s="254"/>
      <c r="L51" s="254"/>
      <c r="M51" s="33"/>
      <c r="N51" s="254"/>
      <c r="O51" s="255"/>
      <c r="P51" s="308"/>
      <c r="Q51" s="254"/>
      <c r="R51" s="254"/>
      <c r="S51" s="254"/>
      <c r="T51" s="154"/>
      <c r="U51" s="154"/>
      <c r="V51" s="154"/>
      <c r="W51" s="154"/>
      <c r="X51" s="33"/>
      <c r="Y51" s="105"/>
      <c r="Z51" s="313"/>
      <c r="AA51" s="242"/>
      <c r="AB51" s="242"/>
      <c r="AC51" s="242"/>
      <c r="AD51" s="242"/>
      <c r="AE51" s="242"/>
      <c r="AF51" s="242"/>
      <c r="AG51" s="242"/>
      <c r="AH51" s="242"/>
      <c r="AI51" s="243"/>
      <c r="AJ51" s="312"/>
      <c r="AK51" s="480"/>
      <c r="AL51" s="480"/>
      <c r="AM51" s="480"/>
      <c r="AN51" s="480"/>
      <c r="AO51" s="480"/>
      <c r="AP51" s="480"/>
      <c r="AQ51" s="480"/>
      <c r="AR51" s="13"/>
      <c r="AS51" s="15"/>
      <c r="AW51" s="469"/>
    </row>
    <row r="52" spans="1:85">
      <c r="A52" s="256"/>
      <c r="B52" s="257"/>
      <c r="C52" s="258"/>
      <c r="D52" s="259"/>
      <c r="E52" s="260"/>
      <c r="F52" s="259"/>
      <c r="G52" s="254"/>
      <c r="H52" s="254"/>
      <c r="I52" s="154"/>
      <c r="J52" s="154"/>
      <c r="K52" s="154"/>
      <c r="L52" s="154"/>
      <c r="M52" s="13"/>
      <c r="N52" s="154"/>
      <c r="O52" s="198"/>
      <c r="P52" s="305"/>
      <c r="Q52" s="154"/>
      <c r="R52" s="154"/>
      <c r="S52" s="154"/>
      <c r="T52" s="154"/>
      <c r="U52" s="154"/>
      <c r="V52" s="154"/>
      <c r="W52" s="154"/>
      <c r="X52" s="13"/>
      <c r="Y52" s="15"/>
      <c r="Z52" s="313"/>
      <c r="AA52" s="242"/>
      <c r="AB52" s="242"/>
      <c r="AC52" s="242"/>
      <c r="AD52" s="242"/>
      <c r="AE52" s="242"/>
      <c r="AF52" s="242"/>
      <c r="AG52" s="242"/>
      <c r="AH52" s="242"/>
      <c r="AI52" s="243"/>
      <c r="AJ52" s="312"/>
      <c r="AK52" s="480"/>
      <c r="AL52" s="480"/>
      <c r="AM52" s="480"/>
      <c r="AN52" s="480"/>
      <c r="AO52" s="480"/>
      <c r="AP52" s="480"/>
      <c r="AQ52" s="480"/>
      <c r="AR52" s="13"/>
      <c r="AS52" s="15"/>
    </row>
    <row r="53" spans="1:85" s="1" customFormat="1">
      <c r="A53" s="57" t="s">
        <v>13</v>
      </c>
      <c r="B53" s="22"/>
      <c r="C53" s="325"/>
      <c r="D53" s="154">
        <f t="shared" ref="D53:Y53" si="10">D20+D31+D37+D42+D46+D50</f>
        <v>4193918022.646389</v>
      </c>
      <c r="E53" s="198">
        <f t="shared" si="10"/>
        <v>1889550520.3915684</v>
      </c>
      <c r="F53" s="154">
        <f t="shared" si="10"/>
        <v>16000000</v>
      </c>
      <c r="G53" s="154">
        <f t="shared" si="10"/>
        <v>57953803</v>
      </c>
      <c r="H53" s="154">
        <f t="shared" si="10"/>
        <v>70772956.409999996</v>
      </c>
      <c r="I53" s="154">
        <f t="shared" si="10"/>
        <v>311918751.14966011</v>
      </c>
      <c r="J53" s="154">
        <f t="shared" si="10"/>
        <v>84820497.280000001</v>
      </c>
      <c r="K53" s="154">
        <f t="shared" si="10"/>
        <v>265596929.64566028</v>
      </c>
      <c r="L53" s="154">
        <f t="shared" si="10"/>
        <v>283782470.70084471</v>
      </c>
      <c r="M53" s="154">
        <f t="shared" si="10"/>
        <v>302141408.01599008</v>
      </c>
      <c r="N53" s="154">
        <f t="shared" si="10"/>
        <v>360796928.29999995</v>
      </c>
      <c r="O53" s="154">
        <f t="shared" si="10"/>
        <v>162722901.71034721</v>
      </c>
      <c r="P53" s="305">
        <f t="shared" si="10"/>
        <v>1981068.0399999998</v>
      </c>
      <c r="Q53" s="154">
        <f t="shared" si="10"/>
        <v>2364229.02</v>
      </c>
      <c r="R53" s="154">
        <f t="shared" si="10"/>
        <v>3487324.42</v>
      </c>
      <c r="S53" s="154">
        <f t="shared" si="10"/>
        <v>4749249.4399999995</v>
      </c>
      <c r="T53" s="154">
        <f t="shared" si="10"/>
        <v>5800601.4100000001</v>
      </c>
      <c r="U53" s="154">
        <f t="shared" si="10"/>
        <v>8139350.6120000007</v>
      </c>
      <c r="V53" s="154">
        <f t="shared" si="10"/>
        <v>5331717.3830000004</v>
      </c>
      <c r="W53" s="154">
        <f t="shared" si="10"/>
        <v>5625615.0159999989</v>
      </c>
      <c r="X53" s="154">
        <f t="shared" si="10"/>
        <v>7000996.2859999994</v>
      </c>
      <c r="Y53" s="154">
        <f t="shared" si="10"/>
        <v>2087661.7399999998</v>
      </c>
      <c r="Z53" s="313"/>
      <c r="AA53" s="242"/>
      <c r="AB53" s="242"/>
      <c r="AC53" s="242"/>
      <c r="AD53" s="242"/>
      <c r="AE53" s="242"/>
      <c r="AF53" s="242"/>
      <c r="AG53" s="242"/>
      <c r="AH53" s="242"/>
      <c r="AI53" s="243"/>
      <c r="AJ53" s="312"/>
      <c r="AK53" s="480"/>
      <c r="AL53" s="480"/>
      <c r="AM53" s="480"/>
      <c r="AN53" s="480"/>
      <c r="AO53" s="480"/>
      <c r="AP53" s="480"/>
      <c r="AQ53" s="480"/>
      <c r="AR53" s="13"/>
      <c r="AS53" s="15"/>
      <c r="AW53" s="471"/>
    </row>
    <row r="54" spans="1:85" s="76" customFormat="1" ht="14.4" thickBot="1">
      <c r="A54" s="261"/>
      <c r="B54" s="262"/>
      <c r="C54" s="263"/>
      <c r="D54" s="264"/>
      <c r="E54" s="265"/>
      <c r="F54" s="266"/>
      <c r="G54" s="266"/>
      <c r="H54" s="266"/>
      <c r="I54" s="267"/>
      <c r="J54" s="267"/>
      <c r="K54" s="267"/>
      <c r="L54" s="267"/>
      <c r="M54" s="267"/>
      <c r="N54" s="267"/>
      <c r="O54" s="268"/>
      <c r="P54" s="309"/>
      <c r="Q54" s="267"/>
      <c r="R54" s="267"/>
      <c r="S54" s="267"/>
      <c r="T54" s="267"/>
      <c r="U54" s="267"/>
      <c r="V54" s="267"/>
      <c r="W54" s="267"/>
      <c r="X54" s="267"/>
      <c r="Y54" s="268"/>
      <c r="Z54" s="315"/>
      <c r="AA54" s="269"/>
      <c r="AB54" s="270"/>
      <c r="AC54" s="270"/>
      <c r="AD54" s="271"/>
      <c r="AE54" s="271"/>
      <c r="AF54" s="271"/>
      <c r="AG54" s="271"/>
      <c r="AH54" s="271"/>
      <c r="AI54" s="636"/>
      <c r="AJ54" s="501"/>
      <c r="AK54" s="272"/>
      <c r="AL54" s="272"/>
      <c r="AM54" s="272"/>
      <c r="AN54" s="272"/>
      <c r="AO54" s="273"/>
      <c r="AP54" s="273"/>
      <c r="AQ54" s="273"/>
      <c r="AR54" s="295"/>
      <c r="AS54" s="133"/>
      <c r="AT54" s="46"/>
      <c r="AU54" s="46"/>
      <c r="AV54" s="46"/>
      <c r="AW54" s="472"/>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row>
    <row r="55" spans="1:85">
      <c r="A55" s="77"/>
      <c r="B55" s="77"/>
      <c r="C55" s="77"/>
      <c r="E55" s="79"/>
      <c r="F55" s="77"/>
      <c r="G55" s="77"/>
      <c r="H55" s="77"/>
      <c r="I55" s="77"/>
      <c r="J55" s="77"/>
      <c r="K55" s="29"/>
      <c r="L55" s="29"/>
      <c r="M55" s="29"/>
      <c r="N55" s="29"/>
      <c r="O55" s="29"/>
      <c r="P55" s="29"/>
      <c r="Q55" s="29"/>
      <c r="R55" s="29"/>
      <c r="S55" s="29"/>
      <c r="T55" s="29"/>
      <c r="U55" s="29"/>
      <c r="V55" s="29"/>
      <c r="W55" s="29"/>
      <c r="X55" s="29"/>
      <c r="Y55" s="29"/>
      <c r="Z55" s="78"/>
      <c r="AA55" s="78"/>
      <c r="AB55" s="29"/>
      <c r="AC55" s="29"/>
      <c r="AD55" s="77"/>
      <c r="AE55" s="77"/>
      <c r="AF55" s="77"/>
      <c r="AG55" s="77"/>
      <c r="AH55" s="77"/>
      <c r="AI55" s="77"/>
      <c r="AS55" s="1"/>
    </row>
    <row r="56" spans="1:85" ht="27.6" customHeight="1">
      <c r="A56" s="77" t="s">
        <v>44</v>
      </c>
      <c r="B56" s="77"/>
      <c r="C56" s="77"/>
      <c r="E56" s="79"/>
      <c r="F56" s="77"/>
      <c r="G56" s="77"/>
      <c r="H56" s="77"/>
      <c r="M56" s="81"/>
      <c r="N56" s="81"/>
      <c r="O56" s="81"/>
      <c r="P56" s="80"/>
      <c r="Q56" s="80"/>
      <c r="R56" s="80"/>
      <c r="S56" s="80"/>
      <c r="T56" s="80"/>
      <c r="U56" s="80"/>
      <c r="V56" s="80"/>
      <c r="W56" s="80"/>
      <c r="X56" s="80"/>
      <c r="Y56" s="80"/>
      <c r="Z56" s="78"/>
      <c r="AA56" s="78"/>
      <c r="AB56" s="29"/>
      <c r="AC56" s="29"/>
      <c r="AD56" s="77"/>
      <c r="AE56" s="77"/>
      <c r="AF56" s="77"/>
      <c r="AG56" s="77"/>
      <c r="AH56" s="77"/>
      <c r="AI56" s="77"/>
      <c r="AS56" s="1"/>
    </row>
    <row r="57" spans="1:85" ht="12.75" customHeight="1">
      <c r="A57" s="62"/>
      <c r="B57" s="62"/>
      <c r="C57" s="61"/>
      <c r="F57" s="61"/>
      <c r="G57" s="61"/>
      <c r="H57" s="61"/>
      <c r="I57" s="61"/>
      <c r="J57" s="61"/>
      <c r="K57" s="82"/>
      <c r="L57" s="82"/>
      <c r="M57" s="82"/>
      <c r="N57" s="82"/>
      <c r="O57" s="82"/>
      <c r="P57" s="82"/>
      <c r="Q57" s="82"/>
      <c r="R57" s="82"/>
      <c r="S57" s="82"/>
      <c r="T57" s="82"/>
      <c r="U57" s="82"/>
      <c r="V57" s="82"/>
      <c r="W57" s="82"/>
      <c r="X57" s="82"/>
      <c r="Y57" s="82"/>
      <c r="Z57" s="33"/>
      <c r="AA57" s="33"/>
      <c r="AB57" s="13"/>
      <c r="AC57" s="13"/>
      <c r="AD57" s="61"/>
      <c r="AE57" s="61"/>
      <c r="AF57" s="61"/>
      <c r="AG57" s="61"/>
      <c r="AH57" s="61"/>
      <c r="AI57" s="61"/>
      <c r="AS57" s="1"/>
    </row>
    <row r="58" spans="1:85" ht="18" customHeight="1">
      <c r="A58" s="83" t="s">
        <v>84</v>
      </c>
      <c r="B58" s="83"/>
      <c r="C58" s="61"/>
      <c r="F58" s="61"/>
      <c r="G58" s="61"/>
      <c r="H58" s="61"/>
      <c r="I58" s="61"/>
      <c r="J58" s="61"/>
      <c r="K58" s="13"/>
      <c r="L58" s="13"/>
      <c r="M58" s="13"/>
      <c r="N58" s="13"/>
      <c r="O58" s="13"/>
      <c r="P58" s="13"/>
      <c r="Q58" s="13"/>
      <c r="R58" s="13"/>
      <c r="S58" s="13"/>
      <c r="T58" s="13"/>
      <c r="U58" s="13"/>
      <c r="V58" s="13"/>
      <c r="W58" s="13"/>
      <c r="X58" s="13"/>
      <c r="Y58" s="13"/>
      <c r="Z58" s="33"/>
      <c r="AA58" s="33"/>
      <c r="AB58" s="13"/>
      <c r="AC58" s="13"/>
      <c r="AD58" s="84"/>
      <c r="AE58" s="61"/>
      <c r="AF58" s="61"/>
      <c r="AG58" s="61"/>
      <c r="AH58" s="61"/>
      <c r="AI58" s="61"/>
      <c r="AS58" s="1"/>
    </row>
    <row r="59" spans="1:85" s="1" customFormat="1" ht="26.4" customHeight="1">
      <c r="A59" s="333" t="s">
        <v>175</v>
      </c>
      <c r="B59" s="206"/>
      <c r="AW59" s="471"/>
    </row>
    <row r="60" spans="1:85" s="1" customFormat="1" ht="30.6" customHeight="1">
      <c r="A60" s="333" t="s">
        <v>176</v>
      </c>
      <c r="B60" s="17"/>
      <c r="AW60" s="471"/>
    </row>
    <row r="61" spans="1:85" s="1" customFormat="1" ht="36" customHeight="1">
      <c r="A61" s="680" t="s">
        <v>292</v>
      </c>
      <c r="B61" s="680"/>
      <c r="C61" s="680"/>
      <c r="D61" s="680"/>
      <c r="E61" s="680"/>
      <c r="F61" s="680"/>
      <c r="G61" s="680"/>
      <c r="H61" s="680"/>
      <c r="I61" s="680"/>
      <c r="J61" s="680"/>
      <c r="K61" s="68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W61" s="471"/>
    </row>
    <row r="62" spans="1:85" s="1" customFormat="1" ht="34.200000000000003" customHeight="1">
      <c r="A62" s="680" t="s">
        <v>293</v>
      </c>
      <c r="B62" s="680"/>
      <c r="C62" s="680"/>
      <c r="D62" s="680"/>
      <c r="E62" s="680"/>
      <c r="F62" s="680"/>
      <c r="G62" s="680"/>
      <c r="H62" s="680"/>
      <c r="I62" s="680"/>
      <c r="J62" s="680"/>
      <c r="K62" s="680"/>
      <c r="L62" s="680"/>
      <c r="M62" s="680"/>
      <c r="N62" s="680"/>
      <c r="O62" s="680"/>
      <c r="P62" s="680"/>
      <c r="Q62" s="420"/>
      <c r="R62" s="420"/>
      <c r="S62" s="420"/>
      <c r="T62" s="420"/>
      <c r="U62" s="420"/>
      <c r="V62" s="420"/>
      <c r="W62" s="420"/>
      <c r="X62" s="420"/>
      <c r="Y62" s="420"/>
      <c r="Z62" s="420"/>
      <c r="AA62" s="420"/>
      <c r="AB62" s="420"/>
      <c r="AC62" s="420"/>
      <c r="AD62" s="420"/>
      <c r="AE62" s="420"/>
      <c r="AF62" s="420"/>
      <c r="AG62" s="420"/>
      <c r="AH62" s="420"/>
      <c r="AI62" s="420"/>
      <c r="AJ62" s="420"/>
      <c r="AK62" s="420"/>
      <c r="AL62" s="420"/>
      <c r="AM62" s="420"/>
      <c r="AN62" s="420"/>
      <c r="AO62" s="420"/>
      <c r="AW62" s="471"/>
    </row>
    <row r="63" spans="1:85" s="41" customFormat="1" ht="31.8" customHeight="1">
      <c r="A63" s="390" t="s">
        <v>296</v>
      </c>
      <c r="B63" s="433"/>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W63" s="474"/>
    </row>
    <row r="64" spans="1:85" s="1" customFormat="1" ht="31.2" customHeight="1">
      <c r="A64" s="680" t="s">
        <v>298</v>
      </c>
      <c r="B64" s="680"/>
      <c r="C64" s="680"/>
      <c r="D64" s="680"/>
      <c r="E64" s="680"/>
      <c r="F64" s="680"/>
      <c r="G64" s="680"/>
      <c r="H64" s="680"/>
      <c r="I64" s="680"/>
      <c r="J64" s="680"/>
      <c r="K64" s="680"/>
      <c r="L64" s="680"/>
      <c r="M64" s="680"/>
      <c r="N64" s="680"/>
      <c r="O64" s="680"/>
      <c r="P64" s="680"/>
      <c r="Q64" s="680"/>
      <c r="R64" s="680"/>
      <c r="S64" s="680"/>
      <c r="T64" s="680"/>
      <c r="U64" s="680"/>
      <c r="V64" s="680"/>
      <c r="W64" s="680"/>
      <c r="X64" s="680"/>
      <c r="Y64" s="680"/>
      <c r="Z64" s="680"/>
      <c r="AA64" s="680"/>
      <c r="AB64" s="680"/>
      <c r="AC64" s="680"/>
      <c r="AD64" s="680"/>
      <c r="AE64" s="680"/>
      <c r="AF64" s="680"/>
      <c r="AG64" s="680"/>
      <c r="AH64" s="680"/>
      <c r="AI64" s="680"/>
      <c r="AJ64" s="680"/>
      <c r="AK64" s="680"/>
      <c r="AL64" s="680"/>
      <c r="AM64" s="680"/>
      <c r="AN64" s="680"/>
      <c r="AO64" s="680"/>
      <c r="AP64" s="135"/>
      <c r="AQ64" s="135"/>
      <c r="AW64" s="471"/>
    </row>
    <row r="65" spans="1:85" ht="27.6" customHeight="1">
      <c r="A65" s="680" t="s">
        <v>254</v>
      </c>
      <c r="B65" s="680"/>
      <c r="C65" s="680"/>
      <c r="D65" s="680"/>
      <c r="E65" s="680"/>
      <c r="F65" s="680"/>
      <c r="G65" s="680"/>
      <c r="H65" s="680"/>
      <c r="I65" s="680"/>
      <c r="J65" s="680"/>
      <c r="K65" s="680"/>
      <c r="L65" s="680"/>
      <c r="M65" s="680"/>
      <c r="N65" s="680"/>
      <c r="O65" s="680"/>
      <c r="P65" s="680"/>
      <c r="Q65" s="680"/>
      <c r="R65" s="680"/>
      <c r="S65" s="680"/>
      <c r="T65" s="680"/>
      <c r="U65" s="680"/>
      <c r="V65" s="680"/>
      <c r="W65" s="680"/>
      <c r="X65" s="680"/>
      <c r="Y65" s="680"/>
      <c r="Z65" s="680"/>
      <c r="AA65" s="680"/>
      <c r="AB65" s="680"/>
      <c r="AC65" s="680"/>
      <c r="AD65" s="680"/>
      <c r="AE65" s="680"/>
      <c r="AF65" s="680"/>
      <c r="AG65" s="680"/>
      <c r="AH65" s="680"/>
      <c r="AI65" s="680"/>
      <c r="AJ65" s="680"/>
      <c r="AK65" s="680"/>
      <c r="AL65" s="680"/>
      <c r="AM65" s="680"/>
      <c r="AN65" s="680"/>
      <c r="AO65" s="680"/>
      <c r="AP65" s="135"/>
      <c r="AQ65" s="135"/>
      <c r="AR65" s="62"/>
      <c r="AS65" s="62"/>
      <c r="AT65" s="62"/>
      <c r="AU65" s="62"/>
      <c r="AV65" s="62"/>
      <c r="AW65" s="473"/>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row>
    <row r="66" spans="1:85" ht="32.4" customHeight="1">
      <c r="A66" s="680" t="s">
        <v>132</v>
      </c>
      <c r="B66" s="680"/>
      <c r="C66" s="680"/>
      <c r="D66" s="680"/>
      <c r="E66" s="680"/>
      <c r="F66" s="680"/>
      <c r="G66" s="680"/>
      <c r="H66" s="680"/>
      <c r="I66" s="680"/>
      <c r="J66" s="680"/>
      <c r="K66" s="680"/>
      <c r="L66" s="680"/>
      <c r="M66" s="680"/>
      <c r="N66" s="680"/>
      <c r="O66" s="680"/>
      <c r="P66" s="680"/>
      <c r="Q66" s="680"/>
      <c r="R66" s="680"/>
      <c r="S66" s="680"/>
      <c r="T66" s="680"/>
      <c r="U66" s="680"/>
      <c r="V66" s="680"/>
      <c r="W66" s="680"/>
      <c r="X66" s="680"/>
      <c r="Y66" s="680"/>
      <c r="Z66" s="680"/>
      <c r="AA66" s="680"/>
      <c r="AB66" s="680"/>
      <c r="AC66" s="680"/>
      <c r="AD66" s="680"/>
      <c r="AE66" s="680"/>
      <c r="AF66" s="680"/>
      <c r="AG66" s="680"/>
      <c r="AH66" s="680"/>
      <c r="AI66" s="680"/>
      <c r="AJ66" s="680"/>
      <c r="AK66" s="680"/>
      <c r="AL66" s="680"/>
      <c r="AM66" s="680"/>
      <c r="AN66" s="680"/>
      <c r="AO66" s="680"/>
      <c r="AP66" s="135"/>
      <c r="AQ66" s="135"/>
      <c r="AR66" s="62"/>
      <c r="AS66" s="62"/>
      <c r="AT66" s="62"/>
      <c r="AU66" s="62"/>
      <c r="AV66" s="62"/>
      <c r="AW66" s="473"/>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row>
    <row r="67" spans="1:85" ht="30" customHeight="1">
      <c r="A67" s="680" t="s">
        <v>133</v>
      </c>
      <c r="B67" s="680"/>
      <c r="C67" s="680"/>
      <c r="D67" s="680"/>
      <c r="E67" s="680"/>
      <c r="F67" s="680"/>
      <c r="G67" s="680"/>
      <c r="H67" s="680"/>
      <c r="I67" s="680"/>
      <c r="J67" s="680"/>
      <c r="K67" s="680"/>
      <c r="L67" s="680"/>
      <c r="M67" s="680"/>
      <c r="N67" s="680"/>
      <c r="O67" s="680"/>
      <c r="P67" s="680"/>
      <c r="Q67" s="680"/>
      <c r="R67" s="680"/>
      <c r="S67" s="680"/>
      <c r="T67" s="680"/>
      <c r="U67" s="680"/>
      <c r="V67" s="680"/>
      <c r="W67" s="680"/>
      <c r="X67" s="680"/>
      <c r="Y67" s="680"/>
      <c r="Z67" s="680"/>
      <c r="AA67" s="680"/>
      <c r="AB67" s="680"/>
      <c r="AC67" s="680"/>
      <c r="AD67" s="680"/>
      <c r="AE67" s="680"/>
      <c r="AF67" s="680"/>
      <c r="AG67" s="680"/>
      <c r="AH67" s="680"/>
      <c r="AI67" s="680"/>
      <c r="AJ67" s="680"/>
      <c r="AK67" s="680"/>
      <c r="AL67" s="680"/>
      <c r="AM67" s="680"/>
      <c r="AN67" s="680"/>
      <c r="AO67" s="680"/>
      <c r="AP67" s="135"/>
      <c r="AQ67" s="135"/>
      <c r="AR67" s="62"/>
      <c r="AS67" s="62"/>
      <c r="AT67" s="62"/>
      <c r="AU67" s="62"/>
      <c r="AV67" s="62"/>
      <c r="AW67" s="473"/>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row>
    <row r="68" spans="1:85" ht="31.2" customHeight="1">
      <c r="A68" s="680" t="s">
        <v>301</v>
      </c>
      <c r="B68" s="680"/>
      <c r="C68" s="680"/>
      <c r="D68" s="680"/>
      <c r="E68" s="680"/>
      <c r="F68" s="680"/>
      <c r="G68" s="680"/>
      <c r="H68" s="680"/>
      <c r="I68" s="680"/>
      <c r="J68" s="680"/>
      <c r="K68" s="680"/>
      <c r="L68" s="680"/>
      <c r="M68" s="680"/>
      <c r="N68" s="680"/>
      <c r="O68" s="680"/>
      <c r="P68" s="680"/>
      <c r="Q68" s="98"/>
      <c r="R68" s="98"/>
      <c r="S68" s="98"/>
      <c r="T68" s="98"/>
      <c r="U68" s="98"/>
      <c r="V68" s="98"/>
      <c r="W68" s="98"/>
      <c r="X68" s="98"/>
      <c r="Y68" s="98"/>
      <c r="Z68" s="393"/>
      <c r="AA68" s="393"/>
      <c r="AB68" s="98"/>
      <c r="AC68" s="98"/>
      <c r="AD68" s="393"/>
      <c r="AE68" s="393"/>
      <c r="AF68" s="393"/>
      <c r="AG68" s="393"/>
      <c r="AH68" s="393"/>
      <c r="AI68" s="393"/>
      <c r="AJ68" s="393"/>
      <c r="AK68" s="393"/>
      <c r="AL68" s="393"/>
      <c r="AM68" s="393"/>
      <c r="AN68" s="393"/>
      <c r="AO68" s="393"/>
    </row>
    <row r="69" spans="1:85" s="1" customFormat="1" ht="30.6" customHeight="1">
      <c r="A69" s="680" t="s">
        <v>302</v>
      </c>
      <c r="B69" s="680"/>
      <c r="C69" s="680"/>
      <c r="D69" s="680"/>
      <c r="E69" s="680"/>
      <c r="F69" s="680"/>
      <c r="G69" s="680"/>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420"/>
      <c r="AF69" s="420"/>
      <c r="AG69" s="420"/>
      <c r="AH69" s="420"/>
      <c r="AI69" s="420"/>
      <c r="AJ69" s="420"/>
      <c r="AK69" s="420"/>
      <c r="AL69" s="420"/>
      <c r="AM69" s="420"/>
      <c r="AN69" s="420"/>
      <c r="AO69" s="420"/>
      <c r="AP69" s="135"/>
      <c r="AQ69" s="135"/>
      <c r="AW69" s="471"/>
    </row>
    <row r="70" spans="1:85" ht="16.5" customHeight="1">
      <c r="A70" s="62"/>
      <c r="B70" s="62"/>
      <c r="K70" s="62"/>
      <c r="L70" s="62"/>
      <c r="M70" s="62"/>
      <c r="N70" s="62"/>
      <c r="O70" s="62"/>
      <c r="P70" s="62"/>
      <c r="Q70" s="62"/>
      <c r="R70" s="62"/>
      <c r="S70" s="62"/>
      <c r="T70" s="62"/>
      <c r="U70" s="62"/>
      <c r="V70" s="62"/>
      <c r="W70" s="62"/>
      <c r="X70" s="62"/>
      <c r="Y70" s="62"/>
      <c r="AB70" s="62"/>
      <c r="AC70" s="62"/>
      <c r="AP70" s="135"/>
      <c r="AQ70" s="135"/>
      <c r="AR70" s="62"/>
      <c r="AS70" s="62"/>
      <c r="AT70" s="62"/>
      <c r="AU70" s="62"/>
      <c r="AV70" s="62"/>
      <c r="AW70" s="473"/>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row>
    <row r="71" spans="1:85" ht="18" customHeight="1">
      <c r="A71" s="62"/>
      <c r="B71" s="62"/>
      <c r="K71" s="62"/>
      <c r="L71" s="62"/>
      <c r="M71" s="62"/>
      <c r="N71" s="62"/>
      <c r="O71" s="62"/>
      <c r="P71" s="62"/>
      <c r="Q71" s="62"/>
      <c r="R71" s="62"/>
      <c r="S71" s="62"/>
      <c r="T71" s="62"/>
      <c r="U71" s="62"/>
      <c r="V71" s="62"/>
      <c r="W71" s="62"/>
      <c r="X71" s="62"/>
      <c r="Y71" s="62"/>
      <c r="AB71" s="62"/>
      <c r="AC71" s="62"/>
      <c r="AP71" s="135"/>
      <c r="AQ71" s="135"/>
      <c r="AR71" s="62"/>
      <c r="AS71" s="62"/>
      <c r="AT71" s="62"/>
      <c r="AU71" s="62"/>
      <c r="AV71" s="62"/>
      <c r="AW71" s="473"/>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row>
    <row r="72" spans="1:85" ht="17.25" customHeight="1">
      <c r="A72" s="62"/>
      <c r="B72" s="62"/>
      <c r="K72" s="62"/>
      <c r="L72" s="62"/>
      <c r="M72" s="62"/>
      <c r="N72" s="62"/>
      <c r="O72" s="62"/>
      <c r="P72" s="62"/>
      <c r="Q72" s="62"/>
      <c r="R72" s="62"/>
      <c r="S72" s="62"/>
      <c r="T72" s="62"/>
      <c r="U72" s="62"/>
      <c r="V72" s="62"/>
      <c r="W72" s="62"/>
      <c r="X72" s="62"/>
      <c r="Y72" s="62"/>
      <c r="AB72" s="62"/>
      <c r="AC72" s="62"/>
      <c r="AP72" s="135"/>
      <c r="AQ72" s="135"/>
      <c r="AR72" s="62"/>
      <c r="AS72" s="62"/>
      <c r="AT72" s="62"/>
      <c r="AU72" s="62"/>
      <c r="AV72" s="62"/>
      <c r="AW72" s="473"/>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row>
    <row r="73" spans="1:85">
      <c r="A73" s="62"/>
      <c r="B73" s="62"/>
      <c r="K73" s="62"/>
      <c r="L73" s="62"/>
      <c r="M73" s="62"/>
      <c r="N73" s="62"/>
      <c r="O73" s="62"/>
      <c r="P73" s="62"/>
      <c r="Q73" s="62"/>
      <c r="R73" s="62"/>
      <c r="S73" s="62"/>
      <c r="T73" s="62"/>
      <c r="U73" s="62"/>
      <c r="V73" s="62"/>
      <c r="W73" s="62"/>
      <c r="X73" s="62"/>
      <c r="Y73" s="62"/>
      <c r="AB73" s="62"/>
      <c r="AC73" s="62"/>
      <c r="AR73" s="62"/>
      <c r="AS73" s="62"/>
      <c r="AT73" s="62"/>
      <c r="AU73" s="62"/>
      <c r="AV73" s="62"/>
      <c r="AW73" s="473"/>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row>
    <row r="74" spans="1:85">
      <c r="A74" s="674"/>
      <c r="B74" s="674"/>
      <c r="C74" s="674"/>
      <c r="D74" s="674"/>
      <c r="E74" s="674"/>
      <c r="F74" s="674"/>
      <c r="G74" s="674"/>
      <c r="H74" s="674"/>
      <c r="I74" s="674"/>
      <c r="J74" s="674"/>
      <c r="K74" s="674"/>
      <c r="L74" s="674"/>
      <c r="M74" s="674"/>
      <c r="N74" s="674"/>
      <c r="O74" s="674"/>
      <c r="P74" s="674"/>
      <c r="Q74" s="674"/>
      <c r="R74" s="674"/>
      <c r="S74" s="674"/>
      <c r="T74" s="674"/>
      <c r="U74" s="674"/>
      <c r="V74" s="674"/>
      <c r="W74" s="674"/>
      <c r="X74" s="674"/>
      <c r="Y74" s="674"/>
      <c r="Z74" s="674"/>
      <c r="AA74" s="674"/>
      <c r="AB74" s="674"/>
      <c r="AC74" s="674"/>
      <c r="AD74" s="674"/>
      <c r="AE74" s="674"/>
      <c r="AF74" s="674"/>
      <c r="AG74" s="674"/>
      <c r="AH74" s="674"/>
      <c r="AI74" s="674"/>
      <c r="AJ74" s="674"/>
      <c r="AK74" s="674"/>
      <c r="AL74" s="674"/>
      <c r="AM74" s="674"/>
      <c r="AN74" s="674"/>
      <c r="AO74" s="674"/>
      <c r="AP74" s="135"/>
      <c r="AQ74" s="135"/>
      <c r="AR74" s="62"/>
      <c r="AS74" s="62"/>
      <c r="AT74" s="62"/>
      <c r="AU74" s="62"/>
      <c r="AV74" s="62"/>
      <c r="AW74" s="473"/>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row>
    <row r="75" spans="1:85" s="1" customFormat="1">
      <c r="B75" s="38"/>
      <c r="AW75" s="471"/>
    </row>
    <row r="76" spans="1:85">
      <c r="A76" s="62"/>
      <c r="AR76" s="62"/>
      <c r="AS76" s="62"/>
      <c r="AT76" s="62"/>
      <c r="AU76" s="62"/>
      <c r="AV76" s="62"/>
      <c r="AW76" s="473"/>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row>
    <row r="77" spans="1:85">
      <c r="A77" s="62"/>
      <c r="AR77" s="62"/>
      <c r="AS77" s="62"/>
      <c r="AT77" s="62"/>
      <c r="AU77" s="62"/>
      <c r="AV77" s="62"/>
      <c r="AW77" s="473"/>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row>
    <row r="81" spans="1:85">
      <c r="D81" s="67" t="s">
        <v>59</v>
      </c>
      <c r="E81" s="138"/>
    </row>
    <row r="82" spans="1:85">
      <c r="A82" s="62"/>
      <c r="B82" s="62"/>
      <c r="F82" s="86">
        <v>2013</v>
      </c>
      <c r="G82" s="86">
        <v>2014</v>
      </c>
      <c r="H82" s="86">
        <v>2015</v>
      </c>
      <c r="I82" s="86">
        <v>2016</v>
      </c>
      <c r="J82" s="86">
        <v>2017</v>
      </c>
      <c r="K82" s="87">
        <v>2018</v>
      </c>
      <c r="L82" s="87">
        <v>2019</v>
      </c>
      <c r="M82" s="87">
        <v>2020</v>
      </c>
      <c r="N82" s="87">
        <v>2021</v>
      </c>
      <c r="O82" s="87">
        <v>2022</v>
      </c>
      <c r="P82" s="87"/>
      <c r="Q82" s="87"/>
      <c r="R82" s="87"/>
      <c r="S82" s="87"/>
      <c r="T82" s="87"/>
      <c r="U82" s="87"/>
      <c r="V82" s="87"/>
      <c r="W82" s="87"/>
      <c r="X82" s="87"/>
      <c r="Y82" s="87"/>
      <c r="AB82" s="62"/>
      <c r="AC82" s="62"/>
      <c r="AR82" s="62"/>
      <c r="AS82" s="62"/>
      <c r="AT82" s="62"/>
      <c r="AU82" s="62"/>
      <c r="AV82" s="62"/>
      <c r="AW82" s="473"/>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row>
    <row r="83" spans="1:85">
      <c r="A83" s="62"/>
      <c r="B83" s="62"/>
      <c r="D83" s="85"/>
      <c r="E83" s="67" t="s">
        <v>60</v>
      </c>
      <c r="F83" s="106">
        <v>1.3743000000000001</v>
      </c>
      <c r="G83" s="106">
        <v>1.2098</v>
      </c>
      <c r="H83" s="106">
        <v>1.0862000000000001</v>
      </c>
      <c r="I83" s="106">
        <v>1.0517000000000001</v>
      </c>
      <c r="J83" s="106">
        <v>1.2004999999999999</v>
      </c>
      <c r="K83" s="106">
        <v>1.1445000000000001</v>
      </c>
      <c r="L83" s="107">
        <v>1.1237999999999999</v>
      </c>
      <c r="M83" s="107">
        <v>1.2281</v>
      </c>
      <c r="N83" s="107">
        <v>1.1347</v>
      </c>
      <c r="O83" s="107">
        <v>1.0422</v>
      </c>
      <c r="P83" s="88"/>
      <c r="Q83" s="88"/>
      <c r="R83" s="88"/>
      <c r="S83" s="88"/>
      <c r="T83" s="88"/>
      <c r="U83" s="88"/>
      <c r="V83" s="88"/>
      <c r="W83" s="88"/>
      <c r="X83" s="88"/>
      <c r="Y83" s="88"/>
      <c r="AB83" s="62"/>
      <c r="AC83" s="62"/>
      <c r="AR83" s="62"/>
      <c r="AS83" s="62"/>
      <c r="AT83" s="62"/>
      <c r="AU83" s="62"/>
      <c r="AV83" s="62"/>
      <c r="AW83" s="473"/>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row>
    <row r="84" spans="1:85">
      <c r="A84" s="62"/>
      <c r="B84" s="62"/>
      <c r="D84" s="85"/>
      <c r="E84" s="67" t="s">
        <v>61</v>
      </c>
      <c r="F84" s="106">
        <v>105.31</v>
      </c>
      <c r="G84" s="106">
        <v>119.78</v>
      </c>
      <c r="H84" s="106">
        <v>120.22</v>
      </c>
      <c r="I84" s="106">
        <v>116.96</v>
      </c>
      <c r="J84" s="106">
        <v>112.69</v>
      </c>
      <c r="K84" s="106">
        <v>110.03</v>
      </c>
      <c r="L84" s="106">
        <v>108.5</v>
      </c>
      <c r="M84" s="106">
        <v>103.07</v>
      </c>
      <c r="N84" s="107">
        <v>115.1</v>
      </c>
      <c r="O84" s="107">
        <v>135.94</v>
      </c>
      <c r="P84" s="89"/>
      <c r="Q84" s="89"/>
      <c r="R84" s="89"/>
      <c r="S84" s="89"/>
      <c r="T84" s="89"/>
      <c r="U84" s="89"/>
      <c r="V84" s="89"/>
      <c r="W84" s="89"/>
      <c r="X84" s="89"/>
      <c r="Y84" s="89"/>
      <c r="AB84" s="62"/>
      <c r="AC84" s="62"/>
      <c r="AR84" s="62"/>
      <c r="AS84" s="62"/>
      <c r="AT84" s="62"/>
      <c r="AU84" s="62"/>
      <c r="AV84" s="62"/>
      <c r="AW84" s="473"/>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row>
    <row r="85" spans="1:85">
      <c r="A85" s="62"/>
      <c r="B85" s="62"/>
      <c r="D85" s="85"/>
      <c r="E85" s="67" t="s">
        <v>62</v>
      </c>
      <c r="F85" s="106">
        <v>6.0542999999999996</v>
      </c>
      <c r="G85" s="106">
        <v>6.2054999999999998</v>
      </c>
      <c r="H85" s="106">
        <v>6.4936999999999996</v>
      </c>
      <c r="I85" s="106">
        <v>6.9450000000000003</v>
      </c>
      <c r="J85" s="106">
        <v>6.5068000000000001</v>
      </c>
      <c r="K85" s="106">
        <v>6.8784999999999998</v>
      </c>
      <c r="L85" s="106">
        <v>6.9615</v>
      </c>
      <c r="M85" s="106">
        <v>6.5350999999999999</v>
      </c>
      <c r="N85" s="107">
        <v>6.3525</v>
      </c>
      <c r="O85" s="107">
        <v>6.6929999999999996</v>
      </c>
      <c r="P85" s="88"/>
      <c r="Q85" s="88"/>
      <c r="R85" s="88"/>
      <c r="S85" s="88"/>
      <c r="T85" s="88"/>
      <c r="U85" s="88"/>
      <c r="V85" s="88"/>
      <c r="W85" s="88"/>
      <c r="X85" s="88"/>
      <c r="Y85" s="88"/>
      <c r="AB85" s="62"/>
      <c r="AC85" s="62"/>
      <c r="AR85" s="62"/>
      <c r="AS85" s="62"/>
      <c r="AT85" s="62"/>
      <c r="AU85" s="62"/>
      <c r="AV85" s="62"/>
      <c r="AW85" s="473"/>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row>
    <row r="86" spans="1:85">
      <c r="E86" s="67" t="s">
        <v>100</v>
      </c>
      <c r="F86" s="106"/>
      <c r="G86" s="106"/>
      <c r="H86" s="106"/>
      <c r="I86" s="106"/>
      <c r="J86" s="106"/>
      <c r="K86" s="106"/>
      <c r="L86" s="106"/>
      <c r="M86" s="106">
        <v>1.4402699999999999</v>
      </c>
      <c r="N86" s="106"/>
      <c r="O86" s="106"/>
    </row>
  </sheetData>
  <sheetProtection algorithmName="SHA-512" hashValue="om28EKgxEWfXSeGpjqHF9yLjB4Y0s32J7UOLvmmy1MRvgC/OP6+DDJJ9JYyGHYV1aNEfQDX10aRhLQWRnIO7lg==" saltValue="fNQ4h4DIlVuYQzBP1d/v6g==" spinCount="100000" sheet="1" objects="1" scenarios="1" selectLockedCells="1" selectUnlockedCells="1"/>
  <mergeCells count="42">
    <mergeCell ref="A2:AS2"/>
    <mergeCell ref="A4:AS4"/>
    <mergeCell ref="A5:AS5"/>
    <mergeCell ref="A62:P62"/>
    <mergeCell ref="AR40:AR41"/>
    <mergeCell ref="AP40:AP41"/>
    <mergeCell ref="AP24:AP25"/>
    <mergeCell ref="AJ24:AJ25"/>
    <mergeCell ref="AK24:AK25"/>
    <mergeCell ref="AL24:AL25"/>
    <mergeCell ref="AM24:AM25"/>
    <mergeCell ref="AQ40:AQ41"/>
    <mergeCell ref="AQ24:AQ25"/>
    <mergeCell ref="AR24:AR25"/>
    <mergeCell ref="AS40:AS41"/>
    <mergeCell ref="AS24:AS25"/>
    <mergeCell ref="A74:AO74"/>
    <mergeCell ref="A64:AO64"/>
    <mergeCell ref="A65:AO65"/>
    <mergeCell ref="AO24:AO25"/>
    <mergeCell ref="AN24:AN25"/>
    <mergeCell ref="A67:AO67"/>
    <mergeCell ref="AJ40:AJ41"/>
    <mergeCell ref="AK40:AK41"/>
    <mergeCell ref="AL40:AL41"/>
    <mergeCell ref="AM40:AM41"/>
    <mergeCell ref="AN40:AN41"/>
    <mergeCell ref="AO40:AO41"/>
    <mergeCell ref="A66:AO66"/>
    <mergeCell ref="A68:P68"/>
    <mergeCell ref="A69:G69"/>
    <mergeCell ref="AJ6:AS6"/>
    <mergeCell ref="Z6:AI6"/>
    <mergeCell ref="A3:AS3"/>
    <mergeCell ref="A61:K61"/>
    <mergeCell ref="P6:Y6"/>
    <mergeCell ref="E6:E7"/>
    <mergeCell ref="A6:A7"/>
    <mergeCell ref="B6:B7"/>
    <mergeCell ref="C6:C7"/>
    <mergeCell ref="D6:D7"/>
    <mergeCell ref="F6:O6"/>
  </mergeCells>
  <phoneticPr fontId="12" type="noConversion"/>
  <printOptions horizontalCentered="1" verticalCentered="1"/>
  <pageMargins left="0.19685039370078741" right="0.15748031496062992" top="0.19685039370078741" bottom="0.19685039370078741" header="0" footer="0"/>
  <pageSetup scale="20" orientation="landscape" r:id="rId1"/>
  <headerFooter alignWithMargins="0"/>
  <ignoredErrors>
    <ignoredError sqref="A71:E77 N71:N77 F71:K77 B70:K70 W71:X77 P70:U70 P71:U77 AH71:AH77 Z68:AF68 Z71:AF77 AJ71:AO77 AJ68:AO68 AP50:AP54 AP42:AQ49 AQ54:AR54 AQ50:AQ53 M70:N70 M71:M77 Q68:U68 D46:G46 AJ42:AO54 M58:M60 M64 M65 A54:M57 A53:D53 AJ55:AR57 F58:K60 AJ65:AO65 AJ64:AO64 AJ58:AO61 Z58:AF61 Z64:AF64 Z65:AF65 AH65 AH64 AH58:AH61 P58:U61 P64:U64 P65:U65 W65:X65 W64:X64 W58:X61 F64:K64 F65:K65 N65 N64 N58:N61 B65:E65 B64:E64 A43:M44 A46:C48 L58 AJ66:AO66 L64 L65 A58:E60 V59:V61 V58 V64 V65 AG59:AG61 AG58 AG64 AG65 L59:L60 D48:M52 D47 F47:M47 A66:N66 N43:N44 N47:N48 N50:N52 P66:X66 P43:X45 W68:X68 Z66:AH66 Z42:AH44 AH68 C19:E19 AI10:AI23 A42:G42 P42:Q42 P47:X52 P46:Q46 N54:N57 P54:X57 P53:Q53 Z46:AH48 Z45:AG45 Z50:AH57 Z49:AG49 Z70:AF70 AJ70:AO70 W70:X70 AH70 A45 C45:M45 A50:C52 A49 C49 AI24:AI49" unlockedFormula="1"/>
    <ignoredError sqref="AT1:AU1 AR25 AT18:AU18 AR20:AR22 AT31:AU41 A1:N1 P1:X1 Z1:AH1 AR31:AR33 AP36:AQ36 AP18:AQ18 AR37:AR39 AJ1:AR1" numberStoredAsText="1"/>
    <ignoredError sqref="AJ26:AQ35 AJ10:AQ17 AJ18:AO18 AJ36:AO36 A8:N9 A38:N39 A32:C33 AJ40:AO41 A34:A35 C34:C35 A21:M23 AJ25:AO25 AJ24:AO24 D32:M35 AJ20:AQ23 A2 AT20:AU23 AP24:AQ24 AQ25 AT2:AU5 AP25 AJ37:AQ39 AP40:AQ41 N21:N22 A20:C20 A10:M14 N32:N33 A36:M36 A41:M41 P21:X23 Z20:AH22 AJ8:AR9 AT8:AU17 Z8:AH9 P8:X14 A5 A4 A31:G31 P32:X36 A37:F37 P38:X41 P37:Q37 Z10:AG18 Z31:AH33 Z23:AG23 Z34:AG41 P17:X18 P15:U15 W15:X15 A17:M18 A15 C15:M15 A16 C16:M16 A26:M30 A24 C24:M24 A25 C25:M25 A40 C40:M40 AT24:AU30 P24:X30 Z24:AG30 P16:V16" numberStoredAsText="1"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H40"/>
  <sheetViews>
    <sheetView showGridLines="0" zoomScale="60" zoomScaleNormal="60" zoomScaleSheetLayoutView="40" workbookViewId="0">
      <selection activeCell="AS15" sqref="AS15"/>
    </sheetView>
  </sheetViews>
  <sheetFormatPr baseColWidth="10" defaultColWidth="11" defaultRowHeight="13.8"/>
  <cols>
    <col min="1" max="1" width="24.5546875" style="66" customWidth="1"/>
    <col min="2" max="2" width="120.21875" style="66" customWidth="1"/>
    <col min="3" max="3" width="11" style="62"/>
    <col min="4" max="4" width="14.88671875" style="62" customWidth="1"/>
    <col min="5" max="5" width="15.77734375" style="62" customWidth="1"/>
    <col min="6" max="6" width="12.6640625" style="62" customWidth="1"/>
    <col min="7" max="7" width="13.5546875" style="62" customWidth="1"/>
    <col min="8" max="8" width="14.6640625" style="62" customWidth="1"/>
    <col min="9" max="9" width="14.21875" style="62" customWidth="1"/>
    <col min="10" max="10" width="13.77734375" style="62" customWidth="1"/>
    <col min="11" max="11" width="14.109375" style="1" customWidth="1"/>
    <col min="12" max="12" width="14.44140625" style="1" customWidth="1"/>
    <col min="13" max="13" width="15.77734375" style="1" customWidth="1"/>
    <col min="14" max="14" width="14.109375" style="1" customWidth="1"/>
    <col min="15" max="15" width="17.21875" style="1" customWidth="1"/>
    <col min="16" max="17" width="11.77734375" style="1" customWidth="1"/>
    <col min="18" max="18" width="14.109375" style="1" customWidth="1"/>
    <col min="19" max="19" width="12.6640625" style="1" customWidth="1"/>
    <col min="20" max="20" width="14" style="62" customWidth="1"/>
    <col min="21" max="21" width="12.33203125" style="62" customWidth="1"/>
    <col min="22" max="22" width="11.77734375" style="62" customWidth="1"/>
    <col min="23" max="23" width="12.6640625" style="62" customWidth="1"/>
    <col min="24" max="24" width="16.77734375" style="1" customWidth="1"/>
    <col min="25" max="25" width="14.77734375" style="62" customWidth="1"/>
    <col min="26" max="26" width="7.77734375" style="62" customWidth="1"/>
    <col min="27" max="27" width="8.109375" style="62" customWidth="1"/>
    <col min="28" max="28" width="8.88671875" style="62" customWidth="1"/>
    <col min="29" max="29" width="7.6640625" style="62" customWidth="1"/>
    <col min="30" max="30" width="8.33203125" style="62" customWidth="1"/>
    <col min="31" max="31" width="10.5546875" style="62" customWidth="1"/>
    <col min="32" max="32" width="10.109375" style="62" customWidth="1"/>
    <col min="33" max="33" width="8.6640625" style="62" customWidth="1"/>
    <col min="34" max="34" width="9.6640625" style="62" customWidth="1"/>
    <col min="35" max="35" width="9.21875" style="62" customWidth="1"/>
    <col min="36" max="36" width="7.21875" style="16" customWidth="1"/>
    <col min="37" max="37" width="7" style="16" customWidth="1"/>
    <col min="38" max="38" width="9.109375" style="16" customWidth="1"/>
    <col min="39" max="39" width="8.77734375" style="16" customWidth="1"/>
    <col min="40" max="40" width="9.44140625" style="16" customWidth="1"/>
    <col min="41" max="41" width="7.77734375" style="16" bestFit="1" customWidth="1"/>
    <col min="42" max="78" width="11" style="16"/>
    <col min="79" max="16384" width="11" style="62"/>
  </cols>
  <sheetData>
    <row r="1" spans="1:86" ht="25.05" customHeight="1">
      <c r="A1" s="709" t="s">
        <v>137</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c r="AK1" s="709"/>
      <c r="AL1" s="709"/>
      <c r="AM1" s="709"/>
      <c r="AN1" s="709"/>
      <c r="AO1" s="709"/>
      <c r="AP1" s="709"/>
      <c r="AQ1" s="709"/>
      <c r="AR1" s="709"/>
      <c r="AS1" s="709"/>
      <c r="CA1" s="16"/>
      <c r="CB1" s="16"/>
      <c r="CC1" s="16"/>
      <c r="CD1" s="16"/>
    </row>
    <row r="2" spans="1:86" ht="25.05" customHeight="1">
      <c r="A2" s="709" t="s">
        <v>247</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09"/>
      <c r="AO2" s="709"/>
      <c r="AP2" s="709"/>
      <c r="AQ2" s="709"/>
      <c r="AR2" s="709"/>
      <c r="AS2" s="709"/>
      <c r="CA2" s="16"/>
      <c r="CB2" s="16"/>
      <c r="CC2" s="16"/>
      <c r="CD2" s="16"/>
    </row>
    <row r="3" spans="1:86" ht="25.05" customHeight="1">
      <c r="A3" s="689" t="s">
        <v>244</v>
      </c>
      <c r="B3" s="689"/>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9"/>
      <c r="AQ3" s="689"/>
      <c r="AR3" s="689"/>
      <c r="AS3" s="689"/>
      <c r="CA3" s="16"/>
      <c r="CB3" s="16"/>
      <c r="CC3" s="16"/>
      <c r="CD3" s="16"/>
    </row>
    <row r="4" spans="1:86" ht="25.05" customHeight="1">
      <c r="A4" s="709" t="s">
        <v>138</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09"/>
      <c r="AP4" s="709"/>
      <c r="AQ4" s="709"/>
      <c r="AR4" s="709"/>
      <c r="AS4" s="709"/>
      <c r="CA4" s="16"/>
      <c r="CB4" s="16"/>
      <c r="CC4" s="16"/>
      <c r="CD4" s="16"/>
    </row>
    <row r="5" spans="1:86" ht="25.05" customHeight="1" thickBot="1">
      <c r="A5" s="697">
        <f>+'Anexo 1'!A5:M5</f>
        <v>44742</v>
      </c>
      <c r="B5" s="697"/>
      <c r="C5" s="697"/>
      <c r="D5" s="697"/>
      <c r="E5" s="697"/>
      <c r="F5" s="697"/>
      <c r="G5" s="697"/>
      <c r="H5" s="697"/>
      <c r="I5" s="697"/>
      <c r="J5" s="697"/>
      <c r="K5" s="697"/>
      <c r="L5" s="697"/>
      <c r="M5" s="697"/>
      <c r="N5" s="697"/>
      <c r="O5" s="697"/>
      <c r="P5" s="697"/>
      <c r="Q5" s="697"/>
      <c r="R5" s="697"/>
      <c r="S5" s="697"/>
      <c r="T5" s="697"/>
      <c r="U5" s="697"/>
      <c r="V5" s="697"/>
      <c r="W5" s="697"/>
      <c r="X5" s="697"/>
      <c r="Y5" s="697"/>
      <c r="Z5" s="697"/>
      <c r="AA5" s="697"/>
      <c r="AB5" s="697"/>
      <c r="AC5" s="697"/>
      <c r="AD5" s="697"/>
      <c r="AE5" s="697"/>
      <c r="AF5" s="697"/>
      <c r="AG5" s="697"/>
      <c r="AH5" s="697"/>
      <c r="AI5" s="697"/>
      <c r="AJ5" s="697"/>
      <c r="AK5" s="697"/>
      <c r="AL5" s="697"/>
      <c r="AM5" s="697"/>
      <c r="AN5" s="697"/>
      <c r="AO5" s="697"/>
      <c r="AP5" s="697"/>
      <c r="AQ5" s="697"/>
      <c r="AR5" s="697"/>
      <c r="AS5" s="697"/>
      <c r="CA5" s="16"/>
      <c r="CB5" s="16"/>
      <c r="CC5" s="16"/>
      <c r="CD5" s="16"/>
    </row>
    <row r="6" spans="1:86" s="63" customFormat="1" ht="43.8" customHeight="1" thickBot="1">
      <c r="A6" s="685" t="s">
        <v>11</v>
      </c>
      <c r="B6" s="685" t="s">
        <v>38</v>
      </c>
      <c r="C6" s="685" t="s">
        <v>10</v>
      </c>
      <c r="D6" s="685" t="s">
        <v>89</v>
      </c>
      <c r="E6" s="685" t="s">
        <v>227</v>
      </c>
      <c r="F6" s="681" t="s">
        <v>230</v>
      </c>
      <c r="G6" s="682"/>
      <c r="H6" s="682"/>
      <c r="I6" s="682"/>
      <c r="J6" s="682"/>
      <c r="K6" s="682"/>
      <c r="L6" s="682"/>
      <c r="M6" s="682"/>
      <c r="N6" s="682"/>
      <c r="O6" s="683"/>
      <c r="P6" s="681" t="s">
        <v>255</v>
      </c>
      <c r="Q6" s="682"/>
      <c r="R6" s="682"/>
      <c r="S6" s="682"/>
      <c r="T6" s="682"/>
      <c r="U6" s="682"/>
      <c r="V6" s="682"/>
      <c r="W6" s="682"/>
      <c r="X6" s="682"/>
      <c r="Y6" s="682"/>
      <c r="Z6" s="681" t="s">
        <v>229</v>
      </c>
      <c r="AA6" s="682"/>
      <c r="AB6" s="682"/>
      <c r="AC6" s="682"/>
      <c r="AD6" s="682"/>
      <c r="AE6" s="682"/>
      <c r="AF6" s="682"/>
      <c r="AG6" s="682"/>
      <c r="AH6" s="682"/>
      <c r="AI6" s="683"/>
      <c r="AJ6" s="682" t="s">
        <v>209</v>
      </c>
      <c r="AK6" s="682"/>
      <c r="AL6" s="682"/>
      <c r="AM6" s="682"/>
      <c r="AN6" s="682"/>
      <c r="AO6" s="682"/>
      <c r="AP6" s="682"/>
      <c r="AQ6" s="682"/>
      <c r="AR6" s="682"/>
      <c r="AS6" s="683"/>
      <c r="AT6" s="68"/>
      <c r="AU6" s="68"/>
      <c r="AV6" s="68"/>
      <c r="AW6" s="68"/>
      <c r="AX6" s="470"/>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row>
    <row r="7" spans="1:86" s="63" customFormat="1" ht="48" customHeight="1" thickBot="1">
      <c r="A7" s="700"/>
      <c r="B7" s="700"/>
      <c r="C7" s="700"/>
      <c r="D7" s="700"/>
      <c r="E7" s="700"/>
      <c r="F7" s="566">
        <v>2013</v>
      </c>
      <c r="G7" s="566">
        <v>2014</v>
      </c>
      <c r="H7" s="566">
        <v>2015</v>
      </c>
      <c r="I7" s="566">
        <v>2016</v>
      </c>
      <c r="J7" s="566">
        <v>2017</v>
      </c>
      <c r="K7" s="566">
        <v>2018</v>
      </c>
      <c r="L7" s="566">
        <v>2019</v>
      </c>
      <c r="M7" s="566">
        <v>2020</v>
      </c>
      <c r="N7" s="566">
        <v>2021</v>
      </c>
      <c r="O7" s="566" t="s">
        <v>228</v>
      </c>
      <c r="P7" s="566">
        <v>2013</v>
      </c>
      <c r="Q7" s="566">
        <v>2014</v>
      </c>
      <c r="R7" s="566">
        <v>2015</v>
      </c>
      <c r="S7" s="566">
        <v>2016</v>
      </c>
      <c r="T7" s="566">
        <v>2017</v>
      </c>
      <c r="U7" s="566">
        <v>2018</v>
      </c>
      <c r="V7" s="566">
        <v>2019</v>
      </c>
      <c r="W7" s="566">
        <v>2020</v>
      </c>
      <c r="X7" s="566">
        <v>2021</v>
      </c>
      <c r="Y7" s="608" t="s">
        <v>228</v>
      </c>
      <c r="Z7" s="566">
        <v>2013</v>
      </c>
      <c r="AA7" s="610">
        <v>2014</v>
      </c>
      <c r="AB7" s="566">
        <v>2015</v>
      </c>
      <c r="AC7" s="610">
        <v>2016</v>
      </c>
      <c r="AD7" s="566">
        <v>2017</v>
      </c>
      <c r="AE7" s="610">
        <v>2018</v>
      </c>
      <c r="AF7" s="566">
        <v>2019</v>
      </c>
      <c r="AG7" s="610">
        <v>2020</v>
      </c>
      <c r="AH7" s="566">
        <v>2021</v>
      </c>
      <c r="AI7" s="611" t="s">
        <v>228</v>
      </c>
      <c r="AJ7" s="608">
        <v>2013</v>
      </c>
      <c r="AK7" s="566">
        <v>2014</v>
      </c>
      <c r="AL7" s="610">
        <v>2015</v>
      </c>
      <c r="AM7" s="566">
        <v>2016</v>
      </c>
      <c r="AN7" s="610">
        <v>2017</v>
      </c>
      <c r="AO7" s="566">
        <v>2018</v>
      </c>
      <c r="AP7" s="610">
        <v>2019</v>
      </c>
      <c r="AQ7" s="566">
        <v>2020</v>
      </c>
      <c r="AR7" s="566">
        <v>2021</v>
      </c>
      <c r="AS7" s="566" t="s">
        <v>228</v>
      </c>
      <c r="AT7" s="68"/>
      <c r="AU7" s="68"/>
      <c r="AV7" s="68"/>
      <c r="AW7" s="68"/>
      <c r="AX7" s="470"/>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row>
    <row r="8" spans="1:86">
      <c r="A8" s="458">
        <v>2220</v>
      </c>
      <c r="B8" s="69" t="s">
        <v>233</v>
      </c>
      <c r="C8" s="459" t="s">
        <v>231</v>
      </c>
      <c r="D8" s="460">
        <v>425000000</v>
      </c>
      <c r="E8" s="460">
        <v>0</v>
      </c>
      <c r="F8" s="605" t="s">
        <v>5</v>
      </c>
      <c r="G8" s="587" t="s">
        <v>5</v>
      </c>
      <c r="H8" s="587" t="s">
        <v>5</v>
      </c>
      <c r="I8" s="587" t="s">
        <v>5</v>
      </c>
      <c r="J8" s="587" t="s">
        <v>5</v>
      </c>
      <c r="K8" s="586" t="s">
        <v>5</v>
      </c>
      <c r="L8" s="586" t="s">
        <v>5</v>
      </c>
      <c r="M8" s="586" t="s">
        <v>5</v>
      </c>
      <c r="N8" s="586">
        <v>0</v>
      </c>
      <c r="O8" s="586">
        <v>0</v>
      </c>
      <c r="P8" s="585" t="s">
        <v>5</v>
      </c>
      <c r="Q8" s="586" t="s">
        <v>5</v>
      </c>
      <c r="R8" s="586" t="s">
        <v>5</v>
      </c>
      <c r="S8" s="586" t="s">
        <v>5</v>
      </c>
      <c r="T8" s="587" t="s">
        <v>5</v>
      </c>
      <c r="U8" s="587" t="s">
        <v>5</v>
      </c>
      <c r="V8" s="587" t="s">
        <v>5</v>
      </c>
      <c r="W8" s="587" t="s">
        <v>5</v>
      </c>
      <c r="X8" s="588" t="s">
        <v>5</v>
      </c>
      <c r="Y8" s="587">
        <v>0</v>
      </c>
      <c r="Z8" s="612" t="s">
        <v>5</v>
      </c>
      <c r="AA8" s="613" t="s">
        <v>5</v>
      </c>
      <c r="AB8" s="613" t="s">
        <v>5</v>
      </c>
      <c r="AC8" s="613" t="s">
        <v>5</v>
      </c>
      <c r="AD8" s="613" t="s">
        <v>5</v>
      </c>
      <c r="AE8" s="613" t="s">
        <v>5</v>
      </c>
      <c r="AF8" s="613" t="s">
        <v>5</v>
      </c>
      <c r="AG8" s="613" t="s">
        <v>5</v>
      </c>
      <c r="AH8" s="613" t="s">
        <v>5</v>
      </c>
      <c r="AI8" s="613">
        <v>0</v>
      </c>
      <c r="AJ8" s="616" t="s">
        <v>5</v>
      </c>
      <c r="AK8" s="617" t="s">
        <v>5</v>
      </c>
      <c r="AL8" s="619" t="s">
        <v>5</v>
      </c>
      <c r="AM8" s="619" t="s">
        <v>5</v>
      </c>
      <c r="AN8" s="619" t="s">
        <v>5</v>
      </c>
      <c r="AO8" s="620" t="s">
        <v>5</v>
      </c>
      <c r="AP8" s="619" t="s">
        <v>5</v>
      </c>
      <c r="AQ8" s="619" t="s">
        <v>5</v>
      </c>
      <c r="AR8" s="619" t="s">
        <v>5</v>
      </c>
      <c r="AS8" s="621" t="s">
        <v>6</v>
      </c>
    </row>
    <row r="9" spans="1:86">
      <c r="A9" s="168">
        <v>28568</v>
      </c>
      <c r="B9" s="599" t="s">
        <v>208</v>
      </c>
      <c r="C9" s="283" t="s">
        <v>77</v>
      </c>
      <c r="D9" s="58">
        <v>82624147.540199995</v>
      </c>
      <c r="E9" s="58">
        <v>0</v>
      </c>
      <c r="F9" s="593" t="s">
        <v>5</v>
      </c>
      <c r="G9" s="594" t="s">
        <v>5</v>
      </c>
      <c r="H9" s="594" t="s">
        <v>5</v>
      </c>
      <c r="I9" s="594" t="s">
        <v>5</v>
      </c>
      <c r="J9" s="594" t="s">
        <v>5</v>
      </c>
      <c r="K9" s="594" t="s">
        <v>5</v>
      </c>
      <c r="L9" s="594">
        <v>0</v>
      </c>
      <c r="M9" s="594">
        <v>0</v>
      </c>
      <c r="N9" s="594">
        <v>0</v>
      </c>
      <c r="O9" s="594">
        <v>0</v>
      </c>
      <c r="P9" s="593" t="s">
        <v>5</v>
      </c>
      <c r="Q9" s="594" t="s">
        <v>5</v>
      </c>
      <c r="R9" s="594" t="s">
        <v>5</v>
      </c>
      <c r="S9" s="594" t="s">
        <v>5</v>
      </c>
      <c r="T9" s="594" t="s">
        <v>5</v>
      </c>
      <c r="U9" s="594" t="s">
        <v>5</v>
      </c>
      <c r="V9" s="584">
        <v>88330.94</v>
      </c>
      <c r="W9" s="584">
        <v>224450.57</v>
      </c>
      <c r="X9" s="584">
        <v>233486.18</v>
      </c>
      <c r="Y9" s="584">
        <v>0</v>
      </c>
      <c r="Z9" s="591" t="s">
        <v>5</v>
      </c>
      <c r="AA9" s="581" t="s">
        <v>5</v>
      </c>
      <c r="AB9" s="581" t="s">
        <v>5</v>
      </c>
      <c r="AC9" s="581" t="s">
        <v>5</v>
      </c>
      <c r="AD9" s="581" t="s">
        <v>5</v>
      </c>
      <c r="AE9" s="581" t="s">
        <v>5</v>
      </c>
      <c r="AF9" s="581">
        <v>0</v>
      </c>
      <c r="AG9" s="581">
        <v>0</v>
      </c>
      <c r="AH9" s="581">
        <v>0</v>
      </c>
      <c r="AI9" s="581">
        <v>0</v>
      </c>
      <c r="AJ9" s="591" t="s">
        <v>5</v>
      </c>
      <c r="AK9" s="581" t="s">
        <v>5</v>
      </c>
      <c r="AL9" s="622" t="s">
        <v>5</v>
      </c>
      <c r="AM9" s="622" t="s">
        <v>5</v>
      </c>
      <c r="AN9" s="622" t="s">
        <v>5</v>
      </c>
      <c r="AO9" s="622" t="s">
        <v>5</v>
      </c>
      <c r="AP9" s="622">
        <v>9.3100000000000002E-2</v>
      </c>
      <c r="AQ9" s="622">
        <v>0.17073874378793383</v>
      </c>
      <c r="AR9" s="622">
        <v>0.17979999999999999</v>
      </c>
      <c r="AS9" s="623">
        <v>0.1814741879657239</v>
      </c>
    </row>
    <row r="10" spans="1:86">
      <c r="A10" s="317" t="s">
        <v>185</v>
      </c>
      <c r="B10" s="600" t="s">
        <v>187</v>
      </c>
      <c r="C10" s="283" t="s">
        <v>186</v>
      </c>
      <c r="D10" s="58">
        <v>75100500</v>
      </c>
      <c r="E10" s="58">
        <v>187751.25</v>
      </c>
      <c r="F10" s="593" t="s">
        <v>5</v>
      </c>
      <c r="G10" s="594" t="s">
        <v>5</v>
      </c>
      <c r="H10" s="594" t="s">
        <v>5</v>
      </c>
      <c r="I10" s="594" t="s">
        <v>5</v>
      </c>
      <c r="J10" s="594" t="s">
        <v>5</v>
      </c>
      <c r="K10" s="594" t="s">
        <v>5</v>
      </c>
      <c r="L10" s="594" t="s">
        <v>5</v>
      </c>
      <c r="M10" s="594" t="s">
        <v>5</v>
      </c>
      <c r="N10" s="594">
        <v>187751.25</v>
      </c>
      <c r="O10" s="594">
        <v>0</v>
      </c>
      <c r="P10" s="593" t="s">
        <v>5</v>
      </c>
      <c r="Q10" s="594" t="s">
        <v>5</v>
      </c>
      <c r="R10" s="594" t="s">
        <v>5</v>
      </c>
      <c r="S10" s="594" t="s">
        <v>5</v>
      </c>
      <c r="T10" s="594" t="s">
        <v>5</v>
      </c>
      <c r="U10" s="594" t="s">
        <v>5</v>
      </c>
      <c r="V10" s="584" t="s">
        <v>5</v>
      </c>
      <c r="W10" s="584" t="s">
        <v>5</v>
      </c>
      <c r="X10" s="584">
        <v>0</v>
      </c>
      <c r="Y10" s="584">
        <v>243021.19</v>
      </c>
      <c r="Z10" s="591" t="s">
        <v>5</v>
      </c>
      <c r="AA10" s="581" t="s">
        <v>5</v>
      </c>
      <c r="AB10" s="581" t="s">
        <v>5</v>
      </c>
      <c r="AC10" s="581" t="s">
        <v>5</v>
      </c>
      <c r="AD10" s="581" t="s">
        <v>5</v>
      </c>
      <c r="AE10" s="581" t="s">
        <v>5</v>
      </c>
      <c r="AF10" s="581" t="s">
        <v>5</v>
      </c>
      <c r="AG10" s="581" t="s">
        <v>5</v>
      </c>
      <c r="AH10" s="581">
        <v>2.5000000000000001E-3</v>
      </c>
      <c r="AI10" s="581">
        <v>2.5000000000000001E-3</v>
      </c>
      <c r="AJ10" s="591" t="s">
        <v>5</v>
      </c>
      <c r="AK10" s="581" t="s">
        <v>5</v>
      </c>
      <c r="AL10" s="622" t="s">
        <v>5</v>
      </c>
      <c r="AM10" s="622" t="s">
        <v>5</v>
      </c>
      <c r="AN10" s="622" t="s">
        <v>5</v>
      </c>
      <c r="AO10" s="622" t="s">
        <v>5</v>
      </c>
      <c r="AP10" s="622" t="s">
        <v>5</v>
      </c>
      <c r="AQ10" s="622" t="s">
        <v>5</v>
      </c>
      <c r="AR10" s="622">
        <v>0</v>
      </c>
      <c r="AS10" s="623">
        <v>8.2000000000000007E-3</v>
      </c>
    </row>
    <row r="11" spans="1:86">
      <c r="A11" s="321" t="s">
        <v>109</v>
      </c>
      <c r="B11" s="601" t="s">
        <v>110</v>
      </c>
      <c r="C11" s="283" t="s">
        <v>111</v>
      </c>
      <c r="D11" s="58">
        <v>100000000</v>
      </c>
      <c r="E11" s="58">
        <v>850000</v>
      </c>
      <c r="F11" s="593" t="s">
        <v>5</v>
      </c>
      <c r="G11" s="594" t="s">
        <v>5</v>
      </c>
      <c r="H11" s="594" t="s">
        <v>5</v>
      </c>
      <c r="I11" s="594" t="s">
        <v>5</v>
      </c>
      <c r="J11" s="594" t="s">
        <v>5</v>
      </c>
      <c r="K11" s="594" t="s">
        <v>5</v>
      </c>
      <c r="L11" s="594" t="s">
        <v>5</v>
      </c>
      <c r="M11" s="594" t="s">
        <v>5</v>
      </c>
      <c r="N11" s="594">
        <v>850000</v>
      </c>
      <c r="O11" s="594">
        <v>0</v>
      </c>
      <c r="P11" s="593" t="s">
        <v>5</v>
      </c>
      <c r="Q11" s="594" t="s">
        <v>5</v>
      </c>
      <c r="R11" s="594" t="s">
        <v>5</v>
      </c>
      <c r="S11" s="594" t="s">
        <v>5</v>
      </c>
      <c r="T11" s="594" t="s">
        <v>5</v>
      </c>
      <c r="U11" s="594" t="s">
        <v>5</v>
      </c>
      <c r="V11" s="584" t="s">
        <v>5</v>
      </c>
      <c r="W11" s="584" t="s">
        <v>5</v>
      </c>
      <c r="X11" s="584">
        <v>666262.44999999995</v>
      </c>
      <c r="Y11" s="584">
        <v>0</v>
      </c>
      <c r="Z11" s="591" t="s">
        <v>5</v>
      </c>
      <c r="AA11" s="581" t="s">
        <v>5</v>
      </c>
      <c r="AB11" s="581" t="s">
        <v>5</v>
      </c>
      <c r="AC11" s="581" t="s">
        <v>5</v>
      </c>
      <c r="AD11" s="581" t="s">
        <v>5</v>
      </c>
      <c r="AE11" s="581" t="s">
        <v>5</v>
      </c>
      <c r="AF11" s="581" t="s">
        <v>5</v>
      </c>
      <c r="AG11" s="581" t="s">
        <v>5</v>
      </c>
      <c r="AH11" s="581">
        <v>8.5000000000000006E-3</v>
      </c>
      <c r="AI11" s="581">
        <v>8.5000000000000006E-3</v>
      </c>
      <c r="AJ11" s="591" t="s">
        <v>5</v>
      </c>
      <c r="AK11" s="581" t="s">
        <v>5</v>
      </c>
      <c r="AL11" s="622" t="s">
        <v>5</v>
      </c>
      <c r="AM11" s="622" t="s">
        <v>5</v>
      </c>
      <c r="AN11" s="622" t="s">
        <v>5</v>
      </c>
      <c r="AO11" s="622" t="s">
        <v>5</v>
      </c>
      <c r="AP11" s="622" t="s">
        <v>5</v>
      </c>
      <c r="AQ11" s="622" t="s">
        <v>5</v>
      </c>
      <c r="AR11" s="622">
        <v>2.9818721799999997E-3</v>
      </c>
      <c r="AS11" s="623">
        <v>3.1737020438000002E-2</v>
      </c>
    </row>
    <row r="12" spans="1:86" s="1" customFormat="1">
      <c r="A12" s="317">
        <v>2198</v>
      </c>
      <c r="B12" s="600" t="s">
        <v>69</v>
      </c>
      <c r="C12" s="319" t="s">
        <v>78</v>
      </c>
      <c r="D12" s="318">
        <v>55080000</v>
      </c>
      <c r="E12" s="318">
        <v>500000</v>
      </c>
      <c r="F12" s="583" t="s">
        <v>5</v>
      </c>
      <c r="G12" s="584" t="s">
        <v>5</v>
      </c>
      <c r="H12" s="584" t="s">
        <v>5</v>
      </c>
      <c r="I12" s="584" t="s">
        <v>5</v>
      </c>
      <c r="J12" s="584" t="s">
        <v>5</v>
      </c>
      <c r="K12" s="182" t="s">
        <v>5</v>
      </c>
      <c r="L12" s="182">
        <v>0</v>
      </c>
      <c r="M12" s="182">
        <v>500000</v>
      </c>
      <c r="N12" s="182">
        <v>0</v>
      </c>
      <c r="O12" s="182">
        <v>0</v>
      </c>
      <c r="P12" s="595" t="s">
        <v>5</v>
      </c>
      <c r="Q12" s="182" t="s">
        <v>5</v>
      </c>
      <c r="R12" s="182" t="s">
        <v>5</v>
      </c>
      <c r="S12" s="182" t="s">
        <v>5</v>
      </c>
      <c r="T12" s="584" t="s">
        <v>5</v>
      </c>
      <c r="U12" s="584" t="s">
        <v>5</v>
      </c>
      <c r="V12" s="584">
        <v>0</v>
      </c>
      <c r="W12" s="584">
        <v>0</v>
      </c>
      <c r="X12" s="584">
        <v>0</v>
      </c>
      <c r="Y12" s="584">
        <v>0</v>
      </c>
      <c r="Z12" s="589" t="s">
        <v>5</v>
      </c>
      <c r="AA12" s="590" t="s">
        <v>5</v>
      </c>
      <c r="AB12" s="590" t="s">
        <v>5</v>
      </c>
      <c r="AC12" s="590" t="s">
        <v>5</v>
      </c>
      <c r="AD12" s="590" t="s">
        <v>5</v>
      </c>
      <c r="AE12" s="590" t="s">
        <v>5</v>
      </c>
      <c r="AF12" s="590">
        <v>0</v>
      </c>
      <c r="AG12" s="590">
        <v>9.0777051561365292E-3</v>
      </c>
      <c r="AH12" s="590">
        <v>9.0777051561365292E-3</v>
      </c>
      <c r="AI12" s="590">
        <v>9.0777051561365292E-3</v>
      </c>
      <c r="AJ12" s="591" t="s">
        <v>5</v>
      </c>
      <c r="AK12" s="581" t="s">
        <v>5</v>
      </c>
      <c r="AL12" s="622" t="s">
        <v>5</v>
      </c>
      <c r="AM12" s="622" t="s">
        <v>5</v>
      </c>
      <c r="AN12" s="622" t="s">
        <v>5</v>
      </c>
      <c r="AO12" s="622">
        <v>0</v>
      </c>
      <c r="AP12" s="183">
        <v>9.1399999999999995E-2</v>
      </c>
      <c r="AQ12" s="622">
        <v>0.15978758169934643</v>
      </c>
      <c r="AR12" s="183">
        <v>0.18149999999999999</v>
      </c>
      <c r="AS12" s="623">
        <v>0.20572993681917212</v>
      </c>
    </row>
    <row r="13" spans="1:86">
      <c r="A13" s="317" t="s">
        <v>74</v>
      </c>
      <c r="B13" s="600" t="s">
        <v>201</v>
      </c>
      <c r="C13" s="319" t="s">
        <v>77</v>
      </c>
      <c r="D13" s="318">
        <v>111128810</v>
      </c>
      <c r="E13" s="318">
        <v>2042200</v>
      </c>
      <c r="F13" s="583" t="s">
        <v>5</v>
      </c>
      <c r="G13" s="584" t="s">
        <v>5</v>
      </c>
      <c r="H13" s="584" t="s">
        <v>5</v>
      </c>
      <c r="I13" s="584" t="s">
        <v>5</v>
      </c>
      <c r="J13" s="584" t="s">
        <v>5</v>
      </c>
      <c r="K13" s="182" t="s">
        <v>5</v>
      </c>
      <c r="L13" s="182">
        <v>0</v>
      </c>
      <c r="M13" s="182">
        <v>0</v>
      </c>
      <c r="N13" s="182">
        <v>1000000</v>
      </c>
      <c r="O13" s="182">
        <v>1088000</v>
      </c>
      <c r="P13" s="595" t="s">
        <v>5</v>
      </c>
      <c r="Q13" s="182" t="s">
        <v>5</v>
      </c>
      <c r="R13" s="182" t="s">
        <v>5</v>
      </c>
      <c r="S13" s="182" t="s">
        <v>5</v>
      </c>
      <c r="T13" s="584" t="s">
        <v>5</v>
      </c>
      <c r="U13" s="584" t="s">
        <v>5</v>
      </c>
      <c r="V13" s="584">
        <v>112231.92</v>
      </c>
      <c r="W13" s="584">
        <v>225333.52000000002</v>
      </c>
      <c r="X13" s="584">
        <v>225660.46000000002</v>
      </c>
      <c r="Y13" s="584">
        <v>108981.38</v>
      </c>
      <c r="Z13" s="589" t="s">
        <v>5</v>
      </c>
      <c r="AA13" s="590" t="s">
        <v>5</v>
      </c>
      <c r="AB13" s="590" t="s">
        <v>5</v>
      </c>
      <c r="AC13" s="590" t="s">
        <v>5</v>
      </c>
      <c r="AD13" s="590" t="s">
        <v>5</v>
      </c>
      <c r="AE13" s="590" t="s">
        <v>5</v>
      </c>
      <c r="AF13" s="590">
        <v>0</v>
      </c>
      <c r="AG13" s="590">
        <v>0</v>
      </c>
      <c r="AH13" s="590">
        <v>8.9985666183233677E-3</v>
      </c>
      <c r="AI13" s="592">
        <v>1.8800000000000001E-2</v>
      </c>
      <c r="AJ13" s="591" t="s">
        <v>5</v>
      </c>
      <c r="AK13" s="581" t="s">
        <v>5</v>
      </c>
      <c r="AL13" s="622" t="s">
        <v>5</v>
      </c>
      <c r="AM13" s="622" t="s">
        <v>5</v>
      </c>
      <c r="AN13" s="622" t="s">
        <v>5</v>
      </c>
      <c r="AO13" s="622">
        <v>0</v>
      </c>
      <c r="AP13" s="622">
        <v>0</v>
      </c>
      <c r="AQ13" s="622">
        <v>9.1619426159301826E-2</v>
      </c>
      <c r="AR13" s="622">
        <v>0.11447100739696221</v>
      </c>
      <c r="AS13" s="623">
        <v>8.4696054401005125E-2</v>
      </c>
    </row>
    <row r="14" spans="1:86">
      <c r="A14" s="321" t="s">
        <v>96</v>
      </c>
      <c r="B14" s="601" t="s">
        <v>215</v>
      </c>
      <c r="C14" s="283" t="s">
        <v>95</v>
      </c>
      <c r="D14" s="58">
        <v>156640000</v>
      </c>
      <c r="E14" s="58">
        <v>5352750</v>
      </c>
      <c r="F14" s="593" t="s">
        <v>5</v>
      </c>
      <c r="G14" s="594" t="s">
        <v>5</v>
      </c>
      <c r="H14" s="594" t="s">
        <v>5</v>
      </c>
      <c r="I14" s="594" t="s">
        <v>5</v>
      </c>
      <c r="J14" s="594" t="s">
        <v>5</v>
      </c>
      <c r="K14" s="594" t="s">
        <v>5</v>
      </c>
      <c r="L14" s="594" t="s">
        <v>5</v>
      </c>
      <c r="M14" s="594">
        <v>0</v>
      </c>
      <c r="N14" s="594">
        <v>3238550</v>
      </c>
      <c r="O14" s="594">
        <v>2114200</v>
      </c>
      <c r="P14" s="593" t="s">
        <v>5</v>
      </c>
      <c r="Q14" s="594" t="s">
        <v>5</v>
      </c>
      <c r="R14" s="594" t="s">
        <v>5</v>
      </c>
      <c r="S14" s="594" t="s">
        <v>5</v>
      </c>
      <c r="T14" s="594" t="s">
        <v>5</v>
      </c>
      <c r="U14" s="594" t="s">
        <v>5</v>
      </c>
      <c r="V14" s="584" t="s">
        <v>5</v>
      </c>
      <c r="W14" s="584">
        <v>0</v>
      </c>
      <c r="X14" s="584">
        <v>953381.87</v>
      </c>
      <c r="Y14" s="584">
        <v>0</v>
      </c>
      <c r="Z14" s="591" t="s">
        <v>5</v>
      </c>
      <c r="AA14" s="581" t="s">
        <v>5</v>
      </c>
      <c r="AB14" s="581" t="s">
        <v>5</v>
      </c>
      <c r="AC14" s="581" t="s">
        <v>5</v>
      </c>
      <c r="AD14" s="581" t="s">
        <v>5</v>
      </c>
      <c r="AE14" s="581" t="s">
        <v>5</v>
      </c>
      <c r="AF14" s="581" t="s">
        <v>5</v>
      </c>
      <c r="AG14" s="581">
        <v>0</v>
      </c>
      <c r="AH14" s="581">
        <v>2.0675114913176709E-2</v>
      </c>
      <c r="AI14" s="581">
        <v>3.4172305924412665E-2</v>
      </c>
      <c r="AJ14" s="591" t="s">
        <v>5</v>
      </c>
      <c r="AK14" s="581" t="s">
        <v>5</v>
      </c>
      <c r="AL14" s="622" t="s">
        <v>5</v>
      </c>
      <c r="AM14" s="622" t="s">
        <v>5</v>
      </c>
      <c r="AN14" s="622" t="s">
        <v>5</v>
      </c>
      <c r="AO14" s="622" t="s">
        <v>5</v>
      </c>
      <c r="AP14" s="622" t="s">
        <v>5</v>
      </c>
      <c r="AQ14" s="622">
        <v>0</v>
      </c>
      <c r="AR14" s="622">
        <v>6.3E-3</v>
      </c>
      <c r="AS14" s="623">
        <v>4.6699999999999998E-2</v>
      </c>
    </row>
    <row r="15" spans="1:86">
      <c r="A15" s="221">
        <v>2164</v>
      </c>
      <c r="B15" s="223" t="s">
        <v>58</v>
      </c>
      <c r="C15" s="564" t="s">
        <v>77</v>
      </c>
      <c r="D15" s="568">
        <v>154562390.28999999</v>
      </c>
      <c r="E15" s="568">
        <v>10967661.49</v>
      </c>
      <c r="F15" s="595" t="s">
        <v>5</v>
      </c>
      <c r="G15" s="182" t="s">
        <v>5</v>
      </c>
      <c r="H15" s="182" t="s">
        <v>5</v>
      </c>
      <c r="I15" s="182" t="s">
        <v>5</v>
      </c>
      <c r="J15" s="182" t="s">
        <v>5</v>
      </c>
      <c r="K15" s="182">
        <v>0</v>
      </c>
      <c r="L15" s="182">
        <v>1500000</v>
      </c>
      <c r="M15" s="182">
        <v>0</v>
      </c>
      <c r="N15" s="182">
        <v>9467661.4900000002</v>
      </c>
      <c r="O15" s="182">
        <v>0</v>
      </c>
      <c r="P15" s="595" t="s">
        <v>5</v>
      </c>
      <c r="Q15" s="182" t="s">
        <v>5</v>
      </c>
      <c r="R15" s="182" t="s">
        <v>5</v>
      </c>
      <c r="S15" s="182" t="s">
        <v>5</v>
      </c>
      <c r="T15" s="182" t="s">
        <v>5</v>
      </c>
      <c r="U15" s="182">
        <v>0</v>
      </c>
      <c r="V15" s="584">
        <v>0</v>
      </c>
      <c r="W15" s="584">
        <v>0</v>
      </c>
      <c r="X15" s="584">
        <v>0</v>
      </c>
      <c r="Y15" s="584">
        <v>0</v>
      </c>
      <c r="Z15" s="596" t="s">
        <v>5</v>
      </c>
      <c r="AA15" s="592" t="s">
        <v>5</v>
      </c>
      <c r="AB15" s="592" t="s">
        <v>5</v>
      </c>
      <c r="AC15" s="592" t="s">
        <v>5</v>
      </c>
      <c r="AD15" s="592" t="s">
        <v>5</v>
      </c>
      <c r="AE15" s="592">
        <v>0</v>
      </c>
      <c r="AF15" s="592">
        <v>9.7048188578450593E-3</v>
      </c>
      <c r="AG15" s="592">
        <v>9.7048188578450593E-3</v>
      </c>
      <c r="AH15" s="592">
        <v>7.0959445369742025E-2</v>
      </c>
      <c r="AI15" s="592">
        <v>7.0959445369742025E-2</v>
      </c>
      <c r="AJ15" s="596" t="s">
        <v>5</v>
      </c>
      <c r="AK15" s="592" t="s">
        <v>5</v>
      </c>
      <c r="AL15" s="183" t="s">
        <v>5</v>
      </c>
      <c r="AM15" s="183" t="s">
        <v>5</v>
      </c>
      <c r="AN15" s="183" t="s">
        <v>5</v>
      </c>
      <c r="AO15" s="183">
        <v>0</v>
      </c>
      <c r="AP15" s="622">
        <v>0.118505012987553</v>
      </c>
      <c r="AQ15" s="622">
        <v>0.13700000000000001</v>
      </c>
      <c r="AR15" s="622">
        <v>0.19315930093031164</v>
      </c>
      <c r="AS15" s="623">
        <v>0.18745672259101054</v>
      </c>
    </row>
    <row r="16" spans="1:86">
      <c r="A16" s="317">
        <v>2129</v>
      </c>
      <c r="B16" s="600" t="s">
        <v>57</v>
      </c>
      <c r="C16" s="319" t="s">
        <v>77</v>
      </c>
      <c r="D16" s="318">
        <v>130000000</v>
      </c>
      <c r="E16" s="318">
        <v>11200000</v>
      </c>
      <c r="F16" s="583" t="s">
        <v>5</v>
      </c>
      <c r="G16" s="584" t="s">
        <v>5</v>
      </c>
      <c r="H16" s="584">
        <v>0</v>
      </c>
      <c r="I16" s="584">
        <v>200000</v>
      </c>
      <c r="J16" s="584">
        <v>3000000</v>
      </c>
      <c r="K16" s="182">
        <v>0</v>
      </c>
      <c r="L16" s="182">
        <v>5000000</v>
      </c>
      <c r="M16" s="182">
        <v>0</v>
      </c>
      <c r="N16" s="182">
        <v>0</v>
      </c>
      <c r="O16" s="182">
        <v>3000000</v>
      </c>
      <c r="P16" s="595" t="s">
        <v>5</v>
      </c>
      <c r="Q16" s="182" t="s">
        <v>5</v>
      </c>
      <c r="R16" s="182">
        <v>0</v>
      </c>
      <c r="S16" s="182">
        <v>330416.67</v>
      </c>
      <c r="T16" s="584">
        <v>330163.89</v>
      </c>
      <c r="U16" s="584">
        <v>322147.21999999997</v>
      </c>
      <c r="V16" s="584">
        <v>320522.23</v>
      </c>
      <c r="W16" s="584">
        <v>312144.45</v>
      </c>
      <c r="X16" s="584">
        <v>308729.15999999997</v>
      </c>
      <c r="Y16" s="584">
        <v>157325</v>
      </c>
      <c r="Z16" s="589" t="s">
        <v>5</v>
      </c>
      <c r="AA16" s="590" t="s">
        <v>5</v>
      </c>
      <c r="AB16" s="590">
        <v>0</v>
      </c>
      <c r="AC16" s="590">
        <v>1.5384615384615385E-3</v>
      </c>
      <c r="AD16" s="590">
        <v>2.4615384615384615E-2</v>
      </c>
      <c r="AE16" s="590">
        <v>2.4615384615384615E-2</v>
      </c>
      <c r="AF16" s="590">
        <v>6.3076923076923072E-2</v>
      </c>
      <c r="AG16" s="590">
        <v>6.3076923076923072E-2</v>
      </c>
      <c r="AH16" s="590">
        <v>6.3076923076923072E-2</v>
      </c>
      <c r="AI16" s="590">
        <v>8.615384615384615E-2</v>
      </c>
      <c r="AJ16" s="591" t="s">
        <v>5</v>
      </c>
      <c r="AK16" s="581" t="s">
        <v>5</v>
      </c>
      <c r="AL16" s="622">
        <v>0</v>
      </c>
      <c r="AM16" s="622">
        <v>3.1199999999999999E-2</v>
      </c>
      <c r="AN16" s="622">
        <v>4.3299999999999998E-2</v>
      </c>
      <c r="AO16" s="622">
        <v>6.6699999999999995E-2</v>
      </c>
      <c r="AP16" s="622">
        <v>0.104</v>
      </c>
      <c r="AQ16" s="622">
        <v>0.14829999999999999</v>
      </c>
      <c r="AR16" s="622">
        <v>0.26419999999999999</v>
      </c>
      <c r="AS16" s="623">
        <v>0.28179999999999999</v>
      </c>
    </row>
    <row r="17" spans="1:82" s="16" customFormat="1">
      <c r="A17" s="168" t="s">
        <v>51</v>
      </c>
      <c r="B17" s="223" t="s">
        <v>289</v>
      </c>
      <c r="C17" s="283" t="s">
        <v>7</v>
      </c>
      <c r="D17" s="58">
        <v>191194644.69618949</v>
      </c>
      <c r="E17" s="58">
        <v>27873802.221568339</v>
      </c>
      <c r="F17" s="593" t="s">
        <v>5</v>
      </c>
      <c r="G17" s="594" t="s">
        <v>5</v>
      </c>
      <c r="H17" s="594" t="s">
        <v>5</v>
      </c>
      <c r="I17" s="594" t="s">
        <v>5</v>
      </c>
      <c r="J17" s="594">
        <v>0</v>
      </c>
      <c r="K17" s="594">
        <v>157399.24566027446</v>
      </c>
      <c r="L17" s="594">
        <v>11210810.580645161</v>
      </c>
      <c r="M17" s="594">
        <v>10848269.185990104</v>
      </c>
      <c r="N17" s="594">
        <v>62032244.909999996</v>
      </c>
      <c r="O17" s="594">
        <v>281206.12034721201</v>
      </c>
      <c r="P17" s="593" t="s">
        <v>5</v>
      </c>
      <c r="Q17" s="594" t="s">
        <v>5</v>
      </c>
      <c r="R17" s="594" t="s">
        <v>5</v>
      </c>
      <c r="S17" s="594" t="s">
        <v>5</v>
      </c>
      <c r="T17" s="594">
        <v>0</v>
      </c>
      <c r="U17" s="594">
        <v>3273322.4019999998</v>
      </c>
      <c r="V17" s="584">
        <v>235399.253</v>
      </c>
      <c r="W17" s="584">
        <v>227368.64600000001</v>
      </c>
      <c r="X17" s="584">
        <v>204064.986</v>
      </c>
      <c r="Y17" s="584">
        <v>0</v>
      </c>
      <c r="Z17" s="591" t="s">
        <v>5</v>
      </c>
      <c r="AA17" s="581" t="s">
        <v>5</v>
      </c>
      <c r="AB17" s="581" t="s">
        <v>5</v>
      </c>
      <c r="AC17" s="581" t="s">
        <v>5</v>
      </c>
      <c r="AD17" s="581" t="s">
        <v>5</v>
      </c>
      <c r="AE17" s="581">
        <v>6.663321534377284E-4</v>
      </c>
      <c r="AF17" s="581">
        <v>4.7466106998576431E-2</v>
      </c>
      <c r="AG17" s="581">
        <v>9.0486041014197216E-2</v>
      </c>
      <c r="AH17" s="581">
        <v>0.14431678327113232</v>
      </c>
      <c r="AI17" s="581">
        <v>0.14578756777346005</v>
      </c>
      <c r="AJ17" s="591" t="s">
        <v>5</v>
      </c>
      <c r="AK17" s="581" t="s">
        <v>5</v>
      </c>
      <c r="AL17" s="622" t="s">
        <v>5</v>
      </c>
      <c r="AM17" s="622" t="s">
        <v>5</v>
      </c>
      <c r="AN17" s="622">
        <v>2.5000000000000001E-3</v>
      </c>
      <c r="AO17" s="622">
        <v>1.6477200000000001E-2</v>
      </c>
      <c r="AP17" s="622">
        <v>0.10839093399999999</v>
      </c>
      <c r="AQ17" s="622">
        <v>0.16761234999999997</v>
      </c>
      <c r="AR17" s="622">
        <v>0.2567179544</v>
      </c>
      <c r="AS17" s="623">
        <v>0.27681873999999995</v>
      </c>
    </row>
    <row r="18" spans="1:82" s="16" customFormat="1">
      <c r="A18" s="321" t="s">
        <v>101</v>
      </c>
      <c r="B18" s="601" t="s">
        <v>102</v>
      </c>
      <c r="C18" s="283" t="s">
        <v>4</v>
      </c>
      <c r="D18" s="58">
        <v>125000000</v>
      </c>
      <c r="E18" s="58">
        <v>20000000</v>
      </c>
      <c r="F18" s="593" t="s">
        <v>5</v>
      </c>
      <c r="G18" s="594" t="s">
        <v>5</v>
      </c>
      <c r="H18" s="594" t="s">
        <v>5</v>
      </c>
      <c r="I18" s="594" t="s">
        <v>5</v>
      </c>
      <c r="J18" s="594" t="s">
        <v>5</v>
      </c>
      <c r="K18" s="594" t="s">
        <v>5</v>
      </c>
      <c r="L18" s="594" t="s">
        <v>5</v>
      </c>
      <c r="M18" s="594">
        <v>0</v>
      </c>
      <c r="N18" s="594">
        <v>20000000</v>
      </c>
      <c r="O18" s="594">
        <v>0</v>
      </c>
      <c r="P18" s="593" t="s">
        <v>5</v>
      </c>
      <c r="Q18" s="594" t="s">
        <v>5</v>
      </c>
      <c r="R18" s="594" t="s">
        <v>5</v>
      </c>
      <c r="S18" s="594" t="s">
        <v>5</v>
      </c>
      <c r="T18" s="594" t="s">
        <v>5</v>
      </c>
      <c r="U18" s="594" t="s">
        <v>5</v>
      </c>
      <c r="V18" s="584" t="s">
        <v>5</v>
      </c>
      <c r="W18" s="584">
        <v>0</v>
      </c>
      <c r="X18" s="584">
        <v>809476.57</v>
      </c>
      <c r="Y18" s="584">
        <v>260342.47</v>
      </c>
      <c r="Z18" s="591" t="s">
        <v>5</v>
      </c>
      <c r="AA18" s="581" t="s">
        <v>5</v>
      </c>
      <c r="AB18" s="581" t="s">
        <v>5</v>
      </c>
      <c r="AC18" s="581" t="s">
        <v>5</v>
      </c>
      <c r="AD18" s="581" t="s">
        <v>5</v>
      </c>
      <c r="AE18" s="581" t="s">
        <v>5</v>
      </c>
      <c r="AF18" s="581" t="s">
        <v>5</v>
      </c>
      <c r="AG18" s="581">
        <v>0</v>
      </c>
      <c r="AH18" s="581">
        <v>0.16</v>
      </c>
      <c r="AI18" s="581">
        <v>0.16</v>
      </c>
      <c r="AJ18" s="591" t="s">
        <v>5</v>
      </c>
      <c r="AK18" s="581" t="s">
        <v>5</v>
      </c>
      <c r="AL18" s="622" t="s">
        <v>5</v>
      </c>
      <c r="AM18" s="622" t="s">
        <v>5</v>
      </c>
      <c r="AN18" s="622" t="s">
        <v>5</v>
      </c>
      <c r="AO18" s="622" t="s">
        <v>5</v>
      </c>
      <c r="AP18" s="622" t="s">
        <v>5</v>
      </c>
      <c r="AQ18" s="622">
        <v>0</v>
      </c>
      <c r="AR18" s="622">
        <v>0.40300000000000002</v>
      </c>
      <c r="AS18" s="623">
        <v>0.42899999999999999</v>
      </c>
    </row>
    <row r="19" spans="1:82" s="16" customFormat="1">
      <c r="A19" s="321" t="s">
        <v>49</v>
      </c>
      <c r="B19" s="601" t="s">
        <v>50</v>
      </c>
      <c r="C19" s="283" t="s">
        <v>54</v>
      </c>
      <c r="D19" s="58">
        <v>100000000</v>
      </c>
      <c r="E19" s="58">
        <v>20552698.379999999</v>
      </c>
      <c r="F19" s="593" t="s">
        <v>5</v>
      </c>
      <c r="G19" s="594" t="s">
        <v>5</v>
      </c>
      <c r="H19" s="594" t="s">
        <v>5</v>
      </c>
      <c r="I19" s="594" t="s">
        <v>5</v>
      </c>
      <c r="J19" s="594">
        <v>0</v>
      </c>
      <c r="K19" s="594">
        <v>0</v>
      </c>
      <c r="L19" s="594">
        <v>5145797.18</v>
      </c>
      <c r="M19" s="594">
        <v>0</v>
      </c>
      <c r="N19" s="594">
        <v>15406901.199999999</v>
      </c>
      <c r="O19" s="594">
        <v>0</v>
      </c>
      <c r="P19" s="593" t="s">
        <v>5</v>
      </c>
      <c r="Q19" s="594" t="s">
        <v>5</v>
      </c>
      <c r="R19" s="594" t="s">
        <v>5</v>
      </c>
      <c r="S19" s="594" t="s">
        <v>5</v>
      </c>
      <c r="T19" s="594">
        <v>874141.03</v>
      </c>
      <c r="U19" s="594">
        <v>499003.72</v>
      </c>
      <c r="V19" s="584">
        <v>498315.07</v>
      </c>
      <c r="W19" s="584">
        <v>473928.73</v>
      </c>
      <c r="X19" s="584">
        <v>469989.67</v>
      </c>
      <c r="Y19" s="584">
        <v>0</v>
      </c>
      <c r="Z19" s="591" t="s">
        <v>5</v>
      </c>
      <c r="AA19" s="581" t="s">
        <v>5</v>
      </c>
      <c r="AB19" s="581" t="s">
        <v>5</v>
      </c>
      <c r="AC19" s="581" t="s">
        <v>5</v>
      </c>
      <c r="AD19" s="581" t="s">
        <v>5</v>
      </c>
      <c r="AE19" s="581">
        <v>0</v>
      </c>
      <c r="AF19" s="581">
        <v>5.1457971799999995E-2</v>
      </c>
      <c r="AG19" s="581">
        <v>5.1457971799999995E-2</v>
      </c>
      <c r="AH19" s="581">
        <v>0.20552698379999998</v>
      </c>
      <c r="AI19" s="581">
        <v>0.20552698379999998</v>
      </c>
      <c r="AJ19" s="591" t="s">
        <v>5</v>
      </c>
      <c r="AK19" s="581" t="s">
        <v>5</v>
      </c>
      <c r="AL19" s="622" t="s">
        <v>5</v>
      </c>
      <c r="AM19" s="622" t="s">
        <v>5</v>
      </c>
      <c r="AN19" s="622">
        <v>0</v>
      </c>
      <c r="AO19" s="622">
        <v>0</v>
      </c>
      <c r="AP19" s="622">
        <v>7.5999999999999998E-2</v>
      </c>
      <c r="AQ19" s="622">
        <v>0.19453353999999998</v>
      </c>
      <c r="AR19" s="622">
        <v>0.31290000000000001</v>
      </c>
      <c r="AS19" s="623">
        <v>0.369174</v>
      </c>
    </row>
    <row r="20" spans="1:82" s="16" customFormat="1">
      <c r="A20" s="321" t="s">
        <v>98</v>
      </c>
      <c r="B20" s="601" t="s">
        <v>104</v>
      </c>
      <c r="C20" s="283" t="s">
        <v>99</v>
      </c>
      <c r="D20" s="58">
        <v>90055000</v>
      </c>
      <c r="E20" s="58">
        <v>26500000</v>
      </c>
      <c r="F20" s="593" t="s">
        <v>5</v>
      </c>
      <c r="G20" s="594" t="s">
        <v>5</v>
      </c>
      <c r="H20" s="594" t="s">
        <v>5</v>
      </c>
      <c r="I20" s="594" t="s">
        <v>5</v>
      </c>
      <c r="J20" s="594" t="s">
        <v>5</v>
      </c>
      <c r="K20" s="594" t="s">
        <v>5</v>
      </c>
      <c r="L20" s="594" t="s">
        <v>5</v>
      </c>
      <c r="M20" s="594">
        <v>0</v>
      </c>
      <c r="N20" s="594">
        <v>0</v>
      </c>
      <c r="O20" s="594">
        <v>26500000</v>
      </c>
      <c r="P20" s="593" t="s">
        <v>5</v>
      </c>
      <c r="Q20" s="594" t="s">
        <v>5</v>
      </c>
      <c r="R20" s="594" t="s">
        <v>5</v>
      </c>
      <c r="S20" s="594" t="s">
        <v>5</v>
      </c>
      <c r="T20" s="594" t="s">
        <v>5</v>
      </c>
      <c r="U20" s="594" t="s">
        <v>5</v>
      </c>
      <c r="V20" s="584" t="s">
        <v>5</v>
      </c>
      <c r="W20" s="584">
        <v>0</v>
      </c>
      <c r="X20" s="584">
        <v>0</v>
      </c>
      <c r="Y20" s="584">
        <v>0</v>
      </c>
      <c r="Z20" s="591" t="s">
        <v>5</v>
      </c>
      <c r="AA20" s="581" t="s">
        <v>5</v>
      </c>
      <c r="AB20" s="581" t="s">
        <v>5</v>
      </c>
      <c r="AC20" s="581" t="s">
        <v>5</v>
      </c>
      <c r="AD20" s="581" t="s">
        <v>5</v>
      </c>
      <c r="AE20" s="581" t="s">
        <v>5</v>
      </c>
      <c r="AF20" s="581" t="s">
        <v>5</v>
      </c>
      <c r="AG20" s="581">
        <v>0</v>
      </c>
      <c r="AH20" s="581">
        <v>0</v>
      </c>
      <c r="AI20" s="581">
        <v>0.29426461606795845</v>
      </c>
      <c r="AJ20" s="591" t="s">
        <v>5</v>
      </c>
      <c r="AK20" s="581" t="s">
        <v>5</v>
      </c>
      <c r="AL20" s="622" t="s">
        <v>5</v>
      </c>
      <c r="AM20" s="622" t="s">
        <v>5</v>
      </c>
      <c r="AN20" s="622" t="s">
        <v>5</v>
      </c>
      <c r="AO20" s="622" t="s">
        <v>5</v>
      </c>
      <c r="AP20" s="622" t="s">
        <v>5</v>
      </c>
      <c r="AQ20" s="622">
        <v>0</v>
      </c>
      <c r="AR20" s="622">
        <v>0.06</v>
      </c>
      <c r="AS20" s="623">
        <v>0.38</v>
      </c>
    </row>
    <row r="21" spans="1:82" s="16" customFormat="1">
      <c r="A21" s="321" t="s">
        <v>71</v>
      </c>
      <c r="B21" s="601" t="s">
        <v>79</v>
      </c>
      <c r="C21" s="283" t="s">
        <v>7</v>
      </c>
      <c r="D21" s="58">
        <v>134500000</v>
      </c>
      <c r="E21" s="58">
        <v>53563456.840000004</v>
      </c>
      <c r="F21" s="593" t="s">
        <v>5</v>
      </c>
      <c r="G21" s="594" t="s">
        <v>5</v>
      </c>
      <c r="H21" s="594" t="s">
        <v>5</v>
      </c>
      <c r="I21" s="594" t="s">
        <v>5</v>
      </c>
      <c r="J21" s="594" t="s">
        <v>5</v>
      </c>
      <c r="K21" s="594" t="s">
        <v>5</v>
      </c>
      <c r="L21" s="594">
        <v>44485703.280000001</v>
      </c>
      <c r="M21" s="594">
        <v>4077753.56</v>
      </c>
      <c r="N21" s="594">
        <v>5000000</v>
      </c>
      <c r="O21" s="594">
        <v>0</v>
      </c>
      <c r="P21" s="593" t="s">
        <v>5</v>
      </c>
      <c r="Q21" s="594" t="s">
        <v>5</v>
      </c>
      <c r="R21" s="594" t="s">
        <v>5</v>
      </c>
      <c r="S21" s="594" t="s">
        <v>5</v>
      </c>
      <c r="T21" s="594" t="s">
        <v>5</v>
      </c>
      <c r="U21" s="594" t="s">
        <v>5</v>
      </c>
      <c r="V21" s="584">
        <v>180561.65</v>
      </c>
      <c r="W21" s="584">
        <v>486532.13</v>
      </c>
      <c r="X21" s="584">
        <v>436210.72</v>
      </c>
      <c r="Y21" s="584">
        <v>213593.43</v>
      </c>
      <c r="Z21" s="591" t="s">
        <v>5</v>
      </c>
      <c r="AA21" s="581" t="s">
        <v>5</v>
      </c>
      <c r="AB21" s="581" t="s">
        <v>5</v>
      </c>
      <c r="AC21" s="581" t="s">
        <v>5</v>
      </c>
      <c r="AD21" s="581" t="s">
        <v>5</v>
      </c>
      <c r="AE21" s="581" t="s">
        <v>5</v>
      </c>
      <c r="AF21" s="581">
        <v>0.3307487232713755</v>
      </c>
      <c r="AG21" s="581">
        <v>0.36106659360594801</v>
      </c>
      <c r="AH21" s="581">
        <v>0.39824131479553904</v>
      </c>
      <c r="AI21" s="581">
        <v>0.39824131479553904</v>
      </c>
      <c r="AJ21" s="591" t="s">
        <v>5</v>
      </c>
      <c r="AK21" s="581" t="s">
        <v>5</v>
      </c>
      <c r="AL21" s="622" t="s">
        <v>5</v>
      </c>
      <c r="AM21" s="622" t="s">
        <v>5</v>
      </c>
      <c r="AN21" s="622" t="s">
        <v>5</v>
      </c>
      <c r="AO21" s="622">
        <v>0</v>
      </c>
      <c r="AP21" s="622">
        <v>0.37309999999999999</v>
      </c>
      <c r="AQ21" s="622">
        <v>0.46954288240495146</v>
      </c>
      <c r="AR21" s="622">
        <v>0.51822292634144429</v>
      </c>
      <c r="AS21" s="623">
        <v>0.5706</v>
      </c>
    </row>
    <row r="22" spans="1:82" s="16" customFormat="1">
      <c r="A22" s="321" t="s">
        <v>55</v>
      </c>
      <c r="B22" s="601" t="s">
        <v>287</v>
      </c>
      <c r="C22" s="283" t="s">
        <v>4</v>
      </c>
      <c r="D22" s="58">
        <v>50000000</v>
      </c>
      <c r="E22" s="58">
        <v>20000000</v>
      </c>
      <c r="F22" s="593" t="s">
        <v>5</v>
      </c>
      <c r="G22" s="594">
        <v>0</v>
      </c>
      <c r="H22" s="594">
        <v>0</v>
      </c>
      <c r="I22" s="594">
        <v>0</v>
      </c>
      <c r="J22" s="594">
        <v>0</v>
      </c>
      <c r="K22" s="594">
        <v>0</v>
      </c>
      <c r="L22" s="594">
        <v>0</v>
      </c>
      <c r="M22" s="594">
        <v>15000000</v>
      </c>
      <c r="N22" s="594">
        <v>5000000</v>
      </c>
      <c r="O22" s="594">
        <v>0</v>
      </c>
      <c r="P22" s="593" t="s">
        <v>5</v>
      </c>
      <c r="Q22" s="594">
        <v>0</v>
      </c>
      <c r="R22" s="594">
        <v>171232.87</v>
      </c>
      <c r="S22" s="594">
        <v>286447.34000000003</v>
      </c>
      <c r="T22" s="594">
        <v>249854.04</v>
      </c>
      <c r="U22" s="594">
        <v>250000</v>
      </c>
      <c r="V22" s="584">
        <v>250020.01</v>
      </c>
      <c r="W22" s="584">
        <v>250145.97</v>
      </c>
      <c r="X22" s="584">
        <v>176300.79999999999</v>
      </c>
      <c r="Y22" s="584">
        <v>74794.52</v>
      </c>
      <c r="Z22" s="591" t="s">
        <v>5</v>
      </c>
      <c r="AA22" s="581">
        <v>0</v>
      </c>
      <c r="AB22" s="581">
        <v>0</v>
      </c>
      <c r="AC22" s="581">
        <v>0</v>
      </c>
      <c r="AD22" s="581">
        <v>0</v>
      </c>
      <c r="AE22" s="581">
        <v>0</v>
      </c>
      <c r="AF22" s="581">
        <v>0</v>
      </c>
      <c r="AG22" s="581">
        <v>0.3</v>
      </c>
      <c r="AH22" s="581">
        <v>0.4</v>
      </c>
      <c r="AI22" s="581">
        <v>0.4</v>
      </c>
      <c r="AJ22" s="591" t="s">
        <v>5</v>
      </c>
      <c r="AK22" s="581">
        <v>0</v>
      </c>
      <c r="AL22" s="622">
        <v>0</v>
      </c>
      <c r="AM22" s="622">
        <v>0.13</v>
      </c>
      <c r="AN22" s="622">
        <v>0.31</v>
      </c>
      <c r="AO22" s="622">
        <v>0.49</v>
      </c>
      <c r="AP22" s="622">
        <v>0.59</v>
      </c>
      <c r="AQ22" s="622">
        <v>0.74</v>
      </c>
      <c r="AR22" s="622">
        <v>0.47</v>
      </c>
      <c r="AS22" s="623">
        <v>0</v>
      </c>
    </row>
    <row r="23" spans="1:82" s="16" customFormat="1">
      <c r="A23" s="321" t="s">
        <v>67</v>
      </c>
      <c r="B23" s="601" t="s">
        <v>68</v>
      </c>
      <c r="C23" s="283" t="s">
        <v>4</v>
      </c>
      <c r="D23" s="58">
        <v>144036000</v>
      </c>
      <c r="E23" s="58">
        <v>61989292.43</v>
      </c>
      <c r="F23" s="593" t="s">
        <v>5</v>
      </c>
      <c r="G23" s="594" t="s">
        <v>5</v>
      </c>
      <c r="H23" s="594" t="s">
        <v>5</v>
      </c>
      <c r="I23" s="594" t="s">
        <v>5</v>
      </c>
      <c r="J23" s="594" t="s">
        <v>5</v>
      </c>
      <c r="K23" s="594">
        <v>0</v>
      </c>
      <c r="L23" s="594">
        <v>11450375.07</v>
      </c>
      <c r="M23" s="594">
        <v>32874109.239999998</v>
      </c>
      <c r="N23" s="594">
        <v>10000000</v>
      </c>
      <c r="O23" s="594">
        <v>7664808.1200000001</v>
      </c>
      <c r="P23" s="593" t="s">
        <v>5</v>
      </c>
      <c r="Q23" s="594" t="s">
        <v>5</v>
      </c>
      <c r="R23" s="594" t="s">
        <v>5</v>
      </c>
      <c r="S23" s="594" t="s">
        <v>5</v>
      </c>
      <c r="T23" s="594" t="s">
        <v>5</v>
      </c>
      <c r="U23" s="594">
        <v>0</v>
      </c>
      <c r="V23" s="584">
        <v>530146.37</v>
      </c>
      <c r="W23" s="584">
        <v>656164.29</v>
      </c>
      <c r="X23" s="584">
        <v>513855.42</v>
      </c>
      <c r="Y23" s="584">
        <v>226122.18</v>
      </c>
      <c r="Z23" s="591" t="s">
        <v>5</v>
      </c>
      <c r="AA23" s="581" t="s">
        <v>5</v>
      </c>
      <c r="AB23" s="581" t="s">
        <v>5</v>
      </c>
      <c r="AC23" s="581" t="s">
        <v>5</v>
      </c>
      <c r="AD23" s="581" t="s">
        <v>5</v>
      </c>
      <c r="AE23" s="581">
        <v>0</v>
      </c>
      <c r="AF23" s="581">
        <v>7.9496619386819969E-2</v>
      </c>
      <c r="AG23" s="581">
        <v>0.30773198582298872</v>
      </c>
      <c r="AH23" s="581">
        <v>0.37715907349551503</v>
      </c>
      <c r="AI23" s="581">
        <v>0.43037360402954816</v>
      </c>
      <c r="AJ23" s="591" t="s">
        <v>5</v>
      </c>
      <c r="AK23" s="581" t="s">
        <v>5</v>
      </c>
      <c r="AL23" s="622" t="s">
        <v>5</v>
      </c>
      <c r="AM23" s="622" t="s">
        <v>5</v>
      </c>
      <c r="AN23" s="622" t="s">
        <v>5</v>
      </c>
      <c r="AO23" s="622">
        <v>0</v>
      </c>
      <c r="AP23" s="622">
        <v>0.12</v>
      </c>
      <c r="AQ23" s="622">
        <v>0.25</v>
      </c>
      <c r="AR23" s="622">
        <v>0.44</v>
      </c>
      <c r="AS23" s="623">
        <v>0.52</v>
      </c>
    </row>
    <row r="24" spans="1:82" s="16" customFormat="1">
      <c r="A24" s="317" t="s">
        <v>36</v>
      </c>
      <c r="B24" s="499" t="s">
        <v>76</v>
      </c>
      <c r="C24" s="283" t="s">
        <v>35</v>
      </c>
      <c r="D24" s="58">
        <v>296000000</v>
      </c>
      <c r="E24" s="58">
        <v>169281847.06999999</v>
      </c>
      <c r="F24" s="593" t="s">
        <v>5</v>
      </c>
      <c r="G24" s="594" t="s">
        <v>5</v>
      </c>
      <c r="H24" s="594">
        <v>0</v>
      </c>
      <c r="I24" s="594">
        <v>0</v>
      </c>
      <c r="J24" s="594">
        <v>0</v>
      </c>
      <c r="K24" s="594">
        <v>0</v>
      </c>
      <c r="L24" s="594">
        <v>37374665.859999999</v>
      </c>
      <c r="M24" s="594">
        <v>39012508.710000001</v>
      </c>
      <c r="N24" s="594">
        <v>62032244.909999996</v>
      </c>
      <c r="O24" s="594">
        <v>30862427.59</v>
      </c>
      <c r="P24" s="593" t="s">
        <v>5</v>
      </c>
      <c r="Q24" s="594" t="s">
        <v>5</v>
      </c>
      <c r="R24" s="594">
        <v>0</v>
      </c>
      <c r="S24" s="594">
        <v>0</v>
      </c>
      <c r="T24" s="594">
        <v>0</v>
      </c>
      <c r="U24" s="594">
        <v>0</v>
      </c>
      <c r="V24" s="584">
        <v>275444.44</v>
      </c>
      <c r="W24" s="584">
        <v>654723.52</v>
      </c>
      <c r="X24" s="584">
        <v>525697.44999999995</v>
      </c>
      <c r="Y24" s="584">
        <v>201780.29</v>
      </c>
      <c r="Z24" s="591" t="s">
        <v>5</v>
      </c>
      <c r="AA24" s="581" t="s">
        <v>5</v>
      </c>
      <c r="AB24" s="581">
        <v>0</v>
      </c>
      <c r="AC24" s="581">
        <v>0</v>
      </c>
      <c r="AD24" s="581">
        <v>0</v>
      </c>
      <c r="AE24" s="581">
        <v>0</v>
      </c>
      <c r="AF24" s="581">
        <v>0.12626576304054055</v>
      </c>
      <c r="AG24" s="581">
        <v>0.25806477895270274</v>
      </c>
      <c r="AH24" s="581">
        <v>0.46760000000000002</v>
      </c>
      <c r="AI24" s="581">
        <v>0.57189813199324324</v>
      </c>
      <c r="AJ24" s="591" t="s">
        <v>5</v>
      </c>
      <c r="AK24" s="581" t="s">
        <v>5</v>
      </c>
      <c r="AL24" s="622">
        <v>0</v>
      </c>
      <c r="AM24" s="622">
        <v>7.1000000000000004E-3</v>
      </c>
      <c r="AN24" s="622">
        <v>2.5499999999999998E-2</v>
      </c>
      <c r="AO24" s="622">
        <v>6.0999999999999999E-2</v>
      </c>
      <c r="AP24" s="622">
        <v>0.20519999999999999</v>
      </c>
      <c r="AQ24" s="622">
        <v>0.3392</v>
      </c>
      <c r="AR24" s="622">
        <v>0.45479999999999998</v>
      </c>
      <c r="AS24" s="623">
        <v>0</v>
      </c>
    </row>
    <row r="25" spans="1:82" s="16" customFormat="1">
      <c r="A25" s="317">
        <v>2128</v>
      </c>
      <c r="B25" s="600" t="s">
        <v>40</v>
      </c>
      <c r="C25" s="319" t="s">
        <v>0</v>
      </c>
      <c r="D25" s="318">
        <v>270000000</v>
      </c>
      <c r="E25" s="318">
        <v>159800233.27000001</v>
      </c>
      <c r="F25" s="583" t="s">
        <v>5</v>
      </c>
      <c r="G25" s="584">
        <v>5000000</v>
      </c>
      <c r="H25" s="584">
        <v>26078740.899999999</v>
      </c>
      <c r="I25" s="584">
        <v>12297306.35</v>
      </c>
      <c r="J25" s="584">
        <v>7682132.7299999995</v>
      </c>
      <c r="K25" s="182">
        <v>12790856.84</v>
      </c>
      <c r="L25" s="182">
        <v>9087363.0399999991</v>
      </c>
      <c r="M25" s="182">
        <v>59954659.530000001</v>
      </c>
      <c r="N25" s="182">
        <v>0</v>
      </c>
      <c r="O25" s="182">
        <v>26909173.879999999</v>
      </c>
      <c r="P25" s="595" t="s">
        <v>5</v>
      </c>
      <c r="Q25" s="182" t="s">
        <v>5</v>
      </c>
      <c r="R25" s="182" t="s">
        <v>5</v>
      </c>
      <c r="S25" s="182" t="s">
        <v>5</v>
      </c>
      <c r="T25" s="584" t="s">
        <v>5</v>
      </c>
      <c r="U25" s="584" t="s">
        <v>5</v>
      </c>
      <c r="V25" s="584" t="s">
        <v>5</v>
      </c>
      <c r="W25" s="584" t="s">
        <v>5</v>
      </c>
      <c r="X25" s="584">
        <v>0</v>
      </c>
      <c r="Y25" s="584">
        <v>0</v>
      </c>
      <c r="Z25" s="589" t="s">
        <v>5</v>
      </c>
      <c r="AA25" s="590">
        <v>1.8518518519999999E-2</v>
      </c>
      <c r="AB25" s="590">
        <v>0.11510644777777777</v>
      </c>
      <c r="AC25" s="590">
        <v>0.16065202685185184</v>
      </c>
      <c r="AD25" s="590">
        <v>0.18910437029629629</v>
      </c>
      <c r="AE25" s="590">
        <v>0.23647791414814814</v>
      </c>
      <c r="AF25" s="590">
        <v>0.27013481429629632</v>
      </c>
      <c r="AG25" s="590">
        <v>0.49218910885185185</v>
      </c>
      <c r="AH25" s="590">
        <v>0.49218910885185185</v>
      </c>
      <c r="AI25" s="590">
        <v>0.5918527158148148</v>
      </c>
      <c r="AJ25" s="591" t="s">
        <v>5</v>
      </c>
      <c r="AK25" s="581" t="s">
        <v>6</v>
      </c>
      <c r="AL25" s="622">
        <v>0.37</v>
      </c>
      <c r="AM25" s="622">
        <v>0.52610000000000001</v>
      </c>
      <c r="AN25" s="622">
        <v>0.58799999999999997</v>
      </c>
      <c r="AO25" s="622">
        <v>0.74729999999999996</v>
      </c>
      <c r="AP25" s="622">
        <v>0.81330000000000002</v>
      </c>
      <c r="AQ25" s="622">
        <v>0.85089999999999999</v>
      </c>
      <c r="AR25" s="622">
        <v>0.87529999999999997</v>
      </c>
      <c r="AS25" s="623">
        <v>0.89890000000000003</v>
      </c>
    </row>
    <row r="26" spans="1:82" s="16" customFormat="1">
      <c r="A26" s="321" t="s">
        <v>52</v>
      </c>
      <c r="B26" s="601" t="s">
        <v>287</v>
      </c>
      <c r="C26" s="283" t="s">
        <v>4</v>
      </c>
      <c r="D26" s="58">
        <v>400000000</v>
      </c>
      <c r="E26" s="58">
        <v>240000000</v>
      </c>
      <c r="F26" s="593" t="s">
        <v>5</v>
      </c>
      <c r="G26" s="594">
        <v>0</v>
      </c>
      <c r="H26" s="594">
        <v>0</v>
      </c>
      <c r="I26" s="594">
        <v>5000000</v>
      </c>
      <c r="J26" s="594">
        <v>45000000</v>
      </c>
      <c r="K26" s="594">
        <v>120000000</v>
      </c>
      <c r="L26" s="594">
        <v>0</v>
      </c>
      <c r="M26" s="594">
        <v>0</v>
      </c>
      <c r="N26" s="594">
        <v>30000000</v>
      </c>
      <c r="O26" s="594">
        <v>40000000</v>
      </c>
      <c r="P26" s="593" t="s">
        <v>5</v>
      </c>
      <c r="Q26" s="594">
        <v>0</v>
      </c>
      <c r="R26" s="594">
        <v>1369863.01</v>
      </c>
      <c r="S26" s="594">
        <v>2278532.2599999998</v>
      </c>
      <c r="T26" s="594">
        <v>1966518.08</v>
      </c>
      <c r="U26" s="594">
        <v>1785068.5</v>
      </c>
      <c r="V26" s="584">
        <v>1230547.94</v>
      </c>
      <c r="W26" s="584">
        <v>1150671.45</v>
      </c>
      <c r="X26" s="584">
        <v>1055629.9099999999</v>
      </c>
      <c r="Y26" s="584">
        <v>454246.58</v>
      </c>
      <c r="Z26" s="591" t="s">
        <v>5</v>
      </c>
      <c r="AA26" s="581">
        <v>0</v>
      </c>
      <c r="AB26" s="581">
        <v>0</v>
      </c>
      <c r="AC26" s="581">
        <v>1.1111111111111112E-2</v>
      </c>
      <c r="AD26" s="581">
        <v>0.125</v>
      </c>
      <c r="AE26" s="581">
        <v>0.42499999999999999</v>
      </c>
      <c r="AF26" s="581">
        <v>0.42499999999999999</v>
      </c>
      <c r="AG26" s="581">
        <v>0.42499999999999999</v>
      </c>
      <c r="AH26" s="581">
        <v>0.5</v>
      </c>
      <c r="AI26" s="581">
        <v>0.6</v>
      </c>
      <c r="AJ26" s="591" t="s">
        <v>5</v>
      </c>
      <c r="AK26" s="581">
        <v>0</v>
      </c>
      <c r="AL26" s="622">
        <v>0</v>
      </c>
      <c r="AM26" s="622">
        <v>0.13</v>
      </c>
      <c r="AN26" s="622">
        <v>0.31</v>
      </c>
      <c r="AO26" s="622">
        <v>0.49</v>
      </c>
      <c r="AP26" s="622">
        <v>0.59</v>
      </c>
      <c r="AQ26" s="622">
        <v>0.74</v>
      </c>
      <c r="AR26" s="622">
        <v>0.47</v>
      </c>
      <c r="AS26" s="623">
        <v>0.57620000000000005</v>
      </c>
    </row>
    <row r="27" spans="1:82" s="16" customFormat="1">
      <c r="A27" s="321" t="s">
        <v>20</v>
      </c>
      <c r="B27" s="601" t="s">
        <v>85</v>
      </c>
      <c r="C27" s="283" t="s">
        <v>77</v>
      </c>
      <c r="D27" s="58">
        <v>73000000</v>
      </c>
      <c r="E27" s="58">
        <v>59158043.780000001</v>
      </c>
      <c r="F27" s="593">
        <v>0</v>
      </c>
      <c r="G27" s="594">
        <v>0</v>
      </c>
      <c r="H27" s="594">
        <v>5075849.51</v>
      </c>
      <c r="I27" s="594">
        <v>0</v>
      </c>
      <c r="J27" s="594">
        <v>4104373.5300000003</v>
      </c>
      <c r="K27" s="594">
        <v>0</v>
      </c>
      <c r="L27" s="594">
        <v>10302672.949999999</v>
      </c>
      <c r="M27" s="594">
        <v>13635147.789999999</v>
      </c>
      <c r="N27" s="594">
        <v>12000000</v>
      </c>
      <c r="O27" s="594">
        <v>14040000</v>
      </c>
      <c r="P27" s="593">
        <v>0</v>
      </c>
      <c r="Q27" s="594">
        <v>333949.45</v>
      </c>
      <c r="R27" s="594">
        <v>182500</v>
      </c>
      <c r="S27" s="594">
        <v>387517.82</v>
      </c>
      <c r="T27" s="594">
        <v>337285.27</v>
      </c>
      <c r="U27" s="594">
        <v>321804.31</v>
      </c>
      <c r="V27" s="584">
        <v>319098.89</v>
      </c>
      <c r="W27" s="584">
        <v>250945.59</v>
      </c>
      <c r="X27" s="584">
        <v>188508.58</v>
      </c>
      <c r="Y27" s="584">
        <v>62830.61</v>
      </c>
      <c r="Z27" s="591">
        <v>0</v>
      </c>
      <c r="AA27" s="581">
        <v>0</v>
      </c>
      <c r="AB27" s="581">
        <v>6.9532185068493152E-2</v>
      </c>
      <c r="AC27" s="581">
        <v>6.9532185068493152E-2</v>
      </c>
      <c r="AD27" s="581">
        <v>0.12575647999999998</v>
      </c>
      <c r="AE27" s="581">
        <v>0.12575647999999998</v>
      </c>
      <c r="AF27" s="581">
        <v>0.26688898616438356</v>
      </c>
      <c r="AG27" s="581">
        <v>0.45367183260273974</v>
      </c>
      <c r="AH27" s="581">
        <v>0.61805539424657541</v>
      </c>
      <c r="AI27" s="581">
        <v>0.81038416136986302</v>
      </c>
      <c r="AJ27" s="591">
        <v>0</v>
      </c>
      <c r="AK27" s="581">
        <v>0</v>
      </c>
      <c r="AL27" s="622">
        <v>4.1999999999999997E-3</v>
      </c>
      <c r="AM27" s="622">
        <v>3.5200000000000002E-2</v>
      </c>
      <c r="AN27" s="622">
        <v>9.6299999999999997E-2</v>
      </c>
      <c r="AO27" s="622">
        <v>0.2094</v>
      </c>
      <c r="AP27" s="622">
        <v>0.51609044573377705</v>
      </c>
      <c r="AQ27" s="622">
        <v>0.71730000000000005</v>
      </c>
      <c r="AR27" s="622">
        <v>0.87362317168177506</v>
      </c>
      <c r="AS27" s="623">
        <v>0.87414313489402262</v>
      </c>
    </row>
    <row r="28" spans="1:82" s="16" customFormat="1">
      <c r="A28" s="317" t="s">
        <v>46</v>
      </c>
      <c r="B28" s="600" t="s">
        <v>288</v>
      </c>
      <c r="C28" s="319" t="s">
        <v>0</v>
      </c>
      <c r="D28" s="318">
        <v>420000000</v>
      </c>
      <c r="E28" s="318">
        <v>390000000</v>
      </c>
      <c r="F28" s="583" t="s">
        <v>5</v>
      </c>
      <c r="G28" s="584" t="s">
        <v>5</v>
      </c>
      <c r="H28" s="584" t="s">
        <v>5</v>
      </c>
      <c r="I28" s="584">
        <v>105000000</v>
      </c>
      <c r="J28" s="584">
        <v>0</v>
      </c>
      <c r="K28" s="182">
        <v>120000000</v>
      </c>
      <c r="L28" s="182">
        <v>60000000</v>
      </c>
      <c r="M28" s="182">
        <v>105000000</v>
      </c>
      <c r="N28" s="182">
        <v>0</v>
      </c>
      <c r="O28" s="182">
        <v>0</v>
      </c>
      <c r="P28" s="595" t="s">
        <v>5</v>
      </c>
      <c r="Q28" s="182" t="s">
        <v>5</v>
      </c>
      <c r="R28" s="182" t="s">
        <v>5</v>
      </c>
      <c r="S28" s="182">
        <v>0</v>
      </c>
      <c r="T28" s="584">
        <v>1039856.83</v>
      </c>
      <c r="U28" s="584">
        <v>787500</v>
      </c>
      <c r="V28" s="584">
        <v>596526.84</v>
      </c>
      <c r="W28" s="584">
        <v>299104.84999999998</v>
      </c>
      <c r="X28" s="584">
        <v>74921.94</v>
      </c>
      <c r="Y28" s="584">
        <v>37808.199999999997</v>
      </c>
      <c r="Z28" s="589">
        <v>0</v>
      </c>
      <c r="AA28" s="590">
        <v>0</v>
      </c>
      <c r="AB28" s="590">
        <v>0</v>
      </c>
      <c r="AC28" s="590">
        <v>0.25</v>
      </c>
      <c r="AD28" s="590">
        <v>0.25</v>
      </c>
      <c r="AE28" s="590">
        <v>0.5357142857142857</v>
      </c>
      <c r="AF28" s="590">
        <v>0.6785714285714286</v>
      </c>
      <c r="AG28" s="590">
        <v>0.9285714285714286</v>
      </c>
      <c r="AH28" s="590">
        <v>0.9285714285714286</v>
      </c>
      <c r="AI28" s="590">
        <v>0.9285714285714286</v>
      </c>
      <c r="AJ28" s="591">
        <v>0</v>
      </c>
      <c r="AK28" s="581">
        <v>0</v>
      </c>
      <c r="AL28" s="622">
        <v>0</v>
      </c>
      <c r="AM28" s="622" t="s">
        <v>48</v>
      </c>
      <c r="AN28" s="622">
        <v>0.35539999999999999</v>
      </c>
      <c r="AO28" s="622">
        <v>0.6744</v>
      </c>
      <c r="AP28" s="622">
        <v>0.79400000000000004</v>
      </c>
      <c r="AQ28" s="622">
        <v>0.86355100000000007</v>
      </c>
      <c r="AR28" s="622">
        <v>0.92279999999999995</v>
      </c>
      <c r="AS28" s="623">
        <v>0.93500000000000005</v>
      </c>
    </row>
    <row r="29" spans="1:82">
      <c r="A29" s="321">
        <v>2270</v>
      </c>
      <c r="B29" s="601" t="s">
        <v>182</v>
      </c>
      <c r="C29" s="283" t="s">
        <v>183</v>
      </c>
      <c r="D29" s="58">
        <v>80000000</v>
      </c>
      <c r="E29" s="58">
        <v>79688453.540000007</v>
      </c>
      <c r="F29" s="593" t="s">
        <v>5</v>
      </c>
      <c r="G29" s="594" t="s">
        <v>5</v>
      </c>
      <c r="H29" s="594" t="s">
        <v>5</v>
      </c>
      <c r="I29" s="594" t="s">
        <v>5</v>
      </c>
      <c r="J29" s="594" t="s">
        <v>5</v>
      </c>
      <c r="K29" s="594" t="s">
        <v>5</v>
      </c>
      <c r="L29" s="594" t="s">
        <v>5</v>
      </c>
      <c r="M29" s="594" t="s">
        <v>5</v>
      </c>
      <c r="N29" s="594">
        <v>69425367.540000007</v>
      </c>
      <c r="O29" s="594">
        <v>10263086</v>
      </c>
      <c r="P29" s="593" t="s">
        <v>5</v>
      </c>
      <c r="Q29" s="594" t="s">
        <v>5</v>
      </c>
      <c r="R29" s="594" t="s">
        <v>5</v>
      </c>
      <c r="S29" s="594" t="s">
        <v>5</v>
      </c>
      <c r="T29" s="594" t="s">
        <v>5</v>
      </c>
      <c r="U29" s="594" t="s">
        <v>5</v>
      </c>
      <c r="V29" s="584" t="s">
        <v>5</v>
      </c>
      <c r="W29" s="584" t="s">
        <v>5</v>
      </c>
      <c r="X29" s="584">
        <v>0</v>
      </c>
      <c r="Y29" s="584">
        <v>46815.89</v>
      </c>
      <c r="Z29" s="591" t="s">
        <v>5</v>
      </c>
      <c r="AA29" s="581" t="s">
        <v>5</v>
      </c>
      <c r="AB29" s="581" t="s">
        <v>5</v>
      </c>
      <c r="AC29" s="581" t="s">
        <v>5</v>
      </c>
      <c r="AD29" s="581" t="s">
        <v>5</v>
      </c>
      <c r="AE29" s="581" t="s">
        <v>5</v>
      </c>
      <c r="AF29" s="581" t="s">
        <v>5</v>
      </c>
      <c r="AG29" s="581" t="s">
        <v>5</v>
      </c>
      <c r="AH29" s="581">
        <v>0.86781709425000009</v>
      </c>
      <c r="AI29" s="581">
        <v>0.9961056692500001</v>
      </c>
      <c r="AJ29" s="591" t="s">
        <v>5</v>
      </c>
      <c r="AK29" s="581" t="s">
        <v>5</v>
      </c>
      <c r="AL29" s="622" t="s">
        <v>5</v>
      </c>
      <c r="AM29" s="622" t="s">
        <v>5</v>
      </c>
      <c r="AN29" s="622" t="s">
        <v>5</v>
      </c>
      <c r="AO29" s="622" t="s">
        <v>5</v>
      </c>
      <c r="AP29" s="622" t="s">
        <v>5</v>
      </c>
      <c r="AQ29" s="622" t="s">
        <v>5</v>
      </c>
      <c r="AR29" s="622" t="s">
        <v>5</v>
      </c>
      <c r="AS29" s="623" t="s">
        <v>5</v>
      </c>
    </row>
    <row r="30" spans="1:82">
      <c r="A30" s="321">
        <v>2080</v>
      </c>
      <c r="B30" s="601" t="s">
        <v>39</v>
      </c>
      <c r="C30" s="283" t="s">
        <v>35</v>
      </c>
      <c r="D30" s="58">
        <v>340000000</v>
      </c>
      <c r="E30" s="58">
        <v>340000000</v>
      </c>
      <c r="F30" s="593">
        <v>7500000</v>
      </c>
      <c r="G30" s="594">
        <v>39953803</v>
      </c>
      <c r="H30" s="594">
        <v>30618366</v>
      </c>
      <c r="I30" s="594">
        <v>93500569</v>
      </c>
      <c r="J30" s="594">
        <v>13134370</v>
      </c>
      <c r="K30" s="594">
        <v>6000000</v>
      </c>
      <c r="L30" s="594">
        <v>85381480</v>
      </c>
      <c r="M30" s="594">
        <v>21238960</v>
      </c>
      <c r="N30" s="594">
        <v>42672450</v>
      </c>
      <c r="O30" s="594">
        <v>0</v>
      </c>
      <c r="P30" s="593">
        <v>1681174.38</v>
      </c>
      <c r="Q30" s="594">
        <v>1605670.15</v>
      </c>
      <c r="R30" s="594">
        <v>1371441.04</v>
      </c>
      <c r="S30" s="594">
        <v>1146012.1000000001</v>
      </c>
      <c r="T30" s="594">
        <v>784140.77</v>
      </c>
      <c r="U30" s="594">
        <v>749425.65</v>
      </c>
      <c r="V30" s="584">
        <v>566647.53</v>
      </c>
      <c r="W30" s="584">
        <v>289753.03999999998</v>
      </c>
      <c r="X30" s="584">
        <v>83841.59</v>
      </c>
      <c r="Y30" s="584">
        <v>0</v>
      </c>
      <c r="Z30" s="591">
        <v>2.205882353E-2</v>
      </c>
      <c r="AA30" s="581">
        <v>0.13957000880000001</v>
      </c>
      <c r="AB30" s="581">
        <v>0.22962402647058824</v>
      </c>
      <c r="AC30" s="581">
        <v>0.50462569999999995</v>
      </c>
      <c r="AD30" s="581">
        <v>0.54325619999999997</v>
      </c>
      <c r="AE30" s="581">
        <v>0.56090325882352943</v>
      </c>
      <c r="AF30" s="581">
        <v>0.81202525882352938</v>
      </c>
      <c r="AG30" s="581">
        <v>0.87449278823529408</v>
      </c>
      <c r="AH30" s="581">
        <v>0.99999999411764706</v>
      </c>
      <c r="AI30" s="581">
        <v>1</v>
      </c>
      <c r="AJ30" s="591" t="s">
        <v>6</v>
      </c>
      <c r="AK30" s="581" t="s">
        <v>6</v>
      </c>
      <c r="AL30" s="622">
        <v>0.38</v>
      </c>
      <c r="AM30" s="622">
        <v>0.46</v>
      </c>
      <c r="AN30" s="622">
        <v>0.51880000000000004</v>
      </c>
      <c r="AO30" s="622">
        <v>0.68</v>
      </c>
      <c r="AP30" s="622">
        <v>0.75</v>
      </c>
      <c r="AQ30" s="622">
        <v>0.82</v>
      </c>
      <c r="AR30" s="622">
        <v>0.97</v>
      </c>
      <c r="AS30" s="623">
        <v>0.98</v>
      </c>
      <c r="CA30" s="16"/>
      <c r="CB30" s="16"/>
      <c r="CC30" s="16"/>
      <c r="CD30" s="16"/>
    </row>
    <row r="31" spans="1:82" s="1" customFormat="1">
      <c r="A31" s="317">
        <v>1725</v>
      </c>
      <c r="B31" s="602" t="s">
        <v>286</v>
      </c>
      <c r="C31" s="283" t="s">
        <v>77</v>
      </c>
      <c r="D31" s="58">
        <v>99453757</v>
      </c>
      <c r="E31" s="58">
        <v>99453757</v>
      </c>
      <c r="F31" s="593">
        <v>8500000</v>
      </c>
      <c r="G31" s="594">
        <v>13000000</v>
      </c>
      <c r="H31" s="594">
        <v>9000000</v>
      </c>
      <c r="I31" s="594">
        <v>16770000</v>
      </c>
      <c r="J31" s="594">
        <v>10000000</v>
      </c>
      <c r="K31" s="594">
        <v>0</v>
      </c>
      <c r="L31" s="594">
        <v>0</v>
      </c>
      <c r="M31" s="594">
        <v>0</v>
      </c>
      <c r="N31" s="594">
        <v>12483757</v>
      </c>
      <c r="O31" s="594">
        <v>0</v>
      </c>
      <c r="P31" s="593">
        <v>299893.65999999997</v>
      </c>
      <c r="Q31" s="594">
        <v>424609.42</v>
      </c>
      <c r="R31" s="594">
        <v>392287.5</v>
      </c>
      <c r="S31" s="594">
        <v>320323.25</v>
      </c>
      <c r="T31" s="594">
        <v>198467.26</v>
      </c>
      <c r="U31" s="594">
        <v>129149.48</v>
      </c>
      <c r="V31" s="584">
        <v>124012.5</v>
      </c>
      <c r="W31" s="584">
        <v>124348.26</v>
      </c>
      <c r="X31" s="584">
        <v>74978.53</v>
      </c>
      <c r="Y31" s="584">
        <v>0</v>
      </c>
      <c r="Z31" s="591">
        <v>0.36906429639999999</v>
      </c>
      <c r="AA31" s="581">
        <v>0.49466209360000002</v>
      </c>
      <c r="AB31" s="581">
        <v>0.58161441476257181</v>
      </c>
      <c r="AC31" s="581">
        <v>0.74363557316071682</v>
      </c>
      <c r="AD31" s="581">
        <v>0.84024926332061256</v>
      </c>
      <c r="AE31" s="581">
        <v>0.84024926332061256</v>
      </c>
      <c r="AF31" s="581">
        <v>0.84024926332061256</v>
      </c>
      <c r="AG31" s="581">
        <v>0.84024926332061256</v>
      </c>
      <c r="AH31" s="581">
        <v>0.96085944640355536</v>
      </c>
      <c r="AI31" s="581">
        <v>1</v>
      </c>
      <c r="AJ31" s="591" t="s">
        <v>6</v>
      </c>
      <c r="AK31" s="581" t="s">
        <v>6</v>
      </c>
      <c r="AL31" s="622">
        <v>0.61199999999999999</v>
      </c>
      <c r="AM31" s="622">
        <v>0.68979999999999997</v>
      </c>
      <c r="AN31" s="622">
        <v>0.79579999999999995</v>
      </c>
      <c r="AO31" s="622">
        <v>0.70109999999999995</v>
      </c>
      <c r="AP31" s="183">
        <v>0.76898207225784998</v>
      </c>
      <c r="AQ31" s="622">
        <v>0.83728779432698874</v>
      </c>
      <c r="AR31" s="183">
        <v>0.91349999999999998</v>
      </c>
      <c r="AS31" s="623">
        <v>0.90769999999999995</v>
      </c>
    </row>
    <row r="32" spans="1:82" s="1" customFormat="1" ht="14.4" thickBot="1">
      <c r="A32" s="627" t="s">
        <v>37</v>
      </c>
      <c r="B32" s="603" t="s">
        <v>76</v>
      </c>
      <c r="C32" s="604" t="s">
        <v>35</v>
      </c>
      <c r="D32" s="264">
        <v>90542773.120000005</v>
      </c>
      <c r="E32" s="264">
        <v>90542773.120000005</v>
      </c>
      <c r="F32" s="606" t="s">
        <v>5</v>
      </c>
      <c r="G32" s="597" t="s">
        <v>5</v>
      </c>
      <c r="H32" s="597">
        <v>0</v>
      </c>
      <c r="I32" s="597">
        <v>79150875.799660102</v>
      </c>
      <c r="J32" s="597">
        <v>1899621.02</v>
      </c>
      <c r="K32" s="607">
        <v>6648673.5599999996</v>
      </c>
      <c r="L32" s="607">
        <v>2843602.7401996008</v>
      </c>
      <c r="M32" s="607">
        <v>0</v>
      </c>
      <c r="N32" s="607">
        <v>0</v>
      </c>
      <c r="O32" s="607">
        <v>0</v>
      </c>
      <c r="P32" s="609" t="s">
        <v>5</v>
      </c>
      <c r="Q32" s="607" t="s">
        <v>5</v>
      </c>
      <c r="R32" s="607">
        <v>0</v>
      </c>
      <c r="S32" s="607">
        <v>0</v>
      </c>
      <c r="T32" s="597">
        <v>20174.240000000002</v>
      </c>
      <c r="U32" s="597">
        <v>21929.33</v>
      </c>
      <c r="V32" s="597">
        <v>3911.8</v>
      </c>
      <c r="W32" s="597">
        <v>0</v>
      </c>
      <c r="X32" s="597">
        <v>0</v>
      </c>
      <c r="Y32" s="597">
        <v>0</v>
      </c>
      <c r="Z32" s="614" t="s">
        <v>5</v>
      </c>
      <c r="AA32" s="615" t="s">
        <v>5</v>
      </c>
      <c r="AB32" s="615">
        <v>0</v>
      </c>
      <c r="AC32" s="615">
        <v>0.87788189914012749</v>
      </c>
      <c r="AD32" s="615">
        <v>0.89845126476114645</v>
      </c>
      <c r="AE32" s="615">
        <v>0.96937791681528662</v>
      </c>
      <c r="AF32" s="615">
        <v>1</v>
      </c>
      <c r="AG32" s="615">
        <v>1</v>
      </c>
      <c r="AH32" s="615">
        <v>1</v>
      </c>
      <c r="AI32" s="615">
        <v>1</v>
      </c>
      <c r="AJ32" s="598" t="s">
        <v>5</v>
      </c>
      <c r="AK32" s="582" t="s">
        <v>5</v>
      </c>
      <c r="AL32" s="624">
        <v>0</v>
      </c>
      <c r="AM32" s="624">
        <v>7.1000000000000004E-3</v>
      </c>
      <c r="AN32" s="624">
        <v>2.5499999999999998E-2</v>
      </c>
      <c r="AO32" s="624">
        <v>6.0999999999999999E-2</v>
      </c>
      <c r="AP32" s="625">
        <v>0.20519999999999999</v>
      </c>
      <c r="AQ32" s="624">
        <v>0.3392</v>
      </c>
      <c r="AR32" s="625">
        <v>0.45479999999999998</v>
      </c>
      <c r="AS32" s="626">
        <v>0.70369999999999999</v>
      </c>
    </row>
    <row r="33" spans="1:78" s="1" customFormat="1" ht="25.05" customHeight="1">
      <c r="A33" s="393"/>
      <c r="B33" s="352"/>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296"/>
      <c r="AN33" s="296"/>
    </row>
    <row r="34" spans="1:78" s="1" customFormat="1" ht="25.05" customHeight="1">
      <c r="A34" s="678" t="s">
        <v>44</v>
      </c>
      <c r="B34" s="678"/>
      <c r="C34" s="678"/>
      <c r="D34" s="678"/>
      <c r="E34" s="678"/>
      <c r="F34" s="678"/>
      <c r="G34" s="678"/>
      <c r="H34" s="678"/>
      <c r="I34" s="678"/>
      <c r="J34" s="678"/>
      <c r="K34" s="678"/>
      <c r="L34" s="678"/>
      <c r="M34" s="678"/>
      <c r="N34" s="678"/>
      <c r="O34" s="678"/>
      <c r="P34" s="678"/>
      <c r="Q34" s="678"/>
      <c r="R34" s="678"/>
      <c r="S34" s="678"/>
      <c r="T34" s="678"/>
      <c r="U34" s="678"/>
      <c r="V34" s="678"/>
      <c r="W34" s="678"/>
      <c r="X34" s="678"/>
      <c r="Y34" s="678"/>
      <c r="Z34" s="678"/>
      <c r="AA34" s="678"/>
      <c r="AB34" s="678"/>
      <c r="AC34" s="678"/>
      <c r="AD34" s="678"/>
      <c r="AE34" s="678"/>
      <c r="AF34" s="678"/>
      <c r="AG34" s="678"/>
      <c r="AH34" s="678"/>
      <c r="AI34" s="678"/>
      <c r="AJ34" s="678"/>
      <c r="AK34" s="678"/>
      <c r="AL34" s="678"/>
      <c r="AM34" s="296"/>
      <c r="AN34" s="465"/>
      <c r="AO34" s="126"/>
      <c r="AQ34" s="126"/>
    </row>
    <row r="35" spans="1:78" s="1" customFormat="1" ht="25.05" customHeight="1">
      <c r="A35" s="680"/>
      <c r="B35" s="680"/>
      <c r="C35" s="680"/>
      <c r="D35" s="680"/>
      <c r="E35" s="680"/>
      <c r="F35" s="680"/>
      <c r="G35" s="680"/>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680"/>
      <c r="AK35" s="680"/>
      <c r="AL35" s="680"/>
      <c r="AM35" s="296"/>
      <c r="AN35" s="296"/>
      <c r="AO35" s="126"/>
    </row>
    <row r="36" spans="1:78" ht="25.05" customHeight="1">
      <c r="A36" s="83" t="s">
        <v>212</v>
      </c>
      <c r="B36" s="420"/>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296"/>
      <c r="AN36" s="296"/>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row>
    <row r="37" spans="1:78" ht="25.05" customHeight="1">
      <c r="A37" s="680" t="s">
        <v>213</v>
      </c>
      <c r="B37" s="680"/>
      <c r="C37" s="680"/>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0"/>
      <c r="AL37" s="680"/>
      <c r="AM37" s="296"/>
      <c r="AN37" s="296"/>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row>
    <row r="38" spans="1:78" ht="25.05" customHeight="1">
      <c r="A38" s="680"/>
      <c r="B38" s="680"/>
      <c r="C38" s="680"/>
      <c r="D38" s="680"/>
      <c r="E38" s="680"/>
      <c r="F38" s="680"/>
      <c r="G38" s="680"/>
      <c r="H38" s="680"/>
      <c r="I38" s="680"/>
      <c r="J38" s="680"/>
      <c r="K38" s="680"/>
      <c r="L38" s="680"/>
      <c r="M38" s="680"/>
      <c r="N38" s="680"/>
      <c r="O38" s="680"/>
      <c r="P38" s="680"/>
      <c r="Q38" s="680"/>
      <c r="R38" s="680"/>
      <c r="S38" s="680"/>
      <c r="T38" s="680"/>
      <c r="U38" s="680"/>
      <c r="V38" s="680"/>
      <c r="W38" s="680"/>
      <c r="X38" s="680"/>
      <c r="Y38" s="680"/>
      <c r="Z38" s="680"/>
      <c r="AA38" s="680"/>
      <c r="AB38" s="680"/>
      <c r="AC38" s="680"/>
      <c r="AD38" s="680"/>
      <c r="AE38" s="680"/>
      <c r="AF38" s="680"/>
      <c r="AG38" s="680"/>
      <c r="AH38" s="680"/>
      <c r="AI38" s="680"/>
      <c r="AJ38" s="680"/>
      <c r="AK38" s="680"/>
      <c r="AL38" s="680"/>
      <c r="AM38" s="296"/>
      <c r="AN38" s="296"/>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row>
    <row r="39" spans="1:78" s="320" customFormat="1" ht="25.95" customHeight="1">
      <c r="A39" s="394"/>
      <c r="B39" s="395"/>
      <c r="C39" s="396"/>
      <c r="D39" s="396"/>
      <c r="E39" s="396"/>
      <c r="F39" s="396"/>
      <c r="G39" s="396"/>
      <c r="H39" s="396"/>
      <c r="I39" s="396"/>
      <c r="J39" s="396"/>
      <c r="K39" s="396"/>
      <c r="L39" s="397"/>
      <c r="M39" s="397"/>
      <c r="N39" s="397"/>
      <c r="O39" s="397"/>
      <c r="P39" s="397"/>
      <c r="Q39" s="397"/>
      <c r="R39" s="397"/>
      <c r="S39" s="397"/>
      <c r="T39" s="397"/>
      <c r="U39" s="396"/>
      <c r="V39" s="396"/>
      <c r="W39" s="396"/>
      <c r="X39" s="397"/>
      <c r="Y39" s="397"/>
      <c r="Z39" s="396"/>
      <c r="AA39" s="396"/>
      <c r="AB39" s="396"/>
      <c r="AC39" s="396"/>
      <c r="AD39" s="396"/>
      <c r="AE39" s="396"/>
      <c r="AF39" s="396"/>
      <c r="AG39" s="396"/>
      <c r="AH39" s="396"/>
      <c r="AI39" s="396"/>
      <c r="AJ39" s="396"/>
      <c r="AK39" s="398"/>
      <c r="AL39" s="398"/>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row>
    <row r="40" spans="1:78" ht="32.4" customHeight="1">
      <c r="A40" s="680"/>
      <c r="B40" s="680"/>
      <c r="C40" s="680"/>
      <c r="D40" s="680"/>
      <c r="E40" s="680"/>
      <c r="F40" s="680"/>
      <c r="G40" s="680"/>
      <c r="H40" s="680"/>
      <c r="I40" s="680"/>
      <c r="J40" s="680"/>
      <c r="K40" s="680"/>
      <c r="L40" s="680"/>
      <c r="M40" s="680"/>
      <c r="N40" s="680"/>
      <c r="O40" s="680"/>
      <c r="P40" s="98"/>
      <c r="Q40" s="98"/>
      <c r="R40" s="98"/>
      <c r="S40" s="98"/>
      <c r="T40" s="393"/>
      <c r="U40" s="393"/>
      <c r="V40" s="393"/>
      <c r="W40" s="393"/>
      <c r="X40" s="98"/>
      <c r="Y40" s="393"/>
      <c r="Z40" s="393"/>
      <c r="AA40" s="393"/>
      <c r="AB40" s="393"/>
      <c r="AC40" s="393"/>
      <c r="AD40" s="393"/>
      <c r="AE40" s="393"/>
      <c r="AF40" s="393"/>
      <c r="AG40" s="393"/>
      <c r="AH40" s="393"/>
      <c r="AI40" s="393"/>
      <c r="AJ40" s="99"/>
      <c r="AK40" s="99"/>
      <c r="AL40" s="99"/>
    </row>
  </sheetData>
  <sheetProtection algorithmName="SHA-512" hashValue="xScFyc7rjXrdzN4JkuQi7HxU8E8zFfDvoomb8MABfFA7Ec+LbOH/j4x3sKKXzAitjDjDtWKMqMLLdrGDulVLmQ==" saltValue="kjPhFTF4dqbWRi1/uf5vCw==" spinCount="100000" sheet="1" objects="1" scenarios="1" selectLockedCells="1" selectUnlockedCells="1"/>
  <sortState ref="A8:AO32">
    <sortCondition ref="AF8:AF32"/>
  </sortState>
  <mergeCells count="19">
    <mergeCell ref="A40:O40"/>
    <mergeCell ref="A38:AL38"/>
    <mergeCell ref="A6:A7"/>
    <mergeCell ref="B6:B7"/>
    <mergeCell ref="C6:C7"/>
    <mergeCell ref="D6:D7"/>
    <mergeCell ref="A34:AL34"/>
    <mergeCell ref="A35:AL35"/>
    <mergeCell ref="E6:E7"/>
    <mergeCell ref="F6:O6"/>
    <mergeCell ref="Z6:AI6"/>
    <mergeCell ref="AJ6:AS6"/>
    <mergeCell ref="P6:Y6"/>
    <mergeCell ref="A37:AL37"/>
    <mergeCell ref="A1:AS1"/>
    <mergeCell ref="A4:AS4"/>
    <mergeCell ref="A5:AS5"/>
    <mergeCell ref="A3:AS3"/>
    <mergeCell ref="A2:AS2"/>
  </mergeCells>
  <pageMargins left="0.70866141732283472" right="0.70866141732283472" top="0.74803149606299213" bottom="0.74803149606299213" header="0.31496062992125984" footer="0.31496062992125984"/>
  <pageSetup scale="17" orientation="landscape" r:id="rId1"/>
  <ignoredErrors>
    <ignoredError sqref="A1 A5 A4"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08"/>
  <sheetViews>
    <sheetView showGridLines="0" zoomScale="74" zoomScaleNormal="74" zoomScaleSheetLayoutView="55" workbookViewId="0"/>
  </sheetViews>
  <sheetFormatPr baseColWidth="10" defaultColWidth="11" defaultRowHeight="13.8"/>
  <cols>
    <col min="1" max="1" width="16.33203125" style="42" customWidth="1"/>
    <col min="2" max="2" width="52.77734375" style="42" customWidth="1"/>
    <col min="3" max="3" width="9.6640625" style="115" bestFit="1" customWidth="1"/>
    <col min="4" max="4" width="21.77734375" style="102" bestFit="1" customWidth="1"/>
    <col min="5" max="5" width="15" style="110" bestFit="1" customWidth="1"/>
    <col min="6" max="8" width="14.5546875" style="110" bestFit="1" customWidth="1"/>
    <col min="9" max="9" width="14.5546875" style="42" bestFit="1" customWidth="1"/>
    <col min="10" max="10" width="15.44140625" style="42" bestFit="1" customWidth="1"/>
    <col min="11" max="11" width="14.5546875" style="42" bestFit="1" customWidth="1"/>
    <col min="12" max="12" width="12.21875" style="42" bestFit="1" customWidth="1"/>
    <col min="13" max="13" width="10.44140625" style="42" customWidth="1"/>
    <col min="14" max="15" width="14.5546875" style="42" bestFit="1" customWidth="1"/>
    <col min="16" max="16" width="11.88671875" style="42" bestFit="1" customWidth="1"/>
    <col min="17" max="17" width="12" style="42" bestFit="1" customWidth="1"/>
    <col min="18" max="18" width="12.88671875" style="16" customWidth="1"/>
    <col min="19" max="22" width="11" style="16"/>
    <col min="23" max="16384" width="11" style="42"/>
  </cols>
  <sheetData>
    <row r="1" spans="1:22" ht="25.05" customHeight="1"/>
    <row r="2" spans="1:22" s="16" customFormat="1" ht="25.05" customHeight="1">
      <c r="A2" s="710" t="s">
        <v>56</v>
      </c>
      <c r="B2" s="710"/>
      <c r="C2" s="710"/>
      <c r="D2" s="710"/>
      <c r="E2" s="710"/>
      <c r="F2" s="710"/>
      <c r="G2" s="710"/>
      <c r="H2" s="710"/>
      <c r="I2" s="710"/>
      <c r="J2" s="710"/>
      <c r="K2" s="710"/>
      <c r="L2" s="710"/>
      <c r="M2" s="710"/>
      <c r="N2" s="710"/>
      <c r="O2" s="710"/>
      <c r="P2" s="710"/>
      <c r="Q2" s="710"/>
    </row>
    <row r="3" spans="1:22" s="16" customFormat="1" ht="25.05" customHeight="1">
      <c r="A3" s="711" t="s">
        <v>248</v>
      </c>
      <c r="B3" s="711"/>
      <c r="C3" s="711"/>
      <c r="D3" s="711"/>
      <c r="E3" s="711"/>
      <c r="F3" s="711"/>
      <c r="G3" s="711"/>
      <c r="H3" s="711"/>
      <c r="I3" s="711"/>
      <c r="J3" s="711"/>
      <c r="K3" s="711"/>
      <c r="L3" s="711"/>
      <c r="M3" s="711"/>
      <c r="N3" s="711"/>
      <c r="O3" s="711"/>
      <c r="P3" s="711"/>
      <c r="Q3" s="711"/>
    </row>
    <row r="4" spans="1:22" s="16" customFormat="1" ht="25.05" customHeight="1">
      <c r="A4" s="710" t="s">
        <v>106</v>
      </c>
      <c r="B4" s="710"/>
      <c r="C4" s="710"/>
      <c r="D4" s="710"/>
      <c r="E4" s="710"/>
      <c r="F4" s="710"/>
      <c r="G4" s="710"/>
      <c r="H4" s="710"/>
      <c r="I4" s="710"/>
      <c r="J4" s="710"/>
      <c r="K4" s="710"/>
      <c r="L4" s="710"/>
      <c r="M4" s="710"/>
      <c r="N4" s="710"/>
      <c r="O4" s="710"/>
      <c r="P4" s="710"/>
      <c r="Q4" s="710"/>
    </row>
    <row r="5" spans="1:22" s="16" customFormat="1" ht="25.05" customHeight="1" thickBot="1">
      <c r="A5" s="712">
        <f>+'Anexo 1'!A5:M5</f>
        <v>44742</v>
      </c>
      <c r="B5" s="712"/>
      <c r="C5" s="712"/>
      <c r="D5" s="712"/>
      <c r="E5" s="712"/>
      <c r="F5" s="712"/>
      <c r="G5" s="712"/>
      <c r="H5" s="712"/>
      <c r="I5" s="712"/>
      <c r="J5" s="712"/>
      <c r="K5" s="712"/>
      <c r="L5" s="712"/>
      <c r="M5" s="712"/>
      <c r="N5" s="712"/>
      <c r="O5" s="712"/>
      <c r="P5" s="712"/>
      <c r="Q5" s="712"/>
    </row>
    <row r="6" spans="1:22" ht="69.599999999999994" thickBot="1">
      <c r="A6" s="2" t="s">
        <v>11</v>
      </c>
      <c r="B6" s="2" t="s">
        <v>38</v>
      </c>
      <c r="C6" s="2" t="s">
        <v>42</v>
      </c>
      <c r="D6" s="2" t="s">
        <v>89</v>
      </c>
      <c r="E6" s="2" t="s">
        <v>259</v>
      </c>
      <c r="F6" s="2" t="s">
        <v>260</v>
      </c>
      <c r="G6" s="2" t="s">
        <v>261</v>
      </c>
      <c r="H6" s="2" t="s">
        <v>262</v>
      </c>
      <c r="I6" s="2" t="s">
        <v>263</v>
      </c>
      <c r="J6" s="2" t="s">
        <v>264</v>
      </c>
      <c r="K6" s="2" t="s">
        <v>258</v>
      </c>
      <c r="L6" s="2" t="s">
        <v>257</v>
      </c>
      <c r="M6" s="2" t="s">
        <v>265</v>
      </c>
      <c r="N6" s="2" t="s">
        <v>266</v>
      </c>
      <c r="O6" s="2" t="s">
        <v>267</v>
      </c>
      <c r="P6" s="2" t="s">
        <v>268</v>
      </c>
      <c r="Q6" s="2" t="s">
        <v>269</v>
      </c>
      <c r="R6" s="42"/>
      <c r="S6" s="42"/>
      <c r="T6" s="42"/>
      <c r="U6" s="42"/>
      <c r="V6" s="42"/>
    </row>
    <row r="7" spans="1:22" s="16" customFormat="1">
      <c r="A7" s="90"/>
      <c r="B7" s="33"/>
      <c r="C7" s="114"/>
      <c r="D7" s="91"/>
      <c r="E7" s="108"/>
      <c r="F7" s="108"/>
      <c r="G7" s="108"/>
      <c r="H7" s="108"/>
      <c r="I7" s="92"/>
      <c r="J7" s="92"/>
      <c r="K7" s="92"/>
      <c r="L7" s="92"/>
      <c r="M7" s="92"/>
      <c r="N7" s="92"/>
      <c r="O7" s="92"/>
      <c r="P7" s="92"/>
      <c r="Q7" s="93"/>
    </row>
    <row r="8" spans="1:22" s="16" customFormat="1">
      <c r="A8" s="94" t="s">
        <v>1</v>
      </c>
      <c r="B8" s="95"/>
      <c r="C8" s="114"/>
      <c r="D8" s="91"/>
      <c r="E8" s="274"/>
      <c r="F8" s="274"/>
      <c r="G8" s="274"/>
      <c r="H8" s="274"/>
      <c r="I8" s="92"/>
      <c r="J8" s="92"/>
      <c r="K8" s="92"/>
      <c r="L8" s="92"/>
      <c r="M8" s="92"/>
      <c r="N8" s="92"/>
      <c r="O8" s="92"/>
      <c r="P8" s="92"/>
      <c r="Q8" s="96"/>
    </row>
    <row r="9" spans="1:22" s="1" customFormat="1" ht="27.6">
      <c r="A9" s="142">
        <v>1725</v>
      </c>
      <c r="B9" s="143" t="s">
        <v>103</v>
      </c>
      <c r="C9" s="130" t="s">
        <v>77</v>
      </c>
      <c r="D9" s="328">
        <f>+'Anexo 1'!E9</f>
        <v>99453757</v>
      </c>
      <c r="E9" s="158">
        <v>170650523.71361145</v>
      </c>
      <c r="F9" s="158">
        <v>171361078.46947938</v>
      </c>
      <c r="G9" s="158">
        <v>163088115.02114046</v>
      </c>
      <c r="H9" s="158">
        <v>172661993.19412413</v>
      </c>
      <c r="I9" s="145">
        <f t="shared" ref="I9:I16" si="0">F9-G9</f>
        <v>8272963.4483389258</v>
      </c>
      <c r="J9" s="145">
        <f t="shared" ref="J9:J16" si="1">F9-E9</f>
        <v>710554.75586792827</v>
      </c>
      <c r="K9" s="145">
        <f t="shared" ref="K9:K16" si="2">H9-N9</f>
        <v>8272963.4483389556</v>
      </c>
      <c r="L9" s="145">
        <f>F9/G9</f>
        <v>1.0507269548566831</v>
      </c>
      <c r="M9" s="145">
        <f>F9/E9</f>
        <v>1.0041638006166356</v>
      </c>
      <c r="N9" s="145">
        <f t="shared" ref="N9:N16" si="3">G9+H9-F9</f>
        <v>164389029.74578518</v>
      </c>
      <c r="O9" s="145">
        <f t="shared" ref="O9:O16" si="4">N9-G9</f>
        <v>1300914.7246447206</v>
      </c>
      <c r="P9" s="145">
        <f>((+'Anexo 2'!K9*12)-(('Anexo 2'!M9)*12))/M9</f>
        <v>-62.992506284039031</v>
      </c>
      <c r="Q9" s="240">
        <f t="shared" ref="Q9:Q15" si="5">(H9-F9)/(H9-G9)</f>
        <v>0.13588168776951581</v>
      </c>
      <c r="R9" s="97"/>
    </row>
    <row r="10" spans="1:22" s="1" customFormat="1">
      <c r="A10" s="142">
        <v>2080</v>
      </c>
      <c r="B10" s="151" t="s">
        <v>39</v>
      </c>
      <c r="C10" s="130" t="s">
        <v>35</v>
      </c>
      <c r="D10" s="328">
        <f>+'Anexo 1'!E10</f>
        <v>340000000</v>
      </c>
      <c r="E10" s="190">
        <v>16300000</v>
      </c>
      <c r="F10" s="190">
        <v>468560000</v>
      </c>
      <c r="G10" s="190">
        <v>468560000</v>
      </c>
      <c r="H10" s="190">
        <v>484860000</v>
      </c>
      <c r="I10" s="145">
        <f t="shared" si="0"/>
        <v>0</v>
      </c>
      <c r="J10" s="145">
        <f t="shared" si="1"/>
        <v>452260000</v>
      </c>
      <c r="K10" s="145">
        <f t="shared" si="2"/>
        <v>0</v>
      </c>
      <c r="L10" s="145">
        <f>F10/G10</f>
        <v>1</v>
      </c>
      <c r="M10" s="145" t="s">
        <v>5</v>
      </c>
      <c r="N10" s="145">
        <f t="shared" si="3"/>
        <v>484860000</v>
      </c>
      <c r="O10" s="145">
        <f t="shared" si="4"/>
        <v>16300000</v>
      </c>
      <c r="P10" s="145" t="s">
        <v>5</v>
      </c>
      <c r="Q10" s="284">
        <f t="shared" si="5"/>
        <v>1</v>
      </c>
      <c r="R10" s="97"/>
    </row>
    <row r="11" spans="1:22" s="1" customFormat="1">
      <c r="A11" s="142" t="s">
        <v>98</v>
      </c>
      <c r="B11" s="151" t="s">
        <v>104</v>
      </c>
      <c r="C11" s="130" t="s">
        <v>35</v>
      </c>
      <c r="D11" s="328">
        <f>+'Anexo 1'!E11</f>
        <v>90055000</v>
      </c>
      <c r="E11" s="427">
        <v>66230601.86360088</v>
      </c>
      <c r="F11" s="158">
        <v>26500000</v>
      </c>
      <c r="G11" s="158">
        <v>26500000</v>
      </c>
      <c r="H11" s="158">
        <v>92728000</v>
      </c>
      <c r="I11" s="145">
        <f t="shared" si="0"/>
        <v>0</v>
      </c>
      <c r="J11" s="145">
        <f t="shared" si="1"/>
        <v>-39730601.86360088</v>
      </c>
      <c r="K11" s="145">
        <f t="shared" si="2"/>
        <v>0</v>
      </c>
      <c r="L11" s="225" t="s">
        <v>5</v>
      </c>
      <c r="M11" s="145">
        <f t="shared" ref="M11:M15" si="6">F11/E11</f>
        <v>0.40011715512680418</v>
      </c>
      <c r="N11" s="145">
        <f t="shared" si="3"/>
        <v>92728000</v>
      </c>
      <c r="O11" s="145">
        <f t="shared" si="4"/>
        <v>66228000</v>
      </c>
      <c r="P11" s="145" t="s">
        <v>5</v>
      </c>
      <c r="Q11" s="284">
        <f t="shared" si="5"/>
        <v>1</v>
      </c>
      <c r="R11" s="97"/>
    </row>
    <row r="12" spans="1:22" s="16" customFormat="1" ht="27.6">
      <c r="A12" s="275">
        <v>2128</v>
      </c>
      <c r="B12" s="276" t="s">
        <v>40</v>
      </c>
      <c r="C12" s="277" t="s">
        <v>0</v>
      </c>
      <c r="D12" s="328">
        <f>+'Anexo 1'!E12</f>
        <v>270000000</v>
      </c>
      <c r="E12" s="158">
        <v>172455003.54999998</v>
      </c>
      <c r="F12" s="427">
        <v>207222577.18000001</v>
      </c>
      <c r="G12" s="158">
        <v>180425638.03</v>
      </c>
      <c r="H12" s="158">
        <v>352880641.57999998</v>
      </c>
      <c r="I12" s="145">
        <f t="shared" si="0"/>
        <v>26796939.150000006</v>
      </c>
      <c r="J12" s="145">
        <f t="shared" si="1"/>
        <v>34767573.630000025</v>
      </c>
      <c r="K12" s="145">
        <f t="shared" si="2"/>
        <v>26796939.149999976</v>
      </c>
      <c r="L12" s="145">
        <f t="shared" ref="L12:L15" si="7">F12/G12</f>
        <v>1.1485206838816575</v>
      </c>
      <c r="M12" s="145">
        <f t="shared" si="6"/>
        <v>1.2016037396092125</v>
      </c>
      <c r="N12" s="145">
        <f t="shared" si="3"/>
        <v>326083702.43000001</v>
      </c>
      <c r="O12" s="145">
        <f t="shared" si="4"/>
        <v>145658064.40000001</v>
      </c>
      <c r="P12" s="145">
        <f>((+'Anexo 2'!K12*12)-(('Anexo 2'!M12)*12))/M12</f>
        <v>-24.788788839447321</v>
      </c>
      <c r="Q12" s="284">
        <f t="shared" si="5"/>
        <v>0.84461489316991167</v>
      </c>
      <c r="R12" s="50"/>
    </row>
    <row r="13" spans="1:22" s="1" customFormat="1" ht="27.6">
      <c r="A13" s="142">
        <v>2129</v>
      </c>
      <c r="B13" s="143" t="s">
        <v>57</v>
      </c>
      <c r="C13" s="130" t="s">
        <v>77</v>
      </c>
      <c r="D13" s="328">
        <f>+'Anexo 1'!E13</f>
        <v>130000000</v>
      </c>
      <c r="E13" s="158">
        <v>158882065.883037</v>
      </c>
      <c r="F13" s="158">
        <v>21350189.280000001</v>
      </c>
      <c r="G13" s="158">
        <v>16345555.8994583</v>
      </c>
      <c r="H13" s="427">
        <v>178860362.72999999</v>
      </c>
      <c r="I13" s="145">
        <f t="shared" si="0"/>
        <v>5004633.3805417009</v>
      </c>
      <c r="J13" s="145">
        <f t="shared" si="1"/>
        <v>-137531876.603037</v>
      </c>
      <c r="K13" s="145">
        <f t="shared" si="2"/>
        <v>5004633.380541712</v>
      </c>
      <c r="L13" s="145">
        <f t="shared" si="7"/>
        <v>1.3061770068467085</v>
      </c>
      <c r="M13" s="145">
        <f t="shared" si="6"/>
        <v>0.13437759108518393</v>
      </c>
      <c r="N13" s="145">
        <f t="shared" si="3"/>
        <v>173855729.34945828</v>
      </c>
      <c r="O13" s="145">
        <f t="shared" si="4"/>
        <v>157510173.44999999</v>
      </c>
      <c r="P13" s="145">
        <f>((+'Anexo 2'!K13*12)-(('Anexo 2'!M13)*12))/M13</f>
        <v>10.031026710584248</v>
      </c>
      <c r="Q13" s="284">
        <f t="shared" si="5"/>
        <v>0.96920506212236912</v>
      </c>
      <c r="R13" s="97"/>
    </row>
    <row r="14" spans="1:22" s="16" customFormat="1" ht="57.6" customHeight="1">
      <c r="A14" s="275">
        <v>2164</v>
      </c>
      <c r="B14" s="276" t="s">
        <v>64</v>
      </c>
      <c r="C14" s="277" t="s">
        <v>77</v>
      </c>
      <c r="D14" s="328">
        <f>+'Anexo 1'!E14</f>
        <v>154562390.28999999</v>
      </c>
      <c r="E14" s="158">
        <v>19500025.91666761</v>
      </c>
      <c r="F14" s="427">
        <v>16739712.609476756</v>
      </c>
      <c r="G14" s="158">
        <v>16739712.609476756</v>
      </c>
      <c r="H14" s="158">
        <v>185866632.4625372</v>
      </c>
      <c r="I14" s="145">
        <f t="shared" si="0"/>
        <v>0</v>
      </c>
      <c r="J14" s="145">
        <f t="shared" si="1"/>
        <v>-2760313.3071908541</v>
      </c>
      <c r="K14" s="145">
        <f t="shared" si="2"/>
        <v>0</v>
      </c>
      <c r="L14" s="145">
        <f t="shared" si="7"/>
        <v>1</v>
      </c>
      <c r="M14" s="145">
        <f t="shared" si="6"/>
        <v>0.85844565956030439</v>
      </c>
      <c r="N14" s="145">
        <f t="shared" si="3"/>
        <v>185866632.4625372</v>
      </c>
      <c r="O14" s="145">
        <f t="shared" si="4"/>
        <v>169126919.85306045</v>
      </c>
      <c r="P14" s="145">
        <f>((+'Anexo 2'!K14*12)-(('Anexo 2'!M14)*12))/M14</f>
        <v>11.757471859198665</v>
      </c>
      <c r="Q14" s="284">
        <f t="shared" si="5"/>
        <v>1</v>
      </c>
      <c r="R14" s="97"/>
    </row>
    <row r="15" spans="1:22" s="16" customFormat="1" ht="27.6">
      <c r="A15" s="142" t="s">
        <v>74</v>
      </c>
      <c r="B15" s="143" t="s">
        <v>90</v>
      </c>
      <c r="C15" s="277" t="str">
        <f>+'Anexo 1'!C15</f>
        <v>AyA</v>
      </c>
      <c r="D15" s="328">
        <f>+'Anexo 1'!E15</f>
        <v>111128810</v>
      </c>
      <c r="E15" s="158">
        <v>4630925.6082036588</v>
      </c>
      <c r="F15" s="158">
        <v>3561172.8763320902</v>
      </c>
      <c r="G15" s="158">
        <v>3561172.8763320902</v>
      </c>
      <c r="H15" s="158">
        <v>139863535</v>
      </c>
      <c r="I15" s="145">
        <f t="shared" si="0"/>
        <v>0</v>
      </c>
      <c r="J15" s="145">
        <f t="shared" si="1"/>
        <v>-1069752.7318715686</v>
      </c>
      <c r="K15" s="145">
        <f t="shared" si="2"/>
        <v>0</v>
      </c>
      <c r="L15" s="145">
        <f t="shared" si="7"/>
        <v>1</v>
      </c>
      <c r="M15" s="145">
        <f t="shared" si="6"/>
        <v>0.76899807460165037</v>
      </c>
      <c r="N15" s="145">
        <f t="shared" si="3"/>
        <v>139863535</v>
      </c>
      <c r="O15" s="145">
        <f t="shared" si="4"/>
        <v>136302362.1236679</v>
      </c>
      <c r="P15" s="225">
        <f>((+'Anexo 2'!K15*12)-(('Anexo 2'!M15)*12))/M15</f>
        <v>28.858044714108541</v>
      </c>
      <c r="Q15" s="284">
        <f t="shared" si="5"/>
        <v>1</v>
      </c>
      <c r="R15" s="97"/>
    </row>
    <row r="16" spans="1:22" s="16" customFormat="1">
      <c r="A16" s="275">
        <v>2198</v>
      </c>
      <c r="B16" s="276" t="s">
        <v>69</v>
      </c>
      <c r="C16" s="277" t="str">
        <f>+'Anexo 1'!C16</f>
        <v>AyA/SENARA</v>
      </c>
      <c r="D16" s="328">
        <f>+'Anexo 1'!E16</f>
        <v>55080000</v>
      </c>
      <c r="E16" s="432"/>
      <c r="F16" s="432"/>
      <c r="G16" s="432"/>
      <c r="H16" s="432"/>
      <c r="I16" s="145">
        <f t="shared" si="0"/>
        <v>0</v>
      </c>
      <c r="J16" s="145">
        <f t="shared" si="1"/>
        <v>0</v>
      </c>
      <c r="K16" s="145">
        <f t="shared" si="2"/>
        <v>0</v>
      </c>
      <c r="L16" s="571" t="s">
        <v>5</v>
      </c>
      <c r="M16" s="571" t="s">
        <v>5</v>
      </c>
      <c r="N16" s="571">
        <f t="shared" si="3"/>
        <v>0</v>
      </c>
      <c r="O16" s="571">
        <f t="shared" si="4"/>
        <v>0</v>
      </c>
      <c r="P16" s="571" t="s">
        <v>5</v>
      </c>
      <c r="Q16" s="572" t="s">
        <v>5</v>
      </c>
      <c r="R16" s="97"/>
    </row>
    <row r="17" spans="1:18" s="16" customFormat="1">
      <c r="A17" s="275">
        <v>2270</v>
      </c>
      <c r="B17" s="276" t="s">
        <v>182</v>
      </c>
      <c r="C17" s="386" t="str">
        <f>+'Anexo 1'!C17</f>
        <v>CNE</v>
      </c>
      <c r="D17" s="384">
        <f>+'Anexo 1'!E17</f>
        <v>80000000</v>
      </c>
      <c r="E17" s="380" t="s">
        <v>5</v>
      </c>
      <c r="F17" s="485" t="s">
        <v>5</v>
      </c>
      <c r="G17" s="485" t="s">
        <v>5</v>
      </c>
      <c r="H17" s="485" t="s">
        <v>5</v>
      </c>
      <c r="I17" s="414" t="s">
        <v>5</v>
      </c>
      <c r="J17" s="414" t="s">
        <v>5</v>
      </c>
      <c r="K17" s="414" t="s">
        <v>5</v>
      </c>
      <c r="L17" s="568" t="s">
        <v>5</v>
      </c>
      <c r="M17" s="568" t="s">
        <v>5</v>
      </c>
      <c r="N17" s="568" t="s">
        <v>5</v>
      </c>
      <c r="O17" s="568" t="s">
        <v>5</v>
      </c>
      <c r="P17" s="568" t="s">
        <v>5</v>
      </c>
      <c r="Q17" s="572" t="s">
        <v>5</v>
      </c>
      <c r="R17" s="97"/>
    </row>
    <row r="18" spans="1:18" s="16" customFormat="1" ht="27.6">
      <c r="A18" s="275">
        <v>2220</v>
      </c>
      <c r="B18" s="143" t="s">
        <v>233</v>
      </c>
      <c r="C18" s="495" t="str">
        <f>+'Anexo 1'!C18</f>
        <v xml:space="preserve">SENARA </v>
      </c>
      <c r="D18" s="492">
        <f>+'Anexo 1'!E18</f>
        <v>425000000</v>
      </c>
      <c r="E18" s="645">
        <v>4156165.0787172015</v>
      </c>
      <c r="F18" s="645">
        <v>4156165.0787172015</v>
      </c>
      <c r="G18" s="645">
        <v>4156165.0787172015</v>
      </c>
      <c r="H18" s="645">
        <v>457797287.81</v>
      </c>
      <c r="I18" s="492">
        <f t="shared" ref="I18" si="8">F18-G18</f>
        <v>0</v>
      </c>
      <c r="J18" s="492">
        <f t="shared" ref="J18" si="9">F18-E18</f>
        <v>0</v>
      </c>
      <c r="K18" s="492">
        <f t="shared" ref="K18" si="10">H18-N18</f>
        <v>0</v>
      </c>
      <c r="L18" s="638">
        <f t="shared" ref="L18" si="11">F18/G18</f>
        <v>1</v>
      </c>
      <c r="M18" s="571" t="s">
        <v>5</v>
      </c>
      <c r="N18" s="571">
        <f t="shared" ref="N18" si="12">G18+H18-F18</f>
        <v>457797287.81</v>
      </c>
      <c r="O18" s="571">
        <f t="shared" ref="O18" si="13">N18-G18</f>
        <v>453641122.73128283</v>
      </c>
      <c r="P18" s="571" t="s">
        <v>5</v>
      </c>
      <c r="Q18" s="572">
        <f t="shared" ref="Q18" si="14">(H18-F18)/(H18-G18)</f>
        <v>1</v>
      </c>
      <c r="R18" s="97"/>
    </row>
    <row r="19" spans="1:18" s="16" customFormat="1">
      <c r="A19" s="275"/>
      <c r="B19" s="278"/>
      <c r="C19" s="279"/>
      <c r="D19" s="177">
        <f>SUM(D9:D18)</f>
        <v>1755279957.29</v>
      </c>
      <c r="E19" s="158"/>
      <c r="F19" s="158"/>
      <c r="G19" s="158"/>
      <c r="H19" s="158"/>
      <c r="I19" s="158"/>
      <c r="J19" s="158"/>
      <c r="K19" s="158"/>
      <c r="L19" s="158"/>
      <c r="M19" s="145"/>
      <c r="N19" s="145"/>
      <c r="O19" s="145"/>
      <c r="P19" s="145"/>
      <c r="Q19" s="240"/>
      <c r="R19" s="97"/>
    </row>
    <row r="20" spans="1:18" s="16" customFormat="1">
      <c r="A20" s="275"/>
      <c r="B20" s="278"/>
      <c r="C20" s="279"/>
      <c r="D20" s="328"/>
      <c r="E20" s="158"/>
      <c r="F20" s="158"/>
      <c r="G20" s="158"/>
      <c r="H20" s="158"/>
      <c r="I20" s="158"/>
      <c r="J20" s="158"/>
      <c r="K20" s="158"/>
      <c r="L20" s="158"/>
      <c r="M20" s="158"/>
      <c r="N20" s="158"/>
      <c r="O20" s="158"/>
      <c r="P20" s="158"/>
      <c r="Q20" s="209"/>
      <c r="R20" s="97"/>
    </row>
    <row r="21" spans="1:18" s="16" customFormat="1">
      <c r="A21" s="280" t="s">
        <v>2</v>
      </c>
      <c r="B21" s="281"/>
      <c r="C21" s="277"/>
      <c r="D21" s="328"/>
      <c r="E21" s="158"/>
      <c r="F21" s="158"/>
      <c r="G21" s="158"/>
      <c r="H21" s="158"/>
      <c r="I21" s="158"/>
      <c r="J21" s="158"/>
      <c r="K21" s="158"/>
      <c r="L21" s="158"/>
      <c r="M21" s="158"/>
      <c r="N21" s="158"/>
      <c r="O21" s="158"/>
      <c r="P21" s="145"/>
      <c r="Q21" s="209"/>
      <c r="R21" s="97"/>
    </row>
    <row r="22" spans="1:18" s="16" customFormat="1">
      <c r="A22" s="275" t="s">
        <v>20</v>
      </c>
      <c r="B22" s="282" t="s">
        <v>21</v>
      </c>
      <c r="C22" s="283" t="s">
        <v>77</v>
      </c>
      <c r="D22" s="328">
        <f>'Anexo 1'!E22</f>
        <v>73000000</v>
      </c>
      <c r="E22" s="158">
        <v>89105477.485686019</v>
      </c>
      <c r="F22" s="158">
        <v>86913586.991489649</v>
      </c>
      <c r="G22" s="158">
        <v>86913586.991489649</v>
      </c>
      <c r="H22" s="158">
        <v>105788905.78519201</v>
      </c>
      <c r="I22" s="145">
        <f>F22-G22</f>
        <v>0</v>
      </c>
      <c r="J22" s="145">
        <f>F22-E22</f>
        <v>-2191890.4941963702</v>
      </c>
      <c r="K22" s="145">
        <f>H22-N22</f>
        <v>0</v>
      </c>
      <c r="L22" s="145">
        <f>F22/G22</f>
        <v>1</v>
      </c>
      <c r="M22" s="145">
        <f>F22/E22</f>
        <v>0.9754011699836469</v>
      </c>
      <c r="N22" s="145">
        <f>G22+H22-F22</f>
        <v>105788905.78519201</v>
      </c>
      <c r="O22" s="145">
        <f>N22-G22</f>
        <v>18875318.793702364</v>
      </c>
      <c r="P22" s="145">
        <f>((+'Anexo 2'!L22*12)-(('Anexo 2'!M22)*12))/M22</f>
        <v>25.447906535354406</v>
      </c>
      <c r="Q22" s="240">
        <f>(H22-F22)/(H22-G22)</f>
        <v>1</v>
      </c>
      <c r="R22" s="97"/>
    </row>
    <row r="23" spans="1:18" s="1" customFormat="1" ht="12" customHeight="1">
      <c r="A23" s="164" t="s">
        <v>66</v>
      </c>
      <c r="B23" s="165" t="s">
        <v>33</v>
      </c>
      <c r="C23" s="667" t="s">
        <v>4</v>
      </c>
      <c r="D23" s="328">
        <f>'Anexo 1'!E23</f>
        <v>400000000</v>
      </c>
      <c r="E23" s="675">
        <v>230000000</v>
      </c>
      <c r="F23" s="675">
        <v>220000000</v>
      </c>
      <c r="G23" s="675">
        <v>216585065.80000001</v>
      </c>
      <c r="H23" s="675">
        <v>450000000</v>
      </c>
      <c r="I23" s="702">
        <f>F23-G23</f>
        <v>3414934.1999999881</v>
      </c>
      <c r="J23" s="702">
        <f>F23-E23</f>
        <v>-10000000</v>
      </c>
      <c r="K23" s="702">
        <f>H23-N23</f>
        <v>3414934.2000000477</v>
      </c>
      <c r="L23" s="702">
        <f>F23/G23</f>
        <v>1.0157671729922202</v>
      </c>
      <c r="M23" s="702">
        <f>F23/E23</f>
        <v>0.95652173913043481</v>
      </c>
      <c r="N23" s="702">
        <f>G23+H23-F23</f>
        <v>446585065.79999995</v>
      </c>
      <c r="O23" s="702">
        <f>N23-G23</f>
        <v>229999999.99999994</v>
      </c>
      <c r="P23" s="702">
        <f>((+'Anexo 2'!K23*12)-(('Anexo 2'!M23)*12))/M23</f>
        <v>-20.485180572851807</v>
      </c>
      <c r="Q23" s="713">
        <f>(H23-F23)/(H23-G23)</f>
        <v>0.98536968419906701</v>
      </c>
      <c r="R23" s="97"/>
    </row>
    <row r="24" spans="1:18" s="1" customFormat="1">
      <c r="A24" s="164" t="s">
        <v>53</v>
      </c>
      <c r="B24" s="165" t="s">
        <v>33</v>
      </c>
      <c r="C24" s="667"/>
      <c r="D24" s="328">
        <f>'Anexo 1'!E24</f>
        <v>50000000</v>
      </c>
      <c r="E24" s="675"/>
      <c r="F24" s="675"/>
      <c r="G24" s="675"/>
      <c r="H24" s="675"/>
      <c r="I24" s="702"/>
      <c r="J24" s="702"/>
      <c r="K24" s="702"/>
      <c r="L24" s="702"/>
      <c r="M24" s="702"/>
      <c r="N24" s="702"/>
      <c r="O24" s="702"/>
      <c r="P24" s="702"/>
      <c r="Q24" s="713"/>
      <c r="R24" s="97"/>
    </row>
    <row r="25" spans="1:18" s="16" customFormat="1">
      <c r="A25" s="167" t="s">
        <v>49</v>
      </c>
      <c r="B25" s="253" t="s">
        <v>50</v>
      </c>
      <c r="C25" s="283" t="s">
        <v>54</v>
      </c>
      <c r="D25" s="328">
        <f>'Anexo 1'!E25</f>
        <v>100000000</v>
      </c>
      <c r="E25" s="158">
        <v>38552698.379999995</v>
      </c>
      <c r="F25" s="158">
        <v>20552698.379999999</v>
      </c>
      <c r="G25" s="158">
        <v>12129416.720000001</v>
      </c>
      <c r="H25" s="158">
        <v>100000000</v>
      </c>
      <c r="I25" s="145">
        <f>F25-G25</f>
        <v>8423281.6599999983</v>
      </c>
      <c r="J25" s="145">
        <f>F25-E25</f>
        <v>-17999999.999999996</v>
      </c>
      <c r="K25" s="145">
        <f>H25-N25</f>
        <v>8423281.6599999964</v>
      </c>
      <c r="L25" s="145">
        <f>F25/G25</f>
        <v>1.6944506775920218</v>
      </c>
      <c r="M25" s="145">
        <f>F25/E25</f>
        <v>0.53310661104495172</v>
      </c>
      <c r="N25" s="145">
        <f>G25+H25-F25</f>
        <v>91576718.340000004</v>
      </c>
      <c r="O25" s="145">
        <f>N25-G25</f>
        <v>79447301.620000005</v>
      </c>
      <c r="P25" s="145">
        <f>((+'Anexo 2'!K25*12)-(('Anexo 2'!M25)*12))/M25</f>
        <v>-1.9117716064223569</v>
      </c>
      <c r="Q25" s="240">
        <f>(H25-F25)/(H25-G25)</f>
        <v>0.90413991411483896</v>
      </c>
      <c r="R25" s="97"/>
    </row>
    <row r="26" spans="1:18" s="16" customFormat="1">
      <c r="A26" s="167" t="s">
        <v>67</v>
      </c>
      <c r="B26" s="253" t="s">
        <v>68</v>
      </c>
      <c r="C26" s="283" t="s">
        <v>4</v>
      </c>
      <c r="D26" s="328">
        <f>'Anexo 1'!E26</f>
        <v>144036000</v>
      </c>
      <c r="E26" s="158">
        <v>72760398.049999997</v>
      </c>
      <c r="F26" s="158">
        <v>65997146.219999999</v>
      </c>
      <c r="G26" s="158">
        <v>48877818.919999994</v>
      </c>
      <c r="H26" s="158">
        <v>152036000</v>
      </c>
      <c r="I26" s="145">
        <f>F26-G26</f>
        <v>17119327.300000004</v>
      </c>
      <c r="J26" s="145">
        <f>F26-E26</f>
        <v>-6763251.8299999982</v>
      </c>
      <c r="K26" s="145">
        <f>H26-N26</f>
        <v>17119327.300000012</v>
      </c>
      <c r="L26" s="145">
        <f>F26/G26</f>
        <v>1.3502473653339524</v>
      </c>
      <c r="M26" s="145">
        <f>F26/E26</f>
        <v>0.90704762465218536</v>
      </c>
      <c r="N26" s="145">
        <f>G26+H26-F26</f>
        <v>134916672.69999999</v>
      </c>
      <c r="O26" s="145">
        <f>N26-G26</f>
        <v>86038853.780000001</v>
      </c>
      <c r="P26" s="145">
        <f>((+'Anexo 2'!K26*12)-(('Anexo 2'!M26)*12))/M26</f>
        <v>16.165649189867828</v>
      </c>
      <c r="Q26" s="240">
        <f>(H26-F26)/(H26-G26)</f>
        <v>0.83404779804401719</v>
      </c>
      <c r="R26" s="97"/>
    </row>
    <row r="27" spans="1:18" s="16" customFormat="1" ht="27.6">
      <c r="A27" s="167" t="str">
        <f>+'Anexo 1'!A27</f>
        <v>3589/OC-CR</v>
      </c>
      <c r="B27" s="281" t="s">
        <v>72</v>
      </c>
      <c r="C27" s="283" t="str">
        <f>+'Anexo 1'!C27</f>
        <v>ICE</v>
      </c>
      <c r="D27" s="328">
        <f>+'Anexo 1'!E27</f>
        <v>134500000</v>
      </c>
      <c r="E27" s="158">
        <v>84385155.822735995</v>
      </c>
      <c r="F27" s="158">
        <v>83545874.776984364</v>
      </c>
      <c r="G27" s="158">
        <v>83545874.776984364</v>
      </c>
      <c r="H27" s="158">
        <v>226200000</v>
      </c>
      <c r="I27" s="145">
        <f>F27-G27</f>
        <v>0</v>
      </c>
      <c r="J27" s="145">
        <f>F27-E27</f>
        <v>-839281.04575163126</v>
      </c>
      <c r="K27" s="145">
        <f>H27-N27</f>
        <v>0</v>
      </c>
      <c r="L27" s="145">
        <f>F27/G27</f>
        <v>1</v>
      </c>
      <c r="M27" s="145">
        <f>F27/E27</f>
        <v>0.99005416251746137</v>
      </c>
      <c r="N27" s="145">
        <f>G27+H27-F27</f>
        <v>226199999.99999997</v>
      </c>
      <c r="O27" s="145">
        <f>N27-G27</f>
        <v>142654125.22301561</v>
      </c>
      <c r="P27" s="145">
        <f>((+'Anexo 2'!K27*12)-(('Anexo 2'!M27)*12))/M27</f>
        <v>19.459292384236349</v>
      </c>
      <c r="Q27" s="240">
        <f>(H27-F27)/(H27-G27)</f>
        <v>1</v>
      </c>
      <c r="R27" s="97"/>
    </row>
    <row r="28" spans="1:18" s="16" customFormat="1" ht="27.6">
      <c r="A28" s="167" t="str">
        <f>+'Anexo 1'!A28</f>
        <v>4864/OC-CR</v>
      </c>
      <c r="B28" s="161" t="s">
        <v>102</v>
      </c>
      <c r="C28" s="283" t="str">
        <f>+'Anexo 1'!C28</f>
        <v>MOPT</v>
      </c>
      <c r="D28" s="328">
        <f>+'Anexo 1'!E28</f>
        <v>125000000</v>
      </c>
      <c r="E28" s="323">
        <v>133238976.64</v>
      </c>
      <c r="F28" s="158">
        <v>47418063.269126981</v>
      </c>
      <c r="G28" s="158">
        <v>1712955.19</v>
      </c>
      <c r="H28" s="158">
        <v>178000000</v>
      </c>
      <c r="I28" s="145">
        <f>F28-G28</f>
        <v>45705108.079126984</v>
      </c>
      <c r="J28" s="145">
        <f>F28-E28</f>
        <v>-85820913.370873019</v>
      </c>
      <c r="K28" s="145">
        <f>H28-N28</f>
        <v>45705108.079126984</v>
      </c>
      <c r="L28" s="145" t="s">
        <v>5</v>
      </c>
      <c r="M28" s="145">
        <f>F28/E28</f>
        <v>0.35588732715387345</v>
      </c>
      <c r="N28" s="145">
        <f>G28+H28-F28</f>
        <v>132294891.92087302</v>
      </c>
      <c r="O28" s="145">
        <f>N28-G28</f>
        <v>130581936.73087302</v>
      </c>
      <c r="P28" s="225" t="s">
        <v>5</v>
      </c>
      <c r="Q28" s="240">
        <f>(H28-F28)/(H28-G28)</f>
        <v>0.74073473108368582</v>
      </c>
      <c r="R28" s="97"/>
    </row>
    <row r="29" spans="1:18" s="16" customFormat="1">
      <c r="A29" s="167" t="str">
        <f>+'Anexo 1'!A29</f>
        <v>4871/OC-CR</v>
      </c>
      <c r="B29" s="161" t="s">
        <v>110</v>
      </c>
      <c r="C29" s="283" t="str">
        <f>+'Anexo 1'!C29</f>
        <v>MJP</v>
      </c>
      <c r="D29" s="328">
        <f>+'Anexo 1'!E29</f>
        <v>100000000</v>
      </c>
      <c r="E29" s="190">
        <v>850000</v>
      </c>
      <c r="F29" s="190">
        <v>850000</v>
      </c>
      <c r="G29" s="190">
        <v>245068.72</v>
      </c>
      <c r="H29" s="190">
        <v>100000000</v>
      </c>
      <c r="I29" s="225">
        <f>F29-G29</f>
        <v>604931.28</v>
      </c>
      <c r="J29" s="225">
        <f>F29-E29</f>
        <v>0</v>
      </c>
      <c r="K29" s="225">
        <f>H29-N29</f>
        <v>604931.28000000119</v>
      </c>
      <c r="L29" s="225" t="s">
        <v>5</v>
      </c>
      <c r="M29" s="225" t="s">
        <v>5</v>
      </c>
      <c r="N29" s="225">
        <f>G29+H29-F29</f>
        <v>99395068.719999999</v>
      </c>
      <c r="O29" s="225">
        <f>N29-G29</f>
        <v>99150000</v>
      </c>
      <c r="P29" s="225" t="s">
        <v>5</v>
      </c>
      <c r="Q29" s="284">
        <f>(H29-F29)/(H29-G29)</f>
        <v>0.99393582580592399</v>
      </c>
      <c r="R29" s="97"/>
    </row>
    <row r="30" spans="1:18" s="16" customFormat="1">
      <c r="A30" s="285"/>
      <c r="B30" s="286"/>
      <c r="C30" s="279"/>
      <c r="D30" s="177">
        <f>SUM(D22:D29)</f>
        <v>1126536000</v>
      </c>
      <c r="E30" s="158"/>
      <c r="F30" s="158"/>
      <c r="G30" s="158"/>
      <c r="H30" s="158"/>
      <c r="I30" s="145"/>
      <c r="J30" s="145"/>
      <c r="K30" s="145"/>
      <c r="L30" s="145"/>
      <c r="M30" s="145"/>
      <c r="N30" s="145"/>
      <c r="O30" s="145"/>
      <c r="P30" s="145"/>
      <c r="Q30" s="240"/>
      <c r="R30" s="97"/>
    </row>
    <row r="31" spans="1:18" s="16" customFormat="1">
      <c r="A31" s="287"/>
      <c r="B31" s="276"/>
      <c r="C31" s="277"/>
      <c r="D31" s="328"/>
      <c r="E31" s="158"/>
      <c r="F31" s="158"/>
      <c r="G31" s="158"/>
      <c r="H31" s="158"/>
      <c r="I31" s="158"/>
      <c r="J31" s="158"/>
      <c r="K31" s="158"/>
      <c r="L31" s="158"/>
      <c r="M31" s="158"/>
      <c r="N31" s="158"/>
      <c r="O31" s="158"/>
      <c r="P31" s="158"/>
      <c r="Q31" s="209"/>
      <c r="R31" s="97"/>
    </row>
    <row r="32" spans="1:18" s="16" customFormat="1">
      <c r="A32" s="280" t="s">
        <v>3</v>
      </c>
      <c r="B32" s="281"/>
      <c r="C32" s="277"/>
      <c r="D32" s="328"/>
      <c r="E32" s="158"/>
      <c r="F32" s="158"/>
      <c r="G32" s="158"/>
      <c r="H32" s="158"/>
      <c r="I32" s="158"/>
      <c r="J32" s="158"/>
      <c r="K32" s="158"/>
      <c r="L32" s="158"/>
      <c r="M32" s="158"/>
      <c r="N32" s="158"/>
      <c r="O32" s="158"/>
      <c r="P32" s="158"/>
      <c r="Q32" s="209"/>
      <c r="R32" s="97"/>
    </row>
    <row r="33" spans="1:18" s="16" customFormat="1" ht="27.6">
      <c r="A33" s="285" t="s">
        <v>46</v>
      </c>
      <c r="B33" s="281" t="s">
        <v>47</v>
      </c>
      <c r="C33" s="277" t="s">
        <v>0</v>
      </c>
      <c r="D33" s="328">
        <f>'Anexo 1'!E33</f>
        <v>420000000</v>
      </c>
      <c r="E33" s="158">
        <v>387500000</v>
      </c>
      <c r="F33" s="158">
        <v>390000000</v>
      </c>
      <c r="G33" s="158">
        <v>390000000</v>
      </c>
      <c r="H33" s="158">
        <v>420000000</v>
      </c>
      <c r="I33" s="145">
        <f>F33-G33</f>
        <v>0</v>
      </c>
      <c r="J33" s="145">
        <f>F33-E33</f>
        <v>2500000</v>
      </c>
      <c r="K33" s="145">
        <f>H33-N33</f>
        <v>0</v>
      </c>
      <c r="L33" s="145">
        <f>F33/G33</f>
        <v>1</v>
      </c>
      <c r="M33" s="145">
        <f>F33/E33</f>
        <v>1.0064516129032257</v>
      </c>
      <c r="N33" s="145">
        <f>G33+H33-F33</f>
        <v>420000000</v>
      </c>
      <c r="O33" s="145">
        <f>N33-G33</f>
        <v>30000000</v>
      </c>
      <c r="P33" s="145">
        <f>((+'Anexo 2'!K33*12)-(('Anexo 2'!M33)*12))/M33</f>
        <v>2.9072708113803971</v>
      </c>
      <c r="Q33" s="240">
        <f>(H33-F33)/(H33-G33)</f>
        <v>1</v>
      </c>
      <c r="R33" s="50"/>
    </row>
    <row r="34" spans="1:18" s="16" customFormat="1" ht="33.6" customHeight="1">
      <c r="A34" s="285" t="s">
        <v>96</v>
      </c>
      <c r="B34" s="281" t="s">
        <v>215</v>
      </c>
      <c r="C34" s="277" t="s">
        <v>86</v>
      </c>
      <c r="D34" s="328">
        <f>'Anexo 1'!E34</f>
        <v>156640000</v>
      </c>
      <c r="E34" s="427">
        <v>5352750</v>
      </c>
      <c r="F34" s="427">
        <v>5352750</v>
      </c>
      <c r="G34" s="427">
        <v>953655.13</v>
      </c>
      <c r="H34" s="427">
        <v>156640000</v>
      </c>
      <c r="I34" s="225">
        <f>F34-G34</f>
        <v>4399094.87</v>
      </c>
      <c r="J34" s="225">
        <f>F34-E34</f>
        <v>0</v>
      </c>
      <c r="K34" s="225">
        <f>H34-N34</f>
        <v>4399094.8700000048</v>
      </c>
      <c r="L34" s="225" t="s">
        <v>5</v>
      </c>
      <c r="M34" s="225" t="s">
        <v>5</v>
      </c>
      <c r="N34" s="225">
        <f>G34+H34-F34</f>
        <v>152240905.13</v>
      </c>
      <c r="O34" s="225">
        <f>N34-G34</f>
        <v>151287250</v>
      </c>
      <c r="P34" s="225" t="s">
        <v>5</v>
      </c>
      <c r="Q34" s="284">
        <f>(H34-F34)/(H34-G34)</f>
        <v>0.97174386184174788</v>
      </c>
      <c r="R34" s="50"/>
    </row>
    <row r="35" spans="1:18" s="16" customFormat="1" ht="27.6">
      <c r="A35" s="285" t="s">
        <v>185</v>
      </c>
      <c r="B35" s="281" t="s">
        <v>187</v>
      </c>
      <c r="C35" s="386" t="s">
        <v>186</v>
      </c>
      <c r="D35" s="384">
        <v>75100500</v>
      </c>
      <c r="E35" s="380">
        <v>187752</v>
      </c>
      <c r="F35" s="380">
        <v>187752</v>
      </c>
      <c r="G35" s="380">
        <v>187752</v>
      </c>
      <c r="H35" s="380">
        <v>82100500</v>
      </c>
      <c r="I35" s="384">
        <f>F35-G35</f>
        <v>0</v>
      </c>
      <c r="J35" s="384">
        <f>F35-E35</f>
        <v>0</v>
      </c>
      <c r="K35" s="384">
        <f>H35-N35</f>
        <v>0</v>
      </c>
      <c r="L35" s="384" t="s">
        <v>5</v>
      </c>
      <c r="M35" s="384" t="s">
        <v>5</v>
      </c>
      <c r="N35" s="384">
        <f>G35+H35-F35</f>
        <v>82100500</v>
      </c>
      <c r="O35" s="384">
        <f>N35-G35</f>
        <v>81912748</v>
      </c>
      <c r="P35" s="384" t="s">
        <v>5</v>
      </c>
      <c r="Q35" s="385">
        <f>(H35-F35)/(H35-G35)</f>
        <v>1</v>
      </c>
      <c r="R35" s="50"/>
    </row>
    <row r="36" spans="1:18" s="16" customFormat="1">
      <c r="A36" s="285"/>
      <c r="B36" s="253"/>
      <c r="C36" s="277"/>
      <c r="D36" s="177">
        <f>SUM(D33:D35)</f>
        <v>651740500</v>
      </c>
      <c r="E36" s="158"/>
      <c r="F36" s="158"/>
      <c r="G36" s="158"/>
      <c r="H36" s="158"/>
      <c r="I36" s="145"/>
      <c r="J36" s="145"/>
      <c r="K36" s="145"/>
      <c r="L36" s="145"/>
      <c r="M36" s="145"/>
      <c r="N36" s="145"/>
      <c r="O36" s="145"/>
      <c r="P36" s="145"/>
      <c r="Q36" s="240"/>
      <c r="R36" s="97"/>
    </row>
    <row r="37" spans="1:18" s="16" customFormat="1">
      <c r="A37" s="285"/>
      <c r="B37" s="253"/>
      <c r="C37" s="277"/>
      <c r="D37" s="177"/>
      <c r="E37" s="158"/>
      <c r="F37" s="158"/>
      <c r="G37" s="158"/>
      <c r="H37" s="158"/>
      <c r="I37" s="145"/>
      <c r="J37" s="145"/>
      <c r="K37" s="145"/>
      <c r="L37" s="145"/>
      <c r="M37" s="145"/>
      <c r="N37" s="145"/>
      <c r="O37" s="145"/>
      <c r="P37" s="145"/>
      <c r="Q37" s="240"/>
      <c r="R37" s="97"/>
    </row>
    <row r="38" spans="1:18" s="16" customFormat="1">
      <c r="A38" s="275" t="s">
        <v>34</v>
      </c>
      <c r="B38" s="281"/>
      <c r="C38" s="277"/>
      <c r="D38" s="328"/>
      <c r="E38" s="158"/>
      <c r="F38" s="158"/>
      <c r="G38" s="158"/>
      <c r="H38" s="158"/>
      <c r="I38" s="158"/>
      <c r="J38" s="158"/>
      <c r="K38" s="158"/>
      <c r="L38" s="158"/>
      <c r="M38" s="158"/>
      <c r="N38" s="158"/>
      <c r="O38" s="158"/>
      <c r="P38" s="158"/>
      <c r="Q38" s="209"/>
      <c r="R38" s="97"/>
    </row>
    <row r="39" spans="1:18" s="16" customFormat="1" ht="15.6">
      <c r="A39" s="285" t="s">
        <v>37</v>
      </c>
      <c r="B39" s="157" t="s">
        <v>203</v>
      </c>
      <c r="C39" s="714" t="s">
        <v>35</v>
      </c>
      <c r="D39" s="341">
        <f>'Anexo 1'!E39</f>
        <v>90542773.120000005</v>
      </c>
      <c r="E39" s="675">
        <v>367363537.19332999</v>
      </c>
      <c r="F39" s="675">
        <v>355795206.60000008</v>
      </c>
      <c r="G39" s="675">
        <v>355795206.64998221</v>
      </c>
      <c r="H39" s="675">
        <v>386542773.12063432</v>
      </c>
      <c r="I39" s="702">
        <f>F39-G39</f>
        <v>-4.9982130527496338E-2</v>
      </c>
      <c r="J39" s="702">
        <f>F39-E39</f>
        <v>-11568330.593329906</v>
      </c>
      <c r="K39" s="702">
        <f>H39-N39</f>
        <v>-4.9982130527496338E-2</v>
      </c>
      <c r="L39" s="702">
        <f>F39/G39</f>
        <v>0.99999999985951993</v>
      </c>
      <c r="M39" s="702">
        <f>F39/E39</f>
        <v>0.96850985625380148</v>
      </c>
      <c r="N39" s="702">
        <f>G39+H39-F39</f>
        <v>386542773.17061645</v>
      </c>
      <c r="O39" s="702">
        <f>N39-G39</f>
        <v>30747566.520634234</v>
      </c>
      <c r="P39" s="702">
        <f>((+'Anexo 2'!K39*12)-(('Anexo 2'!M39)*12))/M39</f>
        <v>19.382975421993642</v>
      </c>
      <c r="Q39" s="713">
        <f>(H39-F39)/(H39-G39)</f>
        <v>1.0000000016255637</v>
      </c>
      <c r="R39" s="97"/>
    </row>
    <row r="40" spans="1:18" s="16" customFormat="1">
      <c r="A40" s="285" t="s">
        <v>36</v>
      </c>
      <c r="B40" s="157" t="s">
        <v>76</v>
      </c>
      <c r="C40" s="714"/>
      <c r="D40" s="328">
        <f>'Anexo 1'!E40</f>
        <v>296000000</v>
      </c>
      <c r="E40" s="675"/>
      <c r="F40" s="675"/>
      <c r="G40" s="675"/>
      <c r="H40" s="675"/>
      <c r="I40" s="702"/>
      <c r="J40" s="702"/>
      <c r="K40" s="702"/>
      <c r="L40" s="702"/>
      <c r="M40" s="702"/>
      <c r="N40" s="702"/>
      <c r="O40" s="702"/>
      <c r="P40" s="702"/>
      <c r="Q40" s="713"/>
      <c r="R40" s="97"/>
    </row>
    <row r="41" spans="1:18" s="16" customFormat="1">
      <c r="A41" s="285"/>
      <c r="B41" s="281"/>
      <c r="C41" s="277"/>
      <c r="D41" s="177">
        <f>SUM(D39:D40)</f>
        <v>386542773.12</v>
      </c>
      <c r="E41" s="158"/>
      <c r="F41" s="158"/>
      <c r="G41" s="158"/>
      <c r="H41" s="158"/>
      <c r="I41" s="158"/>
      <c r="J41" s="158"/>
      <c r="K41" s="158"/>
      <c r="L41" s="158"/>
      <c r="M41" s="158"/>
      <c r="N41" s="158"/>
      <c r="O41" s="158"/>
      <c r="P41" s="158"/>
      <c r="Q41" s="209"/>
      <c r="R41" s="97"/>
    </row>
    <row r="42" spans="1:18" s="16" customFormat="1">
      <c r="A42" s="288"/>
      <c r="B42" s="281"/>
      <c r="C42" s="277"/>
      <c r="D42" s="328"/>
      <c r="E42" s="158"/>
      <c r="F42" s="158"/>
      <c r="G42" s="158"/>
      <c r="H42" s="158"/>
      <c r="I42" s="158"/>
      <c r="J42" s="158"/>
      <c r="K42" s="158"/>
      <c r="L42" s="158"/>
      <c r="M42" s="158"/>
      <c r="N42" s="158"/>
      <c r="O42" s="158"/>
      <c r="P42" s="158"/>
      <c r="Q42" s="209"/>
      <c r="R42" s="97"/>
    </row>
    <row r="43" spans="1:18" s="16" customFormat="1">
      <c r="A43" s="280" t="s">
        <v>43</v>
      </c>
      <c r="B43" s="281"/>
      <c r="C43" s="277"/>
      <c r="D43" s="328"/>
      <c r="E43" s="158"/>
      <c r="F43" s="158"/>
      <c r="G43" s="158"/>
      <c r="H43" s="158"/>
      <c r="I43" s="158"/>
      <c r="J43" s="158"/>
      <c r="K43" s="158"/>
      <c r="L43" s="158"/>
      <c r="M43" s="158"/>
      <c r="N43" s="158"/>
      <c r="O43" s="158"/>
      <c r="P43" s="158"/>
      <c r="Q43" s="209"/>
      <c r="R43" s="97"/>
    </row>
    <row r="44" spans="1:18" s="16" customFormat="1" ht="15.6">
      <c r="A44" s="285" t="s">
        <v>51</v>
      </c>
      <c r="B44" s="253" t="s">
        <v>122</v>
      </c>
      <c r="C44" s="283" t="s">
        <v>7</v>
      </c>
      <c r="D44" s="328">
        <f>'Anexo 1'!E44</f>
        <v>191194644.69618949</v>
      </c>
      <c r="E44" s="158">
        <v>52728176.271712318</v>
      </c>
      <c r="F44" s="158">
        <v>50237687.073044382</v>
      </c>
      <c r="G44" s="158">
        <v>48165939.130637601</v>
      </c>
      <c r="H44" s="158">
        <v>325519968.17618954</v>
      </c>
      <c r="I44" s="145">
        <f>F44-G44</f>
        <v>2071747.942406781</v>
      </c>
      <c r="J44" s="145">
        <f>F44-E44</f>
        <v>-2490489.198667936</v>
      </c>
      <c r="K44" s="145">
        <f>H44-N44</f>
        <v>2071747.9424067736</v>
      </c>
      <c r="L44" s="145">
        <f>F44/G44</f>
        <v>1.0430127176963726</v>
      </c>
      <c r="M44" s="145">
        <f>F44/E44</f>
        <v>0.95276739355000151</v>
      </c>
      <c r="N44" s="145">
        <f>G44+H44-F44</f>
        <v>323448220.23378277</v>
      </c>
      <c r="O44" s="145">
        <f>N44-G44</f>
        <v>275282281.10314518</v>
      </c>
      <c r="P44" s="145">
        <f>((+'Anexo 2'!K44*12)-(('Anexo 2'!M44)*12))/M44</f>
        <v>49.999985816982608</v>
      </c>
      <c r="Q44" s="240">
        <f>(H44-F44)/(H44-G44)</f>
        <v>0.99253031243304379</v>
      </c>
      <c r="R44" s="97"/>
    </row>
    <row r="45" spans="1:18" s="16" customFormat="1">
      <c r="A45" s="275"/>
      <c r="B45" s="281"/>
      <c r="C45" s="277"/>
      <c r="D45" s="177">
        <f>SUM(D44:D44)</f>
        <v>191194644.69618949</v>
      </c>
      <c r="E45" s="158"/>
      <c r="F45" s="158"/>
      <c r="G45" s="158"/>
      <c r="H45" s="158"/>
      <c r="I45" s="158"/>
      <c r="J45" s="158"/>
      <c r="K45" s="158"/>
      <c r="L45" s="158"/>
      <c r="M45" s="158"/>
      <c r="N45" s="158"/>
      <c r="O45" s="158"/>
      <c r="P45" s="158"/>
      <c r="Q45" s="209"/>
      <c r="R45" s="97"/>
    </row>
    <row r="46" spans="1:18" s="16" customFormat="1">
      <c r="A46" s="275"/>
      <c r="B46" s="289"/>
      <c r="C46" s="114"/>
      <c r="D46" s="328"/>
      <c r="E46" s="158"/>
      <c r="F46" s="158"/>
      <c r="G46" s="158"/>
      <c r="H46" s="158"/>
      <c r="I46" s="158"/>
      <c r="J46" s="158"/>
      <c r="K46" s="158"/>
      <c r="L46" s="158"/>
      <c r="M46" s="158"/>
      <c r="N46" s="158"/>
      <c r="O46" s="158"/>
      <c r="P46" s="158"/>
      <c r="Q46" s="209"/>
    </row>
    <row r="47" spans="1:18" s="16" customFormat="1">
      <c r="A47" s="275" t="s">
        <v>80</v>
      </c>
      <c r="B47" s="289"/>
      <c r="C47" s="114"/>
      <c r="D47" s="328"/>
      <c r="E47" s="158"/>
      <c r="F47" s="158"/>
      <c r="G47" s="158"/>
      <c r="H47" s="158"/>
      <c r="I47" s="158"/>
      <c r="J47" s="158"/>
      <c r="K47" s="158"/>
      <c r="L47" s="158"/>
      <c r="M47" s="158"/>
      <c r="N47" s="158"/>
      <c r="O47" s="158"/>
      <c r="P47" s="158"/>
      <c r="Q47" s="209"/>
    </row>
    <row r="48" spans="1:18" s="16" customFormat="1" ht="15.6">
      <c r="A48" s="288">
        <f>'Anexo 1'!A48</f>
        <v>28568</v>
      </c>
      <c r="B48" s="253" t="s">
        <v>123</v>
      </c>
      <c r="C48" s="277" t="str">
        <f>'Anexo 1'!C48</f>
        <v>AyA</v>
      </c>
      <c r="D48" s="328">
        <f>'Anexo 1'!E48</f>
        <v>82624147.540199995</v>
      </c>
      <c r="E48" s="158">
        <f>5245471.29686798*'Anexo 5'!O83</f>
        <v>5466830.1855958086</v>
      </c>
      <c r="F48" s="158">
        <f>5430188.29686798*'Anexo 5'!O83</f>
        <v>5659342.2429958088</v>
      </c>
      <c r="G48" s="158">
        <f>5430188.29686798*'Anexo 5'!O83</f>
        <v>5659342.2429958088</v>
      </c>
      <c r="H48" s="323">
        <f>88003000*'Anexo 5'!O83</f>
        <v>91716726.599999994</v>
      </c>
      <c r="I48" s="158">
        <f>F48-G48</f>
        <v>0</v>
      </c>
      <c r="J48" s="158">
        <f>F48-E48</f>
        <v>192512.05740000028</v>
      </c>
      <c r="K48" s="158">
        <f>H48-N48</f>
        <v>0</v>
      </c>
      <c r="L48" s="158">
        <f>F48/G48</f>
        <v>1</v>
      </c>
      <c r="M48" s="225">
        <f>F48/E48</f>
        <v>1.0352145669179991</v>
      </c>
      <c r="N48" s="158">
        <f>G48+H48-F48</f>
        <v>91716726.599999994</v>
      </c>
      <c r="O48" s="158">
        <f>N48-G48</f>
        <v>86057384.357004181</v>
      </c>
      <c r="P48" s="225">
        <f>((+'Anexo 2'!K48*12)-(('Anexo 2'!M48)*12))/M48</f>
        <v>25.978334873123703</v>
      </c>
      <c r="Q48" s="209">
        <f>(H48-F48)/(H48-G48)</f>
        <v>1</v>
      </c>
    </row>
    <row r="49" spans="1:22" s="16" customFormat="1">
      <c r="A49" s="275"/>
      <c r="B49" s="289"/>
      <c r="C49" s="114"/>
      <c r="D49" s="177">
        <f>SUM(D48)</f>
        <v>82624147.540199995</v>
      </c>
      <c r="E49" s="158"/>
      <c r="F49" s="158"/>
      <c r="G49" s="158"/>
      <c r="H49" s="158"/>
      <c r="I49" s="158"/>
      <c r="J49" s="158"/>
      <c r="K49" s="158"/>
      <c r="L49" s="158"/>
      <c r="M49" s="158"/>
      <c r="N49" s="158"/>
      <c r="O49" s="158"/>
      <c r="P49" s="158"/>
      <c r="Q49" s="209"/>
    </row>
    <row r="50" spans="1:22" s="16" customFormat="1">
      <c r="A50" s="275"/>
      <c r="B50" s="289"/>
      <c r="C50" s="114"/>
      <c r="D50" s="328"/>
      <c r="E50" s="158"/>
      <c r="F50" s="158"/>
      <c r="G50" s="158"/>
      <c r="H50" s="158"/>
      <c r="I50" s="158"/>
      <c r="J50" s="158"/>
      <c r="K50" s="158"/>
      <c r="L50" s="158"/>
      <c r="M50" s="158"/>
      <c r="N50" s="158"/>
      <c r="O50" s="158"/>
      <c r="P50" s="158"/>
      <c r="Q50" s="209"/>
    </row>
    <row r="51" spans="1:22" s="16" customFormat="1">
      <c r="A51" s="275"/>
      <c r="B51" s="289"/>
      <c r="C51" s="114"/>
      <c r="D51" s="328"/>
      <c r="E51" s="158"/>
      <c r="F51" s="158"/>
      <c r="G51" s="158"/>
      <c r="H51" s="158"/>
      <c r="I51" s="158"/>
      <c r="J51" s="158"/>
      <c r="K51" s="158"/>
      <c r="L51" s="158"/>
      <c r="M51" s="158"/>
      <c r="N51" s="158"/>
      <c r="O51" s="158"/>
      <c r="P51" s="158"/>
      <c r="Q51" s="209"/>
    </row>
    <row r="52" spans="1:22" s="16" customFormat="1">
      <c r="A52" s="275" t="s">
        <v>13</v>
      </c>
      <c r="B52" s="289"/>
      <c r="C52" s="114"/>
      <c r="D52" s="177">
        <f>D19+D30+D36+D41+D45+D49</f>
        <v>4193918022.646389</v>
      </c>
      <c r="E52" s="158"/>
      <c r="F52" s="158"/>
      <c r="G52" s="158"/>
      <c r="H52" s="158"/>
      <c r="I52" s="158"/>
      <c r="J52" s="158"/>
      <c r="K52" s="158"/>
      <c r="L52" s="158"/>
      <c r="M52" s="158"/>
      <c r="N52" s="158"/>
      <c r="O52" s="158"/>
      <c r="P52" s="158"/>
      <c r="Q52" s="209"/>
    </row>
    <row r="53" spans="1:22" s="16" customFormat="1" ht="14.4" thickBot="1">
      <c r="A53" s="290"/>
      <c r="B53" s="291"/>
      <c r="C53" s="292"/>
      <c r="D53" s="293"/>
      <c r="E53" s="201"/>
      <c r="F53" s="201"/>
      <c r="G53" s="201"/>
      <c r="H53" s="201"/>
      <c r="I53" s="201"/>
      <c r="J53" s="201"/>
      <c r="K53" s="201"/>
      <c r="L53" s="201"/>
      <c r="M53" s="201"/>
      <c r="N53" s="201"/>
      <c r="O53" s="201"/>
      <c r="P53" s="201"/>
      <c r="Q53" s="294"/>
    </row>
    <row r="54" spans="1:22" s="16" customFormat="1">
      <c r="C54" s="68"/>
      <c r="D54" s="100"/>
    </row>
    <row r="55" spans="1:22" s="16" customFormat="1" ht="21" customHeight="1">
      <c r="A55" s="101" t="s">
        <v>84</v>
      </c>
      <c r="C55" s="68"/>
      <c r="D55" s="100"/>
      <c r="H55" s="97"/>
    </row>
    <row r="56" spans="1:22" s="16" customFormat="1" ht="25.05" customHeight="1">
      <c r="A56" s="98" t="s">
        <v>177</v>
      </c>
      <c r="B56" s="99"/>
      <c r="C56" s="399"/>
      <c r="D56" s="99"/>
      <c r="E56" s="99"/>
      <c r="F56" s="99"/>
      <c r="G56" s="99"/>
      <c r="H56" s="99"/>
      <c r="I56" s="99"/>
      <c r="J56" s="99"/>
      <c r="K56" s="99"/>
      <c r="L56" s="99"/>
      <c r="M56" s="99"/>
      <c r="N56" s="99"/>
      <c r="O56" s="99"/>
      <c r="P56" s="99"/>
      <c r="Q56" s="99"/>
      <c r="R56" s="99"/>
      <c r="S56" s="99"/>
      <c r="T56" s="99"/>
      <c r="U56" s="99"/>
    </row>
    <row r="57" spans="1:22" s="1" customFormat="1" ht="25.05" customHeight="1">
      <c r="A57" s="98" t="s">
        <v>178</v>
      </c>
      <c r="B57" s="98"/>
      <c r="C57" s="53"/>
      <c r="D57" s="98"/>
      <c r="E57" s="98"/>
      <c r="F57" s="98"/>
      <c r="G57" s="98"/>
      <c r="H57" s="98"/>
      <c r="I57" s="98"/>
      <c r="J57" s="98"/>
      <c r="K57" s="98"/>
      <c r="L57" s="98"/>
      <c r="M57" s="98"/>
      <c r="N57" s="98"/>
      <c r="O57" s="98"/>
      <c r="P57" s="98"/>
      <c r="Q57" s="98"/>
      <c r="R57" s="98"/>
      <c r="S57" s="98"/>
      <c r="T57" s="98"/>
      <c r="U57" s="98"/>
    </row>
    <row r="58" spans="1:22" s="1" customFormat="1" ht="25.05" customHeight="1">
      <c r="A58" s="390" t="s">
        <v>256</v>
      </c>
      <c r="B58" s="418"/>
      <c r="C58" s="418"/>
      <c r="D58" s="418"/>
      <c r="E58" s="418"/>
      <c r="F58" s="418"/>
      <c r="G58" s="418"/>
      <c r="H58" s="418"/>
      <c r="I58" s="418"/>
      <c r="J58" s="418"/>
      <c r="K58" s="418"/>
      <c r="L58" s="418"/>
      <c r="M58" s="418"/>
      <c r="N58" s="418"/>
      <c r="O58" s="418"/>
      <c r="P58" s="418"/>
      <c r="Q58" s="418"/>
      <c r="R58" s="418"/>
      <c r="S58" s="418"/>
      <c r="T58" s="418"/>
      <c r="U58" s="418"/>
    </row>
    <row r="59" spans="1:22" s="1" customFormat="1" ht="25.05" customHeight="1">
      <c r="A59" s="98" t="s">
        <v>202</v>
      </c>
      <c r="B59" s="99"/>
      <c r="C59" s="99"/>
      <c r="D59" s="99"/>
      <c r="E59" s="99"/>
      <c r="F59" s="99"/>
      <c r="G59" s="99"/>
      <c r="H59" s="99"/>
      <c r="I59" s="99"/>
      <c r="J59" s="99"/>
      <c r="K59" s="99"/>
      <c r="L59" s="99"/>
      <c r="M59" s="99"/>
      <c r="N59" s="99"/>
      <c r="O59" s="99"/>
      <c r="P59" s="99"/>
      <c r="Q59" s="99"/>
      <c r="R59" s="99"/>
      <c r="S59" s="99"/>
      <c r="T59" s="99"/>
      <c r="U59" s="99"/>
    </row>
    <row r="60" spans="1:22" s="16" customFormat="1" ht="25.05" customHeight="1">
      <c r="A60" s="680" t="s">
        <v>140</v>
      </c>
      <c r="B60" s="680"/>
      <c r="C60" s="680"/>
      <c r="D60" s="680"/>
      <c r="E60" s="680"/>
      <c r="F60" s="680"/>
      <c r="G60" s="680"/>
      <c r="H60" s="680"/>
      <c r="I60" s="680"/>
      <c r="J60" s="680"/>
      <c r="K60" s="680"/>
      <c r="L60" s="680"/>
      <c r="M60" s="420"/>
      <c r="N60" s="420"/>
      <c r="O60" s="420"/>
      <c r="P60" s="98"/>
      <c r="Q60" s="98"/>
      <c r="R60" s="99"/>
      <c r="S60" s="400"/>
      <c r="T60" s="400"/>
      <c r="U60" s="400"/>
    </row>
    <row r="61" spans="1:22" ht="30" customHeight="1">
      <c r="V61" s="42"/>
    </row>
    <row r="62" spans="1:22" s="1" customFormat="1" ht="19.5" customHeight="1">
      <c r="C62" s="4"/>
    </row>
    <row r="63" spans="1:22" s="1" customFormat="1" ht="19.5" customHeight="1">
      <c r="C63" s="4"/>
      <c r="D63" s="49"/>
    </row>
    <row r="64" spans="1:22" s="1" customFormat="1" ht="19.5" customHeight="1">
      <c r="C64" s="4"/>
      <c r="D64" s="49"/>
    </row>
    <row r="65" spans="3:4" s="1" customFormat="1">
      <c r="C65" s="4"/>
      <c r="D65" s="49"/>
    </row>
    <row r="66" spans="3:4" s="16" customFormat="1">
      <c r="C66" s="68"/>
      <c r="D66" s="100"/>
    </row>
    <row r="67" spans="3:4" s="16" customFormat="1">
      <c r="C67" s="68"/>
      <c r="D67" s="100"/>
    </row>
    <row r="68" spans="3:4" s="16" customFormat="1">
      <c r="C68" s="68"/>
      <c r="D68" s="100"/>
    </row>
    <row r="69" spans="3:4" s="16" customFormat="1">
      <c r="C69" s="68"/>
      <c r="D69" s="100"/>
    </row>
    <row r="70" spans="3:4" s="16" customFormat="1">
      <c r="C70" s="68"/>
      <c r="D70" s="100"/>
    </row>
    <row r="71" spans="3:4" s="16" customFormat="1">
      <c r="C71" s="68"/>
      <c r="D71" s="100"/>
    </row>
    <row r="72" spans="3:4" s="16" customFormat="1">
      <c r="C72" s="68"/>
      <c r="D72" s="100"/>
    </row>
    <row r="73" spans="3:4" s="16" customFormat="1">
      <c r="C73" s="68"/>
      <c r="D73" s="100"/>
    </row>
    <row r="74" spans="3:4" s="16" customFormat="1">
      <c r="C74" s="68"/>
      <c r="D74" s="100"/>
    </row>
    <row r="75" spans="3:4" s="16" customFormat="1">
      <c r="C75" s="68"/>
      <c r="D75" s="100"/>
    </row>
    <row r="76" spans="3:4" s="16" customFormat="1">
      <c r="C76" s="68"/>
      <c r="D76" s="100"/>
    </row>
    <row r="77" spans="3:4" s="16" customFormat="1">
      <c r="C77" s="68"/>
      <c r="D77" s="100"/>
    </row>
    <row r="78" spans="3:4" s="16" customFormat="1">
      <c r="C78" s="68"/>
      <c r="D78" s="100"/>
    </row>
    <row r="79" spans="3:4" s="16" customFormat="1">
      <c r="C79" s="68"/>
      <c r="D79" s="100"/>
    </row>
    <row r="80" spans="3:4" s="16" customFormat="1">
      <c r="C80" s="68"/>
      <c r="D80" s="100"/>
    </row>
    <row r="81" spans="3:4" s="16" customFormat="1">
      <c r="C81" s="68"/>
      <c r="D81" s="100"/>
    </row>
    <row r="82" spans="3:4" s="16" customFormat="1">
      <c r="C82" s="68"/>
      <c r="D82" s="100"/>
    </row>
    <row r="83" spans="3:4" s="16" customFormat="1">
      <c r="C83" s="68"/>
      <c r="D83" s="100"/>
    </row>
    <row r="84" spans="3:4" s="16" customFormat="1">
      <c r="C84" s="68"/>
      <c r="D84" s="100"/>
    </row>
    <row r="85" spans="3:4" s="16" customFormat="1">
      <c r="C85" s="68"/>
      <c r="D85" s="100"/>
    </row>
    <row r="86" spans="3:4" s="16" customFormat="1">
      <c r="C86" s="68"/>
      <c r="D86" s="100"/>
    </row>
    <row r="87" spans="3:4" s="16" customFormat="1">
      <c r="C87" s="68"/>
      <c r="D87" s="100"/>
    </row>
    <row r="88" spans="3:4" s="16" customFormat="1">
      <c r="C88" s="68"/>
      <c r="D88" s="100"/>
    </row>
    <row r="89" spans="3:4" s="16" customFormat="1">
      <c r="C89" s="68"/>
      <c r="D89" s="100"/>
    </row>
    <row r="90" spans="3:4" s="16" customFormat="1">
      <c r="C90" s="68"/>
      <c r="D90" s="100"/>
    </row>
    <row r="91" spans="3:4" s="16" customFormat="1">
      <c r="C91" s="68"/>
      <c r="D91" s="100"/>
    </row>
    <row r="92" spans="3:4" s="16" customFormat="1">
      <c r="C92" s="68"/>
      <c r="D92" s="100"/>
    </row>
    <row r="93" spans="3:4" s="16" customFormat="1">
      <c r="C93" s="68"/>
      <c r="D93" s="100"/>
    </row>
    <row r="94" spans="3:4" s="16" customFormat="1">
      <c r="C94" s="68"/>
      <c r="D94" s="100"/>
    </row>
    <row r="95" spans="3:4" s="16" customFormat="1">
      <c r="C95" s="68"/>
      <c r="D95" s="100"/>
    </row>
    <row r="96" spans="3:4" s="16" customFormat="1">
      <c r="C96" s="68"/>
      <c r="D96" s="100"/>
    </row>
    <row r="97" spans="3:4" s="16" customFormat="1">
      <c r="C97" s="68"/>
      <c r="D97" s="100"/>
    </row>
    <row r="98" spans="3:4" s="16" customFormat="1">
      <c r="C98" s="68"/>
      <c r="D98" s="100"/>
    </row>
    <row r="99" spans="3:4" s="16" customFormat="1">
      <c r="C99" s="68"/>
      <c r="D99" s="100"/>
    </row>
    <row r="100" spans="3:4" s="16" customFormat="1">
      <c r="C100" s="68"/>
      <c r="D100" s="100"/>
    </row>
    <row r="101" spans="3:4" s="16" customFormat="1">
      <c r="C101" s="68"/>
      <c r="D101" s="100"/>
    </row>
    <row r="102" spans="3:4" s="16" customFormat="1">
      <c r="C102" s="68"/>
      <c r="D102" s="100"/>
    </row>
    <row r="103" spans="3:4" s="16" customFormat="1">
      <c r="C103" s="68"/>
      <c r="D103" s="100"/>
    </row>
    <row r="104" spans="3:4" s="16" customFormat="1">
      <c r="C104" s="68"/>
      <c r="D104" s="100"/>
    </row>
    <row r="105" spans="3:4" s="16" customFormat="1">
      <c r="C105" s="68"/>
      <c r="D105" s="100"/>
    </row>
    <row r="106" spans="3:4" s="16" customFormat="1">
      <c r="C106" s="68"/>
      <c r="D106" s="100"/>
    </row>
    <row r="107" spans="3:4" s="16" customFormat="1">
      <c r="C107" s="68"/>
      <c r="D107" s="100"/>
    </row>
    <row r="108" spans="3:4" s="16" customFormat="1">
      <c r="C108" s="68"/>
      <c r="D108" s="100"/>
    </row>
    <row r="109" spans="3:4" s="16" customFormat="1">
      <c r="C109" s="68"/>
      <c r="D109" s="100"/>
    </row>
    <row r="110" spans="3:4" s="16" customFormat="1">
      <c r="C110" s="68"/>
      <c r="D110" s="100"/>
    </row>
    <row r="111" spans="3:4" s="16" customFormat="1">
      <c r="C111" s="68"/>
      <c r="D111" s="100"/>
    </row>
    <row r="112" spans="3:4" s="16" customFormat="1">
      <c r="C112" s="68"/>
      <c r="D112" s="100"/>
    </row>
    <row r="113" spans="3:4" s="16" customFormat="1">
      <c r="C113" s="68"/>
      <c r="D113" s="100"/>
    </row>
    <row r="114" spans="3:4" s="16" customFormat="1">
      <c r="C114" s="68"/>
      <c r="D114" s="100"/>
    </row>
    <row r="115" spans="3:4" s="16" customFormat="1">
      <c r="C115" s="68"/>
      <c r="D115" s="100"/>
    </row>
    <row r="116" spans="3:4" s="16" customFormat="1">
      <c r="C116" s="68"/>
      <c r="D116" s="100"/>
    </row>
    <row r="117" spans="3:4" s="16" customFormat="1">
      <c r="C117" s="68"/>
      <c r="D117" s="100"/>
    </row>
    <row r="118" spans="3:4" s="16" customFormat="1">
      <c r="C118" s="68"/>
      <c r="D118" s="100"/>
    </row>
    <row r="119" spans="3:4" s="16" customFormat="1">
      <c r="C119" s="68"/>
      <c r="D119" s="100"/>
    </row>
    <row r="120" spans="3:4" s="16" customFormat="1">
      <c r="C120" s="68"/>
      <c r="D120" s="100"/>
    </row>
    <row r="121" spans="3:4" s="16" customFormat="1">
      <c r="C121" s="68"/>
      <c r="D121" s="100"/>
    </row>
    <row r="122" spans="3:4" s="16" customFormat="1">
      <c r="C122" s="68"/>
      <c r="D122" s="100"/>
    </row>
    <row r="123" spans="3:4" s="16" customFormat="1">
      <c r="C123" s="68"/>
      <c r="D123" s="100"/>
    </row>
    <row r="124" spans="3:4" s="16" customFormat="1">
      <c r="C124" s="68"/>
      <c r="D124" s="100"/>
    </row>
    <row r="125" spans="3:4" s="16" customFormat="1">
      <c r="C125" s="68"/>
      <c r="D125" s="100"/>
    </row>
    <row r="126" spans="3:4" s="16" customFormat="1">
      <c r="C126" s="68"/>
      <c r="D126" s="100"/>
    </row>
    <row r="127" spans="3:4" s="16" customFormat="1">
      <c r="C127" s="68"/>
      <c r="D127" s="100"/>
    </row>
    <row r="128" spans="3:4" s="16" customFormat="1">
      <c r="C128" s="68"/>
      <c r="D128" s="100"/>
    </row>
    <row r="129" spans="3:4" s="16" customFormat="1">
      <c r="C129" s="68"/>
      <c r="D129" s="100"/>
    </row>
    <row r="130" spans="3:4" s="16" customFormat="1">
      <c r="C130" s="68"/>
      <c r="D130" s="100"/>
    </row>
    <row r="131" spans="3:4" s="16" customFormat="1">
      <c r="C131" s="68"/>
      <c r="D131" s="100"/>
    </row>
    <row r="132" spans="3:4" s="16" customFormat="1">
      <c r="C132" s="68"/>
      <c r="D132" s="100"/>
    </row>
    <row r="133" spans="3:4" s="16" customFormat="1">
      <c r="C133" s="68"/>
      <c r="D133" s="100"/>
    </row>
    <row r="134" spans="3:4" s="16" customFormat="1">
      <c r="C134" s="68"/>
      <c r="D134" s="100"/>
    </row>
    <row r="135" spans="3:4" s="16" customFormat="1">
      <c r="C135" s="68"/>
      <c r="D135" s="100"/>
    </row>
    <row r="136" spans="3:4" s="16" customFormat="1">
      <c r="C136" s="68"/>
      <c r="D136" s="100"/>
    </row>
    <row r="137" spans="3:4" s="16" customFormat="1">
      <c r="C137" s="68"/>
      <c r="D137" s="100"/>
    </row>
    <row r="138" spans="3:4" s="16" customFormat="1">
      <c r="C138" s="68"/>
      <c r="D138" s="100"/>
    </row>
    <row r="139" spans="3:4" s="16" customFormat="1">
      <c r="C139" s="68"/>
      <c r="D139" s="100"/>
    </row>
    <row r="140" spans="3:4" s="16" customFormat="1">
      <c r="C140" s="68"/>
      <c r="D140" s="100"/>
    </row>
    <row r="141" spans="3:4" s="16" customFormat="1">
      <c r="C141" s="68"/>
      <c r="D141" s="100"/>
    </row>
    <row r="142" spans="3:4" s="16" customFormat="1">
      <c r="C142" s="68"/>
      <c r="D142" s="100"/>
    </row>
    <row r="143" spans="3:4" s="16" customFormat="1">
      <c r="C143" s="68"/>
      <c r="D143" s="100"/>
    </row>
    <row r="144" spans="3:4" s="16" customFormat="1">
      <c r="C144" s="68"/>
      <c r="D144" s="100"/>
    </row>
    <row r="145" spans="3:8" s="16" customFormat="1">
      <c r="C145" s="68"/>
      <c r="D145" s="100"/>
    </row>
    <row r="146" spans="3:8" s="16" customFormat="1">
      <c r="C146" s="68"/>
      <c r="D146" s="100"/>
    </row>
    <row r="147" spans="3:8" s="16" customFormat="1">
      <c r="C147" s="68"/>
      <c r="D147" s="100"/>
    </row>
    <row r="148" spans="3:8" s="16" customFormat="1">
      <c r="C148" s="68"/>
      <c r="D148" s="100"/>
    </row>
    <row r="149" spans="3:8" s="16" customFormat="1">
      <c r="C149" s="68"/>
      <c r="D149" s="100"/>
    </row>
    <row r="150" spans="3:8" s="16" customFormat="1">
      <c r="C150" s="68"/>
      <c r="D150" s="100"/>
    </row>
    <row r="151" spans="3:8" s="16" customFormat="1">
      <c r="C151" s="68"/>
      <c r="D151" s="100"/>
    </row>
    <row r="152" spans="3:8" s="16" customFormat="1">
      <c r="C152" s="68"/>
      <c r="D152" s="100"/>
    </row>
    <row r="153" spans="3:8" s="16" customFormat="1">
      <c r="C153" s="68"/>
      <c r="D153" s="100"/>
    </row>
    <row r="154" spans="3:8" s="16" customFormat="1">
      <c r="C154" s="68"/>
      <c r="D154" s="100"/>
    </row>
    <row r="155" spans="3:8" s="16" customFormat="1">
      <c r="C155" s="68"/>
      <c r="D155" s="100"/>
    </row>
    <row r="156" spans="3:8" s="16" customFormat="1">
      <c r="C156" s="68"/>
      <c r="D156" s="100"/>
    </row>
    <row r="157" spans="3:8" s="16" customFormat="1">
      <c r="C157" s="68"/>
      <c r="D157" s="100"/>
    </row>
    <row r="158" spans="3:8" s="16" customFormat="1">
      <c r="C158" s="68"/>
      <c r="D158" s="100"/>
    </row>
    <row r="159" spans="3:8" s="16" customFormat="1">
      <c r="C159" s="68"/>
      <c r="D159" s="100"/>
      <c r="E159" s="109"/>
      <c r="F159" s="109"/>
      <c r="G159" s="109"/>
      <c r="H159" s="109"/>
    </row>
    <row r="160" spans="3:8" s="16" customFormat="1">
      <c r="C160" s="68"/>
      <c r="D160" s="100"/>
      <c r="E160" s="109"/>
      <c r="F160" s="109"/>
      <c r="G160" s="109"/>
      <c r="H160" s="109"/>
    </row>
    <row r="161" spans="3:8" s="16" customFormat="1">
      <c r="C161" s="68"/>
      <c r="D161" s="100"/>
      <c r="E161" s="109"/>
      <c r="F161" s="109"/>
      <c r="G161" s="109"/>
      <c r="H161" s="109"/>
    </row>
    <row r="162" spans="3:8" s="16" customFormat="1">
      <c r="C162" s="68"/>
      <c r="D162" s="100"/>
      <c r="E162" s="109"/>
      <c r="F162" s="109"/>
      <c r="G162" s="109"/>
      <c r="H162" s="109"/>
    </row>
    <row r="163" spans="3:8" s="16" customFormat="1">
      <c r="C163" s="68"/>
      <c r="D163" s="100"/>
      <c r="E163" s="109"/>
      <c r="F163" s="109"/>
      <c r="G163" s="109"/>
      <c r="H163" s="109"/>
    </row>
    <row r="164" spans="3:8" s="16" customFormat="1">
      <c r="C164" s="68"/>
      <c r="D164" s="100"/>
      <c r="E164" s="109"/>
      <c r="F164" s="109"/>
      <c r="G164" s="109"/>
      <c r="H164" s="109"/>
    </row>
    <row r="165" spans="3:8" s="16" customFormat="1">
      <c r="C165" s="68"/>
      <c r="D165" s="100"/>
      <c r="E165" s="109"/>
      <c r="F165" s="109"/>
      <c r="G165" s="109"/>
      <c r="H165" s="109"/>
    </row>
    <row r="166" spans="3:8" s="16" customFormat="1">
      <c r="C166" s="68"/>
      <c r="D166" s="100"/>
      <c r="E166" s="109"/>
      <c r="F166" s="109"/>
      <c r="G166" s="109"/>
      <c r="H166" s="109"/>
    </row>
    <row r="167" spans="3:8" s="16" customFormat="1">
      <c r="C167" s="68"/>
      <c r="D167" s="100"/>
      <c r="E167" s="109"/>
      <c r="F167" s="109"/>
      <c r="G167" s="109"/>
      <c r="H167" s="109"/>
    </row>
    <row r="168" spans="3:8" s="16" customFormat="1">
      <c r="C168" s="68"/>
      <c r="D168" s="100"/>
      <c r="E168" s="109"/>
      <c r="F168" s="109"/>
      <c r="G168" s="109"/>
      <c r="H168" s="109"/>
    </row>
    <row r="169" spans="3:8" s="16" customFormat="1">
      <c r="C169" s="68"/>
      <c r="D169" s="100"/>
      <c r="E169" s="109"/>
      <c r="F169" s="109"/>
      <c r="G169" s="109"/>
      <c r="H169" s="109"/>
    </row>
    <row r="170" spans="3:8" s="16" customFormat="1">
      <c r="C170" s="68"/>
      <c r="D170" s="100"/>
      <c r="E170" s="109"/>
      <c r="F170" s="109"/>
      <c r="G170" s="109"/>
      <c r="H170" s="109"/>
    </row>
    <row r="171" spans="3:8" s="16" customFormat="1">
      <c r="C171" s="68"/>
      <c r="D171" s="100"/>
      <c r="E171" s="109"/>
      <c r="F171" s="109"/>
      <c r="G171" s="109"/>
      <c r="H171" s="109"/>
    </row>
    <row r="172" spans="3:8" s="16" customFormat="1">
      <c r="C172" s="68"/>
      <c r="D172" s="100"/>
      <c r="E172" s="109"/>
      <c r="F172" s="109"/>
      <c r="G172" s="109"/>
      <c r="H172" s="109"/>
    </row>
    <row r="173" spans="3:8" s="16" customFormat="1">
      <c r="C173" s="68"/>
      <c r="D173" s="100"/>
      <c r="E173" s="109"/>
      <c r="F173" s="109"/>
      <c r="G173" s="109"/>
      <c r="H173" s="109"/>
    </row>
    <row r="174" spans="3:8" s="16" customFormat="1">
      <c r="C174" s="68"/>
      <c r="D174" s="100"/>
      <c r="E174" s="109"/>
      <c r="F174" s="109"/>
      <c r="G174" s="109"/>
      <c r="H174" s="109"/>
    </row>
    <row r="175" spans="3:8" s="16" customFormat="1">
      <c r="C175" s="68"/>
      <c r="D175" s="100"/>
      <c r="E175" s="109"/>
      <c r="F175" s="109"/>
      <c r="G175" s="109"/>
      <c r="H175" s="109"/>
    </row>
    <row r="176" spans="3:8" s="16" customFormat="1">
      <c r="C176" s="68"/>
      <c r="D176" s="100"/>
      <c r="E176" s="109"/>
      <c r="F176" s="109"/>
      <c r="G176" s="109"/>
      <c r="H176" s="109"/>
    </row>
    <row r="177" spans="3:8" s="16" customFormat="1">
      <c r="C177" s="68"/>
      <c r="D177" s="100"/>
      <c r="E177" s="109"/>
      <c r="F177" s="109"/>
      <c r="G177" s="109"/>
      <c r="H177" s="109"/>
    </row>
    <row r="178" spans="3:8" s="16" customFormat="1">
      <c r="C178" s="68"/>
      <c r="D178" s="100"/>
      <c r="E178" s="109"/>
      <c r="F178" s="109"/>
      <c r="G178" s="109"/>
      <c r="H178" s="109"/>
    </row>
    <row r="179" spans="3:8" s="16" customFormat="1">
      <c r="C179" s="68"/>
      <c r="D179" s="100"/>
      <c r="E179" s="109"/>
      <c r="F179" s="109"/>
      <c r="G179" s="109"/>
      <c r="H179" s="109"/>
    </row>
    <row r="180" spans="3:8" s="16" customFormat="1">
      <c r="C180" s="68"/>
      <c r="D180" s="100"/>
      <c r="E180" s="109"/>
      <c r="F180" s="109"/>
      <c r="G180" s="109"/>
      <c r="H180" s="109"/>
    </row>
    <row r="181" spans="3:8" s="16" customFormat="1">
      <c r="C181" s="68"/>
      <c r="D181" s="100"/>
      <c r="E181" s="109"/>
      <c r="F181" s="109"/>
      <c r="G181" s="109"/>
      <c r="H181" s="109"/>
    </row>
    <row r="182" spans="3:8" s="16" customFormat="1">
      <c r="C182" s="68"/>
      <c r="D182" s="100"/>
      <c r="E182" s="109"/>
      <c r="F182" s="109"/>
      <c r="G182" s="109"/>
      <c r="H182" s="109"/>
    </row>
    <row r="183" spans="3:8" s="16" customFormat="1">
      <c r="C183" s="68"/>
      <c r="D183" s="100"/>
      <c r="E183" s="109"/>
      <c r="F183" s="109"/>
      <c r="G183" s="109"/>
      <c r="H183" s="109"/>
    </row>
    <row r="184" spans="3:8" s="16" customFormat="1">
      <c r="C184" s="68"/>
      <c r="D184" s="100"/>
      <c r="E184" s="109"/>
      <c r="F184" s="109"/>
      <c r="G184" s="109"/>
      <c r="H184" s="109"/>
    </row>
    <row r="185" spans="3:8" s="16" customFormat="1">
      <c r="C185" s="68"/>
      <c r="D185" s="100"/>
      <c r="E185" s="109"/>
      <c r="F185" s="109"/>
      <c r="G185" s="109"/>
      <c r="H185" s="109"/>
    </row>
    <row r="186" spans="3:8" s="16" customFormat="1">
      <c r="C186" s="68"/>
      <c r="D186" s="100"/>
      <c r="E186" s="109"/>
      <c r="F186" s="109"/>
      <c r="G186" s="109"/>
      <c r="H186" s="109"/>
    </row>
    <row r="187" spans="3:8" s="16" customFormat="1">
      <c r="C187" s="68"/>
      <c r="D187" s="100"/>
      <c r="E187" s="109"/>
      <c r="F187" s="109"/>
      <c r="G187" s="109"/>
      <c r="H187" s="109"/>
    </row>
    <row r="188" spans="3:8" s="16" customFormat="1">
      <c r="C188" s="68"/>
      <c r="D188" s="100"/>
      <c r="E188" s="109"/>
      <c r="F188" s="109"/>
      <c r="G188" s="109"/>
      <c r="H188" s="109"/>
    </row>
    <row r="189" spans="3:8" s="16" customFormat="1">
      <c r="C189" s="68"/>
      <c r="D189" s="100"/>
      <c r="E189" s="109"/>
      <c r="F189" s="109"/>
      <c r="G189" s="109"/>
      <c r="H189" s="109"/>
    </row>
    <row r="190" spans="3:8" s="16" customFormat="1">
      <c r="C190" s="68"/>
      <c r="D190" s="100"/>
      <c r="E190" s="109"/>
      <c r="F190" s="109"/>
      <c r="G190" s="109"/>
      <c r="H190" s="109"/>
    </row>
    <row r="191" spans="3:8" s="16" customFormat="1">
      <c r="C191" s="68"/>
      <c r="D191" s="100"/>
      <c r="E191" s="109"/>
      <c r="F191" s="109"/>
      <c r="G191" s="109"/>
      <c r="H191" s="109"/>
    </row>
    <row r="192" spans="3:8" s="16" customFormat="1">
      <c r="C192" s="68"/>
      <c r="D192" s="100"/>
      <c r="E192" s="109"/>
      <c r="F192" s="109"/>
      <c r="G192" s="109"/>
      <c r="H192" s="109"/>
    </row>
    <row r="193" spans="3:8" s="16" customFormat="1">
      <c r="C193" s="68"/>
      <c r="D193" s="100"/>
      <c r="E193" s="109"/>
      <c r="F193" s="109"/>
      <c r="G193" s="109"/>
      <c r="H193" s="109"/>
    </row>
    <row r="194" spans="3:8" s="16" customFormat="1">
      <c r="C194" s="68"/>
      <c r="D194" s="100"/>
      <c r="E194" s="109"/>
      <c r="F194" s="109"/>
      <c r="G194" s="109"/>
      <c r="H194" s="109"/>
    </row>
    <row r="195" spans="3:8" s="16" customFormat="1">
      <c r="C195" s="68"/>
      <c r="D195" s="100"/>
      <c r="E195" s="109"/>
      <c r="F195" s="109"/>
      <c r="G195" s="109"/>
      <c r="H195" s="109"/>
    </row>
    <row r="196" spans="3:8" s="16" customFormat="1">
      <c r="C196" s="68"/>
      <c r="D196" s="100"/>
      <c r="E196" s="109"/>
      <c r="F196" s="109"/>
      <c r="G196" s="109"/>
      <c r="H196" s="109"/>
    </row>
    <row r="197" spans="3:8" s="16" customFormat="1">
      <c r="C197" s="68"/>
      <c r="D197" s="100"/>
      <c r="E197" s="109"/>
      <c r="F197" s="109"/>
      <c r="G197" s="109"/>
      <c r="H197" s="109"/>
    </row>
    <row r="198" spans="3:8" s="16" customFormat="1">
      <c r="C198" s="68"/>
      <c r="D198" s="100"/>
      <c r="E198" s="109"/>
      <c r="F198" s="109"/>
      <c r="G198" s="109"/>
      <c r="H198" s="109"/>
    </row>
    <row r="199" spans="3:8" s="16" customFormat="1">
      <c r="C199" s="68"/>
      <c r="D199" s="100"/>
      <c r="E199" s="109"/>
      <c r="F199" s="109"/>
      <c r="G199" s="109"/>
      <c r="H199" s="109"/>
    </row>
    <row r="200" spans="3:8" s="16" customFormat="1">
      <c r="C200" s="68"/>
      <c r="D200" s="100"/>
      <c r="E200" s="109"/>
      <c r="F200" s="109"/>
      <c r="G200" s="109"/>
      <c r="H200" s="109"/>
    </row>
    <row r="201" spans="3:8" s="16" customFormat="1">
      <c r="C201" s="68"/>
      <c r="D201" s="100"/>
      <c r="E201" s="109"/>
      <c r="F201" s="109"/>
      <c r="G201" s="109"/>
      <c r="H201" s="109"/>
    </row>
    <row r="202" spans="3:8" s="16" customFormat="1">
      <c r="C202" s="68"/>
      <c r="D202" s="100"/>
      <c r="E202" s="109"/>
      <c r="F202" s="109"/>
      <c r="G202" s="109"/>
      <c r="H202" s="109"/>
    </row>
    <row r="203" spans="3:8" s="16" customFormat="1">
      <c r="C203" s="68"/>
      <c r="D203" s="100"/>
      <c r="E203" s="109"/>
      <c r="F203" s="109"/>
      <c r="G203" s="109"/>
      <c r="H203" s="109"/>
    </row>
    <row r="204" spans="3:8" s="16" customFormat="1">
      <c r="C204" s="68"/>
      <c r="D204" s="100"/>
      <c r="E204" s="109"/>
      <c r="F204" s="109"/>
      <c r="G204" s="109"/>
      <c r="H204" s="109"/>
    </row>
    <row r="205" spans="3:8" s="16" customFormat="1">
      <c r="C205" s="68"/>
      <c r="D205" s="100"/>
      <c r="E205" s="109"/>
      <c r="F205" s="109"/>
      <c r="G205" s="109"/>
      <c r="H205" s="109"/>
    </row>
    <row r="206" spans="3:8" s="16" customFormat="1">
      <c r="C206" s="68"/>
      <c r="D206" s="100"/>
      <c r="E206" s="109"/>
      <c r="F206" s="109"/>
      <c r="G206" s="109"/>
      <c r="H206" s="109"/>
    </row>
    <row r="207" spans="3:8" s="16" customFormat="1">
      <c r="C207" s="68"/>
      <c r="D207" s="100"/>
      <c r="E207" s="109"/>
      <c r="F207" s="109"/>
      <c r="G207" s="109"/>
      <c r="H207" s="109"/>
    </row>
    <row r="208" spans="3:8" s="16" customFormat="1">
      <c r="C208" s="68"/>
      <c r="D208" s="100"/>
      <c r="E208" s="109"/>
      <c r="F208" s="109"/>
      <c r="G208" s="109"/>
      <c r="H208" s="109"/>
    </row>
  </sheetData>
  <sheetProtection algorithmName="SHA-512" hashValue="cGkgYJTceMqRCCE4mfc2t0jK2JSTOYNJ+x4R5+uSpI/ftjpB83xUE8o7Bh2QbTqPrn9gogA9maBvqiufKYhcvw==" saltValue="/b4FGzlYPheWNq4NFMhssw==" spinCount="100000" sheet="1" objects="1" scenarios="1" selectLockedCells="1" selectUnlockedCells="1"/>
  <mergeCells count="33">
    <mergeCell ref="A60:L60"/>
    <mergeCell ref="Q39:Q40"/>
    <mergeCell ref="E39:E40"/>
    <mergeCell ref="G39:G40"/>
    <mergeCell ref="N39:N40"/>
    <mergeCell ref="O39:O40"/>
    <mergeCell ref="P39:P40"/>
    <mergeCell ref="I39:I40"/>
    <mergeCell ref="J39:J40"/>
    <mergeCell ref="K39:K40"/>
    <mergeCell ref="L39:L40"/>
    <mergeCell ref="M39:M40"/>
    <mergeCell ref="H23:H24"/>
    <mergeCell ref="I23:I24"/>
    <mergeCell ref="F39:F40"/>
    <mergeCell ref="C39:C40"/>
    <mergeCell ref="H39:H40"/>
    <mergeCell ref="P23:P24"/>
    <mergeCell ref="J23:J24"/>
    <mergeCell ref="C23:C24"/>
    <mergeCell ref="O23:O24"/>
    <mergeCell ref="A2:Q2"/>
    <mergeCell ref="A3:Q3"/>
    <mergeCell ref="A4:Q4"/>
    <mergeCell ref="A5:Q5"/>
    <mergeCell ref="K23:K24"/>
    <mergeCell ref="L23:L24"/>
    <mergeCell ref="M23:M24"/>
    <mergeCell ref="N23:N24"/>
    <mergeCell ref="Q23:Q24"/>
    <mergeCell ref="E23:E24"/>
    <mergeCell ref="F23:F24"/>
    <mergeCell ref="G23:G24"/>
  </mergeCells>
  <pageMargins left="0.7" right="0.7" top="0.75" bottom="0.75" header="0.3" footer="0.3"/>
  <pageSetup scale="30" orientation="portrait" r:id="rId1"/>
  <colBreaks count="1" manualBreakCount="1">
    <brk id="17" max="1048575" man="1"/>
  </colBreaks>
  <ignoredErrors>
    <ignoredError sqref="I62:Q64 I57:Q57 G55:G57 A52:B52 I66:Q125 I65:M65 O65:Q65 C49:C52 A65:D125 A55:D55 K55:Q56 B62:D64 A53:C53 H56:H57 G62:H125 E62:F125 E55:F57 A41:A44 A48 C48 A45:C46 A47:C47 B41:C43 B57:D57 B56:D56 C44 A35:D35 I33 A17:D17 E20:H21 E19:H19 E31:H32 E8:F8 A54:C54 D44 I41:Q44 P48 M48 D41:D43 I45:Q47 D45:D48 I48:L48 N48:O48 Q48 E53:F54 H53:H54 D49:D53 Q50:Q51 J50:O51 J49:Q49 D54 I52:Q54 G53:G54 D36:H36 E52:H52 R52 R53:R54 E50:I51 E49:I49 R49 P50:P51 R50:R51 R48 R45:R47 E41:H43 R44 R41:R43 E38:H38 E37:H37 I35:Q35 C18:D18 D19 I17:Q17 I18:L18 N18:O18 Q18" unlockedFormula="1"/>
    <ignoredError sqref="B38:C38 A40:C40 A37:C37 A38:A39 C39 A36:C36 G8:Q8 A8:D8 A6:C6 A7:Q7 J33:Q33 I34:Q34 A22 I22:Q22 B22:D22 C34:D34 B19:C19 I23:Q25 D29:D30 A19:A21 A30:A34 A26:D28 I26:Q32 I19:Q21 A1:Q2 B20:D21 A9:D16 B23:D25 A29:C29 B30:C30 B31:D33 I39:Q39 I40:Q40 I36:Q38 D39 D37 D40 D38 R36 R38:R39 R37 R40 I9:Q15 A4:Q5 B3:Q3 I16:K16 N16:O16 A23:A25" numberStoredAsText="1" unlockedFormula="1"/>
    <ignoredError sqref="R1:R5 R31:R33 R29 R28 R19:R21 R34 R12:R13 R10 R14 R30 R26 R27 R23:R25 R22 R15:R16 R11 R9 R7:R8 R6"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68055-EA42-4694-95FA-72169F865DB9}">
  <dimension ref="A1:Q105"/>
  <sheetViews>
    <sheetView showGridLines="0" zoomScale="51" zoomScaleNormal="40" zoomScaleSheetLayoutView="55" workbookViewId="0">
      <selection activeCell="B14" sqref="B14"/>
    </sheetView>
  </sheetViews>
  <sheetFormatPr baseColWidth="10" defaultRowHeight="12"/>
  <cols>
    <col min="1" max="1" width="19.44140625" customWidth="1"/>
    <col min="2" max="2" width="52.6640625" bestFit="1" customWidth="1"/>
    <col min="3" max="3" width="13" customWidth="1"/>
    <col min="4" max="4" width="14" customWidth="1"/>
    <col min="5" max="5" width="16.109375" bestFit="1" customWidth="1"/>
    <col min="6" max="6" width="16.21875" customWidth="1"/>
    <col min="7" max="7" width="12.21875" customWidth="1"/>
    <col min="8" max="8" width="21.44140625" bestFit="1" customWidth="1"/>
    <col min="9" max="9" width="14.6640625" customWidth="1"/>
    <col min="10" max="10" width="77.21875" customWidth="1"/>
    <col min="11" max="11" width="85.21875" customWidth="1"/>
    <col min="12" max="12" width="14" customWidth="1"/>
    <col min="13" max="13" width="16.21875" customWidth="1"/>
    <col min="15" max="15" width="79.88671875" customWidth="1"/>
    <col min="16" max="16" width="21.109375" customWidth="1"/>
    <col min="17" max="17" width="22.6640625" customWidth="1"/>
  </cols>
  <sheetData>
    <row r="1" spans="1:17">
      <c r="A1" s="343"/>
      <c r="B1" s="343"/>
      <c r="C1" s="343"/>
      <c r="D1" s="343"/>
      <c r="E1" s="343"/>
      <c r="F1" s="343"/>
      <c r="G1" s="343"/>
      <c r="H1" s="343"/>
      <c r="I1" s="343"/>
      <c r="J1" s="343"/>
      <c r="K1" s="343"/>
      <c r="L1" s="343"/>
      <c r="M1" s="343"/>
      <c r="N1" s="343"/>
      <c r="O1" s="343"/>
      <c r="P1" s="343"/>
      <c r="Q1" s="343"/>
    </row>
    <row r="2" spans="1:17" ht="13.8">
      <c r="A2" s="710" t="s">
        <v>168</v>
      </c>
      <c r="B2" s="710"/>
      <c r="C2" s="710"/>
      <c r="D2" s="710"/>
      <c r="E2" s="710"/>
      <c r="F2" s="710"/>
      <c r="G2" s="710"/>
      <c r="H2" s="710"/>
      <c r="I2" s="710"/>
      <c r="J2" s="710"/>
      <c r="K2" s="710"/>
      <c r="L2" s="710"/>
      <c r="M2" s="710"/>
      <c r="N2" s="710"/>
      <c r="O2" s="710"/>
      <c r="P2" s="710"/>
      <c r="Q2" s="710"/>
    </row>
    <row r="3" spans="1:17" ht="13.8">
      <c r="A3" s="710" t="s">
        <v>145</v>
      </c>
      <c r="B3" s="710"/>
      <c r="C3" s="710"/>
      <c r="D3" s="710"/>
      <c r="E3" s="710"/>
      <c r="F3" s="710"/>
      <c r="G3" s="710"/>
      <c r="H3" s="710"/>
      <c r="I3" s="710"/>
      <c r="J3" s="710"/>
      <c r="K3" s="710"/>
      <c r="L3" s="710"/>
      <c r="M3" s="710"/>
      <c r="N3" s="710"/>
      <c r="O3" s="710"/>
      <c r="P3" s="710"/>
      <c r="Q3" s="710"/>
    </row>
    <row r="4" spans="1:17" ht="13.8">
      <c r="A4" s="710" t="s">
        <v>106</v>
      </c>
      <c r="B4" s="710"/>
      <c r="C4" s="710"/>
      <c r="D4" s="710"/>
      <c r="E4" s="710"/>
      <c r="F4" s="710"/>
      <c r="G4" s="710"/>
      <c r="H4" s="710"/>
      <c r="I4" s="710"/>
      <c r="J4" s="710"/>
      <c r="K4" s="710"/>
      <c r="L4" s="710"/>
      <c r="M4" s="710"/>
      <c r="N4" s="710"/>
      <c r="O4" s="710"/>
      <c r="P4" s="710"/>
      <c r="Q4" s="710"/>
    </row>
    <row r="5" spans="1:17" ht="13.8">
      <c r="A5" s="710">
        <v>44742</v>
      </c>
      <c r="B5" s="710"/>
      <c r="C5" s="710"/>
      <c r="D5" s="710"/>
      <c r="E5" s="710"/>
      <c r="F5" s="710"/>
      <c r="G5" s="710"/>
      <c r="H5" s="710"/>
      <c r="I5" s="710"/>
      <c r="J5" s="710"/>
      <c r="K5" s="710"/>
      <c r="L5" s="710"/>
      <c r="M5" s="710"/>
      <c r="N5" s="710"/>
      <c r="O5" s="710"/>
      <c r="P5" s="710"/>
      <c r="Q5" s="710"/>
    </row>
    <row r="6" spans="1:17">
      <c r="A6" s="344"/>
      <c r="B6" s="344"/>
      <c r="C6" s="344"/>
      <c r="D6" s="344"/>
      <c r="E6" s="344"/>
      <c r="F6" s="344"/>
      <c r="G6" s="344"/>
      <c r="H6" s="344"/>
      <c r="I6" s="344"/>
      <c r="J6" s="344"/>
      <c r="K6" s="344"/>
      <c r="L6" s="344"/>
      <c r="M6" s="344"/>
      <c r="N6" s="344"/>
      <c r="O6" s="344"/>
      <c r="P6" s="344"/>
      <c r="Q6" s="344"/>
    </row>
    <row r="7" spans="1:17" s="439" customFormat="1" ht="14.4" thickBot="1">
      <c r="E7" s="31"/>
    </row>
    <row r="8" spans="1:17" s="440" customFormat="1" ht="113.4" customHeight="1" thickBot="1">
      <c r="A8" s="2" t="s">
        <v>11</v>
      </c>
      <c r="B8" s="2" t="s">
        <v>38</v>
      </c>
      <c r="C8" s="2" t="s">
        <v>146</v>
      </c>
      <c r="D8" s="2" t="s">
        <v>42</v>
      </c>
      <c r="E8" s="2" t="s">
        <v>147</v>
      </c>
      <c r="F8" s="2" t="s">
        <v>148</v>
      </c>
      <c r="G8" s="2" t="s">
        <v>149</v>
      </c>
      <c r="H8" s="2" t="s">
        <v>150</v>
      </c>
      <c r="I8" s="2" t="s">
        <v>151</v>
      </c>
      <c r="J8" s="2" t="s">
        <v>152</v>
      </c>
      <c r="K8" s="2" t="s">
        <v>153</v>
      </c>
      <c r="L8" s="2" t="s">
        <v>154</v>
      </c>
      <c r="M8" s="2" t="s">
        <v>155</v>
      </c>
      <c r="N8" s="2" t="s">
        <v>156</v>
      </c>
      <c r="O8" s="2" t="s">
        <v>157</v>
      </c>
      <c r="P8" s="2" t="s">
        <v>158</v>
      </c>
      <c r="Q8" s="2" t="s">
        <v>159</v>
      </c>
    </row>
    <row r="9" spans="1:17" s="440" customFormat="1" ht="15.6" customHeight="1">
      <c r="A9" s="353"/>
      <c r="B9" s="346"/>
      <c r="C9" s="347"/>
      <c r="D9" s="347"/>
      <c r="E9" s="441"/>
      <c r="F9" s="351"/>
      <c r="G9" s="351"/>
      <c r="H9" s="351"/>
      <c r="I9" s="351"/>
      <c r="J9" s="348"/>
      <c r="K9" s="348"/>
      <c r="L9" s="349"/>
      <c r="M9" s="349"/>
      <c r="N9" s="349"/>
      <c r="O9" s="348"/>
      <c r="P9" s="350"/>
      <c r="Q9" s="354"/>
    </row>
    <row r="10" spans="1:17" s="440" customFormat="1" ht="18.600000000000001" customHeight="1">
      <c r="A10" s="156" t="s">
        <v>1</v>
      </c>
      <c r="B10" s="356"/>
      <c r="C10" s="357"/>
      <c r="D10" s="357"/>
      <c r="E10" s="442"/>
      <c r="F10" s="436"/>
      <c r="G10" s="436"/>
      <c r="H10" s="436"/>
      <c r="I10" s="436"/>
      <c r="J10" s="358"/>
      <c r="K10" s="358"/>
      <c r="L10" s="359"/>
      <c r="M10" s="359"/>
      <c r="N10" s="359"/>
      <c r="O10" s="358"/>
      <c r="P10" s="360"/>
      <c r="Q10" s="361"/>
    </row>
    <row r="11" spans="1:17" s="440" customFormat="1" ht="82.8" customHeight="1">
      <c r="A11" s="142">
        <v>2198</v>
      </c>
      <c r="B11" s="438" t="s">
        <v>307</v>
      </c>
      <c r="C11" s="362" t="s">
        <v>1</v>
      </c>
      <c r="D11" s="362" t="s">
        <v>167</v>
      </c>
      <c r="E11" s="442">
        <v>56690800</v>
      </c>
      <c r="F11" s="370" t="s">
        <v>160</v>
      </c>
      <c r="G11" s="370" t="s">
        <v>161</v>
      </c>
      <c r="H11" s="370" t="s">
        <v>15</v>
      </c>
      <c r="I11" s="436">
        <v>1450000</v>
      </c>
      <c r="J11" s="363" t="s">
        <v>308</v>
      </c>
      <c r="K11" s="363" t="s">
        <v>309</v>
      </c>
      <c r="L11" s="364" t="s">
        <v>163</v>
      </c>
      <c r="M11" s="364" t="s">
        <v>162</v>
      </c>
      <c r="N11" s="434">
        <v>21</v>
      </c>
      <c r="O11" s="443" t="s">
        <v>310</v>
      </c>
      <c r="P11" s="360" t="s">
        <v>169</v>
      </c>
      <c r="Q11" s="361" t="s">
        <v>164</v>
      </c>
    </row>
    <row r="12" spans="1:17" s="440" customFormat="1" ht="14.4" customHeight="1">
      <c r="A12" s="142"/>
      <c r="B12" s="438"/>
      <c r="C12" s="362"/>
      <c r="D12" s="362"/>
      <c r="E12" s="436"/>
      <c r="F12" s="370"/>
      <c r="G12" s="370"/>
      <c r="H12" s="370"/>
      <c r="I12" s="436"/>
      <c r="J12" s="363"/>
      <c r="K12" s="363"/>
      <c r="L12" s="364"/>
      <c r="M12" s="364"/>
      <c r="N12" s="434"/>
      <c r="O12" s="363"/>
      <c r="P12" s="360"/>
      <c r="Q12" s="361"/>
    </row>
    <row r="13" spans="1:17" s="31" customFormat="1" ht="13.8">
      <c r="A13" s="156" t="s">
        <v>2</v>
      </c>
      <c r="B13" s="345"/>
      <c r="C13" s="345"/>
      <c r="D13" s="345"/>
      <c r="E13" s="345"/>
      <c r="F13" s="370"/>
      <c r="G13" s="370"/>
      <c r="H13" s="370"/>
      <c r="I13" s="345"/>
      <c r="J13" s="345"/>
      <c r="K13" s="345"/>
      <c r="L13" s="364"/>
      <c r="M13" s="364"/>
      <c r="N13" s="345"/>
      <c r="O13" s="345"/>
      <c r="P13" s="345"/>
      <c r="Q13" s="355"/>
    </row>
    <row r="14" spans="1:17" s="440" customFormat="1" ht="160.80000000000001" customHeight="1">
      <c r="A14" s="164" t="s">
        <v>20</v>
      </c>
      <c r="B14" s="438" t="s">
        <v>85</v>
      </c>
      <c r="C14" s="434" t="s">
        <v>2</v>
      </c>
      <c r="D14" s="434" t="s">
        <v>77</v>
      </c>
      <c r="E14" s="442">
        <v>697387927.18727088</v>
      </c>
      <c r="F14" s="370" t="s">
        <v>160</v>
      </c>
      <c r="G14" s="370" t="s">
        <v>161</v>
      </c>
      <c r="H14" s="444" t="s">
        <v>204</v>
      </c>
      <c r="I14" s="442">
        <v>255047973.13999999</v>
      </c>
      <c r="J14" s="358" t="s">
        <v>311</v>
      </c>
      <c r="K14" s="363" t="s">
        <v>312</v>
      </c>
      <c r="L14" s="370" t="s">
        <v>163</v>
      </c>
      <c r="M14" s="370" t="s">
        <v>162</v>
      </c>
      <c r="N14" s="434">
        <v>34</v>
      </c>
      <c r="O14" s="363" t="s">
        <v>313</v>
      </c>
      <c r="P14" s="360" t="s">
        <v>214</v>
      </c>
      <c r="Q14" s="361" t="s">
        <v>164</v>
      </c>
    </row>
    <row r="15" spans="1:17" s="440" customFormat="1" ht="146.4" customHeight="1">
      <c r="A15" s="164" t="s">
        <v>49</v>
      </c>
      <c r="B15" s="438" t="s">
        <v>50</v>
      </c>
      <c r="C15" s="434" t="s">
        <v>2</v>
      </c>
      <c r="D15" s="434" t="s">
        <v>205</v>
      </c>
      <c r="E15" s="442">
        <v>100000000</v>
      </c>
      <c r="F15" s="370" t="s">
        <v>160</v>
      </c>
      <c r="G15" s="370" t="s">
        <v>161</v>
      </c>
      <c r="H15" s="370" t="s">
        <v>15</v>
      </c>
      <c r="I15" s="442">
        <v>10000000</v>
      </c>
      <c r="J15" s="358" t="s">
        <v>314</v>
      </c>
      <c r="K15" s="363" t="s">
        <v>315</v>
      </c>
      <c r="L15" s="364" t="s">
        <v>162</v>
      </c>
      <c r="M15" s="364" t="s">
        <v>162</v>
      </c>
      <c r="N15" s="442">
        <v>6</v>
      </c>
      <c r="O15" s="443" t="s">
        <v>316</v>
      </c>
      <c r="P15" s="360" t="s">
        <v>317</v>
      </c>
      <c r="Q15" s="361" t="s">
        <v>206</v>
      </c>
    </row>
    <row r="16" spans="1:17" s="440" customFormat="1" ht="15.6" customHeight="1">
      <c r="A16" s="142"/>
      <c r="B16" s="438"/>
      <c r="C16" s="362"/>
      <c r="D16" s="362"/>
      <c r="E16" s="436"/>
      <c r="F16" s="370"/>
      <c r="G16" s="370"/>
      <c r="H16" s="370"/>
      <c r="I16" s="436"/>
      <c r="J16" s="363"/>
      <c r="K16" s="363"/>
      <c r="L16" s="364"/>
      <c r="M16" s="364"/>
      <c r="N16" s="434"/>
      <c r="O16" s="363"/>
      <c r="P16" s="360"/>
      <c r="Q16" s="361"/>
    </row>
    <row r="17" spans="1:17" s="440" customFormat="1" ht="24.6" customHeight="1">
      <c r="A17" s="156" t="s">
        <v>34</v>
      </c>
      <c r="B17" s="438"/>
      <c r="C17" s="362"/>
      <c r="D17" s="362"/>
      <c r="E17" s="436"/>
      <c r="F17" s="370"/>
      <c r="G17" s="370"/>
      <c r="H17" s="370"/>
      <c r="I17" s="436"/>
      <c r="J17" s="363"/>
      <c r="K17" s="363"/>
      <c r="L17" s="364"/>
      <c r="M17" s="364"/>
      <c r="N17" s="434"/>
      <c r="O17" s="363"/>
      <c r="P17" s="360"/>
      <c r="Q17" s="361"/>
    </row>
    <row r="18" spans="1:17" s="440" customFormat="1" ht="102.6" customHeight="1">
      <c r="A18" s="715" t="s">
        <v>207</v>
      </c>
      <c r="B18" s="716" t="s">
        <v>318</v>
      </c>
      <c r="C18" s="717" t="s">
        <v>34</v>
      </c>
      <c r="D18" s="717" t="s">
        <v>35</v>
      </c>
      <c r="E18" s="718">
        <v>529371330.67494881</v>
      </c>
      <c r="F18" s="370" t="s">
        <v>160</v>
      </c>
      <c r="G18" s="370" t="s">
        <v>161</v>
      </c>
      <c r="H18" s="370" t="s">
        <v>15</v>
      </c>
      <c r="I18" s="442">
        <v>150000000</v>
      </c>
      <c r="J18" s="363" t="s">
        <v>319</v>
      </c>
      <c r="K18" s="363" t="s">
        <v>320</v>
      </c>
      <c r="L18" s="364" t="s">
        <v>162</v>
      </c>
      <c r="M18" s="364" t="s">
        <v>162</v>
      </c>
      <c r="N18" s="434" t="s">
        <v>321</v>
      </c>
      <c r="O18" s="363" t="s">
        <v>322</v>
      </c>
      <c r="P18" s="719" t="s">
        <v>169</v>
      </c>
      <c r="Q18" s="720" t="s">
        <v>166</v>
      </c>
    </row>
    <row r="19" spans="1:17" s="440" customFormat="1" ht="84" customHeight="1">
      <c r="A19" s="715"/>
      <c r="B19" s="716"/>
      <c r="C19" s="717"/>
      <c r="D19" s="717"/>
      <c r="E19" s="718"/>
      <c r="F19" s="632" t="s">
        <v>165</v>
      </c>
      <c r="G19" s="370" t="s">
        <v>161</v>
      </c>
      <c r="H19" s="370" t="s">
        <v>15</v>
      </c>
      <c r="I19" s="442">
        <v>8199150.8099999996</v>
      </c>
      <c r="J19" s="363" t="s">
        <v>323</v>
      </c>
      <c r="K19" s="363" t="s">
        <v>324</v>
      </c>
      <c r="L19" s="364" t="s">
        <v>163</v>
      </c>
      <c r="M19" s="364" t="s">
        <v>163</v>
      </c>
      <c r="N19" s="434" t="s">
        <v>130</v>
      </c>
      <c r="O19" s="363" t="s">
        <v>325</v>
      </c>
      <c r="P19" s="719"/>
      <c r="Q19" s="720"/>
    </row>
    <row r="20" spans="1:17" s="440" customFormat="1" ht="13.8">
      <c r="A20" s="445"/>
      <c r="B20" s="446"/>
      <c r="C20" s="447"/>
      <c r="D20" s="447"/>
      <c r="E20" s="448"/>
      <c r="F20" s="370"/>
      <c r="G20" s="370"/>
      <c r="H20" s="370"/>
      <c r="I20" s="436"/>
      <c r="J20" s="363"/>
      <c r="K20" s="363"/>
      <c r="L20" s="364"/>
      <c r="M20" s="364"/>
      <c r="N20" s="434"/>
      <c r="O20" s="363"/>
      <c r="P20" s="360"/>
      <c r="Q20" s="365"/>
    </row>
    <row r="21" spans="1:17" s="440" customFormat="1" ht="13.8">
      <c r="A21" s="449" t="s">
        <v>80</v>
      </c>
      <c r="B21" s="446"/>
      <c r="C21" s="447"/>
      <c r="D21" s="447"/>
      <c r="E21" s="448"/>
      <c r="F21" s="370"/>
      <c r="G21" s="370"/>
      <c r="H21" s="370"/>
      <c r="I21" s="436"/>
      <c r="J21" s="363"/>
      <c r="K21" s="363"/>
      <c r="L21" s="364"/>
      <c r="M21" s="364"/>
      <c r="N21" s="434"/>
      <c r="O21" s="363"/>
      <c r="P21" s="360"/>
      <c r="Q21" s="365"/>
    </row>
    <row r="22" spans="1:17" s="450" customFormat="1" ht="82.2" customHeight="1">
      <c r="A22" s="445">
        <v>28568</v>
      </c>
      <c r="B22" s="438" t="s">
        <v>208</v>
      </c>
      <c r="C22" s="447" t="s">
        <v>80</v>
      </c>
      <c r="D22" s="447" t="s">
        <v>141</v>
      </c>
      <c r="E22" s="442">
        <v>91717342.540199995</v>
      </c>
      <c r="F22" s="370" t="s">
        <v>160</v>
      </c>
      <c r="G22" s="370" t="s">
        <v>161</v>
      </c>
      <c r="H22" s="370" t="s">
        <v>204</v>
      </c>
      <c r="I22" s="436">
        <v>80409261.140351996</v>
      </c>
      <c r="J22" s="363" t="s">
        <v>326</v>
      </c>
      <c r="K22" s="363" t="s">
        <v>327</v>
      </c>
      <c r="L22" s="359" t="s">
        <v>162</v>
      </c>
      <c r="M22" s="359" t="s">
        <v>162</v>
      </c>
      <c r="N22" s="434">
        <v>30</v>
      </c>
      <c r="O22" s="363" t="s">
        <v>328</v>
      </c>
      <c r="P22" s="217" t="s">
        <v>329</v>
      </c>
      <c r="Q22" s="361" t="s">
        <v>164</v>
      </c>
    </row>
    <row r="23" spans="1:17" s="450" customFormat="1" ht="14.4" thickBot="1">
      <c r="A23" s="451"/>
      <c r="B23" s="452"/>
      <c r="C23" s="453"/>
      <c r="D23" s="453"/>
      <c r="E23" s="454"/>
      <c r="F23" s="371"/>
      <c r="G23" s="371"/>
      <c r="H23" s="371"/>
      <c r="I23" s="437"/>
      <c r="J23" s="366"/>
      <c r="K23" s="366"/>
      <c r="L23" s="367"/>
      <c r="M23" s="367"/>
      <c r="N23" s="435"/>
      <c r="O23" s="366"/>
      <c r="P23" s="368"/>
      <c r="Q23" s="369"/>
    </row>
    <row r="24" spans="1:17" s="439" customFormat="1" ht="13.8">
      <c r="K24" s="455"/>
    </row>
    <row r="25" spans="1:17" s="439" customFormat="1" ht="13.8">
      <c r="A25" s="77" t="s">
        <v>44</v>
      </c>
      <c r="K25" s="455"/>
    </row>
    <row r="26" spans="1:17" s="439" customFormat="1" ht="13.8">
      <c r="K26" s="455"/>
      <c r="L26" s="440"/>
      <c r="M26" s="440"/>
    </row>
    <row r="27" spans="1:17" s="439" customFormat="1" ht="30.6" customHeight="1">
      <c r="A27" s="101" t="s">
        <v>84</v>
      </c>
      <c r="L27" s="440"/>
      <c r="M27" s="440"/>
    </row>
    <row r="28" spans="1:17" s="439" customFormat="1" ht="13.8">
      <c r="A28" s="98" t="s">
        <v>126</v>
      </c>
      <c r="L28" s="440"/>
      <c r="M28" s="440"/>
    </row>
    <row r="29" spans="1:17" s="439" customFormat="1" ht="13.8">
      <c r="A29" s="98" t="s">
        <v>127</v>
      </c>
      <c r="L29" s="440"/>
      <c r="M29" s="440"/>
    </row>
    <row r="30" spans="1:17" s="439" customFormat="1" ht="24" customHeight="1">
      <c r="A30" s="439" t="s">
        <v>330</v>
      </c>
      <c r="L30" s="440"/>
      <c r="M30" s="440"/>
    </row>
    <row r="31" spans="1:17" s="439" customFormat="1" ht="13.8">
      <c r="L31" s="440"/>
      <c r="M31" s="440"/>
    </row>
    <row r="32" spans="1:17" s="439" customFormat="1" ht="13.8">
      <c r="L32" s="440"/>
      <c r="M32" s="440"/>
    </row>
    <row r="33" spans="12:13" s="439" customFormat="1" ht="13.8">
      <c r="L33" s="440"/>
      <c r="M33" s="440"/>
    </row>
    <row r="34" spans="12:13" s="439" customFormat="1" ht="13.8">
      <c r="L34" s="440"/>
      <c r="M34" s="440"/>
    </row>
    <row r="35" spans="12:13" s="439" customFormat="1" ht="13.8">
      <c r="L35" s="440"/>
      <c r="M35" s="440"/>
    </row>
    <row r="36" spans="12:13" s="439" customFormat="1" ht="13.8">
      <c r="L36" s="440"/>
      <c r="M36" s="440"/>
    </row>
    <row r="37" spans="12:13" s="439" customFormat="1" ht="13.8">
      <c r="L37" s="440"/>
      <c r="M37" s="440"/>
    </row>
    <row r="38" spans="12:13" s="439" customFormat="1" ht="13.8">
      <c r="L38" s="440"/>
      <c r="M38" s="440"/>
    </row>
    <row r="39" spans="12:13" s="439" customFormat="1" ht="13.8">
      <c r="L39" s="440"/>
      <c r="M39" s="440"/>
    </row>
    <row r="40" spans="12:13" s="439" customFormat="1" ht="13.8">
      <c r="L40" s="440"/>
      <c r="M40" s="440"/>
    </row>
    <row r="41" spans="12:13" s="439" customFormat="1" ht="13.8">
      <c r="L41" s="440"/>
      <c r="M41" s="440"/>
    </row>
    <row r="42" spans="12:13" s="439" customFormat="1" ht="13.8">
      <c r="L42" s="440"/>
      <c r="M42" s="440"/>
    </row>
    <row r="43" spans="12:13" s="439" customFormat="1" ht="13.8">
      <c r="L43" s="440"/>
      <c r="M43" s="440"/>
    </row>
    <row r="44" spans="12:13" s="439" customFormat="1" ht="13.8">
      <c r="L44" s="440"/>
      <c r="M44" s="440"/>
    </row>
    <row r="45" spans="12:13" s="439" customFormat="1" ht="13.8">
      <c r="L45" s="440"/>
      <c r="M45" s="440"/>
    </row>
    <row r="46" spans="12:13" s="439" customFormat="1" ht="13.8">
      <c r="L46" s="440"/>
      <c r="M46" s="440"/>
    </row>
    <row r="47" spans="12:13" s="439" customFormat="1" ht="13.8">
      <c r="L47" s="440"/>
      <c r="M47" s="440"/>
    </row>
    <row r="48" spans="12:13" s="439" customFormat="1" ht="13.8">
      <c r="L48" s="440"/>
      <c r="M48" s="440"/>
    </row>
    <row r="49" s="439" customFormat="1" ht="13.8"/>
    <row r="50" s="439" customFormat="1" ht="13.8"/>
    <row r="51" s="439" customFormat="1" ht="13.8"/>
    <row r="52" s="439" customFormat="1" ht="13.8"/>
    <row r="53" s="439" customFormat="1" ht="13.8"/>
    <row r="54" s="439" customFormat="1" ht="13.8"/>
    <row r="55" s="439" customFormat="1" ht="13.8"/>
    <row r="56" s="439" customFormat="1" ht="13.8"/>
    <row r="57" s="439" customFormat="1" ht="13.8"/>
    <row r="58" s="439" customFormat="1" ht="13.8"/>
    <row r="59" s="439" customFormat="1" ht="13.8"/>
    <row r="60" s="439" customFormat="1" ht="13.8"/>
    <row r="61" s="439" customFormat="1" ht="13.8"/>
    <row r="62" s="439" customFormat="1" ht="13.8"/>
    <row r="63" s="439" customFormat="1" ht="13.8"/>
    <row r="64" s="439" customFormat="1" ht="13.8"/>
    <row r="65" s="439" customFormat="1" ht="13.8"/>
    <row r="66" s="439" customFormat="1" ht="13.8"/>
    <row r="67" s="439" customFormat="1" ht="13.8"/>
    <row r="68" s="439" customFormat="1" ht="13.8"/>
    <row r="69" s="439" customFormat="1" ht="13.8"/>
    <row r="70" s="439" customFormat="1" ht="13.8"/>
    <row r="71" s="439" customFormat="1" ht="13.8"/>
    <row r="72" s="439" customFormat="1" ht="13.8"/>
    <row r="73" s="439" customFormat="1" ht="13.8"/>
    <row r="74" s="439" customFormat="1" ht="13.8"/>
    <row r="75" s="439" customFormat="1" ht="13.8"/>
    <row r="76" s="439" customFormat="1" ht="13.8"/>
    <row r="77" s="439" customFormat="1" ht="13.8"/>
    <row r="78" s="439" customFormat="1" ht="13.8"/>
    <row r="79" s="439" customFormat="1" ht="13.8"/>
    <row r="80" s="439" customFormat="1" ht="13.8"/>
    <row r="81" s="439" customFormat="1" ht="13.8"/>
    <row r="82" s="439" customFormat="1" ht="13.8"/>
    <row r="83" s="439" customFormat="1" ht="13.8"/>
    <row r="84" s="439" customFormat="1" ht="13.8"/>
    <row r="85" s="439" customFormat="1" ht="13.8"/>
    <row r="86" s="439" customFormat="1" ht="13.8"/>
    <row r="87" s="439" customFormat="1" ht="13.8"/>
    <row r="88" s="439" customFormat="1" ht="13.8"/>
    <row r="89" s="439" customFormat="1" ht="13.8"/>
    <row r="90" s="439" customFormat="1" ht="13.8"/>
    <row r="91" s="439" customFormat="1" ht="13.8"/>
    <row r="92" s="439" customFormat="1" ht="13.8"/>
    <row r="93" s="439" customFormat="1" ht="13.8"/>
    <row r="94" s="439" customFormat="1" ht="13.8"/>
    <row r="95" s="439" customFormat="1" ht="13.8"/>
    <row r="96" s="343" customFormat="1"/>
    <row r="97" s="343" customFormat="1"/>
    <row r="98" s="343" customFormat="1"/>
    <row r="99" s="343" customFormat="1"/>
    <row r="100" s="343" customFormat="1"/>
    <row r="101" s="343" customFormat="1"/>
    <row r="102" s="343" customFormat="1"/>
    <row r="103" s="343" customFormat="1"/>
    <row r="104" s="343" customFormat="1"/>
    <row r="105" s="343" customFormat="1"/>
  </sheetData>
  <sheetProtection algorithmName="SHA-512" hashValue="XrhEWaYgy9Clpv1BVmcw6ZPaob2CQoVTltWyq607S4yLAAIoJAze6cCiW1o+rYssjWQYdtSYmlUbGeLAah5ksA==" saltValue="Gy5SeILIF3g/IbL1C2a46Q==" spinCount="100000" sheet="1" objects="1" scenarios="1" selectLockedCells="1" selectUnlockedCells="1"/>
  <mergeCells count="11">
    <mergeCell ref="A2:Q2"/>
    <mergeCell ref="A3:Q3"/>
    <mergeCell ref="A4:Q4"/>
    <mergeCell ref="A5:Q5"/>
    <mergeCell ref="A18:A19"/>
    <mergeCell ref="B18:B19"/>
    <mergeCell ref="C18:C19"/>
    <mergeCell ref="D18:D19"/>
    <mergeCell ref="E18:E19"/>
    <mergeCell ref="P18:P19"/>
    <mergeCell ref="Q18:Q19"/>
  </mergeCells>
  <dataValidations count="5">
    <dataValidation type="list" allowBlank="1" showInputMessage="1" showErrorMessage="1" sqref="F9:F10" xr:uid="{57A283D5-BF90-42DD-BD34-5E7D6969771D}">
      <formula1>$C$44:$C$46</formula1>
    </dataValidation>
    <dataValidation type="list" allowBlank="1" showInputMessage="1" showErrorMessage="1" sqref="L22:M22" xr:uid="{B4F6048F-0AD4-4DAB-A27C-1B44E7202165}">
      <formula1>$B$35:$B$37</formula1>
    </dataValidation>
    <dataValidation type="list" allowBlank="1" showInputMessage="1" showErrorMessage="1" sqref="G9:G10" xr:uid="{F59FFF57-045C-4611-A377-89F65BE2DDDB}">
      <formula1>$C$35:$C$37</formula1>
    </dataValidation>
    <dataValidation type="list" allowBlank="1" showInputMessage="1" showErrorMessage="1" sqref="H9:H10" xr:uid="{5F746696-25C8-46B8-BC7B-C0D7D1787BD2}">
      <formula1>$C$39:$C$42</formula1>
    </dataValidation>
    <dataValidation type="list" allowBlank="1" showInputMessage="1" showErrorMessage="1" sqref="L9:M10" xr:uid="{847C04B7-8790-458C-A8BF-70AE57880199}">
      <formula1>$C$48:$C$50</formula1>
    </dataValidation>
  </dataValidations>
  <pageMargins left="0.7" right="0.7" top="0.75" bottom="0.75" header="0.3" footer="0.3"/>
  <pageSetup paperSize="9" scale="16" orientation="portrait" r:id="rId1"/>
  <rowBreaks count="1" manualBreakCount="1">
    <brk id="33"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6BE47BE2A470D4295CBEAFE13A3A018" ma:contentTypeVersion="13" ma:contentTypeDescription="Crear nuevo documento." ma:contentTypeScope="" ma:versionID="db672761564a86d2923c61816e9f95a6">
  <xsd:schema xmlns:xsd="http://www.w3.org/2001/XMLSchema" xmlns:xs="http://www.w3.org/2001/XMLSchema" xmlns:p="http://schemas.microsoft.com/office/2006/metadata/properties" xmlns:ns3="f8d78148-4387-4513-809a-a1c4a9be36f6" xmlns:ns4="1828e985-bf61-4a18-805b-b2c424da50ad" targetNamespace="http://schemas.microsoft.com/office/2006/metadata/properties" ma:root="true" ma:fieldsID="5cfa0b4a2b8e0cdef9d16d6a9c2afd0b" ns3:_="" ns4:_="">
    <xsd:import namespace="f8d78148-4387-4513-809a-a1c4a9be36f6"/>
    <xsd:import namespace="1828e985-bf61-4a18-805b-b2c424da50a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DateTaken" minOccurs="0"/>
                <xsd:element ref="ns3:MediaLengthInSecond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78148-4387-4513-809a-a1c4a9be36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28e985-bf61-4a18-805b-b2c424da50ad"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C34E8C-756F-4074-8715-81697614F121}">
  <ds:schemaRefs>
    <ds:schemaRef ds:uri="http://schemas.microsoft.com/office/2006/documentManagement/types"/>
    <ds:schemaRef ds:uri="http://www.w3.org/XML/1998/namespace"/>
    <ds:schemaRef ds:uri="http://purl.org/dc/elements/1.1/"/>
    <ds:schemaRef ds:uri="http://purl.org/dc/dcmitype/"/>
    <ds:schemaRef ds:uri="http://schemas.microsoft.com/office/infopath/2007/PartnerControls"/>
    <ds:schemaRef ds:uri="http://purl.org/dc/terms/"/>
    <ds:schemaRef ds:uri="http://schemas.openxmlformats.org/package/2006/metadata/core-properties"/>
    <ds:schemaRef ds:uri="1828e985-bf61-4a18-805b-b2c424da50ad"/>
    <ds:schemaRef ds:uri="f8d78148-4387-4513-809a-a1c4a9be36f6"/>
    <ds:schemaRef ds:uri="http://schemas.microsoft.com/office/2006/metadata/properties"/>
  </ds:schemaRefs>
</ds:datastoreItem>
</file>

<file path=customXml/itemProps2.xml><?xml version="1.0" encoding="utf-8"?>
<ds:datastoreItem xmlns:ds="http://schemas.openxmlformats.org/officeDocument/2006/customXml" ds:itemID="{F0564107-87A0-40CB-8A84-D9225B4FE081}">
  <ds:schemaRefs>
    <ds:schemaRef ds:uri="http://schemas.microsoft.com/sharepoint/v3/contenttype/forms"/>
  </ds:schemaRefs>
</ds:datastoreItem>
</file>

<file path=customXml/itemProps3.xml><?xml version="1.0" encoding="utf-8"?>
<ds:datastoreItem xmlns:ds="http://schemas.openxmlformats.org/officeDocument/2006/customXml" ds:itemID="{4DB85BAA-F9A5-478A-A9BF-436C75766C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78148-4387-4513-809a-a1c4a9be36f6"/>
    <ds:schemaRef ds:uri="1828e985-bf61-4a18-805b-b2c424da50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13</vt:i4>
      </vt:variant>
    </vt:vector>
  </HeadingPairs>
  <TitlesOfParts>
    <vt:vector size="23" baseType="lpstr">
      <vt:lpstr>Índice</vt:lpstr>
      <vt:lpstr>Anexo 1</vt:lpstr>
      <vt:lpstr>Anexo 2</vt:lpstr>
      <vt:lpstr>Anexo 3</vt:lpstr>
      <vt:lpstr>Anexo 4</vt:lpstr>
      <vt:lpstr>Anexo 5</vt:lpstr>
      <vt:lpstr>Anexo 5.1</vt:lpstr>
      <vt:lpstr>Anexo 6</vt:lpstr>
      <vt:lpstr>Anexo 7</vt:lpstr>
      <vt:lpstr>Anexo 8</vt:lpstr>
      <vt:lpstr>'Anexo 1'!Área_de_impresión</vt:lpstr>
      <vt:lpstr>'Anexo 2'!Área_de_impresión</vt:lpstr>
      <vt:lpstr>'Anexo 3'!Área_de_impresión</vt:lpstr>
      <vt:lpstr>'Anexo 4'!Área_de_impresión</vt:lpstr>
      <vt:lpstr>'Anexo 5'!Área_de_impresión</vt:lpstr>
      <vt:lpstr>'Anexo 5.1'!Área_de_impresión</vt:lpstr>
      <vt:lpstr>'Anexo 6'!Área_de_impresión</vt:lpstr>
      <vt:lpstr>'Anexo 7'!Área_de_impresión</vt:lpstr>
      <vt:lpstr>'Anexo 8'!Área_de_impresión</vt:lpstr>
      <vt:lpstr>'Anexo 1'!Títulos_a_imprimir</vt:lpstr>
      <vt:lpstr>'Anexo 2'!Títulos_a_imprimir</vt:lpstr>
      <vt:lpstr>'Anexo 3'!Títulos_a_imprimir</vt:lpstr>
      <vt:lpstr>'Anexo 4'!Títulos_a_imprimir</vt:lpstr>
    </vt:vector>
  </TitlesOfParts>
  <Company>Ministerio de Hacienda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W&amp;W</dc:creator>
  <cp:lastModifiedBy>Ana Gabriela Corrales Rojas</cp:lastModifiedBy>
  <cp:lastPrinted>2022-02-22T14:32:26Z</cp:lastPrinted>
  <dcterms:created xsi:type="dcterms:W3CDTF">2004-05-21T17:50:07Z</dcterms:created>
  <dcterms:modified xsi:type="dcterms:W3CDTF">2022-09-26T15:51:02Z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0x010100E6BE47BE2A470D4295CBEAFE13A3A018</vt:lpwstr>
  </property>
</Properties>
</file>