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90" yWindow="230" windowWidth="12030" windowHeight="9900" tabRatio="861" activeTab="0"/>
  </bookViews>
  <sheets>
    <sheet name="SIMPLE" sheetId="1" r:id="rId1"/>
    <sheet name="ACUMULADO" sheetId="2" r:id="rId2"/>
    <sheet name="INGRESOS" sheetId="3" r:id="rId3"/>
  </sheets>
  <definedNames>
    <definedName name="\a">#REF!</definedName>
    <definedName name="ANITA">#REF!</definedName>
    <definedName name="_xlnm.Print_Area" localSheetId="1">'ACUMULADO'!$A$1:$AF$90</definedName>
    <definedName name="_xlnm.Print_Area" localSheetId="0">'SIMPLE'!$A$1:$AF$90</definedName>
    <definedName name="BERNA">#REF!</definedName>
    <definedName name="INGRE">#REF!</definedName>
    <definedName name="J">#REF!</definedName>
    <definedName name="NOTAS">#REF!</definedName>
    <definedName name="PASA">#REF!</definedName>
    <definedName name="REES">#REF!</definedName>
    <definedName name="RESU">#REF!</definedName>
    <definedName name="tabla">#REF!</definedName>
  </definedNames>
  <calcPr fullCalcOnLoad="1"/>
</workbook>
</file>

<file path=xl/sharedStrings.xml><?xml version="1.0" encoding="utf-8"?>
<sst xmlns="http://schemas.openxmlformats.org/spreadsheetml/2006/main" count="307" uniqueCount="147">
  <si>
    <t>CONCEPTO</t>
  </si>
  <si>
    <t>GASTOS CORRIENTES</t>
  </si>
  <si>
    <t xml:space="preserve">    Sueldos y Salarios</t>
  </si>
  <si>
    <t xml:space="preserve">         Deuda Interna</t>
  </si>
  <si>
    <t xml:space="preserve">         Deuda externa</t>
  </si>
  <si>
    <t xml:space="preserve">    Transferencias</t>
  </si>
  <si>
    <t xml:space="preserve">         Sector Privado </t>
  </si>
  <si>
    <t xml:space="preserve">         Sector Publico</t>
  </si>
  <si>
    <t xml:space="preserve">         Sector Externo</t>
  </si>
  <si>
    <t>GASTOS DE CAPITAL</t>
  </si>
  <si>
    <t xml:space="preserve"> II- Ingresos de Capital:</t>
  </si>
  <si>
    <t>I-3  Ingresos no Tributarios</t>
  </si>
  <si>
    <t xml:space="preserve">    Inversion </t>
  </si>
  <si>
    <t>Transferencias ctes con recurso externo</t>
  </si>
  <si>
    <t>Transferencias capital con recurso externo</t>
  </si>
  <si>
    <t>Gasto Total sin Intereses</t>
  </si>
  <si>
    <t xml:space="preserve">    Intereses    </t>
  </si>
  <si>
    <t>1 - 3</t>
  </si>
  <si>
    <t>1 - 2</t>
  </si>
  <si>
    <t>VARIACION</t>
  </si>
  <si>
    <t>SUP/ DÉFICIT  FINANCIERO.</t>
  </si>
  <si>
    <t>DEF/SUPERÁVIT PRIMARIO</t>
  </si>
  <si>
    <t>Impuesto a los ingresos y utilidades</t>
  </si>
  <si>
    <t>Sobre importaciones</t>
  </si>
  <si>
    <t>Sobre exportaciones</t>
  </si>
  <si>
    <t>Ventas</t>
  </si>
  <si>
    <t>Interno</t>
  </si>
  <si>
    <t>Aduanas</t>
  </si>
  <si>
    <t>Consumo</t>
  </si>
  <si>
    <t>I-1  Ingresos Tributarios</t>
  </si>
  <si>
    <t>I-   Ingresos Corrientes</t>
  </si>
  <si>
    <t>Otros ingresos tributarios</t>
  </si>
  <si>
    <t>I-2 Contribuciones Sociales</t>
  </si>
  <si>
    <t>I-4  Transferencias</t>
  </si>
  <si>
    <t>Arancel:</t>
  </si>
  <si>
    <t>1% Valor Aduanero:</t>
  </si>
  <si>
    <t xml:space="preserve"> Por Caja Banano Exportada</t>
  </si>
  <si>
    <t>Der.de Exp.ad/valorem</t>
  </si>
  <si>
    <t>Transferencias con recurso externo</t>
  </si>
  <si>
    <t>FINANCIAMIENTO</t>
  </si>
  <si>
    <t>Remuneraciones</t>
  </si>
  <si>
    <t xml:space="preserve">   Interno Neto</t>
  </si>
  <si>
    <t xml:space="preserve">   Externo Neto</t>
  </si>
  <si>
    <t>en millones de colones</t>
  </si>
  <si>
    <r>
      <rPr>
        <b/>
        <sz val="10"/>
        <rFont val="Arial"/>
        <family val="2"/>
      </rPr>
      <t xml:space="preserve">Fuente:  </t>
    </r>
    <r>
      <rPr>
        <sz val="10"/>
        <rFont val="Arial"/>
        <family val="2"/>
      </rPr>
      <t>Cuadro elaborado en la Secretaría Técnica de la Autoridad Presupuestaria, con información suministrada por la Contabilidad Nacional y la Dirección de Crédito Público.</t>
    </r>
  </si>
  <si>
    <t>% PIB</t>
  </si>
  <si>
    <t>Mes de Diciembre</t>
  </si>
  <si>
    <t>Acumulado al mes de diciembre</t>
  </si>
  <si>
    <t xml:space="preserve"> Impuesto Exportaciones Vía Terrestre</t>
  </si>
  <si>
    <t xml:space="preserve">Concesión </t>
  </si>
  <si>
    <t>Concesión Neta de Préstamos</t>
  </si>
  <si>
    <t xml:space="preserve">Recuperación </t>
  </si>
  <si>
    <t>GASTOS TOTALES Y CONCESIÓN NETA</t>
  </si>
  <si>
    <r>
      <t xml:space="preserve">    Transferencias </t>
    </r>
    <r>
      <rPr>
        <vertAlign val="superscript"/>
        <sz val="10"/>
        <rFont val="Arial"/>
        <family val="2"/>
      </rPr>
      <t>1/</t>
    </r>
  </si>
  <si>
    <r>
      <t xml:space="preserve">    Transferencias</t>
    </r>
    <r>
      <rPr>
        <vertAlign val="superscript"/>
        <sz val="10"/>
        <rFont val="Arial"/>
        <family val="2"/>
      </rPr>
      <t xml:space="preserve"> 1/</t>
    </r>
  </si>
  <si>
    <r>
      <t>INGRESOS TOTALES</t>
    </r>
    <r>
      <rPr>
        <b/>
        <vertAlign val="superscript"/>
        <sz val="10"/>
        <rFont val="Arial"/>
        <family val="2"/>
      </rPr>
      <t xml:space="preserve"> 3/</t>
    </r>
  </si>
  <si>
    <r>
      <t xml:space="preserve">    Cargas Sociales</t>
    </r>
    <r>
      <rPr>
        <vertAlign val="superscript"/>
        <sz val="10"/>
        <rFont val="Arial"/>
        <family val="2"/>
      </rPr>
      <t>5/</t>
    </r>
  </si>
  <si>
    <r>
      <t xml:space="preserve">    Bienes y Servicios</t>
    </r>
    <r>
      <rPr>
        <vertAlign val="superscript"/>
        <sz val="10"/>
        <rFont val="Arial"/>
        <family val="2"/>
      </rPr>
      <t>6/</t>
    </r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</si>
  <si>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 xml:space="preserve"> Se reclasifica Cuota Patronal de Pensiones y Jubilaciones, Contributivas y no contributivas de sector privado a sector público</t>
    </r>
  </si>
  <si>
    <r>
      <rPr>
        <vertAlign val="superscript"/>
        <sz val="10"/>
        <rFont val="Arial"/>
        <family val="2"/>
      </rPr>
      <t xml:space="preserve">2/ </t>
    </r>
    <r>
      <rPr>
        <sz val="10"/>
        <rFont val="Arial"/>
        <family val="2"/>
      </rPr>
      <t xml:space="preserve"> Para el 2016 se excluyen ¢2437,3 millones y se registran en el renglón transferencias corrientes con recurso externo</t>
    </r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</si>
  <si>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 xml:space="preserve">  Para el 2016 se excluyen ¢3,075,3 millones y se registran en el renglón transferencias de capital con recurso externo</t>
    </r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</si>
  <si>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 xml:space="preserve">  A partir de enero 2020 los egresos de las cargas sociales de los programas 327-328- 329 del Ministerio de Obras Públicas y Transportes (MOPT), se capitalizan, por lo que se incluyen en el rubro de inversión</t>
    </r>
  </si>
  <si>
    <r>
      <rPr>
        <vertAlign val="superscript"/>
        <sz val="10"/>
        <rFont val="Arial"/>
        <family val="2"/>
      </rPr>
      <t>6/</t>
    </r>
    <r>
      <rPr>
        <sz val="10"/>
        <rFont val="Arial"/>
        <family val="2"/>
      </rPr>
      <t xml:space="preserve"> Los egresos de bienes y servicios del programa 797 de Ministerio de Comercio Exterior a partir de enero 2020 se capitalizan y se incluyen en el rubro de inversión</t>
    </r>
  </si>
  <si>
    <r>
      <rPr>
        <vertAlign val="superscript"/>
        <sz val="10"/>
        <rFont val="Arial"/>
        <family val="2"/>
      </rPr>
      <t xml:space="preserve">1/ </t>
    </r>
    <r>
      <rPr>
        <sz val="10"/>
        <rFont val="Arial"/>
        <family val="2"/>
      </rPr>
      <t>Se reclasifica Cuota Patronal de Pensiones y Jubilaciones, Contributivas y no contributivas de sector privado a sector público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</si>
  <si>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 xml:space="preserve">  Para el 2016 se excluyen ¢2437,3 millones y se registran en el renglón transferencias corrientes con recurso externo</t>
    </r>
  </si>
  <si>
    <r>
      <rPr>
        <vertAlign val="superscript"/>
        <sz val="10"/>
        <rFont val="Arial"/>
        <family val="2"/>
      </rPr>
      <t xml:space="preserve">3/ </t>
    </r>
    <r>
      <rPr>
        <sz val="10"/>
        <rFont val="Arial"/>
        <family val="2"/>
      </rPr>
      <t xml:space="preserve"> Para el 2016 se excluyen ¢3,075,3 millones y se registran en el renglón transferencias de capital con recurso externo</t>
    </r>
  </si>
  <si>
    <r>
      <rPr>
        <vertAlign val="superscript"/>
        <sz val="10"/>
        <rFont val="Arial"/>
        <family val="2"/>
      </rPr>
      <t xml:space="preserve">7/ </t>
    </r>
    <r>
      <rPr>
        <sz val="10"/>
        <rFont val="Arial"/>
        <family val="2"/>
      </rPr>
      <t>En el 2020 la transferencia del FEES incluyen un monto de ¢80,674,3 con recurso externo.</t>
    </r>
  </si>
  <si>
    <r>
      <rPr>
        <vertAlign val="superscript"/>
        <sz val="10"/>
        <rFont val="Arial"/>
        <family val="2"/>
      </rPr>
      <t xml:space="preserve">7/ </t>
    </r>
    <r>
      <rPr>
        <sz val="10"/>
        <rFont val="Arial"/>
        <family val="2"/>
      </rPr>
      <t>En el mes de diciembre 2020 la transferencia del FEES incluyen un monto de ¢36,112,4 con recurso externo .</t>
    </r>
  </si>
  <si>
    <t>INGRESO, GASTO Y FINANCIAMIENTO PRELIMINAR DEL GOBIERNO CENTRAL</t>
  </si>
  <si>
    <t>06/07</t>
  </si>
  <si>
    <t>07/08</t>
  </si>
  <si>
    <t>08/09</t>
  </si>
  <si>
    <t>09/10</t>
  </si>
  <si>
    <t>10/11</t>
  </si>
  <si>
    <t>11/12</t>
  </si>
  <si>
    <t>12/13</t>
  </si>
  <si>
    <t>13/14</t>
  </si>
  <si>
    <t>14/15</t>
  </si>
  <si>
    <t>15/16</t>
  </si>
  <si>
    <t>16/17</t>
  </si>
  <si>
    <t>17/19</t>
  </si>
  <si>
    <t>18/19</t>
  </si>
  <si>
    <t>19/20</t>
  </si>
  <si>
    <t>20/21</t>
  </si>
  <si>
    <r>
      <t>PIB</t>
    </r>
    <r>
      <rPr>
        <vertAlign val="superscript"/>
        <sz val="10"/>
        <rFont val="Arial"/>
        <family val="2"/>
      </rPr>
      <t xml:space="preserve"> 4/</t>
    </r>
  </si>
  <si>
    <r>
      <t xml:space="preserve">         Sector Publico</t>
    </r>
    <r>
      <rPr>
        <vertAlign val="superscript"/>
        <sz val="10"/>
        <rFont val="Arial"/>
        <family val="2"/>
      </rPr>
      <t xml:space="preserve"> 2/7/</t>
    </r>
  </si>
  <si>
    <r>
      <t xml:space="preserve">         Sector Publico</t>
    </r>
    <r>
      <rPr>
        <vertAlign val="superscript"/>
        <sz val="10"/>
        <rFont val="Arial"/>
        <family val="2"/>
      </rPr>
      <t xml:space="preserve"> 2/ 7/</t>
    </r>
  </si>
  <si>
    <t>INGRESO, GASTO Y FINANCIAMIENTO  DEL GOBIERNO CENTRAL</t>
  </si>
  <si>
    <t>21/22</t>
  </si>
  <si>
    <t xml:space="preserve"> </t>
  </si>
  <si>
    <t>GOBIERNO CENTRAL DE COSTA RICA</t>
  </si>
  <si>
    <t>PRINCIPALES INGRESOS</t>
  </si>
  <si>
    <t>COMPARATIVOS MES DICIEMBRE</t>
  </si>
  <si>
    <t>COMPARATIVOS ACUMULADO AL MES DE DICIEMBRE</t>
  </si>
  <si>
    <t>(en millones de colones)</t>
  </si>
  <si>
    <t>Variacion</t>
  </si>
  <si>
    <t>INGRESOS TOTALES:</t>
  </si>
  <si>
    <t>Ingresos Corrientes:</t>
  </si>
  <si>
    <t>I-1 Ingresos Tributarios :</t>
  </si>
  <si>
    <t>I-1.1   Impuesto a los ingresos y utilidades</t>
  </si>
  <si>
    <t xml:space="preserve">       - Ingresos y Utilidades a Personas Físicas</t>
  </si>
  <si>
    <t xml:space="preserve">       - Ingresos y Utilidades a Personas Jurídicas</t>
  </si>
  <si>
    <t xml:space="preserve">       - Dividendos e Intereses s/ Títulos valores</t>
  </si>
  <si>
    <t xml:space="preserve">       - Remesas al Exterior</t>
  </si>
  <si>
    <t xml:space="preserve">       - Bancos y Entidades Financ no domiciliadas</t>
  </si>
  <si>
    <t xml:space="preserve">I-1.2   Impuestos a la propiedad </t>
  </si>
  <si>
    <t xml:space="preserve">            Propiedad de vehículos</t>
  </si>
  <si>
    <t xml:space="preserve">            Imp Solidario Vivienda</t>
  </si>
  <si>
    <t xml:space="preserve">            Imp. Sociedades Anónimas</t>
  </si>
  <si>
    <t>I-1.3  Sobre Importaciones :</t>
  </si>
  <si>
    <t xml:space="preserve">           I-1.3.1  Arancel:</t>
  </si>
  <si>
    <t xml:space="preserve">           I-1.3.2 1% Valor Aduanero:</t>
  </si>
  <si>
    <t>I-1.4  Sobre Exportaciones :</t>
  </si>
  <si>
    <t xml:space="preserve">           I-1.4.1  Por Caja Banano Exportada</t>
  </si>
  <si>
    <t xml:space="preserve">           I-1.4.2  Der.de Exp.ad/valorem</t>
  </si>
  <si>
    <t xml:space="preserve">           I-1.4.3  Imp Exp vía terrestre</t>
  </si>
  <si>
    <t xml:space="preserve">I-1.5  Ventas: </t>
  </si>
  <si>
    <t xml:space="preserve">           I-1.5.1  Interno</t>
  </si>
  <si>
    <t xml:space="preserve">           I-1.5.2  Aduanas:</t>
  </si>
  <si>
    <t xml:space="preserve">I-1.6  Consumo: </t>
  </si>
  <si>
    <t xml:space="preserve">           I-1.6.1  Interno</t>
  </si>
  <si>
    <t xml:space="preserve">           I-1.6.2  Aduanas:</t>
  </si>
  <si>
    <t>I-1.7  Otros Indirectos :</t>
  </si>
  <si>
    <t xml:space="preserve">    Impuesto unico combustibles</t>
  </si>
  <si>
    <t xml:space="preserve">    Impuesto bebidas no alcohólicas</t>
  </si>
  <si>
    <t xml:space="preserve">    Impuesto jabón de tocador</t>
  </si>
  <si>
    <t xml:space="preserve">    Impuesto bebidas alcohólicas</t>
  </si>
  <si>
    <t xml:space="preserve">    Imp.Prod.Tabaco </t>
  </si>
  <si>
    <t xml:space="preserve">    Traspaso vehículos usados</t>
  </si>
  <si>
    <t xml:space="preserve">    Traspaso bienes inmuebles</t>
  </si>
  <si>
    <t xml:space="preserve">    Timbre Fiscal</t>
  </si>
  <si>
    <t xml:space="preserve">    Derechos de Salida del Territorio Nacional</t>
  </si>
  <si>
    <t xml:space="preserve">    Derechos Consulares</t>
  </si>
  <si>
    <t xml:space="preserve">    Impuestos Ley de Migración y Extranjeria </t>
  </si>
  <si>
    <t xml:space="preserve">    Otros Ingresos Tributarios</t>
  </si>
  <si>
    <t xml:space="preserve">    Otros Ingresos tributarios diversos internos</t>
  </si>
  <si>
    <t xml:space="preserve">    Otros Ingresos tributarios diversos aduanas</t>
  </si>
  <si>
    <t>I-4 Transferencias</t>
  </si>
  <si>
    <t>II- Ingresos de Capital: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</si>
  <si>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 Según el PIB publicado por el Banco Central  en enero 2023 cifras preliminares 2021-2022. Proyección 2023-2024 utilizada en el informe de Política Monetaria  de enero 2023, aprobado por la Junta Directiva en el artículo 7 del acta de la sesión 6102-2023, el 25 de enero de 2023.</t>
    </r>
  </si>
  <si>
    <r>
      <t xml:space="preserve">Otros Ingresos tributarios diversos internos </t>
    </r>
    <r>
      <rPr>
        <vertAlign val="superscript"/>
        <sz val="10"/>
        <rFont val="Arial"/>
        <family val="2"/>
      </rPr>
      <t>8/</t>
    </r>
  </si>
  <si>
    <r>
      <t>Otros Ingresos tributarios diversos aduanas</t>
    </r>
    <r>
      <rPr>
        <vertAlign val="superscript"/>
        <sz val="10"/>
        <rFont val="Arial"/>
        <family val="2"/>
      </rPr>
      <t xml:space="preserve"> 8/</t>
    </r>
  </si>
  <si>
    <r>
      <rPr>
        <vertAlign val="superscript"/>
        <sz val="10"/>
        <rFont val="Arial"/>
        <family val="2"/>
      </rPr>
      <t>8/</t>
    </r>
    <r>
      <rPr>
        <sz val="10"/>
        <rFont val="Arial"/>
        <family val="2"/>
      </rPr>
      <t xml:space="preserve"> Éstos montos no se reclasificaron a pesar de los esfuerzos ralizados ante la Dirección de Aduanas y Tributación Directa </t>
    </r>
  </si>
  <si>
    <r>
      <t>Otros Ingresos tributarios diversos internos</t>
    </r>
    <r>
      <rPr>
        <vertAlign val="superscript"/>
        <sz val="10"/>
        <rFont val="Arial"/>
        <family val="2"/>
      </rPr>
      <t xml:space="preserve"> 8/</t>
    </r>
  </si>
  <si>
    <r>
      <t>Otros Ingresos tributarios diversos aduanas</t>
    </r>
    <r>
      <rPr>
        <vertAlign val="superscript"/>
        <sz val="10"/>
        <rFont val="Arial"/>
        <family val="2"/>
      </rPr>
      <t>8/</t>
    </r>
  </si>
  <si>
    <t xml:space="preserve">Cifras acumuladas al mes de diciembre 2016 - 2022 </t>
  </si>
  <si>
    <t xml:space="preserve">Cifras del mes de diciembre 2016- 2022 </t>
  </si>
</sst>
</file>

<file path=xl/styles.xml><?xml version="1.0" encoding="utf-8"?>
<styleSheet xmlns="http://schemas.openxmlformats.org/spreadsheetml/2006/main">
  <numFmts count="46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_-* #,##0.00\ _P_t_s_-;\-* #,##0.00\ _P_t_s_-;_-* &quot;-&quot;??\ _P_t_s_-;_-@_-"/>
    <numFmt numFmtId="173" formatCode="#,##0.0\ _p_t_a"/>
    <numFmt numFmtId="174" formatCode="#,##0.0"/>
    <numFmt numFmtId="175" formatCode="#,##0.0_);\(#,##0.0\)"/>
    <numFmt numFmtId="176" formatCode="0.0%"/>
    <numFmt numFmtId="177" formatCode="_-* #,##0.00\ _€_-;\-* #,##0.00\ _€_-;_-* &quot;-&quot;??\ _€_-;_-@_-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&quot;   &quot;@"/>
    <numFmt numFmtId="181" formatCode="&quot;      &quot;@"/>
    <numFmt numFmtId="182" formatCode="&quot;         &quot;@"/>
    <numFmt numFmtId="183" formatCode="&quot;            &quot;@"/>
    <numFmt numFmtId="184" formatCode="&quot;               &quot;@"/>
    <numFmt numFmtId="185" formatCode="[Black][&gt;0.05]#,##0.0;[Black][&lt;-0.05]\-#,##0.0;;"/>
    <numFmt numFmtId="186" formatCode="[Black][&gt;0.5]#,##0;[Black][&lt;-0.5]\-#,##0;;"/>
    <numFmt numFmtId="187" formatCode="_([$€-2]* #,##0.00_);_([$€-2]* \(#,##0.00\);_([$€-2]* &quot;-&quot;??_)"/>
    <numFmt numFmtId="188" formatCode="#,##0.0____"/>
    <numFmt numFmtId="189" formatCode="\$#,##0.00\ ;\(\$#,##0.00\)"/>
    <numFmt numFmtId="190" formatCode="[&gt;=0.05]#,##0.0;[&lt;=-0.05]\-#,##0.0;?0.0"/>
    <numFmt numFmtId="191" formatCode="[Black]#,##0.0;[Black]\-#,##0.0;;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"/>
    <numFmt numFmtId="197" formatCode="0.000%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0.000"/>
  </numFmts>
  <fonts count="8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 val="single"/>
      <sz val="8"/>
      <name val="Arial"/>
      <family val="2"/>
    </font>
    <font>
      <sz val="10"/>
      <color indexed="49"/>
      <name val="Arial"/>
      <family val="2"/>
    </font>
    <font>
      <sz val="8"/>
      <color indexed="12"/>
      <name val="Arial"/>
      <family val="2"/>
    </font>
    <font>
      <b/>
      <u val="single"/>
      <sz val="10"/>
      <name val="Arial"/>
      <family val="2"/>
    </font>
    <font>
      <b/>
      <u val="double"/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u val="double"/>
      <sz val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8"/>
      <color indexed="12"/>
      <name val="Helv"/>
      <family val="0"/>
    </font>
    <font>
      <sz val="10"/>
      <name val="Geneva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8"/>
      <name val="Helv"/>
      <family val="0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Helv"/>
      <family val="0"/>
    </font>
    <font>
      <sz val="12"/>
      <name val="Tms Rmn"/>
      <family val="0"/>
    </font>
    <font>
      <sz val="10"/>
      <name val="Tms Rmn"/>
      <family val="0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12"/>
      <name val="Helv"/>
      <family val="0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8"/>
      <name val="Helv"/>
      <family val="0"/>
    </font>
    <font>
      <b/>
      <sz val="11"/>
      <color indexed="8"/>
      <name val="Calibri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8"/>
      <color indexed="12"/>
      <name val="Arial"/>
      <family val="2"/>
    </font>
    <font>
      <sz val="8"/>
      <name val="Tahoma"/>
      <family val="2"/>
    </font>
    <font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color indexed="9"/>
      <name val="Arial"/>
      <family val="2"/>
    </font>
    <font>
      <sz val="8"/>
      <color indexed="22"/>
      <name val="Arial"/>
      <family val="2"/>
    </font>
    <font>
      <sz val="10"/>
      <color indexed="22"/>
      <name val="Arial"/>
      <family val="2"/>
    </font>
    <font>
      <b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8"/>
      <color theme="0" tint="-0.04997999966144562"/>
      <name val="Arial"/>
      <family val="2"/>
    </font>
    <font>
      <sz val="10"/>
      <color theme="0" tint="-0.04997999966144562"/>
      <name val="Arial"/>
      <family val="2"/>
    </font>
    <font>
      <b/>
      <sz val="8"/>
      <color rgb="FF0070C0"/>
      <name val="Arial"/>
      <family val="2"/>
    </font>
    <font>
      <b/>
      <sz val="8"/>
      <color rgb="FF0000FF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4D79B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double"/>
      <bottom/>
    </border>
  </borders>
  <cellStyleXfs count="2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7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7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7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7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82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7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7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7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7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84" fontId="15" fillId="0" borderId="0" applyFont="0" applyFill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58" fillId="28" borderId="0" applyNumberFormat="0" applyBorder="0" applyAlignment="0" applyProtection="0"/>
    <xf numFmtId="0" fontId="16" fillId="24" borderId="0" applyNumberFormat="0" applyBorder="0" applyAlignment="0" applyProtection="0"/>
    <xf numFmtId="0" fontId="58" fillId="29" borderId="0" applyNumberFormat="0" applyBorder="0" applyAlignment="0" applyProtection="0"/>
    <xf numFmtId="0" fontId="16" fillId="15" borderId="0" applyNumberFormat="0" applyBorder="0" applyAlignment="0" applyProtection="0"/>
    <xf numFmtId="0" fontId="58" fillId="30" borderId="0" applyNumberFormat="0" applyBorder="0" applyAlignment="0" applyProtection="0"/>
    <xf numFmtId="0" fontId="16" fillId="16" borderId="0" applyNumberFormat="0" applyBorder="0" applyAlignment="0" applyProtection="0"/>
    <xf numFmtId="0" fontId="58" fillId="31" borderId="0" applyNumberFormat="0" applyBorder="0" applyAlignment="0" applyProtection="0"/>
    <xf numFmtId="0" fontId="16" fillId="25" borderId="0" applyNumberFormat="0" applyBorder="0" applyAlignment="0" applyProtection="0"/>
    <xf numFmtId="0" fontId="58" fillId="32" borderId="0" applyNumberFormat="0" applyBorder="0" applyAlignment="0" applyProtection="0"/>
    <xf numFmtId="0" fontId="16" fillId="26" borderId="0" applyNumberFormat="0" applyBorder="0" applyAlignment="0" applyProtection="0"/>
    <xf numFmtId="0" fontId="58" fillId="33" borderId="0" applyNumberFormat="0" applyBorder="0" applyAlignment="0" applyProtection="0"/>
    <xf numFmtId="0" fontId="16" fillId="27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7" borderId="0" applyNumberFormat="0" applyBorder="0" applyAlignment="0" applyProtection="0"/>
    <xf numFmtId="0" fontId="17" fillId="0" borderId="1">
      <alignment/>
      <protection hidden="1"/>
    </xf>
    <xf numFmtId="0" fontId="18" fillId="38" borderId="1" applyNumberFormat="0" applyFon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59" fillId="39" borderId="0" applyNumberFormat="0" applyBorder="0" applyAlignment="0" applyProtection="0"/>
    <xf numFmtId="0" fontId="21" fillId="38" borderId="2" applyNumberFormat="0" applyAlignment="0" applyProtection="0"/>
    <xf numFmtId="0" fontId="60" fillId="40" borderId="3" applyNumberFormat="0" applyAlignment="0" applyProtection="0"/>
    <xf numFmtId="0" fontId="21" fillId="38" borderId="2" applyNumberFormat="0" applyAlignment="0" applyProtection="0"/>
    <xf numFmtId="0" fontId="61" fillId="41" borderId="4" applyNumberFormat="0" applyAlignment="0" applyProtection="0"/>
    <xf numFmtId="0" fontId="22" fillId="42" borderId="5" applyNumberFormat="0" applyAlignment="0" applyProtection="0"/>
    <xf numFmtId="0" fontId="62" fillId="0" borderId="6" applyNumberFormat="0" applyFill="0" applyAlignment="0" applyProtection="0"/>
    <xf numFmtId="0" fontId="23" fillId="0" borderId="7" applyNumberFormat="0" applyFill="0" applyAlignment="0" applyProtection="0"/>
    <xf numFmtId="0" fontId="22" fillId="42" borderId="5" applyNumberFormat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43" borderId="0" applyNumberFormat="0" applyBorder="0" applyAlignment="0" applyProtection="0"/>
    <xf numFmtId="0" fontId="16" fillId="34" borderId="0" applyNumberFormat="0" applyBorder="0" applyAlignment="0" applyProtection="0"/>
    <xf numFmtId="0" fontId="58" fillId="44" borderId="0" applyNumberFormat="0" applyBorder="0" applyAlignment="0" applyProtection="0"/>
    <xf numFmtId="0" fontId="16" fillId="35" borderId="0" applyNumberFormat="0" applyBorder="0" applyAlignment="0" applyProtection="0"/>
    <xf numFmtId="0" fontId="58" fillId="45" borderId="0" applyNumberFormat="0" applyBorder="0" applyAlignment="0" applyProtection="0"/>
    <xf numFmtId="0" fontId="16" fillId="36" borderId="0" applyNumberFormat="0" applyBorder="0" applyAlignment="0" applyProtection="0"/>
    <xf numFmtId="0" fontId="58" fillId="46" borderId="0" applyNumberFormat="0" applyBorder="0" applyAlignment="0" applyProtection="0"/>
    <xf numFmtId="0" fontId="16" fillId="25" borderId="0" applyNumberFormat="0" applyBorder="0" applyAlignment="0" applyProtection="0"/>
    <xf numFmtId="0" fontId="58" fillId="47" borderId="0" applyNumberFormat="0" applyBorder="0" applyAlignment="0" applyProtection="0"/>
    <xf numFmtId="0" fontId="16" fillId="26" borderId="0" applyNumberFormat="0" applyBorder="0" applyAlignment="0" applyProtection="0"/>
    <xf numFmtId="0" fontId="58" fillId="48" borderId="0" applyNumberFormat="0" applyBorder="0" applyAlignment="0" applyProtection="0"/>
    <xf numFmtId="0" fontId="16" fillId="37" borderId="0" applyNumberFormat="0" applyBorder="0" applyAlignment="0" applyProtection="0"/>
    <xf numFmtId="0" fontId="65" fillId="49" borderId="3" applyNumberFormat="0" applyAlignment="0" applyProtection="0"/>
    <xf numFmtId="0" fontId="25" fillId="7" borderId="2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1" fillId="0" borderId="0">
      <alignment vertical="top"/>
      <protection/>
    </xf>
    <xf numFmtId="0" fontId="0" fillId="0" borderId="0">
      <alignment/>
      <protection/>
    </xf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0" fillId="4" borderId="0" applyNumberFormat="0" applyBorder="0" applyAlignment="0" applyProtection="0"/>
    <xf numFmtId="38" fontId="2" fillId="38" borderId="0" applyNumberFormat="0" applyBorder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74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68" fillId="50" borderId="0" applyNumberFormat="0" applyBorder="0" applyAlignment="0" applyProtection="0"/>
    <xf numFmtId="0" fontId="19" fillId="3" borderId="0" applyNumberFormat="0" applyBorder="0" applyAlignment="0" applyProtection="0"/>
    <xf numFmtId="0" fontId="25" fillId="7" borderId="2" applyNumberFormat="0" applyAlignment="0" applyProtection="0"/>
    <xf numFmtId="10" fontId="2" fillId="51" borderId="12" applyNumberFormat="0" applyBorder="0" applyAlignment="0" applyProtection="0"/>
    <xf numFmtId="0" fontId="23" fillId="0" borderId="7" applyNumberFormat="0" applyFill="0" applyAlignment="0" applyProtection="0"/>
    <xf numFmtId="0" fontId="29" fillId="0" borderId="1">
      <alignment horizontal="left"/>
      <protection locked="0"/>
    </xf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57" fillId="0" borderId="0" applyFont="0" applyFill="0" applyBorder="0" applyAlignment="0" applyProtection="0"/>
    <xf numFmtId="177" fontId="57" fillId="0" borderId="0" applyFont="0" applyFill="0" applyBorder="0" applyAlignment="0" applyProtection="0"/>
    <xf numFmtId="177" fontId="57" fillId="0" borderId="0" applyFont="0" applyFill="0" applyBorder="0" applyAlignment="0" applyProtection="0"/>
    <xf numFmtId="177" fontId="57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69" fillId="52" borderId="0" applyNumberFormat="0" applyBorder="0" applyAlignment="0" applyProtection="0"/>
    <xf numFmtId="0" fontId="30" fillId="5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190" fontId="14" fillId="0" borderId="0" applyFill="0" applyBorder="0" applyAlignment="0" applyProtection="0"/>
    <xf numFmtId="190" fontId="14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4" borderId="13" applyNumberFormat="0" applyFont="0" applyAlignment="0" applyProtection="0"/>
    <xf numFmtId="0" fontId="0" fillId="55" borderId="14" applyNumberFormat="0" applyFont="0" applyAlignment="0" applyProtection="0"/>
    <xf numFmtId="0" fontId="1" fillId="55" borderId="14" applyNumberFormat="0" applyFont="0" applyAlignment="0" applyProtection="0"/>
    <xf numFmtId="0" fontId="1" fillId="55" borderId="14" applyNumberFormat="0" applyFont="0" applyAlignment="0" applyProtection="0"/>
    <xf numFmtId="0" fontId="36" fillId="38" borderId="15" applyNumberFormat="0" applyAlignment="0" applyProtection="0"/>
    <xf numFmtId="10" fontId="0" fillId="0" borderId="0" applyFont="0" applyFill="0" applyBorder="0" applyAlignment="0" applyProtection="0"/>
    <xf numFmtId="191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8" fontId="14" fillId="0" borderId="0" applyFill="0" applyBorder="0" applyAlignment="0">
      <protection/>
    </xf>
    <xf numFmtId="188" fontId="14" fillId="0" borderId="0" applyFill="0" applyBorder="0" applyAlignment="0">
      <protection/>
    </xf>
    <xf numFmtId="0" fontId="15" fillId="0" borderId="0">
      <alignment/>
      <protection/>
    </xf>
    <xf numFmtId="0" fontId="37" fillId="0" borderId="1" applyNumberFormat="0" applyFill="0" applyBorder="0" applyAlignment="0" applyProtection="0"/>
    <xf numFmtId="0" fontId="70" fillId="40" borderId="16" applyNumberFormat="0" applyAlignment="0" applyProtection="0"/>
    <xf numFmtId="0" fontId="36" fillId="38" borderId="15" applyNumberFormat="0" applyAlignment="0" applyProtection="0"/>
    <xf numFmtId="0" fontId="38" fillId="0" borderId="0">
      <alignment/>
      <protection/>
    </xf>
    <xf numFmtId="0" fontId="0" fillId="0" borderId="0" applyNumberFormat="0">
      <alignment/>
      <protection/>
    </xf>
    <xf numFmtId="0" fontId="7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74" fillId="0" borderId="17" applyNumberFormat="0" applyFill="0" applyAlignment="0" applyProtection="0"/>
    <xf numFmtId="0" fontId="28" fillId="0" borderId="10" applyNumberFormat="0" applyFill="0" applyAlignment="0" applyProtection="0"/>
    <xf numFmtId="0" fontId="64" fillId="0" borderId="18" applyNumberFormat="0" applyFill="0" applyAlignment="0" applyProtection="0"/>
    <xf numFmtId="0" fontId="24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41" fillId="38" borderId="1">
      <alignment/>
      <protection/>
    </xf>
    <xf numFmtId="0" fontId="75" fillId="0" borderId="19" applyNumberFormat="0" applyFill="0" applyAlignment="0" applyProtection="0"/>
    <xf numFmtId="0" fontId="42" fillId="0" borderId="20" applyNumberFormat="0" applyFill="0" applyAlignment="0" applyProtection="0"/>
    <xf numFmtId="0" fontId="39" fillId="0" borderId="0" applyNumberFormat="0" applyFill="0" applyBorder="0" applyAlignment="0" applyProtection="0"/>
    <xf numFmtId="0" fontId="43" fillId="0" borderId="0" applyProtection="0">
      <alignment/>
    </xf>
    <xf numFmtId="189" fontId="43" fillId="0" borderId="0" applyProtection="0">
      <alignment/>
    </xf>
    <xf numFmtId="0" fontId="44" fillId="0" borderId="0" applyProtection="0">
      <alignment/>
    </xf>
    <xf numFmtId="0" fontId="45" fillId="0" borderId="0" applyProtection="0">
      <alignment/>
    </xf>
    <xf numFmtId="0" fontId="43" fillId="0" borderId="21" applyProtection="0">
      <alignment/>
    </xf>
    <xf numFmtId="0" fontId="43" fillId="0" borderId="0">
      <alignment/>
      <protection/>
    </xf>
    <xf numFmtId="10" fontId="43" fillId="0" borderId="0" applyProtection="0">
      <alignment/>
    </xf>
    <xf numFmtId="0" fontId="43" fillId="0" borderId="0">
      <alignment/>
      <protection/>
    </xf>
    <xf numFmtId="2" fontId="43" fillId="0" borderId="0" applyProtection="0">
      <alignment/>
    </xf>
    <xf numFmtId="4" fontId="43" fillId="0" borderId="0" applyProtection="0">
      <alignment/>
    </xf>
  </cellStyleXfs>
  <cellXfs count="242">
    <xf numFmtId="0" fontId="0" fillId="0" borderId="0" xfId="0" applyAlignment="1">
      <alignment/>
    </xf>
    <xf numFmtId="0" fontId="0" fillId="0" borderId="0" xfId="0" applyFont="1" applyAlignment="1">
      <alignment/>
    </xf>
    <xf numFmtId="174" fontId="0" fillId="0" borderId="0" xfId="0" applyNumberFormat="1" applyFont="1" applyFill="1" applyAlignment="1">
      <alignment/>
    </xf>
    <xf numFmtId="174" fontId="3" fillId="0" borderId="0" xfId="0" applyNumberFormat="1" applyFont="1" applyFill="1" applyBorder="1" applyAlignment="1">
      <alignment horizontal="left" wrapText="1"/>
    </xf>
    <xf numFmtId="174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center"/>
    </xf>
    <xf numFmtId="174" fontId="3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3" fontId="0" fillId="0" borderId="0" xfId="0" applyNumberFormat="1" applyFont="1" applyAlignment="1">
      <alignment/>
    </xf>
    <xf numFmtId="172" fontId="0" fillId="0" borderId="0" xfId="158" applyFont="1" applyAlignment="1">
      <alignment/>
    </xf>
    <xf numFmtId="0" fontId="0" fillId="0" borderId="22" xfId="0" applyFont="1" applyBorder="1" applyAlignment="1">
      <alignment/>
    </xf>
    <xf numFmtId="173" fontId="0" fillId="0" borderId="22" xfId="0" applyNumberFormat="1" applyFont="1" applyBorder="1" applyAlignment="1">
      <alignment/>
    </xf>
    <xf numFmtId="173" fontId="0" fillId="0" borderId="2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174" fontId="5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17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 indent="2"/>
    </xf>
    <xf numFmtId="173" fontId="8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4" fontId="0" fillId="0" borderId="0" xfId="0" applyNumberFormat="1" applyFont="1" applyBorder="1" applyAlignment="1">
      <alignment/>
    </xf>
    <xf numFmtId="174" fontId="7" fillId="0" borderId="0" xfId="0" applyNumberFormat="1" applyFont="1" applyBorder="1" applyAlignment="1">
      <alignment/>
    </xf>
    <xf numFmtId="174" fontId="9" fillId="0" borderId="0" xfId="0" applyNumberFormat="1" applyFont="1" applyFill="1" applyBorder="1" applyAlignment="1">
      <alignment/>
    </xf>
    <xf numFmtId="174" fontId="10" fillId="0" borderId="0" xfId="0" applyNumberFormat="1" applyFont="1" applyFill="1" applyBorder="1" applyAlignment="1">
      <alignment/>
    </xf>
    <xf numFmtId="174" fontId="3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174" fontId="0" fillId="0" borderId="0" xfId="0" applyNumberFormat="1" applyFont="1" applyFill="1" applyBorder="1" applyAlignment="1">
      <alignment horizontal="left" indent="1"/>
    </xf>
    <xf numFmtId="174" fontId="0" fillId="0" borderId="0" xfId="0" applyNumberFormat="1" applyFont="1" applyFill="1" applyBorder="1" applyAlignment="1">
      <alignment horizontal="left" indent="2"/>
    </xf>
    <xf numFmtId="174" fontId="0" fillId="0" borderId="0" xfId="0" applyNumberFormat="1" applyFont="1" applyFill="1" applyBorder="1" applyAlignment="1">
      <alignment horizontal="left" indent="3"/>
    </xf>
    <xf numFmtId="174" fontId="9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 indent="1"/>
    </xf>
    <xf numFmtId="0" fontId="0" fillId="0" borderId="22" xfId="0" applyFont="1" applyFill="1" applyBorder="1" applyAlignment="1">
      <alignment horizontal="left"/>
    </xf>
    <xf numFmtId="174" fontId="0" fillId="0" borderId="0" xfId="0" applyNumberFormat="1" applyFont="1" applyFill="1" applyBorder="1" applyAlignment="1">
      <alignment horizontal="right"/>
    </xf>
    <xf numFmtId="174" fontId="11" fillId="0" borderId="0" xfId="0" applyNumberFormat="1" applyFont="1" applyBorder="1" applyAlignment="1">
      <alignment/>
    </xf>
    <xf numFmtId="173" fontId="12" fillId="0" borderId="0" xfId="0" applyNumberFormat="1" applyFont="1" applyBorder="1" applyAlignment="1">
      <alignment/>
    </xf>
    <xf numFmtId="174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 indent="1"/>
    </xf>
    <xf numFmtId="174" fontId="8" fillId="0" borderId="0" xfId="0" applyNumberFormat="1" applyFont="1" applyBorder="1" applyAlignment="1">
      <alignment/>
    </xf>
    <xf numFmtId="174" fontId="10" fillId="0" borderId="0" xfId="207" applyNumberFormat="1" applyFont="1" applyFill="1" applyBorder="1" applyAlignment="1">
      <alignment horizontal="left" wrapText="1"/>
      <protection/>
    </xf>
    <xf numFmtId="0" fontId="3" fillId="0" borderId="0" xfId="207" applyFont="1" applyFill="1" applyBorder="1" applyAlignment="1">
      <alignment horizontal="left" vertical="center" wrapText="1"/>
      <protection/>
    </xf>
    <xf numFmtId="175" fontId="0" fillId="0" borderId="0" xfId="204" applyNumberFormat="1" applyFill="1">
      <alignment/>
      <protection/>
    </xf>
    <xf numFmtId="174" fontId="0" fillId="0" borderId="0" xfId="204" applyNumberFormat="1" applyFill="1">
      <alignment/>
      <protection/>
    </xf>
    <xf numFmtId="0" fontId="0" fillId="0" borderId="0" xfId="204" applyFill="1">
      <alignment/>
      <protection/>
    </xf>
    <xf numFmtId="174" fontId="10" fillId="0" borderId="0" xfId="184" applyNumberFormat="1" applyFont="1" applyFill="1" applyBorder="1">
      <alignment/>
      <protection/>
    </xf>
    <xf numFmtId="174" fontId="0" fillId="0" borderId="0" xfId="184" applyNumberFormat="1" applyFont="1" applyFill="1" applyBorder="1">
      <alignment/>
      <protection/>
    </xf>
    <xf numFmtId="174" fontId="3" fillId="0" borderId="0" xfId="184" applyNumberFormat="1" applyFont="1" applyBorder="1">
      <alignment/>
      <protection/>
    </xf>
    <xf numFmtId="174" fontId="9" fillId="0" borderId="0" xfId="184" applyNumberFormat="1" applyFont="1" applyFill="1" applyBorder="1">
      <alignment/>
      <protection/>
    </xf>
    <xf numFmtId="174" fontId="3" fillId="0" borderId="0" xfId="184" applyNumberFormat="1" applyFont="1" applyFill="1" applyBorder="1">
      <alignment/>
      <protection/>
    </xf>
    <xf numFmtId="174" fontId="0" fillId="0" borderId="0" xfId="184" applyNumberFormat="1" applyFont="1" applyFill="1" applyBorder="1" applyAlignment="1">
      <alignment horizontal="right"/>
      <protection/>
    </xf>
    <xf numFmtId="174" fontId="0" fillId="0" borderId="0" xfId="207" applyNumberFormat="1" applyFont="1">
      <alignment/>
      <protection/>
    </xf>
    <xf numFmtId="174" fontId="3" fillId="0" borderId="0" xfId="207" applyNumberFormat="1" applyFont="1">
      <alignment/>
      <protection/>
    </xf>
    <xf numFmtId="174" fontId="9" fillId="0" borderId="0" xfId="204" applyNumberFormat="1" applyFont="1" applyFill="1">
      <alignment/>
      <protection/>
    </xf>
    <xf numFmtId="174" fontId="0" fillId="0" borderId="0" xfId="205" applyNumberFormat="1" applyFill="1">
      <alignment/>
      <protection/>
    </xf>
    <xf numFmtId="174" fontId="0" fillId="0" borderId="0" xfId="207" applyNumberFormat="1" applyFont="1">
      <alignment/>
      <protection/>
    </xf>
    <xf numFmtId="0" fontId="0" fillId="0" borderId="0" xfId="0" applyFont="1" applyAlignment="1">
      <alignment/>
    </xf>
    <xf numFmtId="174" fontId="2" fillId="0" borderId="0" xfId="207" applyNumberFormat="1" applyFont="1">
      <alignment/>
      <protection/>
    </xf>
    <xf numFmtId="174" fontId="46" fillId="0" borderId="0" xfId="0" applyNumberFormat="1" applyFont="1" applyFill="1" applyBorder="1" applyAlignment="1">
      <alignment horizontal="right" wrapText="1"/>
    </xf>
    <xf numFmtId="176" fontId="46" fillId="0" borderId="0" xfId="219" applyNumberFormat="1" applyFont="1" applyFill="1" applyBorder="1" applyAlignment="1">
      <alignment horizontal="right" wrapText="1"/>
    </xf>
    <xf numFmtId="174" fontId="0" fillId="0" borderId="0" xfId="0" applyNumberFormat="1" applyFont="1" applyBorder="1" applyAlignment="1">
      <alignment/>
    </xf>
    <xf numFmtId="174" fontId="0" fillId="0" borderId="0" xfId="0" applyNumberFormat="1" applyFont="1" applyFill="1" applyBorder="1" applyAlignment="1">
      <alignment/>
    </xf>
    <xf numFmtId="173" fontId="0" fillId="0" borderId="0" xfId="0" applyNumberFormat="1" applyFont="1" applyBorder="1" applyAlignment="1">
      <alignment/>
    </xf>
    <xf numFmtId="0" fontId="0" fillId="0" borderId="0" xfId="205" applyFill="1">
      <alignment/>
      <protection/>
    </xf>
    <xf numFmtId="4" fontId="0" fillId="0" borderId="0" xfId="0" applyNumberFormat="1" applyFont="1" applyAlignment="1">
      <alignment/>
    </xf>
    <xf numFmtId="174" fontId="0" fillId="0" borderId="0" xfId="207" applyNumberFormat="1" applyFont="1" applyFill="1">
      <alignment/>
      <protection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23" xfId="0" applyFont="1" applyBorder="1" applyAlignment="1">
      <alignment horizontal="center" wrapText="1"/>
    </xf>
    <xf numFmtId="176" fontId="6" fillId="0" borderId="0" xfId="219" applyNumberFormat="1" applyFont="1" applyFill="1" applyBorder="1" applyAlignment="1">
      <alignment/>
    </xf>
    <xf numFmtId="176" fontId="2" fillId="0" borderId="0" xfId="219" applyNumberFormat="1" applyFont="1" applyFill="1" applyBorder="1" applyAlignment="1">
      <alignment/>
    </xf>
    <xf numFmtId="0" fontId="2" fillId="0" borderId="0" xfId="206" applyFont="1" applyFill="1">
      <alignment/>
      <protection/>
    </xf>
    <xf numFmtId="174" fontId="2" fillId="0" borderId="0" xfId="206" applyNumberFormat="1" applyFont="1" applyFill="1" applyBorder="1">
      <alignment/>
      <protection/>
    </xf>
    <xf numFmtId="0" fontId="2" fillId="0" borderId="0" xfId="206" applyFont="1" applyFill="1" applyBorder="1">
      <alignment/>
      <protection/>
    </xf>
    <xf numFmtId="173" fontId="0" fillId="0" borderId="22" xfId="0" applyNumberFormat="1" applyFont="1" applyFill="1" applyBorder="1" applyAlignment="1">
      <alignment/>
    </xf>
    <xf numFmtId="49" fontId="4" fillId="0" borderId="23" xfId="0" applyNumberFormat="1" applyFont="1" applyFill="1" applyBorder="1" applyAlignment="1">
      <alignment horizontal="center"/>
    </xf>
    <xf numFmtId="176" fontId="13" fillId="0" borderId="0" xfId="219" applyNumberFormat="1" applyFont="1" applyFill="1" applyBorder="1" applyAlignment="1">
      <alignment/>
    </xf>
    <xf numFmtId="176" fontId="4" fillId="0" borderId="0" xfId="219" applyNumberFormat="1" applyFont="1" applyFill="1" applyBorder="1" applyAlignment="1">
      <alignment/>
    </xf>
    <xf numFmtId="174" fontId="7" fillId="0" borderId="0" xfId="0" applyNumberFormat="1" applyFont="1" applyFill="1" applyBorder="1" applyAlignment="1">
      <alignment/>
    </xf>
    <xf numFmtId="172" fontId="0" fillId="0" borderId="0" xfId="158" applyFont="1" applyFill="1" applyBorder="1" applyAlignment="1">
      <alignment/>
    </xf>
    <xf numFmtId="174" fontId="8" fillId="0" borderId="0" xfId="0" applyNumberFormat="1" applyFont="1" applyFill="1" applyBorder="1" applyAlignment="1">
      <alignment/>
    </xf>
    <xf numFmtId="173" fontId="8" fillId="0" borderId="0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174" fontId="2" fillId="0" borderId="0" xfId="207" applyNumberFormat="1" applyFont="1" applyFill="1">
      <alignment/>
      <protection/>
    </xf>
    <xf numFmtId="173" fontId="12" fillId="0" borderId="0" xfId="0" applyNumberFormat="1" applyFont="1" applyFill="1" applyBorder="1" applyAlignment="1">
      <alignment/>
    </xf>
    <xf numFmtId="174" fontId="0" fillId="0" borderId="0" xfId="207" applyNumberFormat="1" applyFont="1" applyFill="1">
      <alignment/>
      <protection/>
    </xf>
    <xf numFmtId="0" fontId="9" fillId="0" borderId="0" xfId="0" applyFont="1" applyBorder="1" applyAlignment="1">
      <alignment/>
    </xf>
    <xf numFmtId="49" fontId="4" fillId="30" borderId="12" xfId="206" applyNumberFormat="1" applyFont="1" applyFill="1" applyBorder="1" applyAlignment="1">
      <alignment horizontal="center" wrapText="1"/>
      <protection/>
    </xf>
    <xf numFmtId="49" fontId="4" fillId="30" borderId="24" xfId="206" applyNumberFormat="1" applyFont="1" applyFill="1" applyBorder="1" applyAlignment="1">
      <alignment horizontal="center" wrapText="1"/>
      <protection/>
    </xf>
    <xf numFmtId="176" fontId="4" fillId="0" borderId="25" xfId="219" applyNumberFormat="1" applyFont="1" applyFill="1" applyBorder="1" applyAlignment="1">
      <alignment horizontal="right"/>
    </xf>
    <xf numFmtId="176" fontId="4" fillId="0" borderId="26" xfId="219" applyNumberFormat="1" applyFont="1" applyFill="1" applyBorder="1" applyAlignment="1">
      <alignment horizontal="right"/>
    </xf>
    <xf numFmtId="176" fontId="48" fillId="0" borderId="25" xfId="219" applyNumberFormat="1" applyFont="1" applyFill="1" applyBorder="1" applyAlignment="1">
      <alignment/>
    </xf>
    <xf numFmtId="176" fontId="48" fillId="0" borderId="26" xfId="219" applyNumberFormat="1" applyFont="1" applyFill="1" applyBorder="1" applyAlignment="1">
      <alignment/>
    </xf>
    <xf numFmtId="176" fontId="4" fillId="0" borderId="27" xfId="219" applyNumberFormat="1" applyFont="1" applyFill="1" applyBorder="1" applyAlignment="1">
      <alignment/>
    </xf>
    <xf numFmtId="176" fontId="4" fillId="0" borderId="12" xfId="219" applyNumberFormat="1" applyFont="1" applyFill="1" applyBorder="1" applyAlignment="1">
      <alignment/>
    </xf>
    <xf numFmtId="176" fontId="4" fillId="0" borderId="28" xfId="219" applyNumberFormat="1" applyFont="1" applyFill="1" applyBorder="1" applyAlignment="1">
      <alignment/>
    </xf>
    <xf numFmtId="174" fontId="6" fillId="56" borderId="28" xfId="206" applyNumberFormat="1" applyFont="1" applyFill="1" applyBorder="1">
      <alignment/>
      <protection/>
    </xf>
    <xf numFmtId="176" fontId="6" fillId="30" borderId="29" xfId="219" applyNumberFormat="1" applyFont="1" applyFill="1" applyBorder="1" applyAlignment="1">
      <alignment/>
    </xf>
    <xf numFmtId="176" fontId="6" fillId="30" borderId="28" xfId="219" applyNumberFormat="1" applyFont="1" applyFill="1" applyBorder="1" applyAlignment="1">
      <alignment/>
    </xf>
    <xf numFmtId="174" fontId="4" fillId="0" borderId="1" xfId="225" applyNumberFormat="1" applyFont="1" applyFill="1" applyBorder="1" applyAlignment="1">
      <alignment/>
    </xf>
    <xf numFmtId="176" fontId="4" fillId="0" borderId="30" xfId="219" applyNumberFormat="1" applyFont="1" applyFill="1" applyBorder="1" applyAlignment="1">
      <alignment/>
    </xf>
    <xf numFmtId="176" fontId="4" fillId="0" borderId="1" xfId="219" applyNumberFormat="1" applyFont="1" applyFill="1" applyBorder="1" applyAlignment="1">
      <alignment/>
    </xf>
    <xf numFmtId="176" fontId="6" fillId="0" borderId="30" xfId="219" applyNumberFormat="1" applyFont="1" applyFill="1" applyBorder="1" applyAlignment="1">
      <alignment/>
    </xf>
    <xf numFmtId="176" fontId="6" fillId="0" borderId="1" xfId="219" applyNumberFormat="1" applyFont="1" applyFill="1" applyBorder="1" applyAlignment="1">
      <alignment/>
    </xf>
    <xf numFmtId="174" fontId="2" fillId="0" borderId="1" xfId="225" applyNumberFormat="1" applyFont="1" applyFill="1" applyBorder="1" applyAlignment="1">
      <alignment/>
    </xf>
    <xf numFmtId="176" fontId="2" fillId="0" borderId="30" xfId="219" applyNumberFormat="1" applyFont="1" applyFill="1" applyBorder="1" applyAlignment="1">
      <alignment/>
    </xf>
    <xf numFmtId="176" fontId="2" fillId="0" borderId="1" xfId="219" applyNumberFormat="1" applyFont="1" applyFill="1" applyBorder="1" applyAlignment="1">
      <alignment/>
    </xf>
    <xf numFmtId="176" fontId="2" fillId="0" borderId="30" xfId="219" applyNumberFormat="1" applyFont="1" applyFill="1" applyBorder="1" applyAlignment="1">
      <alignment/>
    </xf>
    <xf numFmtId="176" fontId="2" fillId="0" borderId="1" xfId="219" applyNumberFormat="1" applyFont="1" applyFill="1" applyBorder="1" applyAlignment="1">
      <alignment/>
    </xf>
    <xf numFmtId="176" fontId="6" fillId="0" borderId="28" xfId="219" applyNumberFormat="1" applyFont="1" applyFill="1" applyBorder="1" applyAlignment="1">
      <alignment/>
    </xf>
    <xf numFmtId="176" fontId="6" fillId="0" borderId="31" xfId="219" applyNumberFormat="1" applyFont="1" applyFill="1" applyBorder="1" applyAlignment="1">
      <alignment/>
    </xf>
    <xf numFmtId="176" fontId="6" fillId="0" borderId="32" xfId="219" applyNumberFormat="1" applyFont="1" applyFill="1" applyBorder="1" applyAlignment="1">
      <alignment/>
    </xf>
    <xf numFmtId="176" fontId="2" fillId="0" borderId="33" xfId="219" applyNumberFormat="1" applyFont="1" applyFill="1" applyBorder="1" applyAlignment="1">
      <alignment/>
    </xf>
    <xf numFmtId="174" fontId="2" fillId="0" borderId="33" xfId="225" applyNumberFormat="1" applyFont="1" applyFill="1" applyBorder="1" applyAlignment="1">
      <alignment/>
    </xf>
    <xf numFmtId="174" fontId="2" fillId="0" borderId="26" xfId="225" applyNumberFormat="1" applyFont="1" applyFill="1" applyBorder="1" applyAlignment="1">
      <alignment/>
    </xf>
    <xf numFmtId="176" fontId="2" fillId="0" borderId="26" xfId="219" applyNumberFormat="1" applyFont="1" applyFill="1" applyBorder="1" applyAlignment="1">
      <alignment/>
    </xf>
    <xf numFmtId="176" fontId="2" fillId="0" borderId="24" xfId="219" applyNumberFormat="1" applyFont="1" applyFill="1" applyBorder="1" applyAlignment="1">
      <alignment/>
    </xf>
    <xf numFmtId="176" fontId="2" fillId="0" borderId="23" xfId="219" applyNumberFormat="1" applyFont="1" applyFill="1" applyBorder="1" applyAlignment="1">
      <alignment/>
    </xf>
    <xf numFmtId="176" fontId="6" fillId="0" borderId="30" xfId="219" applyNumberFormat="1" applyFont="1" applyFill="1" applyBorder="1" applyAlignment="1">
      <alignment/>
    </xf>
    <xf numFmtId="176" fontId="6" fillId="0" borderId="1" xfId="219" applyNumberFormat="1" applyFont="1" applyFill="1" applyBorder="1" applyAlignment="1">
      <alignment/>
    </xf>
    <xf numFmtId="176" fontId="6" fillId="0" borderId="29" xfId="219" applyNumberFormat="1" applyFont="1" applyFill="1" applyBorder="1" applyAlignment="1">
      <alignment/>
    </xf>
    <xf numFmtId="176" fontId="2" fillId="0" borderId="25" xfId="219" applyNumberFormat="1" applyFont="1" applyFill="1" applyBorder="1" applyAlignment="1">
      <alignment/>
    </xf>
    <xf numFmtId="176" fontId="76" fillId="0" borderId="0" xfId="219" applyNumberFormat="1" applyFont="1" applyFill="1" applyBorder="1" applyAlignment="1">
      <alignment/>
    </xf>
    <xf numFmtId="174" fontId="2" fillId="0" borderId="33" xfId="224" applyNumberFormat="1" applyFont="1" applyFill="1" applyBorder="1" applyAlignment="1">
      <alignment/>
    </xf>
    <xf numFmtId="0" fontId="0" fillId="0" borderId="0" xfId="0" applyFont="1" applyBorder="1" applyAlignment="1">
      <alignment horizontal="left" indent="2"/>
    </xf>
    <xf numFmtId="174" fontId="0" fillId="0" borderId="0" xfId="0" applyNumberFormat="1" applyFont="1" applyAlignment="1">
      <alignment/>
    </xf>
    <xf numFmtId="174" fontId="2" fillId="0" borderId="0" xfId="208" applyNumberFormat="1" applyFont="1">
      <alignment/>
      <protection/>
    </xf>
    <xf numFmtId="176" fontId="2" fillId="30" borderId="32" xfId="219" applyNumberFormat="1" applyFont="1" applyFill="1" applyBorder="1" applyAlignment="1">
      <alignment/>
    </xf>
    <xf numFmtId="176" fontId="2" fillId="30" borderId="28" xfId="219" applyNumberFormat="1" applyFont="1" applyFill="1" applyBorder="1" applyAlignment="1">
      <alignment/>
    </xf>
    <xf numFmtId="176" fontId="2" fillId="30" borderId="0" xfId="219" applyNumberFormat="1" applyFont="1" applyFill="1" applyBorder="1" applyAlignment="1">
      <alignment/>
    </xf>
    <xf numFmtId="176" fontId="2" fillId="30" borderId="1" xfId="219" applyNumberFormat="1" applyFont="1" applyFill="1" applyBorder="1" applyAlignment="1">
      <alignment/>
    </xf>
    <xf numFmtId="176" fontId="2" fillId="30" borderId="23" xfId="219" applyNumberFormat="1" applyFont="1" applyFill="1" applyBorder="1" applyAlignment="1">
      <alignment/>
    </xf>
    <xf numFmtId="176" fontId="2" fillId="30" borderId="26" xfId="219" applyNumberFormat="1" applyFont="1" applyFill="1" applyBorder="1" applyAlignment="1">
      <alignment/>
    </xf>
    <xf numFmtId="0" fontId="47" fillId="0" borderId="0" xfId="0" applyFont="1" applyAlignment="1">
      <alignment/>
    </xf>
    <xf numFmtId="176" fontId="0" fillId="0" borderId="0" xfId="219" applyNumberFormat="1" applyFont="1" applyAlignment="1">
      <alignment/>
    </xf>
    <xf numFmtId="174" fontId="6" fillId="56" borderId="33" xfId="206" applyNumberFormat="1" applyFont="1" applyFill="1" applyBorder="1">
      <alignment/>
      <protection/>
    </xf>
    <xf numFmtId="174" fontId="4" fillId="0" borderId="33" xfId="225" applyNumberFormat="1" applyFont="1" applyFill="1" applyBorder="1" applyAlignment="1">
      <alignment/>
    </xf>
    <xf numFmtId="174" fontId="2" fillId="56" borderId="28" xfId="225" applyNumberFormat="1" applyFont="1" applyFill="1" applyBorder="1" applyAlignment="1">
      <alignment/>
    </xf>
    <xf numFmtId="174" fontId="2" fillId="56" borderId="1" xfId="225" applyNumberFormat="1" applyFont="1" applyFill="1" applyBorder="1" applyAlignment="1">
      <alignment/>
    </xf>
    <xf numFmtId="174" fontId="2" fillId="56" borderId="26" xfId="225" applyNumberFormat="1" applyFont="1" applyFill="1" applyBorder="1" applyAlignment="1">
      <alignment/>
    </xf>
    <xf numFmtId="174" fontId="2" fillId="30" borderId="24" xfId="224" applyNumberFormat="1" applyFont="1" applyFill="1" applyBorder="1" applyAlignment="1">
      <alignment/>
    </xf>
    <xf numFmtId="176" fontId="2" fillId="30" borderId="12" xfId="219" applyNumberFormat="1" applyFont="1" applyFill="1" applyBorder="1" applyAlignment="1">
      <alignment/>
    </xf>
    <xf numFmtId="0" fontId="47" fillId="0" borderId="0" xfId="0" applyNumberFormat="1" applyFont="1" applyAlignment="1">
      <alignment wrapText="1"/>
    </xf>
    <xf numFmtId="0" fontId="47" fillId="0" borderId="0" xfId="0" applyNumberFormat="1" applyFont="1" applyAlignment="1">
      <alignment horizontal="left" wrapText="1"/>
    </xf>
    <xf numFmtId="176" fontId="77" fillId="0" borderId="0" xfId="219" applyNumberFormat="1" applyFont="1" applyFill="1" applyBorder="1" applyAlignment="1">
      <alignment/>
    </xf>
    <xf numFmtId="174" fontId="78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 indent="1"/>
    </xf>
    <xf numFmtId="174" fontId="6" fillId="56" borderId="31" xfId="206" applyNumberFormat="1" applyFont="1" applyFill="1" applyBorder="1">
      <alignment/>
      <protection/>
    </xf>
    <xf numFmtId="174" fontId="6" fillId="30" borderId="28" xfId="206" applyNumberFormat="1" applyFont="1" applyFill="1" applyBorder="1">
      <alignment/>
      <protection/>
    </xf>
    <xf numFmtId="174" fontId="4" fillId="0" borderId="1" xfId="224" applyNumberFormat="1" applyFont="1" applyFill="1" applyBorder="1" applyAlignment="1">
      <alignment/>
    </xf>
    <xf numFmtId="174" fontId="2" fillId="0" borderId="1" xfId="224" applyNumberFormat="1" applyFont="1" applyFill="1" applyBorder="1" applyAlignment="1">
      <alignment/>
    </xf>
    <xf numFmtId="174" fontId="2" fillId="0" borderId="24" xfId="225" applyNumberFormat="1" applyFont="1" applyFill="1" applyBorder="1" applyAlignment="1">
      <alignment/>
    </xf>
    <xf numFmtId="174" fontId="2" fillId="0" borderId="26" xfId="224" applyNumberFormat="1" applyFont="1" applyFill="1" applyBorder="1" applyAlignment="1">
      <alignment/>
    </xf>
    <xf numFmtId="174" fontId="2" fillId="56" borderId="31" xfId="225" applyNumberFormat="1" applyFont="1" applyFill="1" applyBorder="1" applyAlignment="1">
      <alignment/>
    </xf>
    <xf numFmtId="174" fontId="2" fillId="56" borderId="24" xfId="225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96" fontId="0" fillId="0" borderId="0" xfId="0" applyNumberFormat="1" applyFont="1" applyFill="1" applyAlignment="1">
      <alignment/>
    </xf>
    <xf numFmtId="174" fontId="2" fillId="0" borderId="0" xfId="208" applyNumberFormat="1" applyFont="1" applyFill="1">
      <alignment/>
      <protection/>
    </xf>
    <xf numFmtId="174" fontId="2" fillId="30" borderId="31" xfId="224" applyNumberFormat="1" applyFont="1" applyFill="1" applyBorder="1" applyAlignment="1">
      <alignment/>
    </xf>
    <xf numFmtId="174" fontId="2" fillId="56" borderId="33" xfId="225" applyNumberFormat="1" applyFont="1" applyFill="1" applyBorder="1" applyAlignment="1">
      <alignment/>
    </xf>
    <xf numFmtId="174" fontId="2" fillId="30" borderId="33" xfId="224" applyNumberFormat="1" applyFont="1" applyFill="1" applyBorder="1" applyAlignment="1">
      <alignment/>
    </xf>
    <xf numFmtId="0" fontId="2" fillId="0" borderId="0" xfId="206" applyFont="1">
      <alignment/>
      <protection/>
    </xf>
    <xf numFmtId="0" fontId="79" fillId="0" borderId="0" xfId="206" applyFont="1">
      <alignment/>
      <protection/>
    </xf>
    <xf numFmtId="174" fontId="79" fillId="0" borderId="0" xfId="206" applyNumberFormat="1" applyFont="1">
      <alignment/>
      <protection/>
    </xf>
    <xf numFmtId="175" fontId="2" fillId="0" borderId="0" xfId="206" applyNumberFormat="1" applyFont="1">
      <alignment/>
      <protection/>
    </xf>
    <xf numFmtId="174" fontId="2" fillId="0" borderId="0" xfId="206" applyNumberFormat="1" applyFont="1">
      <alignment/>
      <protection/>
    </xf>
    <xf numFmtId="0" fontId="4" fillId="0" borderId="0" xfId="206" applyFont="1" applyAlignment="1">
      <alignment horizontal="center"/>
      <protection/>
    </xf>
    <xf numFmtId="0" fontId="4" fillId="30" borderId="27" xfId="206" applyFont="1" applyFill="1" applyBorder="1" applyAlignment="1">
      <alignment horizontal="center"/>
      <protection/>
    </xf>
    <xf numFmtId="0" fontId="4" fillId="30" borderId="12" xfId="206" applyFont="1" applyFill="1" applyBorder="1" applyAlignment="1">
      <alignment horizontal="center"/>
      <protection/>
    </xf>
    <xf numFmtId="0" fontId="4" fillId="30" borderId="34" xfId="206" applyFont="1" applyFill="1" applyBorder="1" applyAlignment="1">
      <alignment horizontal="center"/>
      <protection/>
    </xf>
    <xf numFmtId="0" fontId="4" fillId="30" borderId="25" xfId="206" applyFont="1" applyFill="1" applyBorder="1" applyAlignment="1">
      <alignment horizontal="center"/>
      <protection/>
    </xf>
    <xf numFmtId="0" fontId="4" fillId="30" borderId="26" xfId="206" applyFont="1" applyFill="1" applyBorder="1" applyAlignment="1">
      <alignment horizontal="center"/>
      <protection/>
    </xf>
    <xf numFmtId="0" fontId="4" fillId="30" borderId="23" xfId="206" applyFont="1" applyFill="1" applyBorder="1" applyAlignment="1">
      <alignment horizontal="center"/>
      <protection/>
    </xf>
    <xf numFmtId="0" fontId="4" fillId="0" borderId="25" xfId="206" applyFont="1" applyBorder="1" applyAlignment="1">
      <alignment horizontal="center"/>
      <protection/>
    </xf>
    <xf numFmtId="174" fontId="4" fillId="0" borderId="12" xfId="206" applyNumberFormat="1" applyFont="1" applyBorder="1">
      <alignment/>
      <protection/>
    </xf>
    <xf numFmtId="174" fontId="4" fillId="0" borderId="34" xfId="206" applyNumberFormat="1" applyFont="1" applyBorder="1">
      <alignment/>
      <protection/>
    </xf>
    <xf numFmtId="174" fontId="4" fillId="0" borderId="26" xfId="206" applyNumberFormat="1" applyFont="1" applyBorder="1">
      <alignment/>
      <protection/>
    </xf>
    <xf numFmtId="174" fontId="4" fillId="0" borderId="24" xfId="206" applyNumberFormat="1" applyFont="1" applyBorder="1">
      <alignment/>
      <protection/>
    </xf>
    <xf numFmtId="0" fontId="48" fillId="0" borderId="27" xfId="206" applyFont="1" applyBorder="1" applyAlignment="1">
      <alignment horizontal="center"/>
      <protection/>
    </xf>
    <xf numFmtId="174" fontId="80" fillId="0" borderId="12" xfId="206" applyNumberFormat="1" applyFont="1" applyBorder="1">
      <alignment/>
      <protection/>
    </xf>
    <xf numFmtId="174" fontId="80" fillId="0" borderId="34" xfId="206" applyNumberFormat="1" applyFont="1" applyBorder="1">
      <alignment/>
      <protection/>
    </xf>
    <xf numFmtId="174" fontId="48" fillId="0" borderId="12" xfId="206" applyNumberFormat="1" applyFont="1" applyBorder="1">
      <alignment/>
      <protection/>
    </xf>
    <xf numFmtId="0" fontId="2" fillId="0" borderId="27" xfId="206" applyFont="1" applyBorder="1" applyAlignment="1">
      <alignment horizontal="left"/>
      <protection/>
    </xf>
    <xf numFmtId="174" fontId="4" fillId="0" borderId="35" xfId="206" applyNumberFormat="1" applyFont="1" applyBorder="1">
      <alignment/>
      <protection/>
    </xf>
    <xf numFmtId="174" fontId="4" fillId="0" borderId="28" xfId="206" applyNumberFormat="1" applyFont="1" applyBorder="1">
      <alignment/>
      <protection/>
    </xf>
    <xf numFmtId="174" fontId="4" fillId="0" borderId="31" xfId="206" applyNumberFormat="1" applyFont="1" applyBorder="1">
      <alignment/>
      <protection/>
    </xf>
    <xf numFmtId="0" fontId="4" fillId="30" borderId="28" xfId="206" applyFont="1" applyFill="1" applyBorder="1" applyAlignment="1">
      <alignment horizontal="left"/>
      <protection/>
    </xf>
    <xf numFmtId="0" fontId="4" fillId="30" borderId="29" xfId="206" applyFont="1" applyFill="1" applyBorder="1" applyAlignment="1">
      <alignment horizontal="left"/>
      <protection/>
    </xf>
    <xf numFmtId="0" fontId="2" fillId="0" borderId="1" xfId="206" applyFont="1" applyBorder="1" applyAlignment="1">
      <alignment horizontal="left"/>
      <protection/>
    </xf>
    <xf numFmtId="0" fontId="2" fillId="0" borderId="30" xfId="206" applyFont="1" applyBorder="1" applyAlignment="1">
      <alignment horizontal="left"/>
      <protection/>
    </xf>
    <xf numFmtId="0" fontId="4" fillId="0" borderId="1" xfId="206" applyFont="1" applyBorder="1" applyAlignment="1">
      <alignment horizontal="left"/>
      <protection/>
    </xf>
    <xf numFmtId="174" fontId="6" fillId="0" borderId="33" xfId="206" applyNumberFormat="1" applyFont="1" applyBorder="1">
      <alignment/>
      <protection/>
    </xf>
    <xf numFmtId="174" fontId="6" fillId="0" borderId="1" xfId="206" applyNumberFormat="1" applyFont="1" applyBorder="1">
      <alignment/>
      <protection/>
    </xf>
    <xf numFmtId="0" fontId="4" fillId="0" borderId="0" xfId="206" applyFont="1">
      <alignment/>
      <protection/>
    </xf>
    <xf numFmtId="0" fontId="4" fillId="0" borderId="30" xfId="206" applyFont="1" applyBorder="1" applyAlignment="1">
      <alignment horizontal="left"/>
      <protection/>
    </xf>
    <xf numFmtId="176" fontId="76" fillId="0" borderId="30" xfId="219" applyNumberFormat="1" applyFont="1" applyFill="1" applyBorder="1" applyAlignment="1">
      <alignment/>
    </xf>
    <xf numFmtId="176" fontId="76" fillId="0" borderId="1" xfId="219" applyNumberFormat="1" applyFont="1" applyFill="1" applyBorder="1" applyAlignment="1">
      <alignment/>
    </xf>
    <xf numFmtId="176" fontId="76" fillId="0" borderId="30" xfId="219" applyNumberFormat="1" applyFont="1" applyFill="1" applyBorder="1" applyAlignment="1">
      <alignment/>
    </xf>
    <xf numFmtId="176" fontId="76" fillId="0" borderId="1" xfId="219" applyNumberFormat="1" applyFont="1" applyFill="1" applyBorder="1" applyAlignment="1">
      <alignment/>
    </xf>
    <xf numFmtId="0" fontId="2" fillId="0" borderId="26" xfId="206" applyFont="1" applyBorder="1" applyAlignment="1">
      <alignment horizontal="left"/>
      <protection/>
    </xf>
    <xf numFmtId="174" fontId="2" fillId="0" borderId="33" xfId="206" applyNumberFormat="1" applyFont="1" applyBorder="1">
      <alignment/>
      <protection/>
    </xf>
    <xf numFmtId="174" fontId="2" fillId="0" borderId="1" xfId="206" applyNumberFormat="1" applyFont="1" applyBorder="1">
      <alignment/>
      <protection/>
    </xf>
    <xf numFmtId="0" fontId="4" fillId="0" borderId="29" xfId="206" applyFont="1" applyBorder="1" applyAlignment="1">
      <alignment horizontal="left"/>
      <protection/>
    </xf>
    <xf numFmtId="174" fontId="6" fillId="0" borderId="28" xfId="206" applyNumberFormat="1" applyFont="1" applyBorder="1">
      <alignment/>
      <protection/>
    </xf>
    <xf numFmtId="174" fontId="6" fillId="0" borderId="31" xfId="206" applyNumberFormat="1" applyFont="1" applyBorder="1">
      <alignment/>
      <protection/>
    </xf>
    <xf numFmtId="0" fontId="2" fillId="0" borderId="25" xfId="206" applyFont="1" applyBorder="1" applyAlignment="1">
      <alignment horizontal="left"/>
      <protection/>
    </xf>
    <xf numFmtId="0" fontId="49" fillId="0" borderId="30" xfId="206" applyFont="1" applyBorder="1" applyAlignment="1">
      <alignment horizontal="left"/>
      <protection/>
    </xf>
    <xf numFmtId="0" fontId="49" fillId="0" borderId="25" xfId="206" applyFont="1" applyBorder="1" applyAlignment="1">
      <alignment horizontal="left"/>
      <protection/>
    </xf>
    <xf numFmtId="175" fontId="2" fillId="0" borderId="25" xfId="206" applyNumberFormat="1" applyFont="1" applyBorder="1" applyAlignment="1">
      <alignment horizontal="left"/>
      <protection/>
    </xf>
    <xf numFmtId="174" fontId="2" fillId="0" borderId="26" xfId="206" applyNumberFormat="1" applyFont="1" applyBorder="1">
      <alignment/>
      <protection/>
    </xf>
    <xf numFmtId="174" fontId="2" fillId="0" borderId="24" xfId="206" applyNumberFormat="1" applyFont="1" applyBorder="1">
      <alignment/>
      <protection/>
    </xf>
    <xf numFmtId="196" fontId="2" fillId="0" borderId="30" xfId="206" applyNumberFormat="1" applyFont="1" applyBorder="1" applyAlignment="1">
      <alignment horizontal="left"/>
      <protection/>
    </xf>
    <xf numFmtId="176" fontId="76" fillId="0" borderId="33" xfId="219" applyNumberFormat="1" applyFont="1" applyFill="1" applyBorder="1" applyAlignment="1">
      <alignment/>
    </xf>
    <xf numFmtId="174" fontId="50" fillId="0" borderId="1" xfId="206" applyNumberFormat="1" applyFont="1" applyBorder="1">
      <alignment/>
      <protection/>
    </xf>
    <xf numFmtId="174" fontId="50" fillId="0" borderId="33" xfId="206" applyNumberFormat="1" applyFont="1" applyBorder="1">
      <alignment/>
      <protection/>
    </xf>
    <xf numFmtId="174" fontId="6" fillId="0" borderId="26" xfId="206" applyNumberFormat="1" applyFont="1" applyBorder="1">
      <alignment/>
      <protection/>
    </xf>
    <xf numFmtId="174" fontId="6" fillId="0" borderId="24" xfId="206" applyNumberFormat="1" applyFont="1" applyBorder="1">
      <alignment/>
      <protection/>
    </xf>
    <xf numFmtId="0" fontId="4" fillId="30" borderId="30" xfId="206" applyFont="1" applyFill="1" applyBorder="1" applyAlignment="1">
      <alignment horizontal="left"/>
      <protection/>
    </xf>
    <xf numFmtId="174" fontId="2" fillId="56" borderId="0" xfId="225" applyNumberFormat="1" applyFont="1" applyFill="1" applyBorder="1" applyAlignment="1">
      <alignment/>
    </xf>
    <xf numFmtId="0" fontId="4" fillId="30" borderId="25" xfId="206" applyFont="1" applyFill="1" applyBorder="1" applyAlignment="1">
      <alignment horizontal="left"/>
      <protection/>
    </xf>
    <xf numFmtId="0" fontId="2" fillId="0" borderId="23" xfId="206" applyFont="1" applyBorder="1">
      <alignment/>
      <protection/>
    </xf>
    <xf numFmtId="0" fontId="4" fillId="30" borderId="27" xfId="206" applyFont="1" applyFill="1" applyBorder="1" applyAlignment="1">
      <alignment horizontal="left"/>
      <protection/>
    </xf>
    <xf numFmtId="174" fontId="2" fillId="0" borderId="0" xfId="206" applyNumberFormat="1" applyFont="1" applyFill="1">
      <alignment/>
      <protection/>
    </xf>
    <xf numFmtId="174" fontId="0" fillId="0" borderId="0" xfId="0" applyNumberFormat="1" applyFont="1" applyFill="1" applyBorder="1" applyAlignment="1">
      <alignment horizontal="left" indent="2"/>
    </xf>
    <xf numFmtId="174" fontId="0" fillId="0" borderId="0" xfId="0" applyNumberFormat="1" applyFont="1" applyFill="1" applyBorder="1" applyAlignment="1">
      <alignment horizontal="left" indent="1"/>
    </xf>
    <xf numFmtId="0" fontId="3" fillId="0" borderId="0" xfId="183" applyFont="1" applyAlignment="1">
      <alignment horizontal="center"/>
      <protection/>
    </xf>
    <xf numFmtId="0" fontId="4" fillId="0" borderId="0" xfId="183" applyFont="1" applyAlignment="1">
      <alignment horizontal="center"/>
      <protection/>
    </xf>
    <xf numFmtId="49" fontId="0" fillId="0" borderId="0" xfId="184" applyNumberFormat="1" applyFont="1" applyFill="1" applyBorder="1" applyAlignment="1">
      <alignment horizontal="left" wrapText="1"/>
      <protection/>
    </xf>
    <xf numFmtId="0" fontId="3" fillId="0" borderId="36" xfId="0" applyFont="1" applyBorder="1" applyAlignment="1">
      <alignment horizontal="center"/>
    </xf>
    <xf numFmtId="0" fontId="3" fillId="0" borderId="0" xfId="188" applyFont="1" applyAlignment="1">
      <alignment horizontal="center"/>
      <protection/>
    </xf>
    <xf numFmtId="0" fontId="4" fillId="0" borderId="0" xfId="188" applyFont="1" applyAlignment="1">
      <alignment horizontal="center"/>
      <protection/>
    </xf>
    <xf numFmtId="0" fontId="4" fillId="0" borderId="0" xfId="206" applyFont="1" applyAlignment="1">
      <alignment horizontal="center"/>
      <protection/>
    </xf>
    <xf numFmtId="0" fontId="0" fillId="0" borderId="0" xfId="0" applyNumberFormat="1" applyFont="1" applyAlignment="1">
      <alignment horizontal="left" wrapText="1"/>
    </xf>
    <xf numFmtId="0" fontId="47" fillId="0" borderId="0" xfId="0" applyNumberFormat="1" applyFont="1" applyAlignment="1">
      <alignment horizontal="left" wrapText="1"/>
    </xf>
    <xf numFmtId="49" fontId="4" fillId="30" borderId="27" xfId="206" applyNumberFormat="1" applyFont="1" applyFill="1" applyBorder="1" applyAlignment="1">
      <alignment horizontal="center" wrapText="1"/>
      <protection/>
    </xf>
    <xf numFmtId="49" fontId="4" fillId="30" borderId="34" xfId="206" applyNumberFormat="1" applyFont="1" applyFill="1" applyBorder="1" applyAlignment="1">
      <alignment horizontal="center" wrapText="1"/>
      <protection/>
    </xf>
  </cellXfs>
  <cellStyles count="247">
    <cellStyle name="Normal" xfId="0"/>
    <cellStyle name="1 indent" xfId="15"/>
    <cellStyle name="2 indents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20% - Énfasis1" xfId="29"/>
    <cellStyle name="20% - Énfasis1 2" xfId="30"/>
    <cellStyle name="20% - Énfasis1 2 2" xfId="31"/>
    <cellStyle name="20% - Énfasis2" xfId="32"/>
    <cellStyle name="20% - Énfasis2 2" xfId="33"/>
    <cellStyle name="20% - Énfasis2 2 2" xfId="34"/>
    <cellStyle name="20% - Énfasis3" xfId="35"/>
    <cellStyle name="20% - Énfasis3 2" xfId="36"/>
    <cellStyle name="20% - Énfasis3 2 2" xfId="37"/>
    <cellStyle name="20% - Énfasis4" xfId="38"/>
    <cellStyle name="20% - Énfasis4 2" xfId="39"/>
    <cellStyle name="20% - Énfasis4 2 2" xfId="40"/>
    <cellStyle name="20% - Énfasis5" xfId="41"/>
    <cellStyle name="20% - Énfasis5 2" xfId="42"/>
    <cellStyle name="20% - Énfasis5 2 2" xfId="43"/>
    <cellStyle name="20% - Énfasis6" xfId="44"/>
    <cellStyle name="20% - Énfasis6 2" xfId="45"/>
    <cellStyle name="20% - Énfasis6 2 2" xfId="46"/>
    <cellStyle name="3 indents" xfId="47"/>
    <cellStyle name="4 indents" xfId="48"/>
    <cellStyle name="40% - Accent1" xfId="49"/>
    <cellStyle name="40% - Accent1 2" xfId="50"/>
    <cellStyle name="40% - Accent2" xfId="51"/>
    <cellStyle name="40% - Accent2 2" xfId="52"/>
    <cellStyle name="40% - Accent3" xfId="53"/>
    <cellStyle name="40% - Accent3 2" xfId="54"/>
    <cellStyle name="40% - Accent4" xfId="55"/>
    <cellStyle name="40% - Accent4 2" xfId="56"/>
    <cellStyle name="40% - Accent5" xfId="57"/>
    <cellStyle name="40% - Accent5 2" xfId="58"/>
    <cellStyle name="40% - Accent6" xfId="59"/>
    <cellStyle name="40% - Accent6 2" xfId="60"/>
    <cellStyle name="40% - Énfasis1" xfId="61"/>
    <cellStyle name="40% - Énfasis1 2" xfId="62"/>
    <cellStyle name="40% - Énfasis1 2 2" xfId="63"/>
    <cellStyle name="40% - Énfasis2" xfId="64"/>
    <cellStyle name="40% - Énfasis2 2" xfId="65"/>
    <cellStyle name="40% - Énfasis2 2 2" xfId="66"/>
    <cellStyle name="40% - Énfasis3" xfId="67"/>
    <cellStyle name="40% - Énfasis3 2" xfId="68"/>
    <cellStyle name="40% - Énfasis3 2 2" xfId="69"/>
    <cellStyle name="40% - Énfasis4" xfId="70"/>
    <cellStyle name="40% - Énfasis4 2" xfId="71"/>
    <cellStyle name="40% - Énfasis4 2 2" xfId="72"/>
    <cellStyle name="40% - Énfasis5" xfId="73"/>
    <cellStyle name="40% - Énfasis5 2" xfId="74"/>
    <cellStyle name="40% - Énfasis5 2 2" xfId="75"/>
    <cellStyle name="40% - Énfasis6" xfId="76"/>
    <cellStyle name="40% - Énfasis6 2" xfId="77"/>
    <cellStyle name="40% - Énfasis6 2 2" xfId="78"/>
    <cellStyle name="5 indents" xfId="79"/>
    <cellStyle name="60% - Accent1" xfId="80"/>
    <cellStyle name="60% - Accent2" xfId="81"/>
    <cellStyle name="60% - Accent3" xfId="82"/>
    <cellStyle name="60% - Accent4" xfId="83"/>
    <cellStyle name="60% - Accent5" xfId="84"/>
    <cellStyle name="60% - Accent6" xfId="85"/>
    <cellStyle name="60% - Énfasis1" xfId="86"/>
    <cellStyle name="60% - Énfasis1 2" xfId="87"/>
    <cellStyle name="60% - Énfasis2" xfId="88"/>
    <cellStyle name="60% - Énfasis2 2" xfId="89"/>
    <cellStyle name="60% - Énfasis3" xfId="90"/>
    <cellStyle name="60% - Énfasis3 2" xfId="91"/>
    <cellStyle name="60% - Énfasis4" xfId="92"/>
    <cellStyle name="60% - Énfasis4 2" xfId="93"/>
    <cellStyle name="60% - Énfasis5" xfId="94"/>
    <cellStyle name="60% - Énfasis5 2" xfId="95"/>
    <cellStyle name="60% - Énfasis6" xfId="96"/>
    <cellStyle name="60% - Énfasis6 2" xfId="97"/>
    <cellStyle name="Accent1" xfId="98"/>
    <cellStyle name="Accent2" xfId="99"/>
    <cellStyle name="Accent3" xfId="100"/>
    <cellStyle name="Accent4" xfId="101"/>
    <cellStyle name="Accent5" xfId="102"/>
    <cellStyle name="Accent6" xfId="103"/>
    <cellStyle name="Array" xfId="104"/>
    <cellStyle name="Array Enter" xfId="105"/>
    <cellStyle name="Bad" xfId="106"/>
    <cellStyle name="Buena 2" xfId="107"/>
    <cellStyle name="Bueno" xfId="108"/>
    <cellStyle name="Calculation" xfId="109"/>
    <cellStyle name="Cálculo" xfId="110"/>
    <cellStyle name="Cálculo 2" xfId="111"/>
    <cellStyle name="Celda de comprobación" xfId="112"/>
    <cellStyle name="Celda de comprobación 2" xfId="113"/>
    <cellStyle name="Celda vinculada" xfId="114"/>
    <cellStyle name="Celda vinculada 2" xfId="115"/>
    <cellStyle name="Check Cell" xfId="116"/>
    <cellStyle name="Encabezado 1" xfId="117"/>
    <cellStyle name="Encabezado 4" xfId="118"/>
    <cellStyle name="Encabezado 4 2" xfId="119"/>
    <cellStyle name="Énfasis1" xfId="120"/>
    <cellStyle name="Énfasis1 2" xfId="121"/>
    <cellStyle name="Énfasis2" xfId="122"/>
    <cellStyle name="Énfasis2 2" xfId="123"/>
    <cellStyle name="Énfasis3" xfId="124"/>
    <cellStyle name="Énfasis3 2" xfId="125"/>
    <cellStyle name="Énfasis4" xfId="126"/>
    <cellStyle name="Énfasis4 2" xfId="127"/>
    <cellStyle name="Énfasis5" xfId="128"/>
    <cellStyle name="Énfasis5 2" xfId="129"/>
    <cellStyle name="Énfasis6" xfId="130"/>
    <cellStyle name="Énfasis6 2" xfId="131"/>
    <cellStyle name="Entrada" xfId="132"/>
    <cellStyle name="Entrada 2" xfId="133"/>
    <cellStyle name="Est.Fin." xfId="134"/>
    <cellStyle name="Est.Fin. 2" xfId="135"/>
    <cellStyle name="Estilo 1" xfId="136"/>
    <cellStyle name="Euro" xfId="137"/>
    <cellStyle name="Euro 2" xfId="138"/>
    <cellStyle name="Euro 3" xfId="139"/>
    <cellStyle name="Euro 3 2" xfId="140"/>
    <cellStyle name="Explanatory Text" xfId="141"/>
    <cellStyle name="Good" xfId="142"/>
    <cellStyle name="Grey" xfId="143"/>
    <cellStyle name="Heading 1" xfId="144"/>
    <cellStyle name="Heading 2" xfId="145"/>
    <cellStyle name="Heading 3" xfId="146"/>
    <cellStyle name="Heading 4" xfId="147"/>
    <cellStyle name="Hyperlink" xfId="148"/>
    <cellStyle name="Followed Hyperlink" xfId="149"/>
    <cellStyle name="imf-one decimal" xfId="150"/>
    <cellStyle name="imf-zero decimal" xfId="151"/>
    <cellStyle name="Incorrecto" xfId="152"/>
    <cellStyle name="Incorrecto 2" xfId="153"/>
    <cellStyle name="Input" xfId="154"/>
    <cellStyle name="Input [yellow]" xfId="155"/>
    <cellStyle name="Linked Cell" xfId="156"/>
    <cellStyle name="MacroCode" xfId="157"/>
    <cellStyle name="Comma" xfId="158"/>
    <cellStyle name="Comma [0]" xfId="159"/>
    <cellStyle name="Millares 2" xfId="160"/>
    <cellStyle name="Millares 2 2" xfId="161"/>
    <cellStyle name="Millares 3" xfId="162"/>
    <cellStyle name="Millares 3 2" xfId="163"/>
    <cellStyle name="Millares 4" xfId="164"/>
    <cellStyle name="Millares 4 2" xfId="165"/>
    <cellStyle name="Millares 5" xfId="166"/>
    <cellStyle name="Millares 5 2" xfId="167"/>
    <cellStyle name="Millares 6" xfId="168"/>
    <cellStyle name="Millares 6 2" xfId="169"/>
    <cellStyle name="Milliers [0]_Encours - Apr rééch" xfId="170"/>
    <cellStyle name="Milliers_Encours - Apr rééch" xfId="171"/>
    <cellStyle name="Currency" xfId="172"/>
    <cellStyle name="Currency [0]" xfId="173"/>
    <cellStyle name="Monétaire [0]_Encours - Apr rééch" xfId="174"/>
    <cellStyle name="Monétaire_Encours - Apr rééch" xfId="175"/>
    <cellStyle name="Neutral" xfId="176"/>
    <cellStyle name="Neutral 2" xfId="177"/>
    <cellStyle name="No-definido" xfId="178"/>
    <cellStyle name="Normal - Modelo1" xfId="179"/>
    <cellStyle name="Normal - Style1" xfId="180"/>
    <cellStyle name="Normal - Style2" xfId="181"/>
    <cellStyle name="Normal - Style3" xfId="182"/>
    <cellStyle name="Normal 2" xfId="183"/>
    <cellStyle name="Normal 2 2" xfId="184"/>
    <cellStyle name="Normal 2 2 2" xfId="185"/>
    <cellStyle name="Normal 2 3" xfId="186"/>
    <cellStyle name="Normal 2 4" xfId="187"/>
    <cellStyle name="Normal 3" xfId="188"/>
    <cellStyle name="Normal 3 2" xfId="189"/>
    <cellStyle name="Normal 3 2 2" xfId="190"/>
    <cellStyle name="Normal 3 3" xfId="191"/>
    <cellStyle name="Normal 3 4" xfId="192"/>
    <cellStyle name="Normal 4" xfId="193"/>
    <cellStyle name="Normal 4 2" xfId="194"/>
    <cellStyle name="Normal 5" xfId="195"/>
    <cellStyle name="Normal 5 2" xfId="196"/>
    <cellStyle name="Normal 6" xfId="197"/>
    <cellStyle name="Normal 6 2" xfId="198"/>
    <cellStyle name="Normal 7" xfId="199"/>
    <cellStyle name="Normal 8" xfId="200"/>
    <cellStyle name="Normal 9" xfId="201"/>
    <cellStyle name="Normal Table" xfId="202"/>
    <cellStyle name="Normal Table 2" xfId="203"/>
    <cellStyle name="Normal_Cuadro Resumen 05-06" xfId="204"/>
    <cellStyle name="Normal_Cuadro Resumen 05-06 2" xfId="205"/>
    <cellStyle name="Normal_Cuadro Resumen 05-06 2 2" xfId="206"/>
    <cellStyle name="Normal_plantilla para datos fiscales" xfId="207"/>
    <cellStyle name="Normal_plantilla para datos fiscales 2" xfId="208"/>
    <cellStyle name="Notas" xfId="209"/>
    <cellStyle name="Notas 2" xfId="210"/>
    <cellStyle name="Note" xfId="211"/>
    <cellStyle name="Note 2" xfId="212"/>
    <cellStyle name="Output" xfId="213"/>
    <cellStyle name="Percent [2]" xfId="214"/>
    <cellStyle name="percentage difference" xfId="215"/>
    <cellStyle name="percentage difference 2" xfId="216"/>
    <cellStyle name="percentage difference one decimal" xfId="217"/>
    <cellStyle name="percentage difference zero decimal" xfId="218"/>
    <cellStyle name="Percent" xfId="219"/>
    <cellStyle name="Porcentaje 2" xfId="220"/>
    <cellStyle name="Porcentaje 2 2" xfId="221"/>
    <cellStyle name="Porcentaje 3" xfId="222"/>
    <cellStyle name="Porcentaje 3 2" xfId="223"/>
    <cellStyle name="Porcentual 2" xfId="224"/>
    <cellStyle name="Porcentual 2 10" xfId="225"/>
    <cellStyle name="Porcentual 2 2" xfId="226"/>
    <cellStyle name="Presentation" xfId="227"/>
    <cellStyle name="Presentation 2" xfId="228"/>
    <cellStyle name="Publication" xfId="229"/>
    <cellStyle name="Red Text" xfId="230"/>
    <cellStyle name="Salida" xfId="231"/>
    <cellStyle name="Salida 2" xfId="232"/>
    <cellStyle name="Style1" xfId="233"/>
    <cellStyle name="Text" xfId="234"/>
    <cellStyle name="Texto de advertencia" xfId="235"/>
    <cellStyle name="Texto de advertencia 2" xfId="236"/>
    <cellStyle name="Texto explicativo" xfId="237"/>
    <cellStyle name="Texto explicativo 2" xfId="238"/>
    <cellStyle name="Title" xfId="239"/>
    <cellStyle name="Título" xfId="240"/>
    <cellStyle name="Título 1 2" xfId="241"/>
    <cellStyle name="Título 2" xfId="242"/>
    <cellStyle name="Título 2 2" xfId="243"/>
    <cellStyle name="Título 3" xfId="244"/>
    <cellStyle name="Título 3 2" xfId="245"/>
    <cellStyle name="Título 4" xfId="246"/>
    <cellStyle name="TopGrey" xfId="247"/>
    <cellStyle name="Total" xfId="248"/>
    <cellStyle name="Total 2" xfId="249"/>
    <cellStyle name="Warning Text" xfId="250"/>
    <cellStyle name="ДАТА" xfId="251"/>
    <cellStyle name="ДЕНЕЖНЫЙ_BOPENGC" xfId="252"/>
    <cellStyle name="ЗАГОЛОВОК1" xfId="253"/>
    <cellStyle name="ЗАГОЛОВОК2" xfId="254"/>
    <cellStyle name="ИТОГОВЫЙ" xfId="255"/>
    <cellStyle name="Обычный_BOPENGC" xfId="256"/>
    <cellStyle name="ПРОЦЕНТНЫЙ_BOPENGC" xfId="257"/>
    <cellStyle name="ТЕКСТ" xfId="258"/>
    <cellStyle name="ФИКСИРОВАННЫЙ" xfId="259"/>
    <cellStyle name="ФИНАНСОВЫЙ_BOPENGC" xfId="2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1457325</xdr:colOff>
      <xdr:row>3</xdr:row>
      <xdr:rowOff>85725</xdr:rowOff>
    </xdr:to>
    <xdr:pic>
      <xdr:nvPicPr>
        <xdr:cNvPr id="1" name="3 Imagen" descr="logo mh_sin costa rica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1457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1457325</xdr:colOff>
      <xdr:row>3</xdr:row>
      <xdr:rowOff>104775</xdr:rowOff>
    </xdr:to>
    <xdr:pic>
      <xdr:nvPicPr>
        <xdr:cNvPr id="1" name="3 Imagen" descr="logo mh_sin costa rica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457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7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7" sqref="M7"/>
    </sheetView>
  </sheetViews>
  <sheetFormatPr defaultColWidth="11.421875" defaultRowHeight="12.75"/>
  <cols>
    <col min="1" max="1" width="3.8515625" style="1" customWidth="1"/>
    <col min="2" max="2" width="37.28125" style="1" customWidth="1"/>
    <col min="3" max="12" width="10.00390625" style="1" hidden="1" customWidth="1"/>
    <col min="13" max="13" width="10.00390625" style="1" customWidth="1"/>
    <col min="14" max="14" width="11.140625" style="1" bestFit="1" customWidth="1"/>
    <col min="15" max="15" width="10.00390625" style="1" customWidth="1"/>
    <col min="16" max="16" width="10.7109375" style="1" bestFit="1" customWidth="1"/>
    <col min="17" max="17" width="10.00390625" style="1" bestFit="1" customWidth="1"/>
    <col min="18" max="18" width="10.7109375" style="1" bestFit="1" customWidth="1"/>
    <col min="19" max="19" width="10.7109375" style="1" customWidth="1"/>
    <col min="20" max="20" width="10.00390625" style="8" hidden="1" customWidth="1"/>
    <col min="21" max="23" width="7.421875" style="8" hidden="1" customWidth="1"/>
    <col min="24" max="24" width="7.421875" style="87" hidden="1" customWidth="1"/>
    <col min="25" max="25" width="7.421875" style="8" hidden="1" customWidth="1"/>
    <col min="26" max="26" width="7.7109375" style="8" hidden="1" customWidth="1"/>
    <col min="27" max="27" width="8.00390625" style="8" hidden="1" customWidth="1"/>
    <col min="28" max="28" width="7.421875" style="1" hidden="1" customWidth="1"/>
    <col min="29" max="29" width="7.7109375" style="1" bestFit="1" customWidth="1"/>
    <col min="30" max="30" width="7.421875" style="1" bestFit="1" customWidth="1"/>
    <col min="31" max="31" width="8.00390625" style="1" bestFit="1" customWidth="1"/>
    <col min="32" max="32" width="9.57421875" style="1" customWidth="1"/>
    <col min="33" max="34" width="7.421875" style="1" bestFit="1" customWidth="1"/>
    <col min="35" max="35" width="8.140625" style="1" customWidth="1"/>
    <col min="36" max="16384" width="11.421875" style="1" customWidth="1"/>
  </cols>
  <sheetData>
    <row r="1" spans="28:30" ht="12.75">
      <c r="AB1" s="9"/>
      <c r="AC1" s="9"/>
      <c r="AD1" s="9"/>
    </row>
    <row r="2" spans="1:32" ht="12.75">
      <c r="A2" s="231" t="s">
        <v>68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</row>
    <row r="3" spans="1:32" ht="12.75">
      <c r="A3" s="231" t="s">
        <v>146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</row>
    <row r="4" spans="1:32" ht="12.75">
      <c r="A4" s="232" t="s">
        <v>43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</row>
    <row r="5" spans="2:35" ht="12.75" thickBo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1"/>
      <c r="U5" s="11"/>
      <c r="V5" s="11"/>
      <c r="W5" s="11"/>
      <c r="X5" s="79"/>
      <c r="Y5" s="11"/>
      <c r="Z5" s="11"/>
      <c r="AA5" s="11"/>
      <c r="AB5" s="12"/>
      <c r="AC5" s="12"/>
      <c r="AD5" s="12"/>
      <c r="AE5" s="10"/>
      <c r="AF5" s="10"/>
      <c r="AG5" s="10"/>
      <c r="AH5" s="10"/>
      <c r="AI5" s="10"/>
    </row>
    <row r="6" spans="2:35" ht="13.5" thickTop="1">
      <c r="B6" s="13"/>
      <c r="C6" s="234" t="s">
        <v>46</v>
      </c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 t="s">
        <v>19</v>
      </c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</row>
    <row r="7" spans="2:35" ht="12">
      <c r="B7" s="16" t="s">
        <v>0</v>
      </c>
      <c r="C7" s="17">
        <v>2006</v>
      </c>
      <c r="D7" s="17">
        <v>2007</v>
      </c>
      <c r="E7" s="17">
        <v>2008</v>
      </c>
      <c r="F7" s="17">
        <v>2009</v>
      </c>
      <c r="G7" s="17">
        <v>2010</v>
      </c>
      <c r="H7" s="17">
        <v>2011</v>
      </c>
      <c r="I7" s="17">
        <v>2012</v>
      </c>
      <c r="J7" s="17">
        <v>2013</v>
      </c>
      <c r="K7" s="17">
        <v>2014</v>
      </c>
      <c r="L7" s="73">
        <v>2015</v>
      </c>
      <c r="M7" s="73">
        <v>2016</v>
      </c>
      <c r="N7" s="73">
        <v>2017</v>
      </c>
      <c r="O7" s="73">
        <v>2018</v>
      </c>
      <c r="P7" s="73">
        <v>2019</v>
      </c>
      <c r="Q7" s="73">
        <v>2020</v>
      </c>
      <c r="R7" s="73">
        <v>2021</v>
      </c>
      <c r="S7" s="73">
        <v>2022</v>
      </c>
      <c r="T7" s="80" t="s">
        <v>69</v>
      </c>
      <c r="U7" s="80" t="s">
        <v>70</v>
      </c>
      <c r="V7" s="80" t="s">
        <v>71</v>
      </c>
      <c r="W7" s="80" t="s">
        <v>72</v>
      </c>
      <c r="X7" s="80" t="s">
        <v>73</v>
      </c>
      <c r="Y7" s="18" t="s">
        <v>74</v>
      </c>
      <c r="Z7" s="18" t="s">
        <v>75</v>
      </c>
      <c r="AA7" s="18" t="s">
        <v>76</v>
      </c>
      <c r="AB7" s="18" t="s">
        <v>77</v>
      </c>
      <c r="AC7" s="18" t="s">
        <v>78</v>
      </c>
      <c r="AD7" s="18" t="s">
        <v>79</v>
      </c>
      <c r="AE7" s="18" t="s">
        <v>80</v>
      </c>
      <c r="AF7" s="18" t="s">
        <v>81</v>
      </c>
      <c r="AG7" s="18" t="s">
        <v>82</v>
      </c>
      <c r="AH7" s="18" t="s">
        <v>83</v>
      </c>
      <c r="AI7" s="18" t="s">
        <v>88</v>
      </c>
    </row>
    <row r="8" spans="2:33" ht="12">
      <c r="B8" s="13"/>
      <c r="C8" s="15"/>
      <c r="D8" s="15"/>
      <c r="E8" s="14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5"/>
      <c r="U8" s="15"/>
      <c r="V8" s="15"/>
      <c r="W8" s="15"/>
      <c r="X8" s="22"/>
      <c r="Y8" s="15"/>
      <c r="Z8" s="15"/>
      <c r="AA8" s="15"/>
      <c r="AB8" s="13"/>
      <c r="AC8" s="13"/>
      <c r="AD8" s="13"/>
      <c r="AE8" s="13"/>
      <c r="AF8" s="72"/>
      <c r="AG8" s="13"/>
    </row>
    <row r="9" spans="1:35" ht="15">
      <c r="A9" s="1">
        <v>1</v>
      </c>
      <c r="B9" s="4" t="s">
        <v>55</v>
      </c>
      <c r="C9" s="31">
        <f aca="true" t="shared" si="0" ref="C9:I9">+C11+C34</f>
        <v>207325.19589139998</v>
      </c>
      <c r="D9" s="31">
        <f t="shared" si="0"/>
        <v>291326.9938176501</v>
      </c>
      <c r="E9" s="31">
        <f t="shared" si="0"/>
        <v>290327.07482153</v>
      </c>
      <c r="F9" s="31">
        <f t="shared" si="0"/>
        <v>307107.69582029997</v>
      </c>
      <c r="G9" s="31">
        <f t="shared" si="0"/>
        <v>376662.52555734</v>
      </c>
      <c r="H9" s="31">
        <f t="shared" si="0"/>
        <v>451598.92398081993</v>
      </c>
      <c r="I9" s="31">
        <f t="shared" si="0"/>
        <v>465810.87235301</v>
      </c>
      <c r="J9" s="31">
        <f aca="true" t="shared" si="1" ref="J9:O9">+J11+J34</f>
        <v>501538.24548144994</v>
      </c>
      <c r="K9" s="31">
        <f t="shared" si="1"/>
        <v>539026.5250550901</v>
      </c>
      <c r="L9" s="31">
        <f t="shared" si="1"/>
        <v>623777.20468109</v>
      </c>
      <c r="M9" s="31">
        <f t="shared" si="1"/>
        <v>691176.49498213</v>
      </c>
      <c r="N9" s="31">
        <f t="shared" si="1"/>
        <v>658366.3178961</v>
      </c>
      <c r="O9" s="31">
        <f t="shared" si="1"/>
        <v>799703.58029361</v>
      </c>
      <c r="P9" s="31">
        <f>+P11+P34</f>
        <v>721445.4342416701</v>
      </c>
      <c r="Q9" s="31">
        <f>+Q11+Q34</f>
        <v>661721.5856612001</v>
      </c>
      <c r="R9" s="31">
        <f>+R11+R34</f>
        <v>800381.8416371801</v>
      </c>
      <c r="S9" s="31">
        <f>+S11+S34</f>
        <v>824570.1235132802</v>
      </c>
      <c r="T9" s="81">
        <f>+D9/C9-1</f>
        <v>0.40516926833268974</v>
      </c>
      <c r="U9" s="81">
        <f aca="true" t="shared" si="2" ref="U9:AI9">+E9/D9-1</f>
        <v>-0.0034322909216779607</v>
      </c>
      <c r="V9" s="81">
        <f t="shared" si="2"/>
        <v>0.057799022048099724</v>
      </c>
      <c r="W9" s="81">
        <f t="shared" si="2"/>
        <v>0.22648351273404477</v>
      </c>
      <c r="X9" s="81">
        <f t="shared" si="2"/>
        <v>0.19894837776229002</v>
      </c>
      <c r="Y9" s="81">
        <f t="shared" si="2"/>
        <v>0.03147028838534971</v>
      </c>
      <c r="Z9" s="81">
        <f t="shared" si="2"/>
        <v>0.07669931134918695</v>
      </c>
      <c r="AA9" s="81">
        <f t="shared" si="2"/>
        <v>0.07474660190202131</v>
      </c>
      <c r="AB9" s="81">
        <f t="shared" si="2"/>
        <v>0.1572291449244323</v>
      </c>
      <c r="AC9" s="81">
        <f t="shared" si="2"/>
        <v>0.10805026184869693</v>
      </c>
      <c r="AD9" s="81">
        <f t="shared" si="2"/>
        <v>-0.047470041768243765</v>
      </c>
      <c r="AE9" s="81">
        <f t="shared" si="2"/>
        <v>0.21467875642419343</v>
      </c>
      <c r="AF9" s="81">
        <f t="shared" si="2"/>
        <v>-0.09785894171338783</v>
      </c>
      <c r="AG9" s="81">
        <f t="shared" si="2"/>
        <v>-0.08278359768573107</v>
      </c>
      <c r="AH9" s="81">
        <f t="shared" si="2"/>
        <v>0.20954470729170627</v>
      </c>
      <c r="AI9" s="81">
        <f t="shared" si="2"/>
        <v>0.030220927834423428</v>
      </c>
    </row>
    <row r="10" spans="2:35" ht="12.75">
      <c r="B10" s="4"/>
      <c r="C10" s="64"/>
      <c r="D10" s="26"/>
      <c r="E10" s="2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</row>
    <row r="11" spans="2:35" ht="12.75">
      <c r="B11" s="4" t="s">
        <v>30</v>
      </c>
      <c r="C11" s="35">
        <f aca="true" t="shared" si="3" ref="C11:I11">+C12+C30+C31+C32</f>
        <v>207241.55731347</v>
      </c>
      <c r="D11" s="35">
        <f t="shared" si="3"/>
        <v>291286.03732083004</v>
      </c>
      <c r="E11" s="35">
        <f t="shared" si="3"/>
        <v>290159.45308953</v>
      </c>
      <c r="F11" s="35">
        <f t="shared" si="3"/>
        <v>304461.9008203</v>
      </c>
      <c r="G11" s="35">
        <f t="shared" si="3"/>
        <v>376397.27555734</v>
      </c>
      <c r="H11" s="35">
        <f t="shared" si="3"/>
        <v>451598.92398081993</v>
      </c>
      <c r="I11" s="35">
        <f t="shared" si="3"/>
        <v>465855.57235301</v>
      </c>
      <c r="J11" s="28">
        <f aca="true" t="shared" si="4" ref="J11:O11">+J12+J30+J31+J32</f>
        <v>500717.21348144993</v>
      </c>
      <c r="K11" s="28">
        <f t="shared" si="4"/>
        <v>537967.7115406</v>
      </c>
      <c r="L11" s="28">
        <f t="shared" si="4"/>
        <v>624002.19702442</v>
      </c>
      <c r="M11" s="28">
        <f t="shared" si="4"/>
        <v>688809.64465213</v>
      </c>
      <c r="N11" s="28">
        <f t="shared" si="4"/>
        <v>658125.9787475</v>
      </c>
      <c r="O11" s="28">
        <f t="shared" si="4"/>
        <v>769764.58029361</v>
      </c>
      <c r="P11" s="28">
        <f>+P12+P30+P31+P32</f>
        <v>721445.4342416701</v>
      </c>
      <c r="Q11" s="28">
        <f>+Q12+Q30+Q31+Q32</f>
        <v>655113.1127002</v>
      </c>
      <c r="R11" s="28">
        <f>+R12+R30+R31+R32</f>
        <v>800381.8416371801</v>
      </c>
      <c r="S11" s="28">
        <f>+S12+S30+S31+S32</f>
        <v>824570.1235132802</v>
      </c>
      <c r="T11" s="74">
        <f aca="true" t="shared" si="5" ref="T11:T71">+D11/C11-1</f>
        <v>0.405538739897789</v>
      </c>
      <c r="U11" s="74">
        <f aca="true" t="shared" si="6" ref="U11:U32">+E11/D11-1</f>
        <v>-0.0038676218114059857</v>
      </c>
      <c r="V11" s="74">
        <f aca="true" t="shared" si="7" ref="V11:V32">+F11/E11-1</f>
        <v>0.049291682826397176</v>
      </c>
      <c r="W11" s="74">
        <f aca="true" t="shared" si="8" ref="W11:W32">+G11/F11-1</f>
        <v>0.236270530214872</v>
      </c>
      <c r="X11" s="74">
        <f aca="true" t="shared" si="9" ref="X11:X32">+H11/G11-1</f>
        <v>0.1997932857301561</v>
      </c>
      <c r="Y11" s="74">
        <f aca="true" t="shared" si="10" ref="Y11:Y32">+I11/H11-1</f>
        <v>0.031569270020660234</v>
      </c>
      <c r="Z11" s="74">
        <f aca="true" t="shared" si="11" ref="Z11:Z32">+J11/I11-1</f>
        <v>0.07483358190255363</v>
      </c>
      <c r="AA11" s="74">
        <f aca="true" t="shared" si="12" ref="AA11:AA32">+K11/J11-1</f>
        <v>0.07439428295294692</v>
      </c>
      <c r="AB11" s="74">
        <f aca="true" t="shared" si="13" ref="AB11:AB32">+L11/K11-1</f>
        <v>0.1599249985420863</v>
      </c>
      <c r="AC11" s="74">
        <f aca="true" t="shared" si="14" ref="AC11:AC32">+M11/L11-1</f>
        <v>0.10385772347717181</v>
      </c>
      <c r="AD11" s="74">
        <f aca="true" t="shared" si="15" ref="AD11:AD32">+N11/M11-1</f>
        <v>-0.04454592955086478</v>
      </c>
      <c r="AE11" s="74">
        <f aca="true" t="shared" si="16" ref="AE11:AE32">+O11/N11-1</f>
        <v>0.16963105112272414</v>
      </c>
      <c r="AF11" s="74">
        <f aca="true" t="shared" si="17" ref="AF11:AF32">+P11/O11-1</f>
        <v>-0.06277132942842034</v>
      </c>
      <c r="AG11" s="74">
        <f aca="true" t="shared" si="18" ref="AG11:AI32">+Q11/P11-1</f>
        <v>-0.09194364312693115</v>
      </c>
      <c r="AH11" s="74">
        <f t="shared" si="18"/>
        <v>0.22174602541265176</v>
      </c>
      <c r="AI11" s="74">
        <f t="shared" si="18"/>
        <v>0.030220927834423428</v>
      </c>
    </row>
    <row r="12" spans="2:35" ht="12">
      <c r="B12" s="32" t="s">
        <v>29</v>
      </c>
      <c r="C12" s="65">
        <v>201017.17644737998</v>
      </c>
      <c r="D12" s="7">
        <f aca="true" t="shared" si="19" ref="D12:I12">+D13+D14+D17+D21+D24+D27</f>
        <v>283988.4236046</v>
      </c>
      <c r="E12" s="7">
        <f t="shared" si="19"/>
        <v>282833.91889749997</v>
      </c>
      <c r="F12" s="7">
        <f t="shared" si="19"/>
        <v>292274.68939753</v>
      </c>
      <c r="G12" s="7">
        <f t="shared" si="19"/>
        <v>345501.64870184</v>
      </c>
      <c r="H12" s="7">
        <f t="shared" si="19"/>
        <v>423773.73142515996</v>
      </c>
      <c r="I12" s="7">
        <f t="shared" si="19"/>
        <v>432250.99016174</v>
      </c>
      <c r="J12" s="7">
        <f aca="true" t="shared" si="20" ref="J12:O12">+J13+J14+J17+J21+J24+J27</f>
        <v>482442.08178967994</v>
      </c>
      <c r="K12" s="7">
        <f t="shared" si="20"/>
        <v>505452.60528814</v>
      </c>
      <c r="L12" s="7">
        <f t="shared" si="20"/>
        <v>572813.8652161</v>
      </c>
      <c r="M12" s="7">
        <f t="shared" si="20"/>
        <v>598180.17286169</v>
      </c>
      <c r="N12" s="7">
        <f t="shared" si="20"/>
        <v>627474.09477012</v>
      </c>
      <c r="O12" s="7">
        <f t="shared" si="20"/>
        <v>729898.72855664</v>
      </c>
      <c r="P12" s="7">
        <f>+P13+P14+P17+P21+P24+P27</f>
        <v>684821.1388639001</v>
      </c>
      <c r="Q12" s="7">
        <f>+Q13+Q14+Q17+Q21+Q24+Q27</f>
        <v>624164.9836782</v>
      </c>
      <c r="R12" s="7">
        <f>+R13+R14+R17+R21+R24+R27</f>
        <v>729636.66031604</v>
      </c>
      <c r="S12" s="7">
        <f>+S13+S14+S17+S21+S24+S27+S28+S29</f>
        <v>746805.1980145301</v>
      </c>
      <c r="T12" s="75">
        <f t="shared" si="5"/>
        <v>0.41275700228004797</v>
      </c>
      <c r="U12" s="75">
        <f t="shared" si="6"/>
        <v>-0.004065323129887388</v>
      </c>
      <c r="V12" s="75">
        <f t="shared" si="7"/>
        <v>0.03337920196004274</v>
      </c>
      <c r="W12" s="75">
        <f t="shared" si="8"/>
        <v>0.18211279058760632</v>
      </c>
      <c r="X12" s="75">
        <f t="shared" si="9"/>
        <v>0.2265461916532472</v>
      </c>
      <c r="Y12" s="75">
        <f t="shared" si="10"/>
        <v>0.020004210048770288</v>
      </c>
      <c r="Z12" s="75">
        <f t="shared" si="11"/>
        <v>0.11611561979108354</v>
      </c>
      <c r="AA12" s="75">
        <f t="shared" si="12"/>
        <v>0.047695929453541064</v>
      </c>
      <c r="AB12" s="75">
        <f t="shared" si="13"/>
        <v>0.13326919126187864</v>
      </c>
      <c r="AC12" s="75">
        <f t="shared" si="14"/>
        <v>0.04428368303553598</v>
      </c>
      <c r="AD12" s="75">
        <f t="shared" si="15"/>
        <v>0.04897173667306287</v>
      </c>
      <c r="AE12" s="75">
        <f t="shared" si="16"/>
        <v>0.16323324682279372</v>
      </c>
      <c r="AF12" s="75">
        <f t="shared" si="17"/>
        <v>-0.0617586905266706</v>
      </c>
      <c r="AG12" s="75">
        <f t="shared" si="18"/>
        <v>-0.08857225886211251</v>
      </c>
      <c r="AH12" s="75">
        <f t="shared" si="18"/>
        <v>0.16898044490784492</v>
      </c>
      <c r="AI12" s="75">
        <f t="shared" si="18"/>
        <v>0.023530256403308414</v>
      </c>
    </row>
    <row r="13" spans="2:35" ht="12">
      <c r="B13" s="33" t="s">
        <v>22</v>
      </c>
      <c r="C13" s="65">
        <v>82925.51095607</v>
      </c>
      <c r="D13" s="7">
        <v>114933.72824491002</v>
      </c>
      <c r="E13" s="26">
        <v>119244.83139056001</v>
      </c>
      <c r="F13" s="46">
        <v>116568.82533095</v>
      </c>
      <c r="G13" s="46">
        <v>140043.93871648</v>
      </c>
      <c r="H13" s="46">
        <v>186258.96757151998</v>
      </c>
      <c r="I13" s="46">
        <f>174942.51784958</f>
        <v>174942.51784958</v>
      </c>
      <c r="J13" s="58">
        <v>187367.59298723</v>
      </c>
      <c r="K13" s="58">
        <v>204505.98985547</v>
      </c>
      <c r="L13" s="58">
        <v>220524.94639710002</v>
      </c>
      <c r="M13" s="58">
        <v>262366.75026182</v>
      </c>
      <c r="N13" s="58">
        <v>274958.62566718</v>
      </c>
      <c r="O13" s="58">
        <v>347493.114216</v>
      </c>
      <c r="P13" s="58">
        <v>292659.36583434005</v>
      </c>
      <c r="Q13" s="130">
        <v>221140.96147429998</v>
      </c>
      <c r="R13" s="58">
        <v>265213.34534026</v>
      </c>
      <c r="S13" s="58">
        <v>293677.12479114</v>
      </c>
      <c r="T13" s="75">
        <f t="shared" si="5"/>
        <v>0.3859875799354009</v>
      </c>
      <c r="U13" s="75">
        <f t="shared" si="6"/>
        <v>0.03750946925225951</v>
      </c>
      <c r="V13" s="75">
        <f t="shared" si="7"/>
        <v>-0.022441275050700926</v>
      </c>
      <c r="W13" s="75">
        <f t="shared" si="8"/>
        <v>0.20138414639490398</v>
      </c>
      <c r="X13" s="75">
        <f t="shared" si="9"/>
        <v>0.3300037779471672</v>
      </c>
      <c r="Y13" s="75">
        <f t="shared" si="10"/>
        <v>-0.060756536286472596</v>
      </c>
      <c r="Z13" s="75">
        <f t="shared" si="11"/>
        <v>0.07102375849153697</v>
      </c>
      <c r="AA13" s="75">
        <f t="shared" si="12"/>
        <v>0.09146937629394669</v>
      </c>
      <c r="AB13" s="75">
        <f t="shared" si="13"/>
        <v>0.07833001152167274</v>
      </c>
      <c r="AC13" s="75">
        <f t="shared" si="14"/>
        <v>0.1897372816469265</v>
      </c>
      <c r="AD13" s="75">
        <f t="shared" si="15"/>
        <v>0.04799341148523739</v>
      </c>
      <c r="AE13" s="75">
        <f t="shared" si="16"/>
        <v>0.26380146603081456</v>
      </c>
      <c r="AF13" s="75">
        <f t="shared" si="17"/>
        <v>-0.15779808617322866</v>
      </c>
      <c r="AG13" s="75">
        <f t="shared" si="18"/>
        <v>-0.24437422037100665</v>
      </c>
      <c r="AH13" s="75">
        <f t="shared" si="18"/>
        <v>0.1992954338813524</v>
      </c>
      <c r="AI13" s="75">
        <f t="shared" si="18"/>
        <v>0.10732408436823548</v>
      </c>
    </row>
    <row r="14" spans="2:35" ht="12">
      <c r="B14" s="33" t="s">
        <v>23</v>
      </c>
      <c r="C14" s="65">
        <v>10990.73065642</v>
      </c>
      <c r="D14" s="47">
        <f aca="true" t="shared" si="21" ref="D14:O14">+D15+D16</f>
        <v>13188.10029911</v>
      </c>
      <c r="E14" s="47">
        <f t="shared" si="21"/>
        <v>13612.57574836</v>
      </c>
      <c r="F14" s="47">
        <f t="shared" si="21"/>
        <v>10846.376032970002</v>
      </c>
      <c r="G14" s="47">
        <f t="shared" si="21"/>
        <v>12780.320784630001</v>
      </c>
      <c r="H14" s="47">
        <f t="shared" si="21"/>
        <v>12845.34972809</v>
      </c>
      <c r="I14" s="47">
        <f t="shared" si="21"/>
        <v>13458.11643251</v>
      </c>
      <c r="J14" s="47">
        <f t="shared" si="21"/>
        <v>14613.497240649998</v>
      </c>
      <c r="K14" s="47">
        <f t="shared" si="21"/>
        <v>15103.4491702</v>
      </c>
      <c r="L14" s="47">
        <f t="shared" si="21"/>
        <v>17011.01645171</v>
      </c>
      <c r="M14" s="47">
        <f t="shared" si="21"/>
        <v>17421.37572721</v>
      </c>
      <c r="N14" s="47">
        <f t="shared" si="21"/>
        <v>15464.70784909</v>
      </c>
      <c r="O14" s="47">
        <f t="shared" si="21"/>
        <v>15845.2982389</v>
      </c>
      <c r="P14" s="47">
        <f>+P15+P16</f>
        <v>13240.90314606</v>
      </c>
      <c r="Q14" s="47">
        <f>+Q15+Q16</f>
        <v>19632.04438934</v>
      </c>
      <c r="R14" s="7">
        <f>+R15+R16</f>
        <v>18766.08949975</v>
      </c>
      <c r="S14" s="7">
        <f>+S15+S16</f>
        <v>16677.003569559998</v>
      </c>
      <c r="T14" s="75">
        <f t="shared" si="5"/>
        <v>0.19992935059385264</v>
      </c>
      <c r="U14" s="75">
        <f t="shared" si="6"/>
        <v>0.032186246663489904</v>
      </c>
      <c r="V14" s="75">
        <f t="shared" si="7"/>
        <v>-0.20320913297567955</v>
      </c>
      <c r="W14" s="75">
        <f t="shared" si="8"/>
        <v>0.17830331032054758</v>
      </c>
      <c r="X14" s="75">
        <f t="shared" si="9"/>
        <v>0.005088209017273249</v>
      </c>
      <c r="Y14" s="75">
        <f t="shared" si="10"/>
        <v>0.047703388182574136</v>
      </c>
      <c r="Z14" s="75">
        <f t="shared" si="11"/>
        <v>0.08585011237895168</v>
      </c>
      <c r="AA14" s="75">
        <f t="shared" si="12"/>
        <v>0.033527356352941684</v>
      </c>
      <c r="AB14" s="75">
        <f t="shared" si="13"/>
        <v>0.12630010933355162</v>
      </c>
      <c r="AC14" s="75">
        <f t="shared" si="14"/>
        <v>0.024123148470575506</v>
      </c>
      <c r="AD14" s="75">
        <f t="shared" si="15"/>
        <v>-0.11231420002405046</v>
      </c>
      <c r="AE14" s="75">
        <f t="shared" si="16"/>
        <v>0.024610254103985207</v>
      </c>
      <c r="AF14" s="75">
        <f t="shared" si="17"/>
        <v>-0.16436390489932495</v>
      </c>
      <c r="AG14" s="75">
        <f t="shared" si="18"/>
        <v>0.4826816700325889</v>
      </c>
      <c r="AH14" s="75">
        <f t="shared" si="18"/>
        <v>-0.04410925690755907</v>
      </c>
      <c r="AI14" s="75">
        <f t="shared" si="18"/>
        <v>-0.11132238979345332</v>
      </c>
    </row>
    <row r="15" spans="2:35" ht="12">
      <c r="B15" s="34" t="s">
        <v>34</v>
      </c>
      <c r="C15" s="65">
        <v>8874.97348036</v>
      </c>
      <c r="D15" s="7">
        <v>10881.97956473</v>
      </c>
      <c r="E15" s="26">
        <v>11237.58740816</v>
      </c>
      <c r="F15" s="47">
        <v>8896.537183530001</v>
      </c>
      <c r="G15" s="47">
        <v>10893.20679218</v>
      </c>
      <c r="H15" s="47">
        <v>10876.13364355</v>
      </c>
      <c r="I15" s="47">
        <v>11302.87337507</v>
      </c>
      <c r="J15" s="58">
        <v>12349.119826139999</v>
      </c>
      <c r="K15" s="58">
        <v>12846.20039878</v>
      </c>
      <c r="L15" s="58">
        <v>14746.266114889999</v>
      </c>
      <c r="M15" s="58">
        <v>15041.67070269</v>
      </c>
      <c r="N15" s="58">
        <v>13380.37789181</v>
      </c>
      <c r="O15" s="58">
        <v>13713.51872969</v>
      </c>
      <c r="P15" s="58">
        <v>11509.56865886</v>
      </c>
      <c r="Q15" s="58">
        <v>17068.26817435</v>
      </c>
      <c r="R15" s="7">
        <v>15657.59718614</v>
      </c>
      <c r="S15" s="7">
        <v>13690.57969986</v>
      </c>
      <c r="T15" s="75">
        <f t="shared" si="5"/>
        <v>0.2261422063752001</v>
      </c>
      <c r="U15" s="75">
        <f t="shared" si="6"/>
        <v>0.032678598715859986</v>
      </c>
      <c r="V15" s="75">
        <f t="shared" si="7"/>
        <v>-0.20832320493721646</v>
      </c>
      <c r="W15" s="75">
        <f t="shared" si="8"/>
        <v>0.22443222204999014</v>
      </c>
      <c r="X15" s="75">
        <f t="shared" si="9"/>
        <v>-0.0015673207124147215</v>
      </c>
      <c r="Y15" s="75">
        <f t="shared" si="10"/>
        <v>0.039236344964653336</v>
      </c>
      <c r="Z15" s="75">
        <f t="shared" si="11"/>
        <v>0.09256464408224163</v>
      </c>
      <c r="AA15" s="75">
        <f t="shared" si="12"/>
        <v>0.04025230782746192</v>
      </c>
      <c r="AB15" s="75">
        <f t="shared" si="13"/>
        <v>0.1479087712418412</v>
      </c>
      <c r="AC15" s="75">
        <f t="shared" si="14"/>
        <v>0.020032500803828457</v>
      </c>
      <c r="AD15" s="75">
        <f t="shared" si="15"/>
        <v>-0.11044602981388896</v>
      </c>
      <c r="AE15" s="75">
        <f t="shared" si="16"/>
        <v>0.024897715189637015</v>
      </c>
      <c r="AF15" s="75">
        <f t="shared" si="17"/>
        <v>-0.16071368073158432</v>
      </c>
      <c r="AG15" s="75">
        <f t="shared" si="18"/>
        <v>0.482963322105989</v>
      </c>
      <c r="AH15" s="75">
        <f t="shared" si="18"/>
        <v>-0.08264874759408458</v>
      </c>
      <c r="AI15" s="75">
        <f t="shared" si="18"/>
        <v>-0.12562703350301985</v>
      </c>
    </row>
    <row r="16" spans="2:35" ht="12">
      <c r="B16" s="34" t="s">
        <v>35</v>
      </c>
      <c r="C16" s="65">
        <v>2115.75717606</v>
      </c>
      <c r="D16" s="7">
        <v>2306.12073438</v>
      </c>
      <c r="E16" s="26">
        <v>2374.9883401999996</v>
      </c>
      <c r="F16" s="47">
        <v>1949.83884944</v>
      </c>
      <c r="G16" s="47">
        <v>1887.11399245</v>
      </c>
      <c r="H16" s="47">
        <v>1969.2160845399999</v>
      </c>
      <c r="I16" s="47">
        <v>2155.24305744</v>
      </c>
      <c r="J16" s="58">
        <v>2264.37741451</v>
      </c>
      <c r="K16" s="58">
        <v>2257.24877142</v>
      </c>
      <c r="L16" s="58">
        <v>2264.75033682</v>
      </c>
      <c r="M16" s="58">
        <v>2379.70502452</v>
      </c>
      <c r="N16" s="58">
        <v>2084.32995728</v>
      </c>
      <c r="O16" s="58">
        <v>2131.77950921</v>
      </c>
      <c r="P16" s="58">
        <v>1731.3344872</v>
      </c>
      <c r="Q16" s="58">
        <v>2563.77621499</v>
      </c>
      <c r="R16" s="7">
        <v>3108.49231361</v>
      </c>
      <c r="S16" s="7">
        <v>2986.4238696999996</v>
      </c>
      <c r="T16" s="75">
        <f t="shared" si="5"/>
        <v>0.08997419953196073</v>
      </c>
      <c r="U16" s="75">
        <f t="shared" si="6"/>
        <v>0.02986296631972074</v>
      </c>
      <c r="V16" s="75">
        <f t="shared" si="7"/>
        <v>-0.1790111907346027</v>
      </c>
      <c r="W16" s="75">
        <f t="shared" si="8"/>
        <v>-0.032169251837409485</v>
      </c>
      <c r="X16" s="75">
        <f t="shared" si="9"/>
        <v>0.04350669457090306</v>
      </c>
      <c r="Y16" s="75">
        <f t="shared" si="10"/>
        <v>0.09446752662669589</v>
      </c>
      <c r="Z16" s="75">
        <f t="shared" si="11"/>
        <v>0.05063668187829817</v>
      </c>
      <c r="AA16" s="75">
        <f t="shared" si="12"/>
        <v>-0.003148169136611201</v>
      </c>
      <c r="AB16" s="75">
        <f t="shared" si="13"/>
        <v>0.0033233223980362325</v>
      </c>
      <c r="AC16" s="75">
        <f t="shared" si="14"/>
        <v>0.05075821640517386</v>
      </c>
      <c r="AD16" s="75">
        <f t="shared" si="15"/>
        <v>-0.1241225547689796</v>
      </c>
      <c r="AE16" s="75">
        <f t="shared" si="16"/>
        <v>0.02276489466759868</v>
      </c>
      <c r="AF16" s="75">
        <f t="shared" si="17"/>
        <v>-0.187845422230556</v>
      </c>
      <c r="AG16" s="75">
        <f t="shared" si="18"/>
        <v>0.48080930284954126</v>
      </c>
      <c r="AH16" s="75">
        <f t="shared" si="18"/>
        <v>0.21246632035788848</v>
      </c>
      <c r="AI16" s="75">
        <f t="shared" si="18"/>
        <v>-0.03926934075903765</v>
      </c>
    </row>
    <row r="17" spans="2:35" ht="12">
      <c r="B17" s="33" t="s">
        <v>24</v>
      </c>
      <c r="C17" s="65">
        <v>56.60259588</v>
      </c>
      <c r="D17" s="47">
        <f aca="true" t="shared" si="22" ref="D17:I17">+D18+D19</f>
        <v>-903.8491937300001</v>
      </c>
      <c r="E17" s="47">
        <f t="shared" si="22"/>
        <v>161.80977331000003</v>
      </c>
      <c r="F17" s="47">
        <f t="shared" si="22"/>
        <v>603.1340323799999</v>
      </c>
      <c r="G17" s="47">
        <f t="shared" si="22"/>
        <v>276.57534471</v>
      </c>
      <c r="H17" s="47">
        <f t="shared" si="22"/>
        <v>331.07342203</v>
      </c>
      <c r="I17" s="47">
        <f t="shared" si="22"/>
        <v>251.63769838</v>
      </c>
      <c r="J17" s="47">
        <f aca="true" t="shared" si="23" ref="J17:O17">+J18+J19+J20</f>
        <v>389.3361358</v>
      </c>
      <c r="K17" s="47">
        <f t="shared" si="23"/>
        <v>364.19590958000003</v>
      </c>
      <c r="L17" s="47">
        <f t="shared" si="23"/>
        <v>368.8088653</v>
      </c>
      <c r="M17" s="47">
        <f t="shared" si="23"/>
        <v>435.58439243000004</v>
      </c>
      <c r="N17" s="47">
        <f t="shared" si="23"/>
        <v>413.29036702999997</v>
      </c>
      <c r="O17" s="47">
        <f t="shared" si="23"/>
        <v>419.60743012</v>
      </c>
      <c r="P17" s="47">
        <f>+P18+P19+P20</f>
        <v>377.68857751</v>
      </c>
      <c r="Q17" s="47">
        <f>+Q18+Q19+Q20</f>
        <v>511.39554043</v>
      </c>
      <c r="R17" s="7">
        <f>+R18+R19+R20</f>
        <v>477.29599396</v>
      </c>
      <c r="S17" s="7">
        <f>+S18+S19+S20</f>
        <v>461.47463222</v>
      </c>
      <c r="T17" s="75">
        <f t="shared" si="5"/>
        <v>-16.968334661650506</v>
      </c>
      <c r="U17" s="75">
        <f t="shared" si="6"/>
        <v>-1.1790229768776408</v>
      </c>
      <c r="V17" s="75">
        <f t="shared" si="7"/>
        <v>2.72742647148079</v>
      </c>
      <c r="W17" s="75">
        <f t="shared" si="8"/>
        <v>-0.5414363477076255</v>
      </c>
      <c r="X17" s="75">
        <f t="shared" si="9"/>
        <v>0.19704604319355856</v>
      </c>
      <c r="Y17" s="75">
        <f t="shared" si="10"/>
        <v>-0.23993385866776706</v>
      </c>
      <c r="Z17" s="75">
        <f t="shared" si="11"/>
        <v>0.5472090958806204</v>
      </c>
      <c r="AA17" s="75">
        <f t="shared" si="12"/>
        <v>-0.06457203405571987</v>
      </c>
      <c r="AB17" s="75">
        <f t="shared" si="13"/>
        <v>0.012666138192819698</v>
      </c>
      <c r="AC17" s="75">
        <f t="shared" si="14"/>
        <v>0.18105727224231138</v>
      </c>
      <c r="AD17" s="75">
        <f t="shared" si="15"/>
        <v>-0.05118187379402672</v>
      </c>
      <c r="AE17" s="75">
        <f t="shared" si="16"/>
        <v>0.015284806020028796</v>
      </c>
      <c r="AF17" s="75">
        <f t="shared" si="17"/>
        <v>-0.09990016763528697</v>
      </c>
      <c r="AG17" s="75">
        <f t="shared" si="18"/>
        <v>0.3540137851176075</v>
      </c>
      <c r="AH17" s="75">
        <f t="shared" si="18"/>
        <v>-0.06667939740211237</v>
      </c>
      <c r="AI17" s="75">
        <f t="shared" si="18"/>
        <v>-0.03314790390075195</v>
      </c>
    </row>
    <row r="18" spans="2:35" ht="12">
      <c r="B18" s="34" t="s">
        <v>36</v>
      </c>
      <c r="C18" s="65">
        <v>56.60259588</v>
      </c>
      <c r="D18" s="7">
        <v>12.32167741</v>
      </c>
      <c r="E18" s="26">
        <v>15.48781896</v>
      </c>
      <c r="F18" s="47">
        <v>11.7878715</v>
      </c>
      <c r="G18" s="47">
        <v>11.276697</v>
      </c>
      <c r="H18" s="47">
        <v>13.49323003</v>
      </c>
      <c r="I18" s="47">
        <v>10.5875295</v>
      </c>
      <c r="J18" s="58">
        <v>18.273318839999998</v>
      </c>
      <c r="K18" s="58">
        <v>13.2138225</v>
      </c>
      <c r="L18" s="58">
        <v>13.4438175</v>
      </c>
      <c r="M18" s="58">
        <v>16.131756</v>
      </c>
      <c r="N18" s="58">
        <v>14.0115435</v>
      </c>
      <c r="O18" s="58">
        <v>14.0609535</v>
      </c>
      <c r="P18" s="58">
        <v>13.162116</v>
      </c>
      <c r="Q18" s="58">
        <v>17.615805</v>
      </c>
      <c r="R18" s="7">
        <v>14.7833265</v>
      </c>
      <c r="S18" s="7">
        <v>15.5387805</v>
      </c>
      <c r="T18" s="75">
        <f t="shared" si="5"/>
        <v>-0.7823125031911522</v>
      </c>
      <c r="U18" s="75">
        <f t="shared" si="6"/>
        <v>0.25695702335385207</v>
      </c>
      <c r="V18" s="75">
        <f t="shared" si="7"/>
        <v>-0.2388940282395967</v>
      </c>
      <c r="W18" s="75">
        <f t="shared" si="8"/>
        <v>-0.04336444454794064</v>
      </c>
      <c r="X18" s="75">
        <f t="shared" si="9"/>
        <v>0.1965587112964018</v>
      </c>
      <c r="Y18" s="75">
        <f t="shared" si="10"/>
        <v>-0.21534506738117165</v>
      </c>
      <c r="Z18" s="75">
        <f t="shared" si="11"/>
        <v>0.7259284935168302</v>
      </c>
      <c r="AA18" s="75">
        <f t="shared" si="12"/>
        <v>-0.27687889563470236</v>
      </c>
      <c r="AB18" s="75">
        <f t="shared" si="13"/>
        <v>0.017405637165173182</v>
      </c>
      <c r="AC18" s="75">
        <f t="shared" si="14"/>
        <v>0.1999386335019795</v>
      </c>
      <c r="AD18" s="75">
        <f t="shared" si="15"/>
        <v>-0.1314309799875475</v>
      </c>
      <c r="AE18" s="75">
        <f t="shared" si="16"/>
        <v>0.0035263780896086505</v>
      </c>
      <c r="AF18" s="75">
        <f t="shared" si="17"/>
        <v>-0.0639243633086477</v>
      </c>
      <c r="AG18" s="75">
        <f t="shared" si="18"/>
        <v>0.33837180890975294</v>
      </c>
      <c r="AH18" s="75">
        <f t="shared" si="18"/>
        <v>-0.16079188546875955</v>
      </c>
      <c r="AI18" s="75">
        <f t="shared" si="18"/>
        <v>0.05110175981028364</v>
      </c>
    </row>
    <row r="19" spans="2:35" ht="12">
      <c r="B19" s="34" t="s">
        <v>37</v>
      </c>
      <c r="C19" s="65">
        <v>0</v>
      </c>
      <c r="D19" s="7">
        <v>-916.1708711400001</v>
      </c>
      <c r="E19" s="26">
        <v>146.32195435000003</v>
      </c>
      <c r="F19" s="47">
        <v>591.3461608799998</v>
      </c>
      <c r="G19" s="47">
        <v>265.29864771</v>
      </c>
      <c r="H19" s="47">
        <v>317.580192</v>
      </c>
      <c r="I19" s="47">
        <v>241.05016888</v>
      </c>
      <c r="J19" s="58">
        <v>263.98341571000003</v>
      </c>
      <c r="K19" s="58">
        <v>230.74925533</v>
      </c>
      <c r="L19" s="58">
        <v>231.86527755</v>
      </c>
      <c r="M19" s="58">
        <v>291.56784593000003</v>
      </c>
      <c r="N19" s="58">
        <v>269.23552103</v>
      </c>
      <c r="O19" s="58">
        <v>275.63842501</v>
      </c>
      <c r="P19" s="58">
        <v>244.72154951</v>
      </c>
      <c r="Q19" s="58">
        <v>350.37849743</v>
      </c>
      <c r="R19" s="7">
        <v>302.30028846</v>
      </c>
      <c r="S19" s="7">
        <v>304.75351372</v>
      </c>
      <c r="T19" s="149" t="e">
        <f t="shared" si="5"/>
        <v>#DIV/0!</v>
      </c>
      <c r="U19" s="75">
        <f t="shared" si="6"/>
        <v>-1.1597103323836635</v>
      </c>
      <c r="V19" s="75">
        <f t="shared" si="7"/>
        <v>3.041404200120976</v>
      </c>
      <c r="W19" s="75">
        <f t="shared" si="8"/>
        <v>-0.5513648937617162</v>
      </c>
      <c r="X19" s="75">
        <f t="shared" si="9"/>
        <v>0.19706675756278025</v>
      </c>
      <c r="Y19" s="75">
        <f t="shared" si="10"/>
        <v>-0.24097857816018953</v>
      </c>
      <c r="Z19" s="75">
        <f t="shared" si="11"/>
        <v>0.09513889551106969</v>
      </c>
      <c r="AA19" s="75">
        <f t="shared" si="12"/>
        <v>-0.12589487976210423</v>
      </c>
      <c r="AB19" s="75">
        <f t="shared" si="13"/>
        <v>0.004836514936544134</v>
      </c>
      <c r="AC19" s="75">
        <f t="shared" si="14"/>
        <v>0.2574881802521105</v>
      </c>
      <c r="AD19" s="75">
        <f t="shared" si="15"/>
        <v>-0.07659392217536098</v>
      </c>
      <c r="AE19" s="75">
        <f t="shared" si="16"/>
        <v>0.02378179504511424</v>
      </c>
      <c r="AF19" s="75">
        <f t="shared" si="17"/>
        <v>-0.11216460658153293</v>
      </c>
      <c r="AG19" s="75">
        <f t="shared" si="18"/>
        <v>0.43174353926556264</v>
      </c>
      <c r="AH19" s="75">
        <f t="shared" si="18"/>
        <v>-0.13721792097017949</v>
      </c>
      <c r="AI19" s="75">
        <f t="shared" si="18"/>
        <v>0.00811519324873089</v>
      </c>
    </row>
    <row r="20" spans="2:35" ht="12">
      <c r="B20" s="34" t="s">
        <v>48</v>
      </c>
      <c r="C20" s="65"/>
      <c r="D20" s="7"/>
      <c r="E20" s="26"/>
      <c r="F20" s="47"/>
      <c r="G20" s="47"/>
      <c r="H20" s="47"/>
      <c r="I20" s="47"/>
      <c r="J20" s="58">
        <v>107.07940125</v>
      </c>
      <c r="K20" s="58">
        <v>120.23283175</v>
      </c>
      <c r="L20" s="58">
        <v>123.49977025</v>
      </c>
      <c r="M20" s="58">
        <v>127.8847905</v>
      </c>
      <c r="N20" s="58">
        <v>130.0433025</v>
      </c>
      <c r="O20" s="58">
        <v>129.90805161</v>
      </c>
      <c r="P20" s="58">
        <v>119.804912</v>
      </c>
      <c r="Q20" s="58">
        <v>143.401238</v>
      </c>
      <c r="R20" s="7">
        <v>160.212379</v>
      </c>
      <c r="S20" s="7">
        <v>141.182338</v>
      </c>
      <c r="T20" s="149" t="e">
        <f t="shared" si="5"/>
        <v>#DIV/0!</v>
      </c>
      <c r="U20" s="149" t="e">
        <f t="shared" si="6"/>
        <v>#DIV/0!</v>
      </c>
      <c r="V20" s="149" t="e">
        <f t="shared" si="7"/>
        <v>#DIV/0!</v>
      </c>
      <c r="W20" s="149" t="e">
        <f t="shared" si="8"/>
        <v>#DIV/0!</v>
      </c>
      <c r="X20" s="149" t="e">
        <f t="shared" si="9"/>
        <v>#DIV/0!</v>
      </c>
      <c r="Y20" s="149" t="e">
        <f t="shared" si="10"/>
        <v>#DIV/0!</v>
      </c>
      <c r="Z20" s="149" t="e">
        <f t="shared" si="11"/>
        <v>#DIV/0!</v>
      </c>
      <c r="AA20" s="75">
        <f t="shared" si="12"/>
        <v>0.12283810281391538</v>
      </c>
      <c r="AB20" s="75">
        <f t="shared" si="13"/>
        <v>0.02717176708266278</v>
      </c>
      <c r="AC20" s="75">
        <f t="shared" si="14"/>
        <v>0.035506302895328634</v>
      </c>
      <c r="AD20" s="75">
        <f t="shared" si="15"/>
        <v>0.016878566962972963</v>
      </c>
      <c r="AE20" s="75">
        <f t="shared" si="16"/>
        <v>-0.001040045026540315</v>
      </c>
      <c r="AF20" s="75">
        <f t="shared" si="17"/>
        <v>-0.07777146593138717</v>
      </c>
      <c r="AG20" s="75">
        <f t="shared" si="18"/>
        <v>0.19695624833813152</v>
      </c>
      <c r="AH20" s="75">
        <f t="shared" si="18"/>
        <v>0.11723149140455802</v>
      </c>
      <c r="AI20" s="75">
        <f t="shared" si="18"/>
        <v>-0.1187800912687278</v>
      </c>
    </row>
    <row r="21" spans="2:35" ht="12">
      <c r="B21" s="33" t="s">
        <v>25</v>
      </c>
      <c r="C21" s="65">
        <v>53517.170489879994</v>
      </c>
      <c r="D21" s="47">
        <f aca="true" t="shared" si="24" ref="D21:O21">+D22+D23</f>
        <v>87746.52865051001</v>
      </c>
      <c r="E21" s="47">
        <f t="shared" si="24"/>
        <v>71790.00972503</v>
      </c>
      <c r="F21" s="47">
        <f t="shared" si="24"/>
        <v>75207.72081268</v>
      </c>
      <c r="G21" s="47">
        <f t="shared" si="24"/>
        <v>82397.91851611</v>
      </c>
      <c r="H21" s="47">
        <f t="shared" si="24"/>
        <v>94301.25654122</v>
      </c>
      <c r="I21" s="47">
        <f t="shared" si="24"/>
        <v>98252.50161779</v>
      </c>
      <c r="J21" s="47">
        <f t="shared" si="24"/>
        <v>113564.75050735999</v>
      </c>
      <c r="K21" s="47">
        <f t="shared" si="24"/>
        <v>115523.03178534</v>
      </c>
      <c r="L21" s="47">
        <f t="shared" si="24"/>
        <v>130639.20084076999</v>
      </c>
      <c r="M21" s="47">
        <f t="shared" si="24"/>
        <v>123464.17501627</v>
      </c>
      <c r="N21" s="47">
        <f t="shared" si="24"/>
        <v>122107.58062408</v>
      </c>
      <c r="O21" s="47">
        <f t="shared" si="24"/>
        <v>129603.88407358999</v>
      </c>
      <c r="P21" s="47">
        <f>+P22+P23</f>
        <v>156131.56535284</v>
      </c>
      <c r="Q21" s="47">
        <f>+Q22+Q23</f>
        <v>223509.28676886</v>
      </c>
      <c r="R21" s="7">
        <f>+R22+R23</f>
        <v>209104.27373770002</v>
      </c>
      <c r="S21" s="7">
        <f>+S22+S23</f>
        <v>198128.28252636</v>
      </c>
      <c r="T21" s="75">
        <f t="shared" si="5"/>
        <v>0.6395958128448276</v>
      </c>
      <c r="U21" s="75">
        <f t="shared" si="6"/>
        <v>-0.18184786533304376</v>
      </c>
      <c r="V21" s="75">
        <f t="shared" si="7"/>
        <v>0.04760705703677304</v>
      </c>
      <c r="W21" s="75">
        <f t="shared" si="8"/>
        <v>0.09560451541057402</v>
      </c>
      <c r="X21" s="75">
        <f t="shared" si="9"/>
        <v>0.14446163494752273</v>
      </c>
      <c r="Y21" s="75">
        <f t="shared" si="10"/>
        <v>0.04190023782814456</v>
      </c>
      <c r="Z21" s="75">
        <f t="shared" si="11"/>
        <v>0.1558458933609228</v>
      </c>
      <c r="AA21" s="75">
        <f t="shared" si="12"/>
        <v>0.0172437421755538</v>
      </c>
      <c r="AB21" s="75">
        <f t="shared" si="13"/>
        <v>0.1308498298721783</v>
      </c>
      <c r="AC21" s="75">
        <f t="shared" si="14"/>
        <v>-0.05492245649332539</v>
      </c>
      <c r="AD21" s="75">
        <f t="shared" si="15"/>
        <v>-0.010987757315117808</v>
      </c>
      <c r="AE21" s="75">
        <f t="shared" si="16"/>
        <v>0.061390975164663075</v>
      </c>
      <c r="AF21" s="75">
        <f t="shared" si="17"/>
        <v>0.20468276447785638</v>
      </c>
      <c r="AG21" s="75">
        <f t="shared" si="18"/>
        <v>0.4315445199294188</v>
      </c>
      <c r="AH21" s="75">
        <f t="shared" si="18"/>
        <v>-0.06444928190414212</v>
      </c>
      <c r="AI21" s="75">
        <f t="shared" si="18"/>
        <v>-0.05249051592847054</v>
      </c>
    </row>
    <row r="22" spans="2:35" ht="12">
      <c r="B22" s="34" t="s">
        <v>26</v>
      </c>
      <c r="C22" s="65">
        <v>23976.58191506</v>
      </c>
      <c r="D22" s="7">
        <v>50104.105873860004</v>
      </c>
      <c r="E22" s="26">
        <v>37735.57622473</v>
      </c>
      <c r="F22" s="47">
        <v>39031.72908113</v>
      </c>
      <c r="G22" s="47">
        <v>43114.20983407</v>
      </c>
      <c r="H22" s="47">
        <v>49654.78949728</v>
      </c>
      <c r="I22" s="47">
        <v>54529.60602392</v>
      </c>
      <c r="J22" s="58">
        <v>68079.08495034</v>
      </c>
      <c r="K22" s="58">
        <v>64126.70888161</v>
      </c>
      <c r="L22" s="58">
        <v>76059.33055336999</v>
      </c>
      <c r="M22" s="58">
        <v>64916.93328523001</v>
      </c>
      <c r="N22" s="58">
        <v>66631.84629924</v>
      </c>
      <c r="O22" s="58">
        <v>72507.27488189</v>
      </c>
      <c r="P22" s="58">
        <v>102024.54832725</v>
      </c>
      <c r="Q22" s="130">
        <v>141555.55849539003</v>
      </c>
      <c r="R22" s="7">
        <v>118587.96461896</v>
      </c>
      <c r="S22" s="7">
        <v>124985.39583295</v>
      </c>
      <c r="T22" s="75">
        <f t="shared" si="5"/>
        <v>1.0897101201230428</v>
      </c>
      <c r="U22" s="75">
        <f t="shared" si="6"/>
        <v>-0.24685660852363067</v>
      </c>
      <c r="V22" s="75">
        <f t="shared" si="7"/>
        <v>0.03434829903433578</v>
      </c>
      <c r="W22" s="75">
        <f t="shared" si="8"/>
        <v>0.10459389960548005</v>
      </c>
      <c r="X22" s="75">
        <f t="shared" si="9"/>
        <v>0.15170357263607914</v>
      </c>
      <c r="Y22" s="75">
        <f t="shared" si="10"/>
        <v>0.09817414545493208</v>
      </c>
      <c r="Z22" s="75">
        <f t="shared" si="11"/>
        <v>0.24847931086236663</v>
      </c>
      <c r="AA22" s="75">
        <f t="shared" si="12"/>
        <v>-0.058055657939777516</v>
      </c>
      <c r="AB22" s="75">
        <f t="shared" si="13"/>
        <v>0.1860788099041517</v>
      </c>
      <c r="AC22" s="75">
        <f t="shared" si="14"/>
        <v>-0.14649612594632933</v>
      </c>
      <c r="AD22" s="75">
        <f t="shared" si="15"/>
        <v>0.0264170367764458</v>
      </c>
      <c r="AE22" s="75">
        <f t="shared" si="16"/>
        <v>0.08817748432579475</v>
      </c>
      <c r="AF22" s="75">
        <f t="shared" si="17"/>
        <v>0.40709395703316487</v>
      </c>
      <c r="AG22" s="75">
        <f t="shared" si="18"/>
        <v>0.3874656719022356</v>
      </c>
      <c r="AH22" s="75">
        <f t="shared" si="18"/>
        <v>-0.1622514447370006</v>
      </c>
      <c r="AI22" s="75">
        <f t="shared" si="18"/>
        <v>0.05394671571053489</v>
      </c>
    </row>
    <row r="23" spans="2:35" ht="12">
      <c r="B23" s="34" t="s">
        <v>27</v>
      </c>
      <c r="C23" s="65">
        <v>29540.588574819998</v>
      </c>
      <c r="D23" s="7">
        <v>37642.422776650004</v>
      </c>
      <c r="E23" s="26">
        <v>34054.4335003</v>
      </c>
      <c r="F23" s="47">
        <v>36175.991731550006</v>
      </c>
      <c r="G23" s="47">
        <v>39283.70868204</v>
      </c>
      <c r="H23" s="47">
        <v>44646.46704394</v>
      </c>
      <c r="I23" s="47">
        <v>43722.89559387</v>
      </c>
      <c r="J23" s="58">
        <v>45485.665557019995</v>
      </c>
      <c r="K23" s="58">
        <v>51396.322903730004</v>
      </c>
      <c r="L23" s="58">
        <v>54579.8702874</v>
      </c>
      <c r="M23" s="58">
        <v>58547.24173104</v>
      </c>
      <c r="N23" s="58">
        <v>55475.73432484</v>
      </c>
      <c r="O23" s="58">
        <v>57096.609191699994</v>
      </c>
      <c r="P23" s="58">
        <v>54107.017025589994</v>
      </c>
      <c r="Q23" s="58">
        <v>81953.72827347</v>
      </c>
      <c r="R23" s="7">
        <v>90516.30911874</v>
      </c>
      <c r="S23" s="7">
        <v>73142.88669341001</v>
      </c>
      <c r="T23" s="75">
        <f t="shared" si="5"/>
        <v>0.2742610960952856</v>
      </c>
      <c r="U23" s="75">
        <f t="shared" si="6"/>
        <v>-0.09531770305113496</v>
      </c>
      <c r="V23" s="75">
        <f t="shared" si="7"/>
        <v>0.06229903167325679</v>
      </c>
      <c r="W23" s="75">
        <f t="shared" si="8"/>
        <v>0.0859055080936364</v>
      </c>
      <c r="X23" s="75">
        <f t="shared" si="9"/>
        <v>0.13651354573739072</v>
      </c>
      <c r="Y23" s="75">
        <f t="shared" si="10"/>
        <v>-0.020686327748196565</v>
      </c>
      <c r="Z23" s="75">
        <f t="shared" si="11"/>
        <v>0.04031686234882237</v>
      </c>
      <c r="AA23" s="75">
        <f t="shared" si="12"/>
        <v>0.12994549545066048</v>
      </c>
      <c r="AB23" s="75">
        <f t="shared" si="13"/>
        <v>0.06194115072459705</v>
      </c>
      <c r="AC23" s="75">
        <f t="shared" si="14"/>
        <v>0.07268927944953152</v>
      </c>
      <c r="AD23" s="75">
        <f t="shared" si="15"/>
        <v>-0.05246203433989571</v>
      </c>
      <c r="AE23" s="75">
        <f t="shared" si="16"/>
        <v>0.029217727112342606</v>
      </c>
      <c r="AF23" s="75">
        <f t="shared" si="17"/>
        <v>-0.05236024009889173</v>
      </c>
      <c r="AG23" s="75">
        <f t="shared" si="18"/>
        <v>0.5146598866226513</v>
      </c>
      <c r="AH23" s="75">
        <f t="shared" si="18"/>
        <v>0.10448067495718649</v>
      </c>
      <c r="AI23" s="75">
        <f t="shared" si="18"/>
        <v>-0.19193692931667594</v>
      </c>
    </row>
    <row r="24" spans="2:35" ht="12">
      <c r="B24" s="33" t="s">
        <v>28</v>
      </c>
      <c r="C24" s="65">
        <v>9953.96215327</v>
      </c>
      <c r="D24" s="47">
        <f aca="true" t="shared" si="25" ref="D24:O24">+D25+D26</f>
        <v>17166.57332909</v>
      </c>
      <c r="E24" s="47">
        <f t="shared" si="25"/>
        <v>10466.77359506</v>
      </c>
      <c r="F24" s="47">
        <f t="shared" si="25"/>
        <v>11382.11373127</v>
      </c>
      <c r="G24" s="47">
        <f t="shared" si="25"/>
        <v>14024.00634425</v>
      </c>
      <c r="H24" s="47">
        <f t="shared" si="25"/>
        <v>15032.62536449</v>
      </c>
      <c r="I24" s="47">
        <f t="shared" si="25"/>
        <v>15673.12763327</v>
      </c>
      <c r="J24" s="47">
        <f t="shared" si="25"/>
        <v>14711.9287346</v>
      </c>
      <c r="K24" s="47">
        <f t="shared" si="25"/>
        <v>17194.54622416</v>
      </c>
      <c r="L24" s="47">
        <f t="shared" si="25"/>
        <v>19483.809244440003</v>
      </c>
      <c r="M24" s="47">
        <f t="shared" si="25"/>
        <v>19373.56046537</v>
      </c>
      <c r="N24" s="47">
        <f t="shared" si="25"/>
        <v>17816.91687441</v>
      </c>
      <c r="O24" s="47">
        <f t="shared" si="25"/>
        <v>16014.97120661</v>
      </c>
      <c r="P24" s="47">
        <f>+P25+P26</f>
        <v>14716.38652581</v>
      </c>
      <c r="Q24" s="47">
        <f>+Q25+Q26</f>
        <v>24128.09528141</v>
      </c>
      <c r="R24" s="7">
        <f>+R25+R26</f>
        <v>25459.096273040002</v>
      </c>
      <c r="S24" s="7">
        <f>+S25+S26</f>
        <v>21911.849728549998</v>
      </c>
      <c r="T24" s="75">
        <f t="shared" si="5"/>
        <v>0.7245970061731213</v>
      </c>
      <c r="U24" s="75">
        <f t="shared" si="6"/>
        <v>-0.39028171817358004</v>
      </c>
      <c r="V24" s="75">
        <f t="shared" si="7"/>
        <v>0.08745198583850256</v>
      </c>
      <c r="W24" s="75">
        <f t="shared" si="8"/>
        <v>0.23210913854444692</v>
      </c>
      <c r="X24" s="75">
        <f t="shared" si="9"/>
        <v>0.07192089018510361</v>
      </c>
      <c r="Y24" s="75">
        <f t="shared" si="10"/>
        <v>0.04260747894995043</v>
      </c>
      <c r="Z24" s="75">
        <f t="shared" si="11"/>
        <v>-0.06132782946459414</v>
      </c>
      <c r="AA24" s="75">
        <f t="shared" si="12"/>
        <v>0.16874860763302224</v>
      </c>
      <c r="AB24" s="75">
        <f t="shared" si="13"/>
        <v>0.13313890290767705</v>
      </c>
      <c r="AC24" s="75">
        <f t="shared" si="14"/>
        <v>-0.005658481752045752</v>
      </c>
      <c r="AD24" s="75">
        <f t="shared" si="15"/>
        <v>-0.08034886482236869</v>
      </c>
      <c r="AE24" s="75">
        <f t="shared" si="16"/>
        <v>-0.10113678368158574</v>
      </c>
      <c r="AF24" s="75">
        <f t="shared" si="17"/>
        <v>-0.08108567065447014</v>
      </c>
      <c r="AG24" s="75">
        <f t="shared" si="18"/>
        <v>0.63953938278894</v>
      </c>
      <c r="AH24" s="75">
        <f t="shared" si="18"/>
        <v>0.055163947924870005</v>
      </c>
      <c r="AI24" s="75">
        <f t="shared" si="18"/>
        <v>-0.1393312043148356</v>
      </c>
    </row>
    <row r="25" spans="2:35" ht="12">
      <c r="B25" s="34" t="s">
        <v>26</v>
      </c>
      <c r="C25" s="65">
        <v>1508.88751714</v>
      </c>
      <c r="D25" s="7">
        <v>1626.15607377</v>
      </c>
      <c r="E25" s="26">
        <v>1510.161199</v>
      </c>
      <c r="F25" s="47">
        <v>1952.59026754</v>
      </c>
      <c r="G25" s="47">
        <v>1797.5635590999998</v>
      </c>
      <c r="H25" s="47">
        <v>1708.7982933199999</v>
      </c>
      <c r="I25" s="47">
        <v>2274.17524244</v>
      </c>
      <c r="J25" s="58">
        <v>2025.8811200799998</v>
      </c>
      <c r="K25" s="58">
        <v>2221.86591946</v>
      </c>
      <c r="L25" s="58">
        <v>1653.34191044</v>
      </c>
      <c r="M25" s="58">
        <v>2176.9704328400003</v>
      </c>
      <c r="N25" s="58">
        <v>1554.8307086</v>
      </c>
      <c r="O25" s="58">
        <v>1605.34662213</v>
      </c>
      <c r="P25" s="58">
        <v>1013.429527</v>
      </c>
      <c r="Q25" s="58">
        <v>2282.625677</v>
      </c>
      <c r="R25" s="7">
        <v>1160.016627</v>
      </c>
      <c r="S25" s="7">
        <v>1073.15524</v>
      </c>
      <c r="T25" s="75">
        <f t="shared" si="5"/>
        <v>0.07771855443026987</v>
      </c>
      <c r="U25" s="75">
        <f t="shared" si="6"/>
        <v>-0.07133071458576745</v>
      </c>
      <c r="V25" s="75">
        <f t="shared" si="7"/>
        <v>0.2929681075324728</v>
      </c>
      <c r="W25" s="75">
        <f t="shared" si="8"/>
        <v>-0.07939541183686882</v>
      </c>
      <c r="X25" s="75">
        <f t="shared" si="9"/>
        <v>-0.049380877427467884</v>
      </c>
      <c r="Y25" s="75">
        <f t="shared" si="10"/>
        <v>0.3308623091035148</v>
      </c>
      <c r="Z25" s="75">
        <f t="shared" si="11"/>
        <v>-0.10917985462439628</v>
      </c>
      <c r="AA25" s="75">
        <f t="shared" si="12"/>
        <v>0.09674052314198023</v>
      </c>
      <c r="AB25" s="75">
        <f t="shared" si="13"/>
        <v>-0.2558768303886553</v>
      </c>
      <c r="AC25" s="75">
        <f t="shared" si="14"/>
        <v>0.31670915682567324</v>
      </c>
      <c r="AD25" s="75">
        <f t="shared" si="15"/>
        <v>-0.2857823491099869</v>
      </c>
      <c r="AE25" s="75">
        <f t="shared" si="16"/>
        <v>0.032489655144183116</v>
      </c>
      <c r="AF25" s="75">
        <f t="shared" si="17"/>
        <v>-0.36871606852396444</v>
      </c>
      <c r="AG25" s="75">
        <f t="shared" si="18"/>
        <v>1.252377315033569</v>
      </c>
      <c r="AH25" s="75">
        <f t="shared" si="18"/>
        <v>-0.49180602028249243</v>
      </c>
      <c r="AI25" s="75">
        <f t="shared" si="18"/>
        <v>-0.07487943274109632</v>
      </c>
    </row>
    <row r="26" spans="2:35" ht="12">
      <c r="B26" s="34" t="s">
        <v>27</v>
      </c>
      <c r="C26" s="65">
        <v>8445.07463613</v>
      </c>
      <c r="D26" s="7">
        <v>15540.41725532</v>
      </c>
      <c r="E26" s="26">
        <v>8956.61239606</v>
      </c>
      <c r="F26" s="47">
        <v>9429.52346373</v>
      </c>
      <c r="G26" s="47">
        <v>12226.44278515</v>
      </c>
      <c r="H26" s="47">
        <v>13323.82707117</v>
      </c>
      <c r="I26" s="47">
        <v>13398.95239083</v>
      </c>
      <c r="J26" s="58">
        <v>12686.047614520001</v>
      </c>
      <c r="K26" s="58">
        <v>14972.680304700001</v>
      </c>
      <c r="L26" s="58">
        <v>17830.467334</v>
      </c>
      <c r="M26" s="58">
        <v>17196.59003253</v>
      </c>
      <c r="N26" s="58">
        <v>16262.08616581</v>
      </c>
      <c r="O26" s="58">
        <v>14409.62458448</v>
      </c>
      <c r="P26" s="58">
        <v>13702.95699881</v>
      </c>
      <c r="Q26" s="58">
        <v>21845.46960441</v>
      </c>
      <c r="R26" s="7">
        <v>24299.07964604</v>
      </c>
      <c r="S26" s="7">
        <v>20838.694488549998</v>
      </c>
      <c r="T26" s="75">
        <f t="shared" si="5"/>
        <v>0.8401752411795709</v>
      </c>
      <c r="U26" s="75">
        <f t="shared" si="6"/>
        <v>-0.4236568910018259</v>
      </c>
      <c r="V26" s="75">
        <f t="shared" si="7"/>
        <v>0.05280021583584804</v>
      </c>
      <c r="W26" s="75">
        <f t="shared" si="8"/>
        <v>0.29661300830080695</v>
      </c>
      <c r="X26" s="75">
        <f t="shared" si="9"/>
        <v>0.0897549929528858</v>
      </c>
      <c r="Y26" s="75">
        <f t="shared" si="10"/>
        <v>0.005638418996187333</v>
      </c>
      <c r="Z26" s="75">
        <f t="shared" si="11"/>
        <v>-0.05320600861287472</v>
      </c>
      <c r="AA26" s="75">
        <f t="shared" si="12"/>
        <v>0.18024784075087363</v>
      </c>
      <c r="AB26" s="75">
        <f t="shared" si="13"/>
        <v>0.19086676340794684</v>
      </c>
      <c r="AC26" s="75">
        <f t="shared" si="14"/>
        <v>-0.035550234864640595</v>
      </c>
      <c r="AD26" s="75">
        <f t="shared" si="15"/>
        <v>-0.054342393750868134</v>
      </c>
      <c r="AE26" s="75">
        <f t="shared" si="16"/>
        <v>-0.11391291144580717</v>
      </c>
      <c r="AF26" s="75">
        <f t="shared" si="17"/>
        <v>-0.04904135992766401</v>
      </c>
      <c r="AG26" s="75">
        <f t="shared" si="18"/>
        <v>0.5942157306855094</v>
      </c>
      <c r="AH26" s="75">
        <f t="shared" si="18"/>
        <v>0.11231665356988652</v>
      </c>
      <c r="AI26" s="75">
        <f t="shared" si="18"/>
        <v>-0.14240807503398345</v>
      </c>
    </row>
    <row r="27" spans="2:35" ht="12">
      <c r="B27" s="33" t="s">
        <v>31</v>
      </c>
      <c r="C27" s="65">
        <v>43573.19959586</v>
      </c>
      <c r="D27" s="7">
        <v>51857.34227471</v>
      </c>
      <c r="E27" s="26">
        <v>67557.91866518</v>
      </c>
      <c r="F27" s="47">
        <v>77666.51945728001</v>
      </c>
      <c r="G27" s="47">
        <v>95978.88899566</v>
      </c>
      <c r="H27" s="47">
        <v>115004.45879780999</v>
      </c>
      <c r="I27" s="47">
        <f>129673.08893021</f>
        <v>129673.08893021</v>
      </c>
      <c r="J27" s="58">
        <v>151794.97618403996</v>
      </c>
      <c r="K27" s="58">
        <v>152761.39234339</v>
      </c>
      <c r="L27" s="58">
        <v>184786.08341678</v>
      </c>
      <c r="M27" s="58">
        <v>175118.72699859</v>
      </c>
      <c r="N27" s="58">
        <v>196712.97338833002</v>
      </c>
      <c r="O27" s="58">
        <v>220521.85339141998</v>
      </c>
      <c r="P27" s="58">
        <v>207695.22942734</v>
      </c>
      <c r="Q27" s="130">
        <v>135243.20022386004</v>
      </c>
      <c r="R27" s="7">
        <v>210616.55947133</v>
      </c>
      <c r="S27" s="7">
        <v>223536.20523569</v>
      </c>
      <c r="T27" s="75">
        <f t="shared" si="5"/>
        <v>0.19012013704949715</v>
      </c>
      <c r="U27" s="75">
        <f t="shared" si="6"/>
        <v>0.3027647716170545</v>
      </c>
      <c r="V27" s="75">
        <f t="shared" si="7"/>
        <v>0.149628659257528</v>
      </c>
      <c r="W27" s="75">
        <f t="shared" si="8"/>
        <v>0.23578202894044442</v>
      </c>
      <c r="X27" s="75">
        <f t="shared" si="9"/>
        <v>0.19822661005182396</v>
      </c>
      <c r="Y27" s="75">
        <f t="shared" si="10"/>
        <v>0.12754836017435656</v>
      </c>
      <c r="Z27" s="75">
        <f t="shared" si="11"/>
        <v>0.1705973647757859</v>
      </c>
      <c r="AA27" s="75">
        <f t="shared" si="12"/>
        <v>0.006366588563368136</v>
      </c>
      <c r="AB27" s="75">
        <f t="shared" si="13"/>
        <v>0.2096386435219324</v>
      </c>
      <c r="AC27" s="75">
        <f t="shared" si="14"/>
        <v>-0.052316474484637165</v>
      </c>
      <c r="AD27" s="75">
        <f t="shared" si="15"/>
        <v>0.12331203384041212</v>
      </c>
      <c r="AE27" s="75">
        <f t="shared" si="16"/>
        <v>0.12103360339172431</v>
      </c>
      <c r="AF27" s="75">
        <f t="shared" si="17"/>
        <v>-0.05816486559866285</v>
      </c>
      <c r="AG27" s="75">
        <f t="shared" si="18"/>
        <v>-0.3488381962515251</v>
      </c>
      <c r="AH27" s="75">
        <f t="shared" si="18"/>
        <v>0.5573171821038612</v>
      </c>
      <c r="AI27" s="75">
        <f t="shared" si="18"/>
        <v>0.06134202266331612</v>
      </c>
    </row>
    <row r="28" spans="2:35" ht="14.25">
      <c r="B28" s="229" t="s">
        <v>143</v>
      </c>
      <c r="C28" s="65"/>
      <c r="D28" s="7"/>
      <c r="E28" s="26"/>
      <c r="F28" s="47"/>
      <c r="G28" s="47"/>
      <c r="H28" s="47"/>
      <c r="I28" s="47"/>
      <c r="J28" s="58"/>
      <c r="K28" s="58"/>
      <c r="L28" s="58"/>
      <c r="M28" s="58"/>
      <c r="N28" s="58"/>
      <c r="O28" s="58"/>
      <c r="P28" s="58"/>
      <c r="Q28" s="130"/>
      <c r="R28" s="7"/>
      <c r="S28" s="7">
        <v>-8105.86798564</v>
      </c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</row>
    <row r="29" spans="2:35" ht="14.25">
      <c r="B29" s="229" t="s">
        <v>144</v>
      </c>
      <c r="C29" s="65"/>
      <c r="D29" s="7"/>
      <c r="E29" s="26"/>
      <c r="F29" s="47"/>
      <c r="G29" s="47"/>
      <c r="H29" s="47"/>
      <c r="I29" s="47"/>
      <c r="J29" s="58"/>
      <c r="K29" s="58"/>
      <c r="L29" s="58"/>
      <c r="M29" s="58"/>
      <c r="N29" s="58"/>
      <c r="O29" s="58"/>
      <c r="P29" s="58"/>
      <c r="Q29" s="130"/>
      <c r="R29" s="7"/>
      <c r="S29" s="7">
        <v>519.12551665</v>
      </c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</row>
    <row r="30" spans="2:35" ht="12">
      <c r="B30" s="230" t="s">
        <v>32</v>
      </c>
      <c r="C30" s="65">
        <v>3602.12307709</v>
      </c>
      <c r="D30" s="7">
        <v>3378.70802358</v>
      </c>
      <c r="E30" s="26">
        <v>4107.00928859</v>
      </c>
      <c r="F30" s="47">
        <v>5322.655746189999</v>
      </c>
      <c r="G30" s="47">
        <v>5717.190019510001</v>
      </c>
      <c r="H30" s="47">
        <v>6246.07792815</v>
      </c>
      <c r="I30" s="47">
        <v>7168.654254100001</v>
      </c>
      <c r="J30" s="58">
        <v>4811.88615379</v>
      </c>
      <c r="K30" s="58">
        <v>5024.603073439999</v>
      </c>
      <c r="L30" s="58">
        <v>5251.809217569999</v>
      </c>
      <c r="M30" s="58">
        <v>59661.4932864</v>
      </c>
      <c r="N30" s="58">
        <v>6646.50019737</v>
      </c>
      <c r="O30" s="58">
        <v>15637.13493701</v>
      </c>
      <c r="P30" s="58">
        <v>6976.945228279999</v>
      </c>
      <c r="Q30" s="58">
        <v>8065.21668312</v>
      </c>
      <c r="R30" s="7">
        <v>40133.8343503</v>
      </c>
      <c r="S30" s="7">
        <v>45415.84254412</v>
      </c>
      <c r="T30" s="75">
        <f t="shared" si="5"/>
        <v>-0.062023159322609156</v>
      </c>
      <c r="U30" s="75">
        <f t="shared" si="6"/>
        <v>0.2155561415568279</v>
      </c>
      <c r="V30" s="75">
        <f t="shared" si="7"/>
        <v>0.29599311133219985</v>
      </c>
      <c r="W30" s="75">
        <f t="shared" si="8"/>
        <v>0.07412357517249024</v>
      </c>
      <c r="X30" s="75">
        <f t="shared" si="9"/>
        <v>0.09250836631897164</v>
      </c>
      <c r="Y30" s="75">
        <f t="shared" si="10"/>
        <v>0.14770490162988636</v>
      </c>
      <c r="Z30" s="75">
        <f t="shared" si="11"/>
        <v>-0.3287601852135753</v>
      </c>
      <c r="AA30" s="75">
        <f t="shared" si="12"/>
        <v>0.04420655702389298</v>
      </c>
      <c r="AB30" s="75">
        <f t="shared" si="13"/>
        <v>0.04521872490406453</v>
      </c>
      <c r="AC30" s="75">
        <f t="shared" si="14"/>
        <v>10.360179095387101</v>
      </c>
      <c r="AD30" s="75">
        <f t="shared" si="15"/>
        <v>-0.8885964827352874</v>
      </c>
      <c r="AE30" s="75">
        <f t="shared" si="16"/>
        <v>1.352687049222923</v>
      </c>
      <c r="AF30" s="75">
        <f t="shared" si="17"/>
        <v>-0.5538220232552351</v>
      </c>
      <c r="AG30" s="75">
        <f t="shared" si="18"/>
        <v>0.1559810804345798</v>
      </c>
      <c r="AH30" s="75">
        <f t="shared" si="18"/>
        <v>3.976163186575958</v>
      </c>
      <c r="AI30" s="75">
        <f t="shared" si="18"/>
        <v>0.1316098568533739</v>
      </c>
    </row>
    <row r="31" spans="2:35" ht="12">
      <c r="B31" s="32" t="s">
        <v>11</v>
      </c>
      <c r="C31" s="65">
        <v>1212.58638073</v>
      </c>
      <c r="D31" s="7">
        <v>3547.2472790700003</v>
      </c>
      <c r="E31" s="26">
        <v>1841.77139175</v>
      </c>
      <c r="F31" s="47">
        <v>2170.11269722</v>
      </c>
      <c r="G31" s="47">
        <v>7212.409612689999</v>
      </c>
      <c r="H31" s="47">
        <v>5173.28497199</v>
      </c>
      <c r="I31" s="47">
        <v>5126.03212294</v>
      </c>
      <c r="J31" s="58">
        <v>6842.32981997</v>
      </c>
      <c r="K31" s="58">
        <v>8336.28276736</v>
      </c>
      <c r="L31" s="58">
        <v>22124.899129290006</v>
      </c>
      <c r="M31" s="58">
        <v>8409.28755524</v>
      </c>
      <c r="N31" s="58">
        <v>6616.246410479999</v>
      </c>
      <c r="O31" s="58">
        <v>14064.54481732</v>
      </c>
      <c r="P31" s="58">
        <v>6826.41198179</v>
      </c>
      <c r="Q31" s="130">
        <v>2019.1141715699998</v>
      </c>
      <c r="R31" s="7">
        <v>22832.700354470002</v>
      </c>
      <c r="S31" s="7">
        <v>15609.5087366</v>
      </c>
      <c r="T31" s="75">
        <f t="shared" si="5"/>
        <v>1.9253563584760784</v>
      </c>
      <c r="U31" s="75">
        <f t="shared" si="6"/>
        <v>-0.4807885532488543</v>
      </c>
      <c r="V31" s="75">
        <f t="shared" si="7"/>
        <v>0.17827473428068563</v>
      </c>
      <c r="W31" s="75">
        <f t="shared" si="8"/>
        <v>2.3235184614740887</v>
      </c>
      <c r="X31" s="75">
        <f t="shared" si="9"/>
        <v>-0.28272446383414307</v>
      </c>
      <c r="Y31" s="75">
        <f t="shared" si="10"/>
        <v>-0.00913401239364231</v>
      </c>
      <c r="Z31" s="75">
        <f t="shared" si="11"/>
        <v>0.3348199261860323</v>
      </c>
      <c r="AA31" s="75">
        <f t="shared" si="12"/>
        <v>0.21833980335612502</v>
      </c>
      <c r="AB31" s="75">
        <f t="shared" si="13"/>
        <v>1.6540485425852096</v>
      </c>
      <c r="AC31" s="75">
        <f t="shared" si="14"/>
        <v>-0.6199174736978854</v>
      </c>
      <c r="AD31" s="75">
        <f t="shared" si="15"/>
        <v>-0.21322152833776264</v>
      </c>
      <c r="AE31" s="75">
        <f t="shared" si="16"/>
        <v>1.125758918990993</v>
      </c>
      <c r="AF31" s="75">
        <f t="shared" si="17"/>
        <v>-0.5146368353575503</v>
      </c>
      <c r="AG31" s="75">
        <f t="shared" si="18"/>
        <v>-0.7042202877652055</v>
      </c>
      <c r="AH31" s="75">
        <f t="shared" si="18"/>
        <v>10.30827601329548</v>
      </c>
      <c r="AI31" s="75">
        <f t="shared" si="18"/>
        <v>-0.31635292828848005</v>
      </c>
    </row>
    <row r="32" spans="2:35" ht="12">
      <c r="B32" s="32" t="s">
        <v>33</v>
      </c>
      <c r="C32" s="65">
        <v>1409.6714082700003</v>
      </c>
      <c r="D32" s="7">
        <v>371.65841358</v>
      </c>
      <c r="E32" s="26">
        <v>1376.75351169</v>
      </c>
      <c r="F32" s="47">
        <v>4694.442979359999</v>
      </c>
      <c r="G32" s="47">
        <v>17966.0272233</v>
      </c>
      <c r="H32" s="47">
        <v>16405.82965552</v>
      </c>
      <c r="I32" s="47">
        <v>21309.89581423</v>
      </c>
      <c r="J32" s="58">
        <v>6620.91571801</v>
      </c>
      <c r="K32" s="58">
        <v>19154.22041166</v>
      </c>
      <c r="L32" s="58">
        <v>23811.62346146</v>
      </c>
      <c r="M32" s="58">
        <v>22558.6909488</v>
      </c>
      <c r="N32" s="58">
        <v>17389.13736953</v>
      </c>
      <c r="O32" s="58">
        <v>10164.171982639999</v>
      </c>
      <c r="P32" s="58">
        <v>22820.938167700002</v>
      </c>
      <c r="Q32" s="58">
        <v>20863.79816731</v>
      </c>
      <c r="R32" s="7">
        <v>7778.64661637</v>
      </c>
      <c r="S32" s="7">
        <v>16739.57421803</v>
      </c>
      <c r="T32" s="75">
        <f t="shared" si="5"/>
        <v>-0.7363510308859051</v>
      </c>
      <c r="U32" s="75">
        <f t="shared" si="6"/>
        <v>2.7043517955867613</v>
      </c>
      <c r="V32" s="75">
        <f t="shared" si="7"/>
        <v>2.4097919050138836</v>
      </c>
      <c r="W32" s="75">
        <f t="shared" si="8"/>
        <v>2.827083916513847</v>
      </c>
      <c r="X32" s="75">
        <f t="shared" si="9"/>
        <v>-0.08684154534490474</v>
      </c>
      <c r="Y32" s="75">
        <f t="shared" si="10"/>
        <v>0.2989221674052889</v>
      </c>
      <c r="Z32" s="75">
        <f t="shared" si="11"/>
        <v>-0.6893032337779528</v>
      </c>
      <c r="AA32" s="75">
        <f t="shared" si="12"/>
        <v>1.8929865939174113</v>
      </c>
      <c r="AB32" s="75">
        <f t="shared" si="13"/>
        <v>0.24315283784480402</v>
      </c>
      <c r="AC32" s="75">
        <f t="shared" si="14"/>
        <v>-0.052618525346997846</v>
      </c>
      <c r="AD32" s="75">
        <f t="shared" si="15"/>
        <v>-0.22916017560606694</v>
      </c>
      <c r="AE32" s="75">
        <f t="shared" si="16"/>
        <v>-0.4154872799814612</v>
      </c>
      <c r="AF32" s="75">
        <f t="shared" si="17"/>
        <v>1.2452333752987705</v>
      </c>
      <c r="AG32" s="75">
        <f t="shared" si="18"/>
        <v>-0.08576071614619563</v>
      </c>
      <c r="AH32" s="75">
        <f t="shared" si="18"/>
        <v>-0.6271701559806206</v>
      </c>
      <c r="AI32" s="75">
        <f t="shared" si="18"/>
        <v>1.151990576715738</v>
      </c>
    </row>
    <row r="33" spans="2:35" ht="12">
      <c r="B33" s="13"/>
      <c r="C33" s="65"/>
      <c r="D33" s="7"/>
      <c r="E33" s="7"/>
      <c r="F33" s="48"/>
      <c r="G33" s="48"/>
      <c r="H33" s="48"/>
      <c r="I33" s="48"/>
      <c r="J33" s="67"/>
      <c r="K33" s="67"/>
      <c r="L33" s="67"/>
      <c r="M33" s="67"/>
      <c r="N33" s="67"/>
      <c r="O33" s="67"/>
      <c r="P33" s="67"/>
      <c r="Q33" s="67"/>
      <c r="R33" s="13"/>
      <c r="S33" s="13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</row>
    <row r="34" spans="2:35" ht="13.5">
      <c r="B34" s="19" t="s">
        <v>10</v>
      </c>
      <c r="C34" s="28">
        <v>83.63857793</v>
      </c>
      <c r="D34" s="28">
        <v>40.95649682</v>
      </c>
      <c r="E34" s="28">
        <v>167.621732</v>
      </c>
      <c r="F34" s="57">
        <v>2645.795</v>
      </c>
      <c r="G34" s="58">
        <v>265.25</v>
      </c>
      <c r="H34" s="58">
        <v>0</v>
      </c>
      <c r="I34" s="58">
        <v>-44.7</v>
      </c>
      <c r="J34" s="58">
        <v>821.032</v>
      </c>
      <c r="K34" s="58">
        <v>1058.81351449</v>
      </c>
      <c r="L34" s="58">
        <v>-224.99234332999998</v>
      </c>
      <c r="M34" s="58">
        <v>2366.85033</v>
      </c>
      <c r="N34" s="58">
        <v>240.3391486</v>
      </c>
      <c r="O34" s="58">
        <v>29939</v>
      </c>
      <c r="P34" s="58">
        <v>0</v>
      </c>
      <c r="Q34" s="58">
        <v>6608.472961</v>
      </c>
      <c r="R34" s="28">
        <v>0</v>
      </c>
      <c r="S34" s="28">
        <v>0</v>
      </c>
      <c r="T34" s="75">
        <f t="shared" si="5"/>
        <v>-0.5103157199267795</v>
      </c>
      <c r="U34" s="75">
        <f aca="true" t="shared" si="26" ref="U34:AF34">+E34/D34-1</f>
        <v>3.092677475241156</v>
      </c>
      <c r="V34" s="75">
        <f t="shared" si="26"/>
        <v>14.784319660889794</v>
      </c>
      <c r="W34" s="75">
        <f t="shared" si="26"/>
        <v>-0.8997465790055541</v>
      </c>
      <c r="X34" s="75">
        <f t="shared" si="26"/>
        <v>-1</v>
      </c>
      <c r="Y34" s="75" t="e">
        <f t="shared" si="26"/>
        <v>#DIV/0!</v>
      </c>
      <c r="Z34" s="75">
        <f t="shared" si="26"/>
        <v>-19.367606263982104</v>
      </c>
      <c r="AA34" s="75">
        <f t="shared" si="26"/>
        <v>0.2896129681790722</v>
      </c>
      <c r="AB34" s="75">
        <f t="shared" si="26"/>
        <v>-1.2124947785903284</v>
      </c>
      <c r="AC34" s="75">
        <f t="shared" si="26"/>
        <v>-11.519692781405018</v>
      </c>
      <c r="AD34" s="75">
        <f t="shared" si="26"/>
        <v>-0.8984561273040024</v>
      </c>
      <c r="AE34" s="75">
        <f t="shared" si="26"/>
        <v>123.56980135944445</v>
      </c>
      <c r="AF34" s="75">
        <f t="shared" si="26"/>
        <v>-1</v>
      </c>
      <c r="AG34" s="127" t="e">
        <f>+Q34/P34-1</f>
        <v>#DIV/0!</v>
      </c>
      <c r="AH34" s="75">
        <f>+R34/Q34-1</f>
        <v>-1</v>
      </c>
      <c r="AI34" s="127" t="e">
        <f>+S34/R34-1</f>
        <v>#DIV/0!</v>
      </c>
    </row>
    <row r="35" spans="2:35" ht="12">
      <c r="B35" s="13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13"/>
      <c r="N35" s="13"/>
      <c r="O35" s="13"/>
      <c r="P35" s="13"/>
      <c r="Q35" s="13"/>
      <c r="R35" s="13"/>
      <c r="S35" s="13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</row>
    <row r="36" spans="1:35" ht="12.75">
      <c r="A36" s="20">
        <v>2</v>
      </c>
      <c r="B36" s="91" t="s">
        <v>52</v>
      </c>
      <c r="C36" s="29">
        <f>+C40+C56</f>
        <v>240789.57167555008</v>
      </c>
      <c r="D36" s="29">
        <f>+D40+D56</f>
        <v>241553.63313290983</v>
      </c>
      <c r="E36" s="49">
        <f aca="true" t="shared" si="27" ref="E36:O36">+E40+E56+E65</f>
        <v>381436.60900622007</v>
      </c>
      <c r="F36" s="29">
        <f t="shared" si="27"/>
        <v>408662.85914880974</v>
      </c>
      <c r="G36" s="29">
        <f t="shared" si="27"/>
        <v>596984.3829519502</v>
      </c>
      <c r="H36" s="29">
        <f t="shared" si="27"/>
        <v>507243.31675127003</v>
      </c>
      <c r="I36" s="29">
        <f t="shared" si="27"/>
        <v>559328.2554553399</v>
      </c>
      <c r="J36" s="29">
        <f t="shared" si="27"/>
        <v>699151.1444247602</v>
      </c>
      <c r="K36" s="29">
        <f t="shared" si="27"/>
        <v>713099.9331507003</v>
      </c>
      <c r="L36" s="29">
        <f t="shared" si="27"/>
        <v>843585.2001928403</v>
      </c>
      <c r="M36" s="29">
        <f t="shared" si="27"/>
        <v>971859.4168680301</v>
      </c>
      <c r="N36" s="29">
        <f t="shared" si="27"/>
        <v>1024362.9771300901</v>
      </c>
      <c r="O36" s="29">
        <f t="shared" si="27"/>
        <v>913173.7978236197</v>
      </c>
      <c r="P36" s="29">
        <f>+P40+P56+P65</f>
        <v>1078340.0854936305</v>
      </c>
      <c r="Q36" s="29">
        <f>+Q40+Q56+Q65</f>
        <v>880201.6999729306</v>
      </c>
      <c r="R36" s="29">
        <f>+R40+R56+R65</f>
        <v>1149397.6603664993</v>
      </c>
      <c r="S36" s="29">
        <f>+S40+S56+S65</f>
        <v>1062119.4419727093</v>
      </c>
      <c r="T36" s="81">
        <f t="shared" si="5"/>
        <v>0.0031731501162737263</v>
      </c>
      <c r="U36" s="81">
        <f aca="true" t="shared" si="28" ref="U36:AI36">+E36/D36-1</f>
        <v>0.579096965171054</v>
      </c>
      <c r="V36" s="81">
        <f t="shared" si="28"/>
        <v>0.0713781779193241</v>
      </c>
      <c r="W36" s="81">
        <f t="shared" si="28"/>
        <v>0.46082368286511066</v>
      </c>
      <c r="X36" s="81">
        <f t="shared" si="28"/>
        <v>-0.15032397624361837</v>
      </c>
      <c r="Y36" s="81">
        <f t="shared" si="28"/>
        <v>0.1026823557531662</v>
      </c>
      <c r="Z36" s="81">
        <f t="shared" si="28"/>
        <v>0.24998359658335656</v>
      </c>
      <c r="AA36" s="81">
        <f t="shared" si="28"/>
        <v>0.019951034675651735</v>
      </c>
      <c r="AB36" s="81">
        <f t="shared" si="28"/>
        <v>0.18298314300159157</v>
      </c>
      <c r="AC36" s="81">
        <f t="shared" si="28"/>
        <v>0.152058401031534</v>
      </c>
      <c r="AD36" s="81">
        <f t="shared" si="28"/>
        <v>0.05402382211952106</v>
      </c>
      <c r="AE36" s="81">
        <f t="shared" si="28"/>
        <v>-0.10854470709004338</v>
      </c>
      <c r="AF36" s="81">
        <f t="shared" si="28"/>
        <v>0.18087059447353182</v>
      </c>
      <c r="AG36" s="81">
        <f t="shared" si="28"/>
        <v>-0.18374387467011233</v>
      </c>
      <c r="AH36" s="81">
        <f t="shared" si="28"/>
        <v>0.30583440182159105</v>
      </c>
      <c r="AI36" s="81">
        <f t="shared" si="28"/>
        <v>-0.07593387510982086</v>
      </c>
    </row>
    <row r="37" spans="1:35" ht="12.75">
      <c r="A37" s="20"/>
      <c r="B37" s="21"/>
      <c r="C37" s="35"/>
      <c r="D37" s="35"/>
      <c r="E37" s="50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</row>
    <row r="38" spans="1:35" ht="12.75">
      <c r="A38" s="20">
        <v>3</v>
      </c>
      <c r="B38" s="4" t="s">
        <v>15</v>
      </c>
      <c r="C38" s="30">
        <f>+C36-C46</f>
        <v>227048.67167555008</v>
      </c>
      <c r="D38" s="30">
        <f aca="true" t="shared" si="29" ref="D38:O38">+D36-D46</f>
        <v>230549.03313290986</v>
      </c>
      <c r="E38" s="30">
        <f t="shared" si="29"/>
        <v>369910.80900622</v>
      </c>
      <c r="F38" s="30">
        <f t="shared" si="29"/>
        <v>385226.05914880976</v>
      </c>
      <c r="G38" s="30">
        <f t="shared" si="29"/>
        <v>572490.1855831802</v>
      </c>
      <c r="H38" s="30">
        <f t="shared" si="29"/>
        <v>461680.9688396401</v>
      </c>
      <c r="I38" s="30">
        <f t="shared" si="29"/>
        <v>511051.5169103398</v>
      </c>
      <c r="J38" s="30">
        <f t="shared" si="29"/>
        <v>605053.9896778704</v>
      </c>
      <c r="K38" s="30">
        <f t="shared" si="29"/>
        <v>607653.0764845603</v>
      </c>
      <c r="L38" s="30">
        <f t="shared" si="29"/>
        <v>729375.1742444905</v>
      </c>
      <c r="M38" s="30">
        <f t="shared" si="29"/>
        <v>841318.21927839</v>
      </c>
      <c r="N38" s="30">
        <f t="shared" si="29"/>
        <v>921179.51829057</v>
      </c>
      <c r="O38" s="30">
        <f t="shared" si="29"/>
        <v>804874.4511987695</v>
      </c>
      <c r="P38" s="30">
        <f>+P36-P46</f>
        <v>933968.978191201</v>
      </c>
      <c r="Q38" s="30">
        <f>+Q36-Q46</f>
        <v>737652.9372270204</v>
      </c>
      <c r="R38" s="30">
        <f>+R36-R46</f>
        <v>973527.2385165293</v>
      </c>
      <c r="S38" s="30">
        <f>+S36-S46</f>
        <v>904944.2321849396</v>
      </c>
      <c r="T38" s="82">
        <f t="shared" si="5"/>
        <v>0.015416788970964657</v>
      </c>
      <c r="U38" s="82">
        <f aca="true" t="shared" si="30" ref="U38:AI38">+E38/D38-1</f>
        <v>0.6044778153242965</v>
      </c>
      <c r="V38" s="82">
        <f t="shared" si="30"/>
        <v>0.041402548316267884</v>
      </c>
      <c r="W38" s="82">
        <f t="shared" si="30"/>
        <v>0.4861148979592571</v>
      </c>
      <c r="X38" s="82">
        <f t="shared" si="30"/>
        <v>-0.1935565351756411</v>
      </c>
      <c r="Y38" s="82">
        <f t="shared" si="30"/>
        <v>0.10693650248305575</v>
      </c>
      <c r="Z38" s="82">
        <f t="shared" si="30"/>
        <v>0.1839393283398132</v>
      </c>
      <c r="AA38" s="82">
        <f t="shared" si="30"/>
        <v>0.004295627912599409</v>
      </c>
      <c r="AB38" s="82">
        <f t="shared" si="30"/>
        <v>0.20031511806724644</v>
      </c>
      <c r="AC38" s="82">
        <f t="shared" si="30"/>
        <v>0.15347800279856472</v>
      </c>
      <c r="AD38" s="82">
        <f t="shared" si="30"/>
        <v>0.09492400994320316</v>
      </c>
      <c r="AE38" s="82">
        <f t="shared" si="30"/>
        <v>-0.126256679379528</v>
      </c>
      <c r="AF38" s="82">
        <f t="shared" si="30"/>
        <v>0.1603908868024817</v>
      </c>
      <c r="AG38" s="82">
        <f t="shared" si="30"/>
        <v>-0.21019546210665574</v>
      </c>
      <c r="AH38" s="82">
        <f t="shared" si="30"/>
        <v>0.3197632509621746</v>
      </c>
      <c r="AI38" s="82">
        <f t="shared" si="30"/>
        <v>-0.07044795832944262</v>
      </c>
    </row>
    <row r="39" spans="2:35" ht="12">
      <c r="B39" s="13"/>
      <c r="C39" s="64"/>
      <c r="D39" s="26"/>
      <c r="E39" s="50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</row>
    <row r="40" spans="2:35" ht="12.75">
      <c r="B40" s="21" t="s">
        <v>1</v>
      </c>
      <c r="C40" s="28">
        <f>+C43+C44+C45+C46+C50</f>
        <v>212083.17167555008</v>
      </c>
      <c r="D40" s="28">
        <f aca="true" t="shared" si="31" ref="D40:O40">+D43+D44+D45+D46+D50</f>
        <v>202877.63313290983</v>
      </c>
      <c r="E40" s="52">
        <f t="shared" si="31"/>
        <v>259363.00900622003</v>
      </c>
      <c r="F40" s="28">
        <f t="shared" si="31"/>
        <v>353327.68648511975</v>
      </c>
      <c r="G40" s="28">
        <f t="shared" si="31"/>
        <v>436125.13321451016</v>
      </c>
      <c r="H40" s="28">
        <f t="shared" si="31"/>
        <v>446580.15996678005</v>
      </c>
      <c r="I40" s="28">
        <f t="shared" si="31"/>
        <v>509407.99059096986</v>
      </c>
      <c r="J40" s="28">
        <f t="shared" si="31"/>
        <v>587793.4199681903</v>
      </c>
      <c r="K40" s="28">
        <f t="shared" si="31"/>
        <v>616951.8519479703</v>
      </c>
      <c r="L40" s="28">
        <f t="shared" si="31"/>
        <v>712793.2970178403</v>
      </c>
      <c r="M40" s="28">
        <f t="shared" si="31"/>
        <v>756940.2513631901</v>
      </c>
      <c r="N40" s="28">
        <f t="shared" si="31"/>
        <v>810090.64509957</v>
      </c>
      <c r="O40" s="28">
        <f t="shared" si="31"/>
        <v>808750.3092403497</v>
      </c>
      <c r="P40" s="28">
        <f>+P43+P44+P45+P46+P50</f>
        <v>918688.3395714005</v>
      </c>
      <c r="Q40" s="28">
        <f>+Q43+Q44+Q45+Q46+Q50</f>
        <v>806232.2620871506</v>
      </c>
      <c r="R40" s="28">
        <f>+R43+R44+R45+R46+R50</f>
        <v>1036168.3808948293</v>
      </c>
      <c r="S40" s="28">
        <f>+S43+S44+S45+S46+S50</f>
        <v>930279.8201586194</v>
      </c>
      <c r="T40" s="74">
        <f t="shared" si="5"/>
        <v>-0.04340532287362764</v>
      </c>
      <c r="U40" s="74">
        <f aca="true" t="shared" si="32" ref="U40:AI40">+E40/D40-1</f>
        <v>0.2784209131437634</v>
      </c>
      <c r="V40" s="74">
        <f t="shared" si="32"/>
        <v>0.3622902041387339</v>
      </c>
      <c r="W40" s="74">
        <f t="shared" si="32"/>
        <v>0.23433614148116688</v>
      </c>
      <c r="X40" s="74">
        <f t="shared" si="32"/>
        <v>0.023972538971120283</v>
      </c>
      <c r="Y40" s="74">
        <f t="shared" si="32"/>
        <v>0.1406865693022803</v>
      </c>
      <c r="Z40" s="74">
        <f t="shared" si="32"/>
        <v>0.15387553949886934</v>
      </c>
      <c r="AA40" s="74">
        <f t="shared" si="32"/>
        <v>0.04960659815034685</v>
      </c>
      <c r="AB40" s="74">
        <f t="shared" si="32"/>
        <v>0.15534671752302742</v>
      </c>
      <c r="AC40" s="74">
        <f t="shared" si="32"/>
        <v>0.061935142389877074</v>
      </c>
      <c r="AD40" s="74">
        <f t="shared" si="32"/>
        <v>0.07021742289521571</v>
      </c>
      <c r="AE40" s="74">
        <f t="shared" si="32"/>
        <v>-0.001654550472010019</v>
      </c>
      <c r="AF40" s="74">
        <f t="shared" si="32"/>
        <v>0.13593568877187123</v>
      </c>
      <c r="AG40" s="74">
        <f t="shared" si="32"/>
        <v>-0.12240938808117952</v>
      </c>
      <c r="AH40" s="74">
        <f t="shared" si="32"/>
        <v>0.28519835985281317</v>
      </c>
      <c r="AI40" s="74">
        <f t="shared" si="32"/>
        <v>-0.10219242614290647</v>
      </c>
    </row>
    <row r="41" spans="2:35" ht="12">
      <c r="B41" s="13"/>
      <c r="C41" s="27"/>
      <c r="D41" s="26"/>
      <c r="E41" s="50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</row>
    <row r="42" spans="2:35" ht="12.75">
      <c r="B42" s="42" t="s">
        <v>40</v>
      </c>
      <c r="C42" s="6">
        <f>SUM(C43:C44)</f>
        <v>86382.10000000006</v>
      </c>
      <c r="D42" s="6">
        <f aca="true" t="shared" si="33" ref="D42:O42">SUM(D43:D44)</f>
        <v>94230.59999999987</v>
      </c>
      <c r="E42" s="53">
        <f t="shared" si="33"/>
        <v>123564.09999999999</v>
      </c>
      <c r="F42" s="6">
        <f t="shared" si="33"/>
        <v>155671.59999999977</v>
      </c>
      <c r="G42" s="6">
        <f t="shared" si="33"/>
        <v>188903.50950397018</v>
      </c>
      <c r="H42" s="6">
        <f t="shared" si="33"/>
        <v>210959.72988540007</v>
      </c>
      <c r="I42" s="6">
        <f t="shared" si="33"/>
        <v>231979.9543378498</v>
      </c>
      <c r="J42" s="6">
        <f t="shared" si="33"/>
        <v>251642.87382680038</v>
      </c>
      <c r="K42" s="6">
        <f t="shared" si="33"/>
        <v>272265.0950966802</v>
      </c>
      <c r="L42" s="6">
        <f t="shared" si="33"/>
        <v>300336.53078161064</v>
      </c>
      <c r="M42" s="6">
        <f t="shared" si="33"/>
        <v>311202.40834434994</v>
      </c>
      <c r="N42" s="6">
        <f t="shared" si="33"/>
        <v>328216.9675695199</v>
      </c>
      <c r="O42" s="6">
        <f t="shared" si="33"/>
        <v>340110.49697143986</v>
      </c>
      <c r="P42" s="6">
        <f>SUM(P43:P44)</f>
        <v>348321.9001871004</v>
      </c>
      <c r="Q42" s="6">
        <f>SUM(Q43:Q44)</f>
        <v>343122.98110507015</v>
      </c>
      <c r="R42" s="6">
        <f>SUM(R43:R44)</f>
        <v>378920.9571607693</v>
      </c>
      <c r="S42" s="6">
        <f>SUM(S43:S44)</f>
        <v>371724.5329757696</v>
      </c>
      <c r="T42" s="82">
        <f t="shared" si="5"/>
        <v>0.09085794394903357</v>
      </c>
      <c r="U42" s="82">
        <f aca="true" t="shared" si="34" ref="U42:AI48">+E42/D42-1</f>
        <v>0.3112948447744168</v>
      </c>
      <c r="V42" s="82">
        <f t="shared" si="34"/>
        <v>0.25984489022296753</v>
      </c>
      <c r="W42" s="82">
        <f t="shared" si="34"/>
        <v>0.21347445201289417</v>
      </c>
      <c r="X42" s="82">
        <f t="shared" si="34"/>
        <v>0.11675918800739016</v>
      </c>
      <c r="Y42" s="82">
        <f t="shared" si="34"/>
        <v>0.0996409336695141</v>
      </c>
      <c r="Z42" s="82">
        <f t="shared" si="34"/>
        <v>0.08476128700462615</v>
      </c>
      <c r="AA42" s="82">
        <f t="shared" si="34"/>
        <v>0.081950348747303</v>
      </c>
      <c r="AB42" s="82">
        <f t="shared" si="34"/>
        <v>0.10310332169080416</v>
      </c>
      <c r="AC42" s="82">
        <f t="shared" si="34"/>
        <v>0.03617900737702939</v>
      </c>
      <c r="AD42" s="82">
        <f t="shared" si="34"/>
        <v>0.05467361038653373</v>
      </c>
      <c r="AE42" s="82">
        <f t="shared" si="34"/>
        <v>0.03623679022444448</v>
      </c>
      <c r="AF42" s="82">
        <f t="shared" si="34"/>
        <v>0.02414333955811454</v>
      </c>
      <c r="AG42" s="82">
        <f t="shared" si="34"/>
        <v>-0.01492561644627477</v>
      </c>
      <c r="AH42" s="82">
        <f t="shared" si="34"/>
        <v>0.10432987012530415</v>
      </c>
      <c r="AI42" s="82">
        <f t="shared" si="34"/>
        <v>-0.018991887487359027</v>
      </c>
    </row>
    <row r="43" spans="2:35" ht="12">
      <c r="B43" s="36" t="s">
        <v>2</v>
      </c>
      <c r="C43" s="65">
        <v>78081.00000000006</v>
      </c>
      <c r="D43" s="7">
        <v>84596.49999999987</v>
      </c>
      <c r="E43" s="54">
        <v>107895.9</v>
      </c>
      <c r="F43" s="38">
        <v>139171.8999999998</v>
      </c>
      <c r="G43" s="38">
        <v>168388.08214004015</v>
      </c>
      <c r="H43" s="38">
        <v>187497.17505188004</v>
      </c>
      <c r="I43" s="38">
        <v>203424.08908254982</v>
      </c>
      <c r="J43" s="38">
        <v>224041.32279817038</v>
      </c>
      <c r="K43" s="38">
        <v>245303.22686953016</v>
      </c>
      <c r="L43" s="38">
        <v>260104.11459257055</v>
      </c>
      <c r="M43" s="38">
        <v>267892.14735757</v>
      </c>
      <c r="N43" s="38">
        <v>283239.04477357987</v>
      </c>
      <c r="O43" s="38">
        <v>298305.03788615984</v>
      </c>
      <c r="P43" s="38">
        <v>309673.56882598036</v>
      </c>
      <c r="Q43" s="38">
        <v>305416.2135783001</v>
      </c>
      <c r="R43" s="38">
        <v>320139.7879876392</v>
      </c>
      <c r="S43" s="38">
        <v>324937.10357287945</v>
      </c>
      <c r="T43" s="75">
        <f t="shared" si="5"/>
        <v>0.08344539644727655</v>
      </c>
      <c r="U43" s="75">
        <f t="shared" si="34"/>
        <v>0.27541801374761565</v>
      </c>
      <c r="V43" s="75">
        <f t="shared" si="34"/>
        <v>0.289871996989689</v>
      </c>
      <c r="W43" s="75">
        <f t="shared" si="34"/>
        <v>0.209928743805613</v>
      </c>
      <c r="X43" s="75">
        <f t="shared" si="34"/>
        <v>0.11348245474966445</v>
      </c>
      <c r="Y43" s="75">
        <f t="shared" si="34"/>
        <v>0.08494482130870962</v>
      </c>
      <c r="Z43" s="75">
        <f t="shared" si="34"/>
        <v>0.10135099441076556</v>
      </c>
      <c r="AA43" s="75">
        <f t="shared" si="34"/>
        <v>0.094901707443112</v>
      </c>
      <c r="AB43" s="75">
        <f t="shared" si="34"/>
        <v>0.06033710975564355</v>
      </c>
      <c r="AC43" s="75">
        <f t="shared" si="34"/>
        <v>0.029941982183552485</v>
      </c>
      <c r="AD43" s="75">
        <f t="shared" si="34"/>
        <v>0.05728759714455367</v>
      </c>
      <c r="AE43" s="75">
        <f t="shared" si="34"/>
        <v>0.053191794671612724</v>
      </c>
      <c r="AF43" s="75">
        <f t="shared" si="34"/>
        <v>0.03811042220533678</v>
      </c>
      <c r="AG43" s="75">
        <f t="shared" si="34"/>
        <v>-0.01374788059510712</v>
      </c>
      <c r="AH43" s="75">
        <f t="shared" si="34"/>
        <v>0.048208227837139406</v>
      </c>
      <c r="AI43" s="75">
        <f t="shared" si="34"/>
        <v>0.014985065166050138</v>
      </c>
    </row>
    <row r="44" spans="2:35" ht="14.25">
      <c r="B44" s="151" t="s">
        <v>56</v>
      </c>
      <c r="C44" s="65">
        <v>8301.100000000006</v>
      </c>
      <c r="D44" s="7">
        <v>9634.1</v>
      </c>
      <c r="E44" s="50">
        <v>15668.2</v>
      </c>
      <c r="F44" s="7">
        <v>16499.69999999999</v>
      </c>
      <c r="G44" s="7">
        <v>20515.427363930037</v>
      </c>
      <c r="H44" s="7">
        <v>23462.554833520022</v>
      </c>
      <c r="I44" s="7">
        <v>28555.86525529998</v>
      </c>
      <c r="J44" s="7">
        <v>27601.55102862999</v>
      </c>
      <c r="K44" s="7">
        <v>26961.86822715003</v>
      </c>
      <c r="L44" s="7">
        <v>40232.41618904006</v>
      </c>
      <c r="M44" s="7">
        <v>43310.26098677994</v>
      </c>
      <c r="N44" s="7">
        <v>44977.92279594002</v>
      </c>
      <c r="O44" s="7">
        <v>41805.45908528002</v>
      </c>
      <c r="P44" s="7">
        <v>38648.331361120014</v>
      </c>
      <c r="Q44" s="7">
        <v>37706.767526770076</v>
      </c>
      <c r="R44" s="7">
        <v>58781.16917313012</v>
      </c>
      <c r="S44" s="7">
        <v>46787.42940289012</v>
      </c>
      <c r="T44" s="75">
        <f t="shared" si="5"/>
        <v>0.16058112780233857</v>
      </c>
      <c r="U44" s="75">
        <f t="shared" si="34"/>
        <v>0.6263273165111427</v>
      </c>
      <c r="V44" s="75">
        <f t="shared" si="34"/>
        <v>0.05306927407104767</v>
      </c>
      <c r="W44" s="75">
        <f t="shared" si="34"/>
        <v>0.2433818411201445</v>
      </c>
      <c r="X44" s="75">
        <f t="shared" si="34"/>
        <v>0.1436542079923515</v>
      </c>
      <c r="Y44" s="75">
        <f t="shared" si="34"/>
        <v>0.21708251543448065</v>
      </c>
      <c r="Z44" s="75">
        <f t="shared" si="34"/>
        <v>-0.03341920190959258</v>
      </c>
      <c r="AA44" s="75">
        <f t="shared" si="34"/>
        <v>-0.02317561070450147</v>
      </c>
      <c r="AB44" s="75">
        <f t="shared" si="34"/>
        <v>0.49219690008450034</v>
      </c>
      <c r="AC44" s="75">
        <f t="shared" si="34"/>
        <v>0.07650161460047578</v>
      </c>
      <c r="AD44" s="75">
        <f t="shared" si="34"/>
        <v>0.038505004845598156</v>
      </c>
      <c r="AE44" s="75">
        <f t="shared" si="34"/>
        <v>-0.07053379777125612</v>
      </c>
      <c r="AF44" s="75">
        <f t="shared" si="34"/>
        <v>-0.07551950853403377</v>
      </c>
      <c r="AG44" s="75">
        <f t="shared" si="34"/>
        <v>-0.024362341172047164</v>
      </c>
      <c r="AH44" s="75">
        <f t="shared" si="34"/>
        <v>0.558902367629317</v>
      </c>
      <c r="AI44" s="75">
        <f t="shared" si="34"/>
        <v>-0.20404051057430383</v>
      </c>
    </row>
    <row r="45" spans="2:35" ht="14.25">
      <c r="B45" s="72" t="s">
        <v>57</v>
      </c>
      <c r="C45" s="64">
        <v>13993.3</v>
      </c>
      <c r="D45" s="26">
        <v>15691.5</v>
      </c>
      <c r="E45" s="50">
        <v>20285.8</v>
      </c>
      <c r="F45" s="7">
        <v>21687.999999999996</v>
      </c>
      <c r="G45" s="7">
        <v>24035.775064549976</v>
      </c>
      <c r="H45" s="7">
        <v>29122.53774035001</v>
      </c>
      <c r="I45" s="7">
        <v>28598.002895419988</v>
      </c>
      <c r="J45" s="7">
        <v>31762.33823964002</v>
      </c>
      <c r="K45" s="7">
        <v>35257.519139310025</v>
      </c>
      <c r="L45" s="7">
        <v>40700.21918313</v>
      </c>
      <c r="M45" s="7">
        <v>40846.2490270201</v>
      </c>
      <c r="N45" s="7">
        <v>46138.34266191005</v>
      </c>
      <c r="O45" s="7">
        <v>50244.118057209984</v>
      </c>
      <c r="P45" s="7">
        <v>47218.572115370014</v>
      </c>
      <c r="Q45" s="7">
        <v>47598.125534109924</v>
      </c>
      <c r="R45" s="7">
        <v>84340.7289780501</v>
      </c>
      <c r="S45" s="7">
        <v>80477.49285356006</v>
      </c>
      <c r="T45" s="75">
        <f t="shared" si="5"/>
        <v>0.12135807850900071</v>
      </c>
      <c r="U45" s="75">
        <f t="shared" si="34"/>
        <v>0.29278908963451555</v>
      </c>
      <c r="V45" s="75">
        <f t="shared" si="34"/>
        <v>0.06912224314545146</v>
      </c>
      <c r="W45" s="75">
        <f t="shared" si="34"/>
        <v>0.10825226229020557</v>
      </c>
      <c r="X45" s="75">
        <f t="shared" si="34"/>
        <v>0.21163297884670373</v>
      </c>
      <c r="Y45" s="75">
        <f t="shared" si="34"/>
        <v>-0.0180113027788531</v>
      </c>
      <c r="Z45" s="75">
        <f t="shared" si="34"/>
        <v>0.11064882242972307</v>
      </c>
      <c r="AA45" s="75">
        <f t="shared" si="34"/>
        <v>0.11004167493273376</v>
      </c>
      <c r="AB45" s="75">
        <f t="shared" si="34"/>
        <v>0.15436990964437114</v>
      </c>
      <c r="AC45" s="75">
        <f t="shared" si="34"/>
        <v>0.0035879375300915672</v>
      </c>
      <c r="AD45" s="75">
        <f t="shared" si="34"/>
        <v>0.12956131250605618</v>
      </c>
      <c r="AE45" s="75">
        <f t="shared" si="34"/>
        <v>0.08898835888809442</v>
      </c>
      <c r="AF45" s="75">
        <f t="shared" si="34"/>
        <v>-0.06021691809566565</v>
      </c>
      <c r="AG45" s="75">
        <f t="shared" si="34"/>
        <v>0.008038223134162914</v>
      </c>
      <c r="AH45" s="75">
        <f t="shared" si="34"/>
        <v>0.7719338320919713</v>
      </c>
      <c r="AI45" s="75">
        <f t="shared" si="34"/>
        <v>-0.04580510710899188</v>
      </c>
    </row>
    <row r="46" spans="2:35" ht="12.75">
      <c r="B46" s="13" t="s">
        <v>16</v>
      </c>
      <c r="C46" s="6">
        <f>+C47+C48</f>
        <v>13740.9</v>
      </c>
      <c r="D46" s="6">
        <f aca="true" t="shared" si="35" ref="D46:O46">+D47+D48</f>
        <v>11004.599999999988</v>
      </c>
      <c r="E46" s="53">
        <f t="shared" si="35"/>
        <v>11525.800000000043</v>
      </c>
      <c r="F46" s="6">
        <f t="shared" si="35"/>
        <v>23436.79999999999</v>
      </c>
      <c r="G46" s="6">
        <f t="shared" si="35"/>
        <v>24494.197368769976</v>
      </c>
      <c r="H46" s="6">
        <f t="shared" si="35"/>
        <v>45562.34791162994</v>
      </c>
      <c r="I46" s="6">
        <f t="shared" si="35"/>
        <v>48276.73854500007</v>
      </c>
      <c r="J46" s="6">
        <f t="shared" si="35"/>
        <v>94097.1547468899</v>
      </c>
      <c r="K46" s="6">
        <f t="shared" si="35"/>
        <v>105446.85666614</v>
      </c>
      <c r="L46" s="6">
        <f t="shared" si="35"/>
        <v>114210.02594834981</v>
      </c>
      <c r="M46" s="6">
        <f t="shared" si="35"/>
        <v>130541.19758963998</v>
      </c>
      <c r="N46" s="6">
        <f t="shared" si="35"/>
        <v>103183.45883952007</v>
      </c>
      <c r="O46" s="6">
        <f t="shared" si="35"/>
        <v>108299.34662485012</v>
      </c>
      <c r="P46" s="6">
        <f>+P47+P48</f>
        <v>144371.10730242953</v>
      </c>
      <c r="Q46" s="6">
        <f>+Q47+Q48</f>
        <v>142548.7627459102</v>
      </c>
      <c r="R46" s="6">
        <f>+R47+R48</f>
        <v>175870.42184997</v>
      </c>
      <c r="S46" s="6">
        <f>+S47+S48</f>
        <v>157175.20978776977</v>
      </c>
      <c r="T46" s="82">
        <f t="shared" si="5"/>
        <v>-0.19913542781040627</v>
      </c>
      <c r="U46" s="82">
        <f t="shared" si="34"/>
        <v>0.04736201224942804</v>
      </c>
      <c r="V46" s="82">
        <f t="shared" si="34"/>
        <v>1.033420673619176</v>
      </c>
      <c r="W46" s="82">
        <f t="shared" si="34"/>
        <v>0.045116968560980464</v>
      </c>
      <c r="X46" s="82">
        <f t="shared" si="34"/>
        <v>0.8601282265211838</v>
      </c>
      <c r="Y46" s="82">
        <f t="shared" si="34"/>
        <v>0.059575301927697</v>
      </c>
      <c r="Z46" s="82">
        <f t="shared" si="34"/>
        <v>0.9491199609347958</v>
      </c>
      <c r="AA46" s="82">
        <f t="shared" si="34"/>
        <v>0.12061684489588931</v>
      </c>
      <c r="AB46" s="82">
        <f t="shared" si="34"/>
        <v>0.08310507832353187</v>
      </c>
      <c r="AC46" s="82">
        <f t="shared" si="34"/>
        <v>0.14299245189451026</v>
      </c>
      <c r="AD46" s="82">
        <f t="shared" si="34"/>
        <v>-0.20957168507155688</v>
      </c>
      <c r="AE46" s="82">
        <f t="shared" si="34"/>
        <v>0.04958050294947691</v>
      </c>
      <c r="AF46" s="82">
        <f t="shared" si="34"/>
        <v>0.33307459187664645</v>
      </c>
      <c r="AG46" s="82">
        <f t="shared" si="34"/>
        <v>-0.012622640295345655</v>
      </c>
      <c r="AH46" s="82">
        <f t="shared" si="34"/>
        <v>0.23375621409955594</v>
      </c>
      <c r="AI46" s="82">
        <f t="shared" si="34"/>
        <v>-0.10630105884517971</v>
      </c>
    </row>
    <row r="47" spans="2:35" ht="12">
      <c r="B47" s="13" t="s">
        <v>3</v>
      </c>
      <c r="C47" s="64">
        <v>13259.9</v>
      </c>
      <c r="D47" s="39">
        <v>10569.9</v>
      </c>
      <c r="E47" s="50">
        <v>9456.10000000002</v>
      </c>
      <c r="F47" s="7">
        <v>23000.09999999999</v>
      </c>
      <c r="G47" s="7">
        <v>24163.765168239977</v>
      </c>
      <c r="H47" s="7">
        <v>45249.32392551996</v>
      </c>
      <c r="I47" s="7">
        <v>47982.90296581007</v>
      </c>
      <c r="J47" s="7">
        <v>93793.8746927699</v>
      </c>
      <c r="K47" s="7">
        <v>105035.82142638</v>
      </c>
      <c r="L47" s="7">
        <v>111832.51240122977</v>
      </c>
      <c r="M47" s="7">
        <v>129867.13000671</v>
      </c>
      <c r="N47" s="7">
        <v>102475.09617239005</v>
      </c>
      <c r="O47" s="7">
        <v>107281.12307840011</v>
      </c>
      <c r="P47" s="7">
        <v>143078.72994637955</v>
      </c>
      <c r="Q47" s="7">
        <v>141007.9186036102</v>
      </c>
      <c r="R47" s="7">
        <v>174864.72895405002</v>
      </c>
      <c r="S47" s="7">
        <v>144016.31712288983</v>
      </c>
      <c r="T47" s="75">
        <f t="shared" si="5"/>
        <v>-0.202867291608534</v>
      </c>
      <c r="U47" s="75">
        <f t="shared" si="34"/>
        <v>-0.10537469607091643</v>
      </c>
      <c r="V47" s="75">
        <f t="shared" si="34"/>
        <v>1.4323029578790347</v>
      </c>
      <c r="W47" s="75">
        <f t="shared" si="34"/>
        <v>0.05059391777600908</v>
      </c>
      <c r="X47" s="75">
        <f t="shared" si="34"/>
        <v>0.8726106469944557</v>
      </c>
      <c r="Y47" s="75">
        <f t="shared" si="34"/>
        <v>0.060411489126104057</v>
      </c>
      <c r="Z47" s="75">
        <f t="shared" si="34"/>
        <v>0.9547353097748621</v>
      </c>
      <c r="AA47" s="75">
        <f t="shared" si="34"/>
        <v>0.11985800533813218</v>
      </c>
      <c r="AB47" s="75">
        <f t="shared" si="34"/>
        <v>0.06470831457831361</v>
      </c>
      <c r="AC47" s="75">
        <f t="shared" si="34"/>
        <v>0.16126453048623368</v>
      </c>
      <c r="AD47" s="75">
        <f t="shared" si="34"/>
        <v>-0.21092353263604613</v>
      </c>
      <c r="AE47" s="75">
        <f t="shared" si="34"/>
        <v>0.046899462264714975</v>
      </c>
      <c r="AF47" s="75">
        <f t="shared" si="34"/>
        <v>0.333680388877164</v>
      </c>
      <c r="AG47" s="75">
        <f t="shared" si="34"/>
        <v>-0.014473229833291246</v>
      </c>
      <c r="AH47" s="75">
        <f t="shared" si="34"/>
        <v>0.24010573793103984</v>
      </c>
      <c r="AI47" s="75">
        <f t="shared" si="34"/>
        <v>-0.17641300230000279</v>
      </c>
    </row>
    <row r="48" spans="2:35" ht="12">
      <c r="B48" s="13" t="s">
        <v>4</v>
      </c>
      <c r="C48" s="64">
        <v>481</v>
      </c>
      <c r="D48" s="39">
        <v>434.699999999988</v>
      </c>
      <c r="E48" s="50">
        <v>2069.7000000000226</v>
      </c>
      <c r="F48" s="7">
        <v>436.6999999999971</v>
      </c>
      <c r="G48" s="7">
        <v>330.4322005299982</v>
      </c>
      <c r="H48" s="7">
        <v>313.02398610998716</v>
      </c>
      <c r="I48" s="7">
        <v>293.83557919000305</v>
      </c>
      <c r="J48" s="7">
        <v>303.28005411999766</v>
      </c>
      <c r="K48" s="7">
        <v>411.0352397599854</v>
      </c>
      <c r="L48" s="7">
        <v>2377.5135471200374</v>
      </c>
      <c r="M48" s="7">
        <v>674.0675829299798</v>
      </c>
      <c r="N48" s="7">
        <v>708.362667130019</v>
      </c>
      <c r="O48" s="7">
        <v>1018.2235464500081</v>
      </c>
      <c r="P48" s="7">
        <v>1292.3773560499721</v>
      </c>
      <c r="Q48" s="7">
        <v>1540.8441423000331</v>
      </c>
      <c r="R48" s="7">
        <v>1005.692895919994</v>
      </c>
      <c r="S48" s="7">
        <v>13158.892664879946</v>
      </c>
      <c r="T48" s="75">
        <f t="shared" si="5"/>
        <v>-0.09625779625782127</v>
      </c>
      <c r="U48" s="75">
        <f t="shared" si="34"/>
        <v>3.7612146307800316</v>
      </c>
      <c r="V48" s="75">
        <f t="shared" si="34"/>
        <v>-0.7890032371841367</v>
      </c>
      <c r="W48" s="75">
        <f t="shared" si="34"/>
        <v>-0.24334279704602602</v>
      </c>
      <c r="X48" s="75">
        <f t="shared" si="34"/>
        <v>-0.052683165841855284</v>
      </c>
      <c r="Y48" s="75">
        <f t="shared" si="34"/>
        <v>-0.06130011683271419</v>
      </c>
      <c r="Z48" s="75">
        <f t="shared" si="34"/>
        <v>0.03214203996680576</v>
      </c>
      <c r="AA48" s="75">
        <f t="shared" si="34"/>
        <v>0.35529928254811205</v>
      </c>
      <c r="AB48" s="75">
        <f t="shared" si="34"/>
        <v>4.784208547443114</v>
      </c>
      <c r="AC48" s="75">
        <f t="shared" si="34"/>
        <v>-0.7164821274114292</v>
      </c>
      <c r="AD48" s="75">
        <f t="shared" si="34"/>
        <v>0.05087781265339619</v>
      </c>
      <c r="AE48" s="75">
        <f t="shared" si="34"/>
        <v>0.4374325380181485</v>
      </c>
      <c r="AF48" s="75">
        <f t="shared" si="34"/>
        <v>0.2692471712678315</v>
      </c>
      <c r="AG48" s="75">
        <f t="shared" si="34"/>
        <v>0.19225560173034606</v>
      </c>
      <c r="AH48" s="75">
        <f t="shared" si="34"/>
        <v>-0.3473104330858626</v>
      </c>
      <c r="AI48" s="75">
        <f t="shared" si="34"/>
        <v>12.08440451181906</v>
      </c>
    </row>
    <row r="49" spans="2:35" ht="12">
      <c r="B49" s="13"/>
      <c r="C49" s="64"/>
      <c r="D49" s="26"/>
      <c r="E49" s="50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</row>
    <row r="50" spans="2:35" ht="15">
      <c r="B50" s="72" t="s">
        <v>53</v>
      </c>
      <c r="C50" s="6">
        <f>+C51+C52+C53+C54</f>
        <v>97966.87167555002</v>
      </c>
      <c r="D50" s="6">
        <f aca="true" t="shared" si="36" ref="D50:O50">+D51+D52+D53+D54</f>
        <v>81950.93313290998</v>
      </c>
      <c r="E50" s="53">
        <f t="shared" si="36"/>
        <v>103987.30900621998</v>
      </c>
      <c r="F50" s="6">
        <f t="shared" si="36"/>
        <v>152531.28648512</v>
      </c>
      <c r="G50" s="6">
        <f t="shared" si="36"/>
        <v>198691.65127722002</v>
      </c>
      <c r="H50" s="6">
        <f t="shared" si="36"/>
        <v>160935.54442940006</v>
      </c>
      <c r="I50" s="6">
        <f t="shared" si="36"/>
        <v>200553.2948127</v>
      </c>
      <c r="J50" s="6">
        <f t="shared" si="36"/>
        <v>210291.05315486</v>
      </c>
      <c r="K50" s="6">
        <f t="shared" si="36"/>
        <v>203982.38104584007</v>
      </c>
      <c r="L50" s="6">
        <f t="shared" si="36"/>
        <v>257546.52110474987</v>
      </c>
      <c r="M50" s="6">
        <f t="shared" si="36"/>
        <v>274350.39640218</v>
      </c>
      <c r="N50" s="6">
        <f t="shared" si="36"/>
        <v>332551.8760286201</v>
      </c>
      <c r="O50" s="6">
        <f t="shared" si="36"/>
        <v>310096.3475868497</v>
      </c>
      <c r="P50" s="6">
        <f>+P51+P52+P53+P54</f>
        <v>378776.75996650057</v>
      </c>
      <c r="Q50" s="6">
        <f>+Q51+Q52+Q53+Q54</f>
        <v>272962.3927020603</v>
      </c>
      <c r="R50" s="6">
        <f>+R51+R52+R53+R54</f>
        <v>397036.27290603984</v>
      </c>
      <c r="S50" s="6">
        <f>+S51+S52+S53+S54</f>
        <v>320902.58454151993</v>
      </c>
      <c r="T50" s="82">
        <f t="shared" si="5"/>
        <v>-0.16348320885127543</v>
      </c>
      <c r="U50" s="82">
        <f aca="true" t="shared" si="37" ref="U50:AI54">+E50/D50-1</f>
        <v>0.2688971928796817</v>
      </c>
      <c r="V50" s="82">
        <f t="shared" si="37"/>
        <v>0.46682598042801926</v>
      </c>
      <c r="W50" s="82">
        <f t="shared" si="37"/>
        <v>0.30262883016202147</v>
      </c>
      <c r="X50" s="82">
        <f t="shared" si="37"/>
        <v>-0.19002362004199969</v>
      </c>
      <c r="Y50" s="82">
        <f t="shared" si="37"/>
        <v>0.24617153733045982</v>
      </c>
      <c r="Z50" s="82">
        <f t="shared" si="37"/>
        <v>0.04855446703707478</v>
      </c>
      <c r="AA50" s="82">
        <f t="shared" si="37"/>
        <v>-0.029999717127167536</v>
      </c>
      <c r="AB50" s="82">
        <f t="shared" si="37"/>
        <v>0.2625919934078649</v>
      </c>
      <c r="AC50" s="82">
        <f t="shared" si="37"/>
        <v>0.06524598051392672</v>
      </c>
      <c r="AD50" s="82">
        <f t="shared" si="37"/>
        <v>0.21214286689464257</v>
      </c>
      <c r="AE50" s="82">
        <f t="shared" si="37"/>
        <v>-0.06752488877806795</v>
      </c>
      <c r="AF50" s="82">
        <f t="shared" si="37"/>
        <v>0.22148088139095323</v>
      </c>
      <c r="AG50" s="82">
        <f t="shared" si="37"/>
        <v>-0.2793581297696264</v>
      </c>
      <c r="AH50" s="82">
        <f t="shared" si="37"/>
        <v>0.45454569391691546</v>
      </c>
      <c r="AI50" s="82">
        <f t="shared" si="37"/>
        <v>-0.1917549945934971</v>
      </c>
    </row>
    <row r="51" spans="2:35" ht="12">
      <c r="B51" s="13" t="s">
        <v>6</v>
      </c>
      <c r="C51" s="64">
        <v>56705.97167555003</v>
      </c>
      <c r="D51" s="7">
        <v>50180.633132909985</v>
      </c>
      <c r="E51" s="50">
        <v>55706.210835599995</v>
      </c>
      <c r="F51" s="7">
        <v>86612.26540673</v>
      </c>
      <c r="G51" s="7">
        <v>75504.8197708</v>
      </c>
      <c r="H51" s="7">
        <v>81206.99937568001</v>
      </c>
      <c r="I51" s="7">
        <v>86990.32432812</v>
      </c>
      <c r="J51" s="7">
        <v>112652.33286977</v>
      </c>
      <c r="K51" s="7">
        <v>103220.68429553008</v>
      </c>
      <c r="L51" s="7">
        <v>113641.1491633599</v>
      </c>
      <c r="M51" s="7">
        <v>115518.55323859994</v>
      </c>
      <c r="N51" s="7">
        <v>121063.53599378995</v>
      </c>
      <c r="O51" s="7">
        <v>134100.36979887972</v>
      </c>
      <c r="P51" s="7">
        <v>131225.12870390018</v>
      </c>
      <c r="Q51" s="7">
        <v>139502.8337203401</v>
      </c>
      <c r="R51" s="7">
        <v>154146.41129373008</v>
      </c>
      <c r="S51" s="7">
        <v>162233.35103869974</v>
      </c>
      <c r="T51" s="75">
        <f t="shared" si="5"/>
        <v>-0.11507321627386169</v>
      </c>
      <c r="U51" s="75">
        <f t="shared" si="37"/>
        <v>0.11011375022022518</v>
      </c>
      <c r="V51" s="75">
        <f t="shared" si="37"/>
        <v>0.5548044662800682</v>
      </c>
      <c r="W51" s="75">
        <f t="shared" si="37"/>
        <v>-0.1282433334790355</v>
      </c>
      <c r="X51" s="75">
        <f t="shared" si="37"/>
        <v>0.07552073658594738</v>
      </c>
      <c r="Y51" s="75">
        <f t="shared" si="37"/>
        <v>0.07121707484456063</v>
      </c>
      <c r="Z51" s="75">
        <f t="shared" si="37"/>
        <v>0.2949984235586376</v>
      </c>
      <c r="AA51" s="75">
        <f t="shared" si="37"/>
        <v>-0.08372350872789502</v>
      </c>
      <c r="AB51" s="75">
        <f t="shared" si="37"/>
        <v>0.10095326279755223</v>
      </c>
      <c r="AC51" s="75">
        <f t="shared" si="37"/>
        <v>0.016520460141961957</v>
      </c>
      <c r="AD51" s="75">
        <f t="shared" si="37"/>
        <v>0.04800079813791491</v>
      </c>
      <c r="AE51" s="75">
        <f t="shared" si="37"/>
        <v>0.10768588326842288</v>
      </c>
      <c r="AF51" s="75">
        <f t="shared" si="37"/>
        <v>-0.021440963207571717</v>
      </c>
      <c r="AG51" s="75">
        <f t="shared" si="37"/>
        <v>0.06308018211296984</v>
      </c>
      <c r="AH51" s="75">
        <f t="shared" si="37"/>
        <v>0.10496974995322184</v>
      </c>
      <c r="AI51" s="75">
        <f t="shared" si="37"/>
        <v>0.05246271825011717</v>
      </c>
    </row>
    <row r="52" spans="2:35" ht="14.25">
      <c r="B52" s="72" t="s">
        <v>85</v>
      </c>
      <c r="C52" s="64">
        <v>40803.399999999994</v>
      </c>
      <c r="D52" s="7">
        <v>31103.3</v>
      </c>
      <c r="E52" s="50">
        <v>47325.79817061999</v>
      </c>
      <c r="F52" s="7">
        <v>63870.92107839</v>
      </c>
      <c r="G52" s="7">
        <v>107337.5</v>
      </c>
      <c r="H52" s="7">
        <v>78092.76516712004</v>
      </c>
      <c r="I52" s="7">
        <v>112945.06179320002</v>
      </c>
      <c r="J52" s="7">
        <v>96786.40031046</v>
      </c>
      <c r="K52" s="7">
        <v>98359.35275256001</v>
      </c>
      <c r="L52" s="7">
        <v>137934.98391830994</v>
      </c>
      <c r="M52" s="7">
        <v>157280.49337963006</v>
      </c>
      <c r="N52" s="7">
        <v>201967.4221955202</v>
      </c>
      <c r="O52" s="7">
        <v>175743.37483937</v>
      </c>
      <c r="P52" s="7">
        <v>224367.1131527804</v>
      </c>
      <c r="Q52" s="7">
        <v>105243.05303329014</v>
      </c>
      <c r="R52" s="7">
        <v>197142.76136893983</v>
      </c>
      <c r="S52" s="7">
        <v>150631.55356926017</v>
      </c>
      <c r="T52" s="75">
        <f t="shared" si="5"/>
        <v>-0.23772773837474315</v>
      </c>
      <c r="U52" s="75">
        <f t="shared" si="37"/>
        <v>0.5215683921198071</v>
      </c>
      <c r="V52" s="75">
        <f t="shared" si="37"/>
        <v>0.3496005043194659</v>
      </c>
      <c r="W52" s="75">
        <f t="shared" si="37"/>
        <v>0.680537843947211</v>
      </c>
      <c r="X52" s="75">
        <f t="shared" si="37"/>
        <v>-0.2724558968941885</v>
      </c>
      <c r="Y52" s="75">
        <f t="shared" si="37"/>
        <v>0.44629354014415257</v>
      </c>
      <c r="Z52" s="75">
        <f t="shared" si="37"/>
        <v>-0.14306656020363406</v>
      </c>
      <c r="AA52" s="75">
        <f t="shared" si="37"/>
        <v>0.016251791956870765</v>
      </c>
      <c r="AB52" s="75">
        <f t="shared" si="37"/>
        <v>0.4023575802222823</v>
      </c>
      <c r="AC52" s="75">
        <f t="shared" si="37"/>
        <v>0.1402509277325703</v>
      </c>
      <c r="AD52" s="75">
        <f t="shared" si="37"/>
        <v>0.2841225116710988</v>
      </c>
      <c r="AE52" s="75">
        <f t="shared" si="37"/>
        <v>-0.12984295720110384</v>
      </c>
      <c r="AF52" s="75">
        <f t="shared" si="37"/>
        <v>0.27667465904676436</v>
      </c>
      <c r="AG52" s="75">
        <f t="shared" si="37"/>
        <v>-0.5309336936486498</v>
      </c>
      <c r="AH52" s="75">
        <f t="shared" si="37"/>
        <v>0.8732140097321224</v>
      </c>
      <c r="AI52" s="75">
        <f t="shared" si="37"/>
        <v>-0.2359265309905899</v>
      </c>
    </row>
    <row r="53" spans="2:35" ht="12">
      <c r="B53" s="13" t="s">
        <v>8</v>
      </c>
      <c r="C53" s="65">
        <v>97.20000000000027</v>
      </c>
      <c r="D53" s="26">
        <v>127.9</v>
      </c>
      <c r="E53" s="50">
        <v>111.4</v>
      </c>
      <c r="F53" s="7">
        <v>55.200000000000045</v>
      </c>
      <c r="G53" s="7">
        <v>99.50053163000075</v>
      </c>
      <c r="H53" s="7">
        <v>699.8682410299996</v>
      </c>
      <c r="I53" s="7">
        <v>377.7159744100011</v>
      </c>
      <c r="J53" s="7">
        <v>417.94077466</v>
      </c>
      <c r="K53" s="7">
        <v>785.5805285800005</v>
      </c>
      <c r="L53" s="7">
        <v>462.2292530799997</v>
      </c>
      <c r="M53" s="7">
        <v>435.9097839499984</v>
      </c>
      <c r="N53" s="7">
        <v>423.3178393100045</v>
      </c>
      <c r="O53" s="7">
        <v>252.35980860000177</v>
      </c>
      <c r="P53" s="7">
        <v>327.63421820000326</v>
      </c>
      <c r="Q53" s="7">
        <v>204.01455543000077</v>
      </c>
      <c r="R53" s="7">
        <v>875.4024412400023</v>
      </c>
      <c r="S53" s="7">
        <v>978.1141767500014</v>
      </c>
      <c r="T53" s="75">
        <f t="shared" si="5"/>
        <v>0.3158436213991733</v>
      </c>
      <c r="U53" s="75">
        <f t="shared" si="37"/>
        <v>-0.12900703674745895</v>
      </c>
      <c r="V53" s="75">
        <f t="shared" si="37"/>
        <v>-0.5044883303411127</v>
      </c>
      <c r="W53" s="75">
        <f t="shared" si="37"/>
        <v>0.802545862862331</v>
      </c>
      <c r="X53" s="75">
        <f t="shared" si="37"/>
        <v>6.033814086868455</v>
      </c>
      <c r="Y53" s="75">
        <f t="shared" si="37"/>
        <v>-0.4603041654610379</v>
      </c>
      <c r="Z53" s="75">
        <f t="shared" si="37"/>
        <v>0.10649483467791043</v>
      </c>
      <c r="AA53" s="75">
        <f t="shared" si="37"/>
        <v>0.8796455771013969</v>
      </c>
      <c r="AB53" s="75">
        <f t="shared" si="37"/>
        <v>-0.41160805765448905</v>
      </c>
      <c r="AC53" s="75">
        <f t="shared" si="37"/>
        <v>-0.05694029305723336</v>
      </c>
      <c r="AD53" s="75">
        <f t="shared" si="37"/>
        <v>-0.0288865841135566</v>
      </c>
      <c r="AE53" s="75">
        <f t="shared" si="37"/>
        <v>-0.40385264884810723</v>
      </c>
      <c r="AF53" s="75">
        <f t="shared" si="37"/>
        <v>0.29828208389281907</v>
      </c>
      <c r="AG53" s="75">
        <f t="shared" si="37"/>
        <v>-0.3773099874889724</v>
      </c>
      <c r="AH53" s="75">
        <f t="shared" si="37"/>
        <v>3.2908822823691164</v>
      </c>
      <c r="AI53" s="75">
        <f t="shared" si="37"/>
        <v>0.11733087625904792</v>
      </c>
    </row>
    <row r="54" spans="2:38" ht="12">
      <c r="B54" s="23" t="s">
        <v>13</v>
      </c>
      <c r="C54" s="65">
        <v>360.3</v>
      </c>
      <c r="D54" s="26">
        <v>539.1</v>
      </c>
      <c r="E54" s="50">
        <v>843.9</v>
      </c>
      <c r="F54" s="7">
        <v>1992.9000000000005</v>
      </c>
      <c r="G54" s="7">
        <v>15749.83097479</v>
      </c>
      <c r="H54" s="7">
        <v>935.9116455699996</v>
      </c>
      <c r="I54" s="7">
        <v>240.19271697000008</v>
      </c>
      <c r="J54" s="7">
        <v>434.3791999699997</v>
      </c>
      <c r="K54" s="7">
        <v>1616.7634691699996</v>
      </c>
      <c r="L54" s="7">
        <f>5433.27877+74.88</f>
        <v>5508.15877</v>
      </c>
      <c r="M54" s="7">
        <v>1115.4400000000028</v>
      </c>
      <c r="N54" s="7">
        <v>9097.599999999991</v>
      </c>
      <c r="O54" s="7">
        <v>0.2431399999986752</v>
      </c>
      <c r="P54" s="7">
        <v>22856.88389162</v>
      </c>
      <c r="Q54" s="7">
        <v>28012.491393000004</v>
      </c>
      <c r="R54" s="7">
        <v>44871.69780212999</v>
      </c>
      <c r="S54" s="7">
        <v>7059.565756810001</v>
      </c>
      <c r="T54" s="75">
        <f t="shared" si="5"/>
        <v>0.4962531223980018</v>
      </c>
      <c r="U54" s="75">
        <f t="shared" si="37"/>
        <v>0.5653867557039509</v>
      </c>
      <c r="V54" s="75">
        <f t="shared" si="37"/>
        <v>1.3615357269818706</v>
      </c>
      <c r="W54" s="75">
        <f t="shared" si="37"/>
        <v>6.902971034567713</v>
      </c>
      <c r="X54" s="75">
        <f t="shared" si="37"/>
        <v>-0.9405764006567392</v>
      </c>
      <c r="Y54" s="75">
        <f t="shared" si="37"/>
        <v>-0.743359623628024</v>
      </c>
      <c r="Z54" s="75">
        <f t="shared" si="37"/>
        <v>0.8084611617272868</v>
      </c>
      <c r="AA54" s="75">
        <f t="shared" si="37"/>
        <v>2.7220094085574558</v>
      </c>
      <c r="AB54" s="75">
        <f t="shared" si="37"/>
        <v>2.4069045194518974</v>
      </c>
      <c r="AC54" s="75">
        <f t="shared" si="37"/>
        <v>-0.797493128543206</v>
      </c>
      <c r="AD54" s="75">
        <f t="shared" si="37"/>
        <v>7.156063974754328</v>
      </c>
      <c r="AE54" s="75">
        <f t="shared" si="37"/>
        <v>-0.9999732742701374</v>
      </c>
      <c r="AF54" s="75">
        <f>+P54/O54-1</f>
        <v>94006.09011986732</v>
      </c>
      <c r="AG54" s="75">
        <f t="shared" si="37"/>
        <v>0.22556038372624365</v>
      </c>
      <c r="AH54" s="75">
        <f t="shared" si="37"/>
        <v>0.6018460183567571</v>
      </c>
      <c r="AI54" s="75">
        <f t="shared" si="37"/>
        <v>-0.8426721942204982</v>
      </c>
      <c r="AL54" s="60"/>
    </row>
    <row r="55" spans="2:35" ht="12">
      <c r="B55" s="13"/>
      <c r="C55" s="65"/>
      <c r="D55" s="26"/>
      <c r="E55" s="50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</row>
    <row r="56" spans="1:35" ht="12.75">
      <c r="A56" s="20"/>
      <c r="B56" s="21" t="s">
        <v>9</v>
      </c>
      <c r="C56" s="28">
        <f>+C58+C59</f>
        <v>28706.399999999994</v>
      </c>
      <c r="D56" s="28">
        <f aca="true" t="shared" si="38" ref="D56:O56">+D58+D59</f>
        <v>38676</v>
      </c>
      <c r="E56" s="28">
        <f t="shared" si="38"/>
        <v>57168.899999999994</v>
      </c>
      <c r="F56" s="28">
        <f t="shared" si="38"/>
        <v>55335.17266369002</v>
      </c>
      <c r="G56" s="28">
        <f t="shared" si="38"/>
        <v>160859.24973744</v>
      </c>
      <c r="H56" s="28">
        <f t="shared" si="38"/>
        <v>60663.156784490006</v>
      </c>
      <c r="I56" s="28">
        <f t="shared" si="38"/>
        <v>49920.26486437001</v>
      </c>
      <c r="J56" s="28">
        <f t="shared" si="38"/>
        <v>111357.72445656997</v>
      </c>
      <c r="K56" s="28">
        <f t="shared" si="38"/>
        <v>96148.08120272997</v>
      </c>
      <c r="L56" s="28">
        <f t="shared" si="38"/>
        <v>130791.90317499996</v>
      </c>
      <c r="M56" s="28">
        <f t="shared" si="38"/>
        <v>214919.16550484</v>
      </c>
      <c r="N56" s="28">
        <f t="shared" si="38"/>
        <v>214269.54701752003</v>
      </c>
      <c r="O56" s="28">
        <f t="shared" si="38"/>
        <v>104423.48858327001</v>
      </c>
      <c r="P56" s="28">
        <f>+P58+P59</f>
        <v>159651.74592223</v>
      </c>
      <c r="Q56" s="28">
        <f>+Q58+Q59</f>
        <v>73969.43788578</v>
      </c>
      <c r="R56" s="28">
        <f>+R58+R59</f>
        <v>113229.27947167002</v>
      </c>
      <c r="S56" s="28">
        <f>+S58+S59</f>
        <v>130741.95593373982</v>
      </c>
      <c r="T56" s="74">
        <f t="shared" si="5"/>
        <v>0.3472953766407494</v>
      </c>
      <c r="U56" s="74">
        <f aca="true" t="shared" si="39" ref="U56:AI56">+E56/D56-1</f>
        <v>0.47814923983865953</v>
      </c>
      <c r="V56" s="74">
        <f t="shared" si="39"/>
        <v>-0.03207560992620073</v>
      </c>
      <c r="W56" s="74">
        <f t="shared" si="39"/>
        <v>1.9069982435058535</v>
      </c>
      <c r="X56" s="74">
        <f t="shared" si="39"/>
        <v>-0.6228805189412079</v>
      </c>
      <c r="Y56" s="74">
        <f t="shared" si="39"/>
        <v>-0.17709088167443798</v>
      </c>
      <c r="Z56" s="74">
        <f t="shared" si="39"/>
        <v>1.2307118113079207</v>
      </c>
      <c r="AA56" s="74">
        <f t="shared" si="39"/>
        <v>-0.13658363915088645</v>
      </c>
      <c r="AB56" s="74">
        <f t="shared" si="39"/>
        <v>0.3603173515155529</v>
      </c>
      <c r="AC56" s="74">
        <f t="shared" si="39"/>
        <v>0.6432146049383312</v>
      </c>
      <c r="AD56" s="74">
        <f t="shared" si="39"/>
        <v>-0.0030226177632600715</v>
      </c>
      <c r="AE56" s="74">
        <f t="shared" si="39"/>
        <v>-0.5126536176662955</v>
      </c>
      <c r="AF56" s="74">
        <f t="shared" si="39"/>
        <v>0.5288873038839299</v>
      </c>
      <c r="AG56" s="74">
        <f t="shared" si="39"/>
        <v>-0.5366825620446882</v>
      </c>
      <c r="AH56" s="74">
        <f t="shared" si="39"/>
        <v>0.5307576035188093</v>
      </c>
      <c r="AI56" s="74">
        <f t="shared" si="39"/>
        <v>0.15466561779589427</v>
      </c>
    </row>
    <row r="57" spans="2:35" ht="12">
      <c r="B57" s="13"/>
      <c r="C57" s="64"/>
      <c r="D57" s="26"/>
      <c r="E57" s="50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</row>
    <row r="58" spans="2:35" ht="12">
      <c r="B58" s="13" t="s">
        <v>12</v>
      </c>
      <c r="C58" s="64">
        <v>8526.1</v>
      </c>
      <c r="D58" s="26">
        <v>12766.7</v>
      </c>
      <c r="E58" s="50">
        <v>23393.8</v>
      </c>
      <c r="F58" s="7">
        <v>25807.400000000023</v>
      </c>
      <c r="G58" s="7">
        <v>18071.873931680024</v>
      </c>
      <c r="H58" s="7">
        <v>24395.839002099987</v>
      </c>
      <c r="I58" s="7">
        <v>14449.008009810004</v>
      </c>
      <c r="J58" s="7">
        <v>28319.368518240015</v>
      </c>
      <c r="K58" s="7">
        <v>29305.023211680014</v>
      </c>
      <c r="L58" s="7">
        <v>36510.892640610014</v>
      </c>
      <c r="M58" s="7">
        <v>39518.09458917002</v>
      </c>
      <c r="N58" s="7">
        <v>34990.04185424001</v>
      </c>
      <c r="O58" s="7">
        <v>23544.811718730005</v>
      </c>
      <c r="P58" s="7">
        <v>17528.090997570005</v>
      </c>
      <c r="Q58" s="7">
        <v>21562.470880590008</v>
      </c>
      <c r="R58" s="7">
        <v>38761.10971544998</v>
      </c>
      <c r="S58" s="7">
        <v>45956.73043786001</v>
      </c>
      <c r="T58" s="75">
        <f t="shared" si="5"/>
        <v>0.4973669086686763</v>
      </c>
      <c r="U58" s="75">
        <f aca="true" t="shared" si="40" ref="U58:AI63">+E58/D58-1</f>
        <v>0.8324077482826413</v>
      </c>
      <c r="V58" s="75">
        <f t="shared" si="40"/>
        <v>0.10317263548461653</v>
      </c>
      <c r="W58" s="75">
        <f t="shared" si="40"/>
        <v>-0.2997406196796265</v>
      </c>
      <c r="X58" s="75">
        <f t="shared" si="40"/>
        <v>0.3499341072390971</v>
      </c>
      <c r="Y58" s="75">
        <f t="shared" si="40"/>
        <v>-0.40772653858855856</v>
      </c>
      <c r="Z58" s="75">
        <f t="shared" si="40"/>
        <v>0.9599524409573912</v>
      </c>
      <c r="AA58" s="75">
        <f t="shared" si="40"/>
        <v>0.034804967236651274</v>
      </c>
      <c r="AB58" s="75">
        <f t="shared" si="40"/>
        <v>0.2458919543205813</v>
      </c>
      <c r="AC58" s="75">
        <f t="shared" si="40"/>
        <v>0.08236451456174976</v>
      </c>
      <c r="AD58" s="75">
        <f t="shared" si="40"/>
        <v>-0.11458175759746592</v>
      </c>
      <c r="AE58" s="75">
        <f t="shared" si="40"/>
        <v>-0.32709964118328416</v>
      </c>
      <c r="AF58" s="75">
        <f t="shared" si="40"/>
        <v>-0.2555433780077193</v>
      </c>
      <c r="AG58" s="75">
        <f t="shared" si="40"/>
        <v>0.23016653003337928</v>
      </c>
      <c r="AH58" s="75">
        <f t="shared" si="40"/>
        <v>0.7976191100780454</v>
      </c>
      <c r="AI58" s="75">
        <f t="shared" si="40"/>
        <v>0.18564021451485657</v>
      </c>
    </row>
    <row r="59" spans="2:35" ht="12.75">
      <c r="B59" s="13" t="s">
        <v>5</v>
      </c>
      <c r="C59" s="6">
        <f>+C60+C61+C62+C63</f>
        <v>20180.299999999996</v>
      </c>
      <c r="D59" s="6">
        <f aca="true" t="shared" si="41" ref="D59:O59">+D60+D61+D62+D63</f>
        <v>25909.3</v>
      </c>
      <c r="E59" s="53">
        <f t="shared" si="41"/>
        <v>33775.1</v>
      </c>
      <c r="F59" s="6">
        <f t="shared" si="41"/>
        <v>29527.772663689997</v>
      </c>
      <c r="G59" s="6">
        <f t="shared" si="41"/>
        <v>142787.37580575998</v>
      </c>
      <c r="H59" s="6">
        <f t="shared" si="41"/>
        <v>36267.31778239002</v>
      </c>
      <c r="I59" s="6">
        <f t="shared" si="41"/>
        <v>35471.25685456001</v>
      </c>
      <c r="J59" s="6">
        <f t="shared" si="41"/>
        <v>83038.35593832996</v>
      </c>
      <c r="K59" s="6">
        <f t="shared" si="41"/>
        <v>66843.05799104995</v>
      </c>
      <c r="L59" s="6">
        <f t="shared" si="41"/>
        <v>94281.01053438995</v>
      </c>
      <c r="M59" s="6">
        <f t="shared" si="41"/>
        <v>175401.07091567</v>
      </c>
      <c r="N59" s="6">
        <f t="shared" si="41"/>
        <v>179279.50516328003</v>
      </c>
      <c r="O59" s="6">
        <f t="shared" si="41"/>
        <v>80878.67686454</v>
      </c>
      <c r="P59" s="6">
        <f>+P60+P61+P62+P63</f>
        <v>142123.65492466002</v>
      </c>
      <c r="Q59" s="6">
        <f>+Q60+Q61+Q62+Q63</f>
        <v>52406.96700519</v>
      </c>
      <c r="R59" s="6">
        <f>+R60+R61+R62+R63</f>
        <v>74468.16975622004</v>
      </c>
      <c r="S59" s="6">
        <f>+S60+S61+S62+S63</f>
        <v>84785.22549587981</v>
      </c>
      <c r="T59" s="82">
        <f t="shared" si="5"/>
        <v>0.28389072511310554</v>
      </c>
      <c r="U59" s="82">
        <f t="shared" si="40"/>
        <v>0.3035898306785594</v>
      </c>
      <c r="V59" s="82">
        <f t="shared" si="40"/>
        <v>-0.12575321276058404</v>
      </c>
      <c r="W59" s="82">
        <f t="shared" si="40"/>
        <v>3.8356974781692275</v>
      </c>
      <c r="X59" s="82">
        <f t="shared" si="40"/>
        <v>-0.7460047320168832</v>
      </c>
      <c r="Y59" s="82">
        <f t="shared" si="40"/>
        <v>-0.021949815329782907</v>
      </c>
      <c r="Z59" s="82">
        <f t="shared" si="40"/>
        <v>1.3410040495267919</v>
      </c>
      <c r="AA59" s="82">
        <f t="shared" si="40"/>
        <v>-0.19503394261933316</v>
      </c>
      <c r="AB59" s="82">
        <f t="shared" si="40"/>
        <v>0.410483203012852</v>
      </c>
      <c r="AC59" s="82">
        <f t="shared" si="40"/>
        <v>0.8604072009993007</v>
      </c>
      <c r="AD59" s="82">
        <f t="shared" si="40"/>
        <v>0.022111804833134352</v>
      </c>
      <c r="AE59" s="82">
        <f t="shared" si="40"/>
        <v>-0.548868250217005</v>
      </c>
      <c r="AF59" s="82">
        <f t="shared" si="40"/>
        <v>0.7572450543756599</v>
      </c>
      <c r="AG59" s="82">
        <f t="shared" si="40"/>
        <v>-0.6312579560878094</v>
      </c>
      <c r="AH59" s="82">
        <f t="shared" si="40"/>
        <v>0.4209593497148052</v>
      </c>
      <c r="AI59" s="82">
        <f t="shared" si="40"/>
        <v>0.138543162446906</v>
      </c>
    </row>
    <row r="60" spans="2:35" ht="12">
      <c r="B60" s="13" t="s">
        <v>6</v>
      </c>
      <c r="C60" s="64">
        <v>63.500000000000114</v>
      </c>
      <c r="D60" s="26">
        <v>332.5</v>
      </c>
      <c r="E60" s="50">
        <v>67.99999999999986</v>
      </c>
      <c r="F60" s="7">
        <v>3519.5779482800026</v>
      </c>
      <c r="G60" s="7">
        <v>4931.411794349997</v>
      </c>
      <c r="H60" s="7">
        <v>4611.616483920003</v>
      </c>
      <c r="I60" s="7">
        <v>2924.4888112600015</v>
      </c>
      <c r="J60" s="7">
        <v>3227.88477931</v>
      </c>
      <c r="K60" s="7">
        <v>6762.1357255799985</v>
      </c>
      <c r="L60" s="7">
        <v>6822.824309800003</v>
      </c>
      <c r="M60" s="7">
        <v>4803.596086670001</v>
      </c>
      <c r="N60" s="7">
        <v>7920.237772020003</v>
      </c>
      <c r="O60" s="7">
        <v>5247.286499090001</v>
      </c>
      <c r="P60" s="7">
        <v>5468.9270380799935</v>
      </c>
      <c r="Q60" s="7">
        <v>2416.6079963599987</v>
      </c>
      <c r="R60" s="7">
        <v>7148.593183090008</v>
      </c>
      <c r="S60" s="7">
        <v>6184.351709190001</v>
      </c>
      <c r="T60" s="75">
        <f t="shared" si="5"/>
        <v>4.236220472440936</v>
      </c>
      <c r="U60" s="75">
        <f t="shared" si="40"/>
        <v>-0.7954887218045117</v>
      </c>
      <c r="V60" s="75">
        <f t="shared" si="40"/>
        <v>50.75849923941191</v>
      </c>
      <c r="W60" s="75">
        <f t="shared" si="40"/>
        <v>0.401137257596454</v>
      </c>
      <c r="X60" s="75">
        <f t="shared" si="40"/>
        <v>-0.06484863235238014</v>
      </c>
      <c r="Y60" s="75">
        <f t="shared" si="40"/>
        <v>-0.36584301373341777</v>
      </c>
      <c r="Z60" s="75">
        <f t="shared" si="40"/>
        <v>0.10374324801033574</v>
      </c>
      <c r="AA60" s="75">
        <f t="shared" si="40"/>
        <v>1.0949123614708105</v>
      </c>
      <c r="AB60" s="75">
        <f t="shared" si="40"/>
        <v>0.008974765766742943</v>
      </c>
      <c r="AC60" s="75">
        <f t="shared" si="40"/>
        <v>-0.2959519594004014</v>
      </c>
      <c r="AD60" s="75">
        <f t="shared" si="40"/>
        <v>0.6488142693759569</v>
      </c>
      <c r="AE60" s="75">
        <f t="shared" si="40"/>
        <v>-0.3374837157506553</v>
      </c>
      <c r="AF60" s="75">
        <f t="shared" si="40"/>
        <v>0.04223907709793062</v>
      </c>
      <c r="AG60" s="75">
        <f t="shared" si="40"/>
        <v>-0.558120271209833</v>
      </c>
      <c r="AH60" s="75">
        <f t="shared" si="40"/>
        <v>1.958110373654947</v>
      </c>
      <c r="AI60" s="75">
        <f t="shared" si="40"/>
        <v>-0.1348854871446482</v>
      </c>
    </row>
    <row r="61" spans="2:35" ht="12">
      <c r="B61" s="13" t="s">
        <v>7</v>
      </c>
      <c r="C61" s="64">
        <f>19714.6-500</f>
        <v>19214.6</v>
      </c>
      <c r="D61" s="26">
        <v>25269.5</v>
      </c>
      <c r="E61" s="50">
        <v>33218</v>
      </c>
      <c r="F61" s="7">
        <f>19684.70305339-840.8</f>
        <v>18843.90305339</v>
      </c>
      <c r="G61" s="7">
        <v>125974.96945184997</v>
      </c>
      <c r="H61" s="7">
        <v>29175.465504360014</v>
      </c>
      <c r="I61" s="7">
        <v>24962.825176860006</v>
      </c>
      <c r="J61" s="7">
        <v>79706.72485156998</v>
      </c>
      <c r="K61" s="7">
        <v>49224.98626299994</v>
      </c>
      <c r="L61" s="7">
        <v>81069.90301480996</v>
      </c>
      <c r="M61" s="7">
        <v>126747.25772978</v>
      </c>
      <c r="N61" s="7">
        <v>140327.36667639003</v>
      </c>
      <c r="O61" s="7">
        <v>70654.54431954</v>
      </c>
      <c r="P61" s="7">
        <v>128600.19018055999</v>
      </c>
      <c r="Q61" s="7">
        <v>43297.59039987001</v>
      </c>
      <c r="R61" s="7">
        <v>67141.35246317004</v>
      </c>
      <c r="S61" s="7">
        <v>78600.87378668982</v>
      </c>
      <c r="T61" s="75">
        <f t="shared" si="5"/>
        <v>0.31511975268806025</v>
      </c>
      <c r="U61" s="75">
        <f t="shared" si="40"/>
        <v>0.3145491600546113</v>
      </c>
      <c r="V61" s="75">
        <f t="shared" si="40"/>
        <v>-0.43272012001354687</v>
      </c>
      <c r="W61" s="75">
        <f t="shared" si="40"/>
        <v>5.685184544567438</v>
      </c>
      <c r="X61" s="75">
        <f t="shared" si="40"/>
        <v>-0.7684026784740644</v>
      </c>
      <c r="Y61" s="75">
        <f t="shared" si="40"/>
        <v>-0.14438982393855782</v>
      </c>
      <c r="Z61" s="75">
        <f t="shared" si="40"/>
        <v>2.1930169877348806</v>
      </c>
      <c r="AA61" s="75">
        <f t="shared" si="40"/>
        <v>-0.38242367435537206</v>
      </c>
      <c r="AB61" s="75">
        <f t="shared" si="40"/>
        <v>0.6469258636593325</v>
      </c>
      <c r="AC61" s="75">
        <f t="shared" si="40"/>
        <v>0.563431717768623</v>
      </c>
      <c r="AD61" s="75">
        <f t="shared" si="40"/>
        <v>0.10714321705927765</v>
      </c>
      <c r="AE61" s="75">
        <f t="shared" si="40"/>
        <v>-0.49650202955438505</v>
      </c>
      <c r="AF61" s="75">
        <f t="shared" si="40"/>
        <v>0.8201262412642116</v>
      </c>
      <c r="AG61" s="75">
        <f t="shared" si="40"/>
        <v>-0.6633162801775145</v>
      </c>
      <c r="AH61" s="75">
        <f t="shared" si="40"/>
        <v>0.5506948964848541</v>
      </c>
      <c r="AI61" s="75">
        <f t="shared" si="40"/>
        <v>0.1706775467444719</v>
      </c>
    </row>
    <row r="62" spans="2:35" ht="12">
      <c r="B62" s="13" t="s">
        <v>8</v>
      </c>
      <c r="C62" s="64">
        <v>2.5</v>
      </c>
      <c r="D62" s="26">
        <v>0</v>
      </c>
      <c r="E62" s="50">
        <v>7.1</v>
      </c>
      <c r="F62" s="7">
        <v>8.29999998999999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619.5738343800001</v>
      </c>
      <c r="O62" s="7">
        <v>0</v>
      </c>
      <c r="P62" s="7">
        <v>156.38724956000001</v>
      </c>
      <c r="Q62" s="7">
        <v>0</v>
      </c>
      <c r="R62" s="7">
        <v>0</v>
      </c>
      <c r="S62" s="7">
        <v>0</v>
      </c>
      <c r="T62" s="127">
        <f t="shared" si="5"/>
        <v>-1</v>
      </c>
      <c r="U62" s="127" t="e">
        <f t="shared" si="40"/>
        <v>#DIV/0!</v>
      </c>
      <c r="V62" s="127">
        <f t="shared" si="40"/>
        <v>0.16901408309859</v>
      </c>
      <c r="W62" s="127">
        <f t="shared" si="40"/>
        <v>-1</v>
      </c>
      <c r="X62" s="127" t="e">
        <f t="shared" si="40"/>
        <v>#DIV/0!</v>
      </c>
      <c r="Y62" s="127" t="e">
        <f t="shared" si="40"/>
        <v>#DIV/0!</v>
      </c>
      <c r="Z62" s="127" t="e">
        <f t="shared" si="40"/>
        <v>#DIV/0!</v>
      </c>
      <c r="AA62" s="127" t="e">
        <f t="shared" si="40"/>
        <v>#DIV/0!</v>
      </c>
      <c r="AB62" s="127" t="e">
        <f t="shared" si="40"/>
        <v>#DIV/0!</v>
      </c>
      <c r="AC62" s="127" t="e">
        <f t="shared" si="40"/>
        <v>#DIV/0!</v>
      </c>
      <c r="AD62" s="127" t="e">
        <f t="shared" si="40"/>
        <v>#DIV/0!</v>
      </c>
      <c r="AE62" s="127">
        <f t="shared" si="40"/>
        <v>-1</v>
      </c>
      <c r="AF62" s="127" t="e">
        <f t="shared" si="40"/>
        <v>#DIV/0!</v>
      </c>
      <c r="AG62" s="127">
        <f t="shared" si="40"/>
        <v>-1</v>
      </c>
      <c r="AH62" s="127" t="e">
        <f t="shared" si="40"/>
        <v>#DIV/0!</v>
      </c>
      <c r="AI62" s="127" t="e">
        <f t="shared" si="40"/>
        <v>#DIV/0!</v>
      </c>
    </row>
    <row r="63" spans="2:35" ht="12">
      <c r="B63" s="23" t="s">
        <v>14</v>
      </c>
      <c r="C63" s="64">
        <v>899.6999999999989</v>
      </c>
      <c r="D63" s="26">
        <v>307.3</v>
      </c>
      <c r="E63" s="50">
        <f>658.5-176.5</f>
        <v>482</v>
      </c>
      <c r="F63" s="7">
        <v>7155.991662029997</v>
      </c>
      <c r="G63" s="7">
        <v>11880.994559559998</v>
      </c>
      <c r="H63" s="7">
        <v>2480.2357941100017</v>
      </c>
      <c r="I63" s="7">
        <v>7583.942866439998</v>
      </c>
      <c r="J63" s="7">
        <f>4657.34630744999-4553.6</f>
        <v>103.74630744998922</v>
      </c>
      <c r="K63" s="7">
        <v>10855.93600247001</v>
      </c>
      <c r="L63" s="7">
        <v>6388.283209779984</v>
      </c>
      <c r="M63" s="7">
        <v>43850.21709922</v>
      </c>
      <c r="N63" s="7">
        <v>30412.326880489993</v>
      </c>
      <c r="O63" s="7">
        <v>4976.846045910006</v>
      </c>
      <c r="P63" s="7">
        <v>7898.150456460018</v>
      </c>
      <c r="Q63" s="7">
        <v>6692.768608959995</v>
      </c>
      <c r="R63" s="7">
        <v>178.22410995999715</v>
      </c>
      <c r="S63" s="7">
        <v>0</v>
      </c>
      <c r="T63" s="75">
        <f t="shared" si="5"/>
        <v>-0.6584417027898184</v>
      </c>
      <c r="U63" s="75">
        <f t="shared" si="40"/>
        <v>0.568499837292548</v>
      </c>
      <c r="V63" s="75">
        <f t="shared" si="40"/>
        <v>13.846455730352691</v>
      </c>
      <c r="W63" s="75">
        <f t="shared" si="40"/>
        <v>0.6602862497172923</v>
      </c>
      <c r="X63" s="75">
        <f t="shared" si="40"/>
        <v>-0.7912434197594772</v>
      </c>
      <c r="Y63" s="75">
        <f t="shared" si="40"/>
        <v>2.0577507527510672</v>
      </c>
      <c r="Z63" s="75">
        <f t="shared" si="40"/>
        <v>-0.9863202677977598</v>
      </c>
      <c r="AA63" s="75">
        <f t="shared" si="40"/>
        <v>103.63925193388788</v>
      </c>
      <c r="AB63" s="75">
        <f t="shared" si="40"/>
        <v>-0.4115400820043079</v>
      </c>
      <c r="AC63" s="75">
        <f t="shared" si="40"/>
        <v>5.864162977635148</v>
      </c>
      <c r="AD63" s="75">
        <f t="shared" si="40"/>
        <v>-0.3064497990585555</v>
      </c>
      <c r="AE63" s="75">
        <f t="shared" si="40"/>
        <v>-0.8363543156211853</v>
      </c>
      <c r="AF63" s="75">
        <f t="shared" si="40"/>
        <v>0.5869790593483906</v>
      </c>
      <c r="AG63" s="75">
        <f t="shared" si="40"/>
        <v>-0.15261571100030424</v>
      </c>
      <c r="AH63" s="75">
        <f t="shared" si="40"/>
        <v>-0.9733706451883906</v>
      </c>
      <c r="AI63" s="75">
        <f t="shared" si="40"/>
        <v>-1</v>
      </c>
    </row>
    <row r="64" spans="2:35" ht="12">
      <c r="B64" s="23"/>
      <c r="C64" s="64"/>
      <c r="D64" s="26"/>
      <c r="E64" s="50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</row>
    <row r="65" spans="2:35" ht="12.75">
      <c r="B65" s="70" t="s">
        <v>50</v>
      </c>
      <c r="C65" s="64"/>
      <c r="D65" s="26"/>
      <c r="E65" s="50">
        <v>64904.7</v>
      </c>
      <c r="F65" s="28">
        <f aca="true" t="shared" si="42" ref="F65:K65">F66-F67</f>
        <v>0</v>
      </c>
      <c r="G65" s="28">
        <f t="shared" si="42"/>
        <v>0</v>
      </c>
      <c r="H65" s="28">
        <f t="shared" si="42"/>
        <v>0</v>
      </c>
      <c r="I65" s="28">
        <f t="shared" si="42"/>
        <v>0</v>
      </c>
      <c r="J65" s="28">
        <f t="shared" si="42"/>
        <v>0</v>
      </c>
      <c r="K65" s="28">
        <f t="shared" si="42"/>
        <v>0</v>
      </c>
      <c r="L65" s="28">
        <f aca="true" t="shared" si="43" ref="L65:S65">L66-L67</f>
        <v>0</v>
      </c>
      <c r="M65" s="28">
        <f t="shared" si="43"/>
        <v>0</v>
      </c>
      <c r="N65" s="28">
        <f t="shared" si="43"/>
        <v>2.785013000000049</v>
      </c>
      <c r="O65" s="28">
        <f t="shared" si="43"/>
        <v>0</v>
      </c>
      <c r="P65" s="28">
        <f t="shared" si="43"/>
        <v>0</v>
      </c>
      <c r="Q65" s="28">
        <f t="shared" si="43"/>
        <v>0</v>
      </c>
      <c r="R65" s="28">
        <f t="shared" si="43"/>
        <v>0</v>
      </c>
      <c r="S65" s="28">
        <f t="shared" si="43"/>
        <v>1097.6658803500004</v>
      </c>
      <c r="T65" s="150" t="e">
        <f t="shared" si="5"/>
        <v>#DIV/0!</v>
      </c>
      <c r="U65" s="150" t="e">
        <f aca="true" t="shared" si="44" ref="U65:AI67">+E65/D65-1</f>
        <v>#DIV/0!</v>
      </c>
      <c r="V65" s="64">
        <f t="shared" si="44"/>
        <v>-1</v>
      </c>
      <c r="W65" s="150" t="e">
        <f t="shared" si="44"/>
        <v>#DIV/0!</v>
      </c>
      <c r="X65" s="150" t="e">
        <f t="shared" si="44"/>
        <v>#DIV/0!</v>
      </c>
      <c r="Y65" s="150" t="e">
        <f t="shared" si="44"/>
        <v>#DIV/0!</v>
      </c>
      <c r="Z65" s="150" t="e">
        <f t="shared" si="44"/>
        <v>#DIV/0!</v>
      </c>
      <c r="AA65" s="150" t="e">
        <f t="shared" si="44"/>
        <v>#DIV/0!</v>
      </c>
      <c r="AB65" s="150" t="e">
        <f t="shared" si="44"/>
        <v>#DIV/0!</v>
      </c>
      <c r="AC65" s="150" t="e">
        <f t="shared" si="44"/>
        <v>#DIV/0!</v>
      </c>
      <c r="AD65" s="150" t="e">
        <f t="shared" si="44"/>
        <v>#DIV/0!</v>
      </c>
      <c r="AE65" s="64">
        <f t="shared" si="44"/>
        <v>-1</v>
      </c>
      <c r="AF65" s="150" t="e">
        <f t="shared" si="44"/>
        <v>#DIV/0!</v>
      </c>
      <c r="AG65" s="150" t="e">
        <f t="shared" si="44"/>
        <v>#DIV/0!</v>
      </c>
      <c r="AH65" s="150" t="e">
        <f t="shared" si="44"/>
        <v>#DIV/0!</v>
      </c>
      <c r="AI65" s="150" t="e">
        <f t="shared" si="44"/>
        <v>#DIV/0!</v>
      </c>
    </row>
    <row r="66" spans="2:35" ht="12">
      <c r="B66" s="71" t="s">
        <v>49</v>
      </c>
      <c r="C66" s="64"/>
      <c r="D66" s="26"/>
      <c r="E66" s="50">
        <v>64904.7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2.785013000000049</v>
      </c>
      <c r="O66" s="7">
        <v>0</v>
      </c>
      <c r="P66" s="7">
        <v>0</v>
      </c>
      <c r="Q66" s="7">
        <v>0</v>
      </c>
      <c r="R66" s="7">
        <v>4.547473508864641E-13</v>
      </c>
      <c r="S66" s="7">
        <v>1097.6658803500004</v>
      </c>
      <c r="T66" s="150" t="e">
        <f t="shared" si="5"/>
        <v>#DIV/0!</v>
      </c>
      <c r="U66" s="150" t="e">
        <f t="shared" si="44"/>
        <v>#DIV/0!</v>
      </c>
      <c r="V66" s="64">
        <f t="shared" si="44"/>
        <v>-1</v>
      </c>
      <c r="W66" s="150" t="e">
        <f t="shared" si="44"/>
        <v>#DIV/0!</v>
      </c>
      <c r="X66" s="150" t="e">
        <f t="shared" si="44"/>
        <v>#DIV/0!</v>
      </c>
      <c r="Y66" s="150" t="e">
        <f t="shared" si="44"/>
        <v>#DIV/0!</v>
      </c>
      <c r="Z66" s="150" t="e">
        <f t="shared" si="44"/>
        <v>#DIV/0!</v>
      </c>
      <c r="AA66" s="150" t="e">
        <f t="shared" si="44"/>
        <v>#DIV/0!</v>
      </c>
      <c r="AB66" s="150" t="e">
        <f t="shared" si="44"/>
        <v>#DIV/0!</v>
      </c>
      <c r="AC66" s="150" t="e">
        <f t="shared" si="44"/>
        <v>#DIV/0!</v>
      </c>
      <c r="AD66" s="150" t="e">
        <f t="shared" si="44"/>
        <v>#DIV/0!</v>
      </c>
      <c r="AE66" s="64">
        <f t="shared" si="44"/>
        <v>-1</v>
      </c>
      <c r="AF66" s="150" t="e">
        <f t="shared" si="44"/>
        <v>#DIV/0!</v>
      </c>
      <c r="AG66" s="150" t="e">
        <f t="shared" si="44"/>
        <v>#DIV/0!</v>
      </c>
      <c r="AH66" s="150" t="e">
        <f t="shared" si="44"/>
        <v>#DIV/0!</v>
      </c>
      <c r="AI66" s="150">
        <f t="shared" si="44"/>
        <v>2413792797715609</v>
      </c>
    </row>
    <row r="67" spans="2:35" ht="12">
      <c r="B67" s="72" t="s">
        <v>51</v>
      </c>
      <c r="C67" s="64"/>
      <c r="D67" s="26"/>
      <c r="E67" s="50"/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4.547473508864641E-13</v>
      </c>
      <c r="S67" s="7">
        <v>0</v>
      </c>
      <c r="T67" s="150" t="e">
        <f t="shared" si="5"/>
        <v>#DIV/0!</v>
      </c>
      <c r="U67" s="150" t="e">
        <f t="shared" si="44"/>
        <v>#DIV/0!</v>
      </c>
      <c r="V67" s="150" t="e">
        <f t="shared" si="44"/>
        <v>#DIV/0!</v>
      </c>
      <c r="W67" s="150" t="e">
        <f t="shared" si="44"/>
        <v>#DIV/0!</v>
      </c>
      <c r="X67" s="150" t="e">
        <f t="shared" si="44"/>
        <v>#DIV/0!</v>
      </c>
      <c r="Y67" s="150" t="e">
        <f t="shared" si="44"/>
        <v>#DIV/0!</v>
      </c>
      <c r="Z67" s="150" t="e">
        <f t="shared" si="44"/>
        <v>#DIV/0!</v>
      </c>
      <c r="AA67" s="150" t="e">
        <f t="shared" si="44"/>
        <v>#DIV/0!</v>
      </c>
      <c r="AB67" s="150" t="e">
        <f t="shared" si="44"/>
        <v>#DIV/0!</v>
      </c>
      <c r="AC67" s="150" t="e">
        <f t="shared" si="44"/>
        <v>#DIV/0!</v>
      </c>
      <c r="AD67" s="150" t="e">
        <f t="shared" si="44"/>
        <v>#DIV/0!</v>
      </c>
      <c r="AE67" s="150" t="e">
        <f t="shared" si="44"/>
        <v>#DIV/0!</v>
      </c>
      <c r="AF67" s="150" t="e">
        <f t="shared" si="44"/>
        <v>#DIV/0!</v>
      </c>
      <c r="AG67" s="150" t="e">
        <f t="shared" si="44"/>
        <v>#DIV/0!</v>
      </c>
      <c r="AH67" s="150" t="e">
        <f t="shared" si="44"/>
        <v>#DIV/0!</v>
      </c>
      <c r="AI67" s="150">
        <f t="shared" si="44"/>
        <v>-1</v>
      </c>
    </row>
    <row r="68" spans="2:35" ht="12.75">
      <c r="B68" s="3"/>
      <c r="C68" s="66"/>
      <c r="D68" s="15"/>
      <c r="E68" s="1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</row>
    <row r="69" spans="1:35" ht="12.75">
      <c r="A69" s="5" t="s">
        <v>17</v>
      </c>
      <c r="B69" s="4" t="s">
        <v>21</v>
      </c>
      <c r="C69" s="31">
        <f aca="true" t="shared" si="45" ref="C69:O69">+C9-C38</f>
        <v>-19723.475784150098</v>
      </c>
      <c r="D69" s="31">
        <f t="shared" si="45"/>
        <v>60777.96068474022</v>
      </c>
      <c r="E69" s="31">
        <f t="shared" si="45"/>
        <v>-79583.73418469</v>
      </c>
      <c r="F69" s="31">
        <f t="shared" si="45"/>
        <v>-78118.36332850979</v>
      </c>
      <c r="G69" s="31">
        <f t="shared" si="45"/>
        <v>-195827.66002584016</v>
      </c>
      <c r="H69" s="31">
        <f t="shared" si="45"/>
        <v>-10082.044858820154</v>
      </c>
      <c r="I69" s="31">
        <f t="shared" si="45"/>
        <v>-45240.644557329826</v>
      </c>
      <c r="J69" s="31">
        <f t="shared" si="45"/>
        <v>-103515.74419642048</v>
      </c>
      <c r="K69" s="31">
        <f t="shared" si="45"/>
        <v>-68626.55142947019</v>
      </c>
      <c r="L69" s="31">
        <f t="shared" si="45"/>
        <v>-105597.96956340049</v>
      </c>
      <c r="M69" s="31">
        <f t="shared" si="45"/>
        <v>-150141.72429626004</v>
      </c>
      <c r="N69" s="31">
        <f t="shared" si="45"/>
        <v>-262813.20039447</v>
      </c>
      <c r="O69" s="31">
        <f t="shared" si="45"/>
        <v>-5170.870905159507</v>
      </c>
      <c r="P69" s="31">
        <f>+P9-P38</f>
        <v>-212523.54394953093</v>
      </c>
      <c r="Q69" s="31">
        <f>+Q9-Q38</f>
        <v>-75931.35156582028</v>
      </c>
      <c r="R69" s="31">
        <f>+R9-R38</f>
        <v>-173145.39687934925</v>
      </c>
      <c r="S69" s="31">
        <f>+S9-S38</f>
        <v>-80374.10867165937</v>
      </c>
      <c r="T69" s="81">
        <f t="shared" si="5"/>
        <v>-4.081503551903451</v>
      </c>
      <c r="U69" s="81">
        <f aca="true" t="shared" si="46" ref="U69:AI69">+E69/D69-1</f>
        <v>-2.30941764560836</v>
      </c>
      <c r="V69" s="81">
        <f t="shared" si="46"/>
        <v>-0.01841294419258488</v>
      </c>
      <c r="W69" s="81">
        <f t="shared" si="46"/>
        <v>1.5068070000689788</v>
      </c>
      <c r="X69" s="81">
        <f t="shared" si="46"/>
        <v>-0.9485157262386233</v>
      </c>
      <c r="Y69" s="81">
        <f t="shared" si="46"/>
        <v>3.4872488856019714</v>
      </c>
      <c r="Z69" s="81">
        <f t="shared" si="46"/>
        <v>1.2881138235164467</v>
      </c>
      <c r="AA69" s="81">
        <f t="shared" si="46"/>
        <v>-0.3370423797634905</v>
      </c>
      <c r="AB69" s="81">
        <f t="shared" si="46"/>
        <v>0.5387334401019273</v>
      </c>
      <c r="AC69" s="81">
        <f t="shared" si="46"/>
        <v>0.42182396988339543</v>
      </c>
      <c r="AD69" s="81">
        <f t="shared" si="46"/>
        <v>0.7504341423166709</v>
      </c>
      <c r="AE69" s="81">
        <f t="shared" si="46"/>
        <v>-0.9803249193822903</v>
      </c>
      <c r="AF69" s="81">
        <f t="shared" si="46"/>
        <v>40.100144994429165</v>
      </c>
      <c r="AG69" s="81">
        <f t="shared" si="46"/>
        <v>-0.6427155779791998</v>
      </c>
      <c r="AH69" s="81">
        <f t="shared" si="46"/>
        <v>1.2802886200341108</v>
      </c>
      <c r="AI69" s="81">
        <f t="shared" si="46"/>
        <v>-0.5357999108248575</v>
      </c>
    </row>
    <row r="70" spans="1:35" ht="15">
      <c r="A70" s="5"/>
      <c r="B70" s="62" t="s">
        <v>45</v>
      </c>
      <c r="C70" s="63">
        <f aca="true" t="shared" si="47" ref="C70:N70">+C69/C$78</f>
        <v>-0.0016983494628710909</v>
      </c>
      <c r="D70" s="63">
        <f t="shared" si="47"/>
        <v>0.0043759614944472</v>
      </c>
      <c r="E70" s="63">
        <f t="shared" si="47"/>
        <v>-0.004909856154238429</v>
      </c>
      <c r="F70" s="63">
        <f t="shared" si="47"/>
        <v>-0.004431958965628649</v>
      </c>
      <c r="G70" s="63">
        <f t="shared" si="47"/>
        <v>-0.009889281648290813</v>
      </c>
      <c r="H70" s="63">
        <f t="shared" si="47"/>
        <v>-0.0004662535384643146</v>
      </c>
      <c r="I70" s="63">
        <f t="shared" si="47"/>
        <v>-0.0019046391961823855</v>
      </c>
      <c r="J70" s="63">
        <f t="shared" si="47"/>
        <v>-0.004065346925467183</v>
      </c>
      <c r="K70" s="63">
        <f t="shared" si="47"/>
        <v>-0.002450832060886648</v>
      </c>
      <c r="L70" s="63">
        <f t="shared" si="47"/>
        <v>-0.003473399966729731</v>
      </c>
      <c r="M70" s="63">
        <f t="shared" si="47"/>
        <v>-0.004683690243846137</v>
      </c>
      <c r="N70" s="63">
        <f t="shared" si="47"/>
        <v>-0.007652454515626799</v>
      </c>
      <c r="O70" s="63">
        <f>+O69/O$78</f>
        <v>-0.0001435766012288611</v>
      </c>
      <c r="P70" s="63">
        <f>+P69/P$78</f>
        <v>-0.00561753812757241</v>
      </c>
      <c r="Q70" s="63">
        <f>+Q69/Q$78</f>
        <v>-0.0020805819847813075</v>
      </c>
      <c r="R70" s="63">
        <f>+R69/R$78</f>
        <v>-0.00431644906829006</v>
      </c>
      <c r="S70" s="63">
        <f>+S69/S$78</f>
        <v>-0.0018162946814211458</v>
      </c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</row>
    <row r="71" spans="1:35" ht="12.75">
      <c r="A71" s="5" t="s">
        <v>18</v>
      </c>
      <c r="B71" s="4" t="s">
        <v>20</v>
      </c>
      <c r="C71" s="31">
        <f aca="true" t="shared" si="48" ref="C71:O71">+C9-C36</f>
        <v>-33464.37578415009</v>
      </c>
      <c r="D71" s="31">
        <f t="shared" si="48"/>
        <v>49773.36068474024</v>
      </c>
      <c r="E71" s="31">
        <f t="shared" si="48"/>
        <v>-91109.53418469004</v>
      </c>
      <c r="F71" s="31">
        <f t="shared" si="48"/>
        <v>-101555.16332850978</v>
      </c>
      <c r="G71" s="31">
        <f t="shared" si="48"/>
        <v>-220321.85739461018</v>
      </c>
      <c r="H71" s="31">
        <f t="shared" si="48"/>
        <v>-55644.3927704501</v>
      </c>
      <c r="I71" s="31">
        <f t="shared" si="48"/>
        <v>-93517.38310232991</v>
      </c>
      <c r="J71" s="31">
        <f t="shared" si="48"/>
        <v>-197612.8989433103</v>
      </c>
      <c r="K71" s="31">
        <f t="shared" si="48"/>
        <v>-174073.4080956102</v>
      </c>
      <c r="L71" s="31">
        <f t="shared" si="48"/>
        <v>-219807.99551175034</v>
      </c>
      <c r="M71" s="31">
        <f t="shared" si="48"/>
        <v>-280682.9218859001</v>
      </c>
      <c r="N71" s="31">
        <f t="shared" si="48"/>
        <v>-365996.6592339901</v>
      </c>
      <c r="O71" s="31">
        <f t="shared" si="48"/>
        <v>-113470.21753000969</v>
      </c>
      <c r="P71" s="31">
        <f>+P9-P36</f>
        <v>-356894.65125196043</v>
      </c>
      <c r="Q71" s="31">
        <f>+Q9-Q36</f>
        <v>-218480.1143117305</v>
      </c>
      <c r="R71" s="31">
        <f>+R9-R36</f>
        <v>-349015.81872931926</v>
      </c>
      <c r="S71" s="31">
        <f>+S9-S36</f>
        <v>-237549.31845942908</v>
      </c>
      <c r="T71" s="81">
        <f t="shared" si="5"/>
        <v>-2.487353626608349</v>
      </c>
      <c r="U71" s="81">
        <f aca="true" t="shared" si="49" ref="U71:AI71">+E71/D71-1</f>
        <v>-2.8304878941522396</v>
      </c>
      <c r="V71" s="81">
        <f t="shared" si="49"/>
        <v>0.11464913345561811</v>
      </c>
      <c r="W71" s="81">
        <f t="shared" si="49"/>
        <v>1.1694796224384465</v>
      </c>
      <c r="X71" s="81">
        <f t="shared" si="49"/>
        <v>-0.7474404336071498</v>
      </c>
      <c r="Y71" s="81">
        <f t="shared" si="49"/>
        <v>0.6806254583119871</v>
      </c>
      <c r="Z71" s="81">
        <f t="shared" si="49"/>
        <v>1.1131140798398467</v>
      </c>
      <c r="AA71" s="81">
        <f t="shared" si="49"/>
        <v>-0.11911920210457982</v>
      </c>
      <c r="AB71" s="81">
        <f t="shared" si="49"/>
        <v>0.26273161372827447</v>
      </c>
      <c r="AC71" s="81">
        <f t="shared" si="49"/>
        <v>0.27694591469442487</v>
      </c>
      <c r="AD71" s="81">
        <f t="shared" si="49"/>
        <v>0.30395058158462085</v>
      </c>
      <c r="AE71" s="81">
        <f t="shared" si="49"/>
        <v>-0.6899692533601365</v>
      </c>
      <c r="AF71" s="81">
        <f t="shared" si="49"/>
        <v>2.1452715877412665</v>
      </c>
      <c r="AG71" s="81">
        <f t="shared" si="49"/>
        <v>-0.3878302363307543</v>
      </c>
      <c r="AH71" s="81">
        <f t="shared" si="49"/>
        <v>0.5974717874384605</v>
      </c>
      <c r="AI71" s="81">
        <f t="shared" si="49"/>
        <v>-0.3193737770273918</v>
      </c>
    </row>
    <row r="72" spans="2:34" ht="15">
      <c r="B72" s="62" t="s">
        <v>45</v>
      </c>
      <c r="C72" s="63">
        <f aca="true" t="shared" si="50" ref="C72:O72">+C71/C$78</f>
        <v>-0.0028815511657433097</v>
      </c>
      <c r="D72" s="63">
        <f t="shared" si="50"/>
        <v>0.0035836396508173887</v>
      </c>
      <c r="E72" s="63">
        <f t="shared" si="50"/>
        <v>-0.005620931358766946</v>
      </c>
      <c r="F72" s="63">
        <f t="shared" si="50"/>
        <v>-0.005761619898856843</v>
      </c>
      <c r="G72" s="63">
        <f t="shared" si="50"/>
        <v>-0.011126236716316584</v>
      </c>
      <c r="H72" s="63">
        <f t="shared" si="50"/>
        <v>-0.002573326680075555</v>
      </c>
      <c r="I72" s="63">
        <f t="shared" si="50"/>
        <v>-0.003937098490172673</v>
      </c>
      <c r="J72" s="63">
        <f t="shared" si="50"/>
        <v>-0.007760800034702583</v>
      </c>
      <c r="K72" s="63">
        <f t="shared" si="50"/>
        <v>-0.006216612675736496</v>
      </c>
      <c r="L72" s="63">
        <f t="shared" si="50"/>
        <v>-0.007230073527493843</v>
      </c>
      <c r="M72" s="63">
        <f t="shared" si="50"/>
        <v>-0.00875593955652982</v>
      </c>
      <c r="N72" s="63">
        <f t="shared" si="50"/>
        <v>-0.010656895405008747</v>
      </c>
      <c r="O72" s="63">
        <f t="shared" si="50"/>
        <v>-0.003150662329899294</v>
      </c>
      <c r="P72" s="63">
        <f>+P71/P$78</f>
        <v>-0.009433633910277033</v>
      </c>
      <c r="Q72" s="63">
        <f>+Q71/Q$78</f>
        <v>-0.005986536265931098</v>
      </c>
      <c r="R72" s="63">
        <f>+R71/R$78</f>
        <v>-0.008700831975466403</v>
      </c>
      <c r="S72" s="63">
        <f>+S71/S$78</f>
        <v>-0.005368141194021298</v>
      </c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</row>
    <row r="73" spans="2:34" ht="12.75">
      <c r="B73" s="3"/>
      <c r="C73" s="40"/>
      <c r="D73" s="40"/>
      <c r="E73" s="1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40"/>
      <c r="U73" s="40"/>
      <c r="V73" s="40"/>
      <c r="W73" s="40"/>
      <c r="X73" s="89"/>
      <c r="Y73" s="40"/>
      <c r="Z73" s="40"/>
      <c r="AA73" s="40"/>
      <c r="AB73" s="13"/>
      <c r="AC73" s="13"/>
      <c r="AD73" s="13"/>
      <c r="AE73" s="13"/>
      <c r="AF73" s="13"/>
      <c r="AG73" s="13"/>
      <c r="AH73" s="3"/>
    </row>
    <row r="74" spans="2:34" ht="12.75">
      <c r="B74" s="44" t="s">
        <v>39</v>
      </c>
      <c r="C74" s="26"/>
      <c r="D74" s="26"/>
      <c r="E74" s="13"/>
      <c r="F74" s="56">
        <f aca="true" t="shared" si="51" ref="F74:L74">F75+F76</f>
        <v>44248.75979185502</v>
      </c>
      <c r="G74" s="56">
        <f t="shared" si="51"/>
        <v>255846.944160877</v>
      </c>
      <c r="H74" s="56">
        <f t="shared" si="51"/>
        <v>94041.49424492806</v>
      </c>
      <c r="I74" s="56">
        <f t="shared" si="51"/>
        <v>93517.41326014975</v>
      </c>
      <c r="J74" s="56">
        <f t="shared" si="51"/>
        <v>197612.87394292207</v>
      </c>
      <c r="K74" s="56">
        <f t="shared" si="51"/>
        <v>174073.3571322316</v>
      </c>
      <c r="L74" s="56">
        <f t="shared" si="51"/>
        <v>219807.92250128157</v>
      </c>
      <c r="M74" s="56">
        <f aca="true" t="shared" si="52" ref="M74:S74">M75+M76</f>
        <v>280682.8583244434</v>
      </c>
      <c r="N74" s="56">
        <f t="shared" si="52"/>
        <v>365996.69476314</v>
      </c>
      <c r="O74" s="56">
        <f t="shared" si="52"/>
        <v>113470.16785273273</v>
      </c>
      <c r="P74" s="56">
        <f t="shared" si="52"/>
        <v>356894.6947247158</v>
      </c>
      <c r="Q74" s="56">
        <f t="shared" si="52"/>
        <v>218480.066171883</v>
      </c>
      <c r="R74" s="56">
        <f t="shared" si="52"/>
        <v>349015.7778511052</v>
      </c>
      <c r="S74" s="56">
        <f t="shared" si="52"/>
        <v>237549.31597723978</v>
      </c>
      <c r="T74" s="26"/>
      <c r="U74" s="26"/>
      <c r="V74" s="26"/>
      <c r="W74" s="26"/>
      <c r="X74" s="7"/>
      <c r="Y74" s="26"/>
      <c r="Z74" s="26"/>
      <c r="AA74" s="26"/>
      <c r="AB74" s="13"/>
      <c r="AC74" s="13"/>
      <c r="AD74" s="13"/>
      <c r="AE74" s="13"/>
      <c r="AF74" s="13"/>
      <c r="AG74" s="13"/>
      <c r="AH74" s="56"/>
    </row>
    <row r="75" spans="2:34" ht="12">
      <c r="B75" s="55" t="s">
        <v>41</v>
      </c>
      <c r="C75" s="24"/>
      <c r="D75" s="24"/>
      <c r="E75" s="13"/>
      <c r="F75" s="55">
        <v>41569.86955273301</v>
      </c>
      <c r="G75" s="55">
        <v>246516.480334017</v>
      </c>
      <c r="H75" s="59">
        <v>61265.27081835798</v>
      </c>
      <c r="I75" s="59">
        <f>86423.3280185311-1907.3</f>
        <v>84516.0280185311</v>
      </c>
      <c r="J75" s="55">
        <f>165083.872662879+5363</f>
        <v>170446.872662879</v>
      </c>
      <c r="K75" s="69">
        <f>110003.902980196+25376.5-2342.3</f>
        <v>133038.102980196</v>
      </c>
      <c r="L75" s="69">
        <v>182928.00032807598</v>
      </c>
      <c r="M75" s="69">
        <v>152863.950136369</v>
      </c>
      <c r="N75" s="69">
        <v>343051.326369411</v>
      </c>
      <c r="O75" s="69">
        <v>-17370.2301884093</v>
      </c>
      <c r="P75" s="69">
        <v>351319.803017527</v>
      </c>
      <c r="Q75" s="69">
        <f>206532.9-263.5</f>
        <v>206269.4</v>
      </c>
      <c r="R75" s="69">
        <v>114767.01841884</v>
      </c>
      <c r="S75" s="69">
        <v>239355.667492533</v>
      </c>
      <c r="T75" s="24"/>
      <c r="U75" s="24"/>
      <c r="V75" s="24"/>
      <c r="W75" s="24"/>
      <c r="X75" s="86"/>
      <c r="Y75" s="24"/>
      <c r="Z75" s="24"/>
      <c r="AA75" s="24"/>
      <c r="AB75" s="13"/>
      <c r="AC75" s="13"/>
      <c r="AD75" s="13"/>
      <c r="AE75" s="13"/>
      <c r="AF75" s="13"/>
      <c r="AG75" s="13"/>
      <c r="AH75" s="69"/>
    </row>
    <row r="76" spans="2:34" ht="12">
      <c r="B76" s="55" t="s">
        <v>42</v>
      </c>
      <c r="C76" s="8"/>
      <c r="D76" s="8"/>
      <c r="F76" s="55">
        <v>2678.890239122001</v>
      </c>
      <c r="G76" s="55">
        <v>9330.46382686</v>
      </c>
      <c r="H76" s="59">
        <v>32776.22342657009</v>
      </c>
      <c r="I76" s="55">
        <v>9001.385241618651</v>
      </c>
      <c r="J76" s="55">
        <v>27166.00128004306</v>
      </c>
      <c r="K76" s="69">
        <v>41035.2541520356</v>
      </c>
      <c r="L76" s="69">
        <v>36879.92217320558</v>
      </c>
      <c r="M76" s="69">
        <v>127818.90818807439</v>
      </c>
      <c r="N76" s="69">
        <v>22945.368393728993</v>
      </c>
      <c r="O76" s="69">
        <v>130840.39804114203</v>
      </c>
      <c r="P76" s="69">
        <v>5574.8917071888</v>
      </c>
      <c r="Q76" s="69">
        <v>12210.666171883</v>
      </c>
      <c r="R76" s="69">
        <v>234248.75943226521</v>
      </c>
      <c r="S76" s="69">
        <v>-1806.3515152931998</v>
      </c>
      <c r="AH76" s="69"/>
    </row>
    <row r="77" spans="2:32" ht="12.75" thickBot="1">
      <c r="B77" s="37"/>
      <c r="C77" s="11"/>
      <c r="D77" s="11"/>
      <c r="E77" s="10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11"/>
      <c r="U77" s="11"/>
      <c r="V77" s="11"/>
      <c r="W77" s="11"/>
      <c r="X77" s="79"/>
      <c r="Y77" s="11"/>
      <c r="Z77" s="11"/>
      <c r="AA77" s="11"/>
      <c r="AB77" s="10"/>
      <c r="AC77" s="10"/>
      <c r="AD77" s="10"/>
      <c r="AE77" s="10"/>
      <c r="AF77" s="10"/>
    </row>
    <row r="78" spans="2:26" ht="15" thickTop="1">
      <c r="B78" s="60" t="s">
        <v>84</v>
      </c>
      <c r="C78" s="61">
        <v>11613320</v>
      </c>
      <c r="D78" s="61">
        <v>13889052.9</v>
      </c>
      <c r="E78" s="61">
        <v>16208974.7</v>
      </c>
      <c r="F78" s="61">
        <v>17626147.7</v>
      </c>
      <c r="G78" s="61">
        <v>19802010.6</v>
      </c>
      <c r="H78" s="131">
        <v>21623524.6</v>
      </c>
      <c r="I78" s="131">
        <v>23752868.6</v>
      </c>
      <c r="J78" s="131">
        <v>25462954.6</v>
      </c>
      <c r="K78" s="131">
        <v>28001327.6</v>
      </c>
      <c r="L78" s="131">
        <v>30401903.2</v>
      </c>
      <c r="M78" s="131">
        <v>32056288.2</v>
      </c>
      <c r="N78" s="131">
        <v>34343647.5</v>
      </c>
      <c r="O78" s="131">
        <v>36014718.7</v>
      </c>
      <c r="P78" s="131">
        <v>37832149.8</v>
      </c>
      <c r="Q78" s="131">
        <v>36495246.1</v>
      </c>
      <c r="R78" s="61">
        <v>40112924.8</v>
      </c>
      <c r="S78" s="61">
        <v>44251689.714122415</v>
      </c>
      <c r="T78" s="61"/>
      <c r="U78" s="61"/>
      <c r="V78" s="61"/>
      <c r="W78" s="61"/>
      <c r="X78" s="88"/>
      <c r="Y78" s="61"/>
      <c r="Z78" s="61"/>
    </row>
    <row r="80" spans="2:27" ht="14.25">
      <c r="B80" s="60" t="s">
        <v>58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1"/>
      <c r="U80" s="61"/>
      <c r="V80" s="61"/>
      <c r="W80" s="61"/>
      <c r="X80" s="88"/>
      <c r="Y80" s="61"/>
      <c r="Z80" s="61"/>
      <c r="AA80" s="61"/>
    </row>
    <row r="81" spans="2:19" ht="14.25">
      <c r="B81" s="60" t="s">
        <v>59</v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</row>
    <row r="82" spans="2:26" ht="14.25">
      <c r="B82" s="60" t="s">
        <v>60</v>
      </c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</row>
    <row r="83" spans="2:26" ht="14.25">
      <c r="B83" s="60" t="s">
        <v>139</v>
      </c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</row>
    <row r="84" spans="2:26" ht="14.25">
      <c r="B84" s="60" t="s">
        <v>61</v>
      </c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</row>
    <row r="85" spans="2:26" ht="14.25">
      <c r="B85" s="60" t="s">
        <v>62</v>
      </c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</row>
    <row r="86" spans="2:26" ht="14.25">
      <c r="B86" s="60" t="s">
        <v>67</v>
      </c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</row>
    <row r="87" spans="2:26" ht="14.25">
      <c r="B87" s="60" t="s">
        <v>142</v>
      </c>
      <c r="C87" s="60" t="s">
        <v>142</v>
      </c>
      <c r="D87" s="60" t="s">
        <v>142</v>
      </c>
      <c r="E87" s="60" t="s">
        <v>142</v>
      </c>
      <c r="F87" s="60" t="s">
        <v>142</v>
      </c>
      <c r="G87" s="60" t="s">
        <v>142</v>
      </c>
      <c r="H87" s="60" t="s">
        <v>142</v>
      </c>
      <c r="I87" s="60" t="s">
        <v>142</v>
      </c>
      <c r="J87" s="60" t="s">
        <v>142</v>
      </c>
      <c r="K87" s="60" t="s">
        <v>142</v>
      </c>
      <c r="L87" s="60" t="s">
        <v>142</v>
      </c>
      <c r="M87" s="60"/>
      <c r="N87" s="60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</row>
    <row r="88" spans="2:26" ht="14.25"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</row>
    <row r="89" spans="2:19" ht="12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</row>
    <row r="90" spans="1:31" ht="12">
      <c r="A90" s="233" t="s">
        <v>44</v>
      </c>
      <c r="B90" s="233"/>
      <c r="C90" s="233"/>
      <c r="D90" s="233"/>
      <c r="E90" s="233"/>
      <c r="F90" s="233"/>
      <c r="G90" s="233"/>
      <c r="H90" s="233"/>
      <c r="I90" s="233"/>
      <c r="J90" s="233"/>
      <c r="K90" s="233"/>
      <c r="L90" s="233"/>
      <c r="M90" s="233"/>
      <c r="N90" s="233"/>
      <c r="O90" s="233"/>
      <c r="P90" s="233"/>
      <c r="Q90" s="233"/>
      <c r="R90" s="233"/>
      <c r="S90" s="233"/>
      <c r="T90" s="233"/>
      <c r="U90" s="233"/>
      <c r="V90" s="233"/>
      <c r="W90" s="233"/>
      <c r="X90" s="233"/>
      <c r="Y90" s="233"/>
      <c r="Z90" s="233"/>
      <c r="AA90" s="233"/>
      <c r="AB90" s="233"/>
      <c r="AC90" s="233"/>
      <c r="AD90" s="233"/>
      <c r="AE90" s="233"/>
    </row>
    <row r="92" spans="16:19" ht="12">
      <c r="P92" s="41"/>
      <c r="Q92" s="41"/>
      <c r="R92" s="41"/>
      <c r="S92" s="41"/>
    </row>
    <row r="93" spans="16:19" ht="12">
      <c r="P93" s="41"/>
      <c r="Q93" s="41"/>
      <c r="R93" s="41"/>
      <c r="S93" s="41"/>
    </row>
    <row r="94" spans="17:19" ht="12">
      <c r="Q94" s="130"/>
      <c r="R94" s="130"/>
      <c r="S94" s="130"/>
    </row>
    <row r="95" spans="16:19" ht="12">
      <c r="P95" s="41"/>
      <c r="Q95" s="130"/>
      <c r="R95" s="130"/>
      <c r="S95" s="130"/>
    </row>
    <row r="96" spans="17:19" ht="12">
      <c r="Q96" s="130"/>
      <c r="R96" s="130"/>
      <c r="S96" s="130"/>
    </row>
    <row r="97" spans="17:19" ht="12">
      <c r="Q97" s="130"/>
      <c r="R97" s="130"/>
      <c r="S97" s="130"/>
    </row>
  </sheetData>
  <sheetProtection/>
  <mergeCells count="6">
    <mergeCell ref="A2:AF2"/>
    <mergeCell ref="A3:AF3"/>
    <mergeCell ref="A4:AF4"/>
    <mergeCell ref="A90:AE90"/>
    <mergeCell ref="T6:AI6"/>
    <mergeCell ref="C6:S6"/>
  </mergeCells>
  <printOptions/>
  <pageMargins left="0.2362204724409449" right="0.2755905511811024" top="0.5511811023622047" bottom="0.1968503937007874" header="0" footer="0"/>
  <pageSetup horizontalDpi="600" verticalDpi="600" orientation="portrait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99"/>
  <sheetViews>
    <sheetView zoomScalePageLayoutView="0" workbookViewId="0" topLeftCell="A1">
      <pane xSplit="2" ySplit="7" topLeftCell="M8" activePane="bottomRight" state="frozen"/>
      <selection pane="topLeft" activeCell="E9" sqref="E9"/>
      <selection pane="topRight" activeCell="E9" sqref="E9"/>
      <selection pane="bottomLeft" activeCell="E9" sqref="E9"/>
      <selection pane="bottomRight" activeCell="A3" sqref="A3:AF3"/>
    </sheetView>
  </sheetViews>
  <sheetFormatPr defaultColWidth="11.421875" defaultRowHeight="12.75"/>
  <cols>
    <col min="1" max="1" width="4.7109375" style="1" bestFit="1" customWidth="1"/>
    <col min="2" max="2" width="43.00390625" style="1" customWidth="1"/>
    <col min="3" max="8" width="10.7109375" style="1" hidden="1" customWidth="1"/>
    <col min="9" max="12" width="11.28125" style="1" hidden="1" customWidth="1"/>
    <col min="13" max="19" width="11.8515625" style="1" bestFit="1" customWidth="1"/>
    <col min="20" max="20" width="7.140625" style="8" hidden="1" customWidth="1"/>
    <col min="21" max="21" width="6.140625" style="8" hidden="1" customWidth="1"/>
    <col min="22" max="22" width="7.57421875" style="8" hidden="1" customWidth="1"/>
    <col min="23" max="23" width="6.8515625" style="8" hidden="1" customWidth="1"/>
    <col min="24" max="24" width="6.140625" style="87" hidden="1" customWidth="1"/>
    <col min="25" max="25" width="7.00390625" style="8" hidden="1" customWidth="1"/>
    <col min="26" max="26" width="6.140625" style="8" hidden="1" customWidth="1"/>
    <col min="27" max="27" width="6.28125" style="8" hidden="1" customWidth="1"/>
    <col min="28" max="28" width="7.28125" style="1" hidden="1" customWidth="1"/>
    <col min="29" max="29" width="7.28125" style="1" bestFit="1" customWidth="1"/>
    <col min="30" max="30" width="6.28125" style="1" bestFit="1" customWidth="1"/>
    <col min="31" max="31" width="7.57421875" style="1" bestFit="1" customWidth="1"/>
    <col min="32" max="32" width="7.140625" style="1" bestFit="1" customWidth="1"/>
    <col min="33" max="33" width="6.8515625" style="1" bestFit="1" customWidth="1"/>
    <col min="34" max="34" width="7.28125" style="1" bestFit="1" customWidth="1"/>
    <col min="35" max="35" width="6.8515625" style="1" bestFit="1" customWidth="1"/>
    <col min="36" max="16384" width="11.421875" style="1" customWidth="1"/>
  </cols>
  <sheetData>
    <row r="1" ht="12.75"/>
    <row r="2" spans="1:32" ht="12.75">
      <c r="A2" s="231" t="s">
        <v>87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</row>
    <row r="3" spans="1:32" ht="12.75">
      <c r="A3" s="235" t="s">
        <v>145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</row>
    <row r="4" spans="1:32" ht="12.75">
      <c r="A4" s="236" t="s">
        <v>43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</row>
    <row r="5" spans="2:35" ht="12.75" thickBo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1"/>
      <c r="U5" s="11"/>
      <c r="V5" s="11"/>
      <c r="W5" s="11"/>
      <c r="X5" s="79"/>
      <c r="Y5" s="11"/>
      <c r="Z5" s="11"/>
      <c r="AA5" s="11"/>
      <c r="AB5" s="12"/>
      <c r="AC5" s="12"/>
      <c r="AD5" s="12"/>
      <c r="AE5" s="10"/>
      <c r="AF5" s="10"/>
      <c r="AG5" s="10"/>
      <c r="AH5" s="10"/>
      <c r="AI5" s="10"/>
    </row>
    <row r="6" spans="2:35" ht="13.5" thickTop="1">
      <c r="B6" s="13"/>
      <c r="C6" s="234" t="s">
        <v>47</v>
      </c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 t="s">
        <v>19</v>
      </c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</row>
    <row r="7" spans="2:35" ht="12">
      <c r="B7" s="16" t="s">
        <v>0</v>
      </c>
      <c r="C7" s="17">
        <v>2006</v>
      </c>
      <c r="D7" s="17">
        <v>2007</v>
      </c>
      <c r="E7" s="17">
        <v>2008</v>
      </c>
      <c r="F7" s="17">
        <v>2009</v>
      </c>
      <c r="G7" s="17">
        <v>2010</v>
      </c>
      <c r="H7" s="17">
        <v>2011</v>
      </c>
      <c r="I7" s="17">
        <v>2012</v>
      </c>
      <c r="J7" s="17">
        <v>2013</v>
      </c>
      <c r="K7" s="17">
        <v>2014</v>
      </c>
      <c r="L7" s="73">
        <v>2015</v>
      </c>
      <c r="M7" s="73">
        <v>2016</v>
      </c>
      <c r="N7" s="73">
        <v>2017</v>
      </c>
      <c r="O7" s="73">
        <v>2018</v>
      </c>
      <c r="P7" s="73">
        <v>2019</v>
      </c>
      <c r="Q7" s="73">
        <v>2020</v>
      </c>
      <c r="R7" s="73">
        <v>2021</v>
      </c>
      <c r="S7" s="73">
        <v>2022</v>
      </c>
      <c r="T7" s="80" t="s">
        <v>69</v>
      </c>
      <c r="U7" s="80" t="s">
        <v>70</v>
      </c>
      <c r="V7" s="80" t="s">
        <v>71</v>
      </c>
      <c r="W7" s="80" t="s">
        <v>72</v>
      </c>
      <c r="X7" s="80" t="s">
        <v>73</v>
      </c>
      <c r="Y7" s="18" t="s">
        <v>74</v>
      </c>
      <c r="Z7" s="18" t="s">
        <v>75</v>
      </c>
      <c r="AA7" s="18" t="s">
        <v>76</v>
      </c>
      <c r="AB7" s="18" t="s">
        <v>77</v>
      </c>
      <c r="AC7" s="18" t="s">
        <v>78</v>
      </c>
      <c r="AD7" s="18" t="s">
        <v>79</v>
      </c>
      <c r="AE7" s="18" t="s">
        <v>80</v>
      </c>
      <c r="AF7" s="18" t="s">
        <v>81</v>
      </c>
      <c r="AG7" s="18" t="s">
        <v>82</v>
      </c>
      <c r="AH7" s="18" t="s">
        <v>83</v>
      </c>
      <c r="AI7" s="18" t="s">
        <v>88</v>
      </c>
    </row>
    <row r="8" spans="2:32" ht="12">
      <c r="B8" s="13"/>
      <c r="C8" s="15"/>
      <c r="D8" s="15"/>
      <c r="E8" s="14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5"/>
      <c r="U8" s="15"/>
      <c r="V8" s="15"/>
      <c r="W8" s="15"/>
      <c r="X8" s="22"/>
      <c r="Y8" s="15"/>
      <c r="Z8" s="15"/>
      <c r="AA8" s="15"/>
      <c r="AB8" s="13"/>
      <c r="AC8" s="13"/>
      <c r="AD8" s="13"/>
      <c r="AE8" s="13"/>
      <c r="AF8" s="13"/>
    </row>
    <row r="9" spans="1:35" ht="15">
      <c r="A9" s="1">
        <v>1</v>
      </c>
      <c r="B9" s="4" t="s">
        <v>55</v>
      </c>
      <c r="C9" s="31">
        <f aca="true" t="shared" si="0" ref="C9:S9">+C11+C34</f>
        <v>1638352.6570784003</v>
      </c>
      <c r="D9" s="31">
        <f t="shared" si="0"/>
        <v>2104700.9525311803</v>
      </c>
      <c r="E9" s="31">
        <f t="shared" si="0"/>
        <v>2490030.6117988396</v>
      </c>
      <c r="F9" s="31">
        <f t="shared" si="0"/>
        <v>2363265.7024483606</v>
      </c>
      <c r="G9" s="31">
        <f t="shared" si="0"/>
        <v>2743180.14014129</v>
      </c>
      <c r="H9" s="31">
        <f t="shared" si="0"/>
        <v>3024429.23650815</v>
      </c>
      <c r="I9" s="31">
        <f t="shared" si="0"/>
        <v>3274301.16683227</v>
      </c>
      <c r="J9" s="31">
        <f t="shared" si="0"/>
        <v>3537315.6617513006</v>
      </c>
      <c r="K9" s="31">
        <f t="shared" si="0"/>
        <v>3799979.6265352108</v>
      </c>
      <c r="L9" s="31">
        <f t="shared" si="0"/>
        <v>4180896.48104632</v>
      </c>
      <c r="M9" s="31">
        <f t="shared" si="0"/>
        <v>4568069.240109</v>
      </c>
      <c r="N9" s="31">
        <f t="shared" si="0"/>
        <v>4745798.388479461</v>
      </c>
      <c r="O9" s="31">
        <f t="shared" si="0"/>
        <v>4956655.460242</v>
      </c>
      <c r="P9" s="31">
        <f t="shared" si="0"/>
        <v>5362976.65345927</v>
      </c>
      <c r="Q9" s="31">
        <f t="shared" si="0"/>
        <v>4776316.44344165</v>
      </c>
      <c r="R9" s="31">
        <f t="shared" si="0"/>
        <v>6326210.8092209</v>
      </c>
      <c r="S9" s="31">
        <f t="shared" si="0"/>
        <v>7341174.73422735</v>
      </c>
      <c r="T9" s="81">
        <f aca="true" t="shared" si="1" ref="T9:AI9">+D9/C9-1</f>
        <v>0.28464463584073396</v>
      </c>
      <c r="U9" s="81">
        <f t="shared" si="1"/>
        <v>0.18308047934517702</v>
      </c>
      <c r="V9" s="81">
        <f t="shared" si="1"/>
        <v>-0.0509089762791719</v>
      </c>
      <c r="W9" s="81">
        <f t="shared" si="1"/>
        <v>0.1607582411488202</v>
      </c>
      <c r="X9" s="81">
        <f t="shared" si="1"/>
        <v>0.10252665956978446</v>
      </c>
      <c r="Y9" s="81">
        <f t="shared" si="1"/>
        <v>0.08261787953505206</v>
      </c>
      <c r="Z9" s="81">
        <f t="shared" si="1"/>
        <v>0.08032690993219926</v>
      </c>
      <c r="AA9" s="81">
        <f t="shared" si="1"/>
        <v>0.07425516688376832</v>
      </c>
      <c r="AB9" s="81">
        <f t="shared" si="1"/>
        <v>0.1002418149432096</v>
      </c>
      <c r="AC9" s="81">
        <f t="shared" si="1"/>
        <v>0.09260520101798497</v>
      </c>
      <c r="AD9" s="81">
        <f t="shared" si="1"/>
        <v>0.03890684204388717</v>
      </c>
      <c r="AE9" s="81">
        <f t="shared" si="1"/>
        <v>0.044430263256526104</v>
      </c>
      <c r="AF9" s="81">
        <f t="shared" si="1"/>
        <v>0.08197487125672254</v>
      </c>
      <c r="AG9" s="81">
        <f t="shared" si="1"/>
        <v>-0.10939078200894414</v>
      </c>
      <c r="AH9" s="81">
        <f t="shared" si="1"/>
        <v>0.32449574565089945</v>
      </c>
      <c r="AI9" s="81">
        <f t="shared" si="1"/>
        <v>0.16043789175142065</v>
      </c>
    </row>
    <row r="10" spans="2:35" ht="12.75">
      <c r="B10" s="4"/>
      <c r="C10" s="64"/>
      <c r="D10" s="26"/>
      <c r="E10" s="2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</row>
    <row r="11" spans="2:35" ht="12.75">
      <c r="B11" s="4" t="s">
        <v>30</v>
      </c>
      <c r="C11" s="35">
        <f aca="true" t="shared" si="2" ref="C11:S11">+C12+C30+C31+C32</f>
        <v>1637788.0750836702</v>
      </c>
      <c r="D11" s="35">
        <f t="shared" si="2"/>
        <v>2104451.0525311804</v>
      </c>
      <c r="E11" s="35">
        <f t="shared" si="2"/>
        <v>2489551.1900668396</v>
      </c>
      <c r="F11" s="35">
        <f t="shared" si="2"/>
        <v>2359138.1674483605</v>
      </c>
      <c r="G11" s="35">
        <f t="shared" si="2"/>
        <v>2741625.4586722003</v>
      </c>
      <c r="H11" s="35">
        <f t="shared" si="2"/>
        <v>3024133.88978818</v>
      </c>
      <c r="I11" s="35">
        <f t="shared" si="2"/>
        <v>3270367.91683227</v>
      </c>
      <c r="J11" s="35">
        <f t="shared" si="2"/>
        <v>3536202.4468546305</v>
      </c>
      <c r="K11" s="35">
        <f t="shared" si="2"/>
        <v>3797519.5801625806</v>
      </c>
      <c r="L11" s="35">
        <f t="shared" si="2"/>
        <v>4180153.3064731</v>
      </c>
      <c r="M11" s="35">
        <f t="shared" si="2"/>
        <v>4561222.90238101</v>
      </c>
      <c r="N11" s="35">
        <f t="shared" si="2"/>
        <v>4738744.119284031</v>
      </c>
      <c r="O11" s="35">
        <f t="shared" si="2"/>
        <v>4925246.29202051</v>
      </c>
      <c r="P11" s="35">
        <f t="shared" si="2"/>
        <v>5262600.97845927</v>
      </c>
      <c r="Q11" s="35">
        <f t="shared" si="2"/>
        <v>4694707.97048065</v>
      </c>
      <c r="R11" s="35">
        <f t="shared" si="2"/>
        <v>6319675.8602759</v>
      </c>
      <c r="S11" s="35">
        <f t="shared" si="2"/>
        <v>7333564.59913735</v>
      </c>
      <c r="T11" s="74">
        <f aca="true" t="shared" si="3" ref="T11:T32">+D11/C11-1</f>
        <v>0.28493489758964663</v>
      </c>
      <c r="U11" s="74">
        <f aca="true" t="shared" si="4" ref="U11:U32">+E11/D11-1</f>
        <v>0.18299315494768598</v>
      </c>
      <c r="V11" s="74">
        <f aca="true" t="shared" si="5" ref="V11:V32">+F11/E11-1</f>
        <v>-0.05238414985754025</v>
      </c>
      <c r="W11" s="74">
        <f aca="true" t="shared" si="6" ref="W11:W32">+G11/F11-1</f>
        <v>0.1621300933118035</v>
      </c>
      <c r="X11" s="74">
        <f aca="true" t="shared" si="7" ref="X11:X32">+H11/G11-1</f>
        <v>0.10304413763826137</v>
      </c>
      <c r="Y11" s="74">
        <f aca="true" t="shared" si="8" ref="Y11:Y32">+I11/H11-1</f>
        <v>0.0814229911828861</v>
      </c>
      <c r="Z11" s="74">
        <f aca="true" t="shared" si="9" ref="Z11:Z32">+J11/I11-1</f>
        <v>0.08128581761524001</v>
      </c>
      <c r="AA11" s="74">
        <f aca="true" t="shared" si="10" ref="AA11:AA32">+K11/J11-1</f>
        <v>0.07389767334740283</v>
      </c>
      <c r="AB11" s="74">
        <f aca="true" t="shared" si="11" ref="AB11:AB32">+L11/K11-1</f>
        <v>0.10075885541428553</v>
      </c>
      <c r="AC11" s="74">
        <f aca="true" t="shared" si="12" ref="AC11:AC32">+M11/L11-1</f>
        <v>0.09116163163628754</v>
      </c>
      <c r="AD11" s="74">
        <f aca="true" t="shared" si="13" ref="AD11:AD32">+N11/M11-1</f>
        <v>0.03891965393981356</v>
      </c>
      <c r="AE11" s="74">
        <f aca="true" t="shared" si="14" ref="AE11:AE32">+O11/N11-1</f>
        <v>0.039356877696248516</v>
      </c>
      <c r="AF11" s="74">
        <f aca="true" t="shared" si="15" ref="AF11:AF32">+P11/O11-1</f>
        <v>0.06849498815629085</v>
      </c>
      <c r="AG11" s="74">
        <f aca="true" t="shared" si="16" ref="AG11:AG32">+Q11/P11-1</f>
        <v>-0.10791109003002575</v>
      </c>
      <c r="AH11" s="74">
        <f aca="true" t="shared" si="17" ref="AH11:AI32">+R11/Q11-1</f>
        <v>0.34612757598826405</v>
      </c>
      <c r="AI11" s="74">
        <f t="shared" si="17"/>
        <v>0.16043366167472817</v>
      </c>
    </row>
    <row r="12" spans="2:35" ht="12">
      <c r="B12" s="32" t="s">
        <v>29</v>
      </c>
      <c r="C12" s="65">
        <v>1577732.9895288001</v>
      </c>
      <c r="D12" s="7">
        <f aca="true" t="shared" si="18" ref="D12:O12">+D13+D14+D17+D21+D24+D27</f>
        <v>2028941.8248715103</v>
      </c>
      <c r="E12" s="7">
        <f t="shared" si="18"/>
        <v>2408578.6251181997</v>
      </c>
      <c r="F12" s="7">
        <f t="shared" si="18"/>
        <v>2262289.94322466</v>
      </c>
      <c r="G12" s="7">
        <f t="shared" si="18"/>
        <v>2491652.0617055204</v>
      </c>
      <c r="H12" s="7">
        <f t="shared" si="18"/>
        <v>2769332.91231793</v>
      </c>
      <c r="I12" s="7">
        <f t="shared" si="18"/>
        <v>3007922.18741431</v>
      </c>
      <c r="J12" s="7">
        <f t="shared" si="18"/>
        <v>3292308.84127881</v>
      </c>
      <c r="K12" s="7">
        <f t="shared" si="18"/>
        <v>3522442.4928145306</v>
      </c>
      <c r="L12" s="7">
        <f t="shared" si="18"/>
        <v>3861913.1156655797</v>
      </c>
      <c r="M12" s="7">
        <f t="shared" si="18"/>
        <v>4167739.80394359</v>
      </c>
      <c r="N12" s="7">
        <f t="shared" si="18"/>
        <v>4390868.83084021</v>
      </c>
      <c r="O12" s="7">
        <f t="shared" si="18"/>
        <v>4567131.63911928</v>
      </c>
      <c r="P12" s="7">
        <f>+P13+P14+P17+P21+P24+P27</f>
        <v>4889569.71584687</v>
      </c>
      <c r="Q12" s="7">
        <f>+Q13+Q14+Q17+Q21+Q24+Q27</f>
        <v>4341328.55974759</v>
      </c>
      <c r="R12" s="7">
        <f>+R13+R14+R17+R21+R24+R27</f>
        <v>5566245.5827653995</v>
      </c>
      <c r="S12" s="7">
        <f>+S13+S14+S17+S21+S24+S27+S28+S29</f>
        <v>6311852.88967471</v>
      </c>
      <c r="T12" s="75">
        <f t="shared" si="3"/>
        <v>0.2859855490994496</v>
      </c>
      <c r="U12" s="75">
        <f t="shared" si="4"/>
        <v>0.18711073703196557</v>
      </c>
      <c r="V12" s="75">
        <f t="shared" si="5"/>
        <v>-0.06073651919349765</v>
      </c>
      <c r="W12" s="75">
        <f t="shared" si="6"/>
        <v>0.10138493483904565</v>
      </c>
      <c r="X12" s="75">
        <f t="shared" si="7"/>
        <v>0.11144447287810255</v>
      </c>
      <c r="Y12" s="75">
        <f t="shared" si="8"/>
        <v>0.0861540604364106</v>
      </c>
      <c r="Z12" s="75">
        <f t="shared" si="9"/>
        <v>0.09454588122472884</v>
      </c>
      <c r="AA12" s="75">
        <f t="shared" si="10"/>
        <v>0.06990038378244345</v>
      </c>
      <c r="AB12" s="75">
        <f t="shared" si="11"/>
        <v>0.09637364514638325</v>
      </c>
      <c r="AC12" s="75">
        <f t="shared" si="12"/>
        <v>0.07919046315087863</v>
      </c>
      <c r="AD12" s="75">
        <f t="shared" si="13"/>
        <v>0.05353717779730194</v>
      </c>
      <c r="AE12" s="75">
        <f t="shared" si="14"/>
        <v>0.040143036622057426</v>
      </c>
      <c r="AF12" s="75">
        <f t="shared" si="15"/>
        <v>0.07059968974088271</v>
      </c>
      <c r="AG12" s="75">
        <f t="shared" si="16"/>
        <v>-0.11212462199331286</v>
      </c>
      <c r="AH12" s="75">
        <f t="shared" si="17"/>
        <v>0.2821525729186063</v>
      </c>
      <c r="AI12" s="75">
        <f t="shared" si="17"/>
        <v>0.13395156498626504</v>
      </c>
    </row>
    <row r="13" spans="2:35" ht="12">
      <c r="B13" s="33" t="s">
        <v>22</v>
      </c>
      <c r="C13" s="65">
        <v>394095.13094150997</v>
      </c>
      <c r="D13" s="7">
        <v>531551.7666039299</v>
      </c>
      <c r="E13" s="7">
        <v>689224.6371142999</v>
      </c>
      <c r="F13" s="7">
        <v>687420.2343927899</v>
      </c>
      <c r="G13" s="58">
        <v>748093.58276809</v>
      </c>
      <c r="H13" s="58">
        <v>828692.3321057099</v>
      </c>
      <c r="I13" s="58">
        <f>891668.38359978</f>
        <v>891668.38359978</v>
      </c>
      <c r="J13" s="58">
        <v>1014439.20384889</v>
      </c>
      <c r="K13" s="58">
        <v>1091470.07777882</v>
      </c>
      <c r="L13" s="58">
        <v>1247308.43020879</v>
      </c>
      <c r="M13" s="58">
        <v>1416217.7939102799</v>
      </c>
      <c r="N13" s="58">
        <v>1562063.0483265098</v>
      </c>
      <c r="O13" s="58">
        <v>1699258.40599372</v>
      </c>
      <c r="P13" s="58">
        <v>1854866.3168698498</v>
      </c>
      <c r="Q13" s="58">
        <v>1651248.8665315702</v>
      </c>
      <c r="R13" s="58">
        <v>2065789.29584113</v>
      </c>
      <c r="S13" s="58">
        <v>2432542.61748185</v>
      </c>
      <c r="T13" s="75">
        <f t="shared" si="3"/>
        <v>0.3487904946555169</v>
      </c>
      <c r="U13" s="75">
        <f t="shared" si="4"/>
        <v>0.2966274978592165</v>
      </c>
      <c r="V13" s="75">
        <f t="shared" si="5"/>
        <v>-0.0026180183126721657</v>
      </c>
      <c r="W13" s="75">
        <f t="shared" si="6"/>
        <v>0.08826238353151461</v>
      </c>
      <c r="X13" s="75">
        <f t="shared" si="7"/>
        <v>0.10773885940765471</v>
      </c>
      <c r="Y13" s="75">
        <f t="shared" si="8"/>
        <v>0.07599449042088735</v>
      </c>
      <c r="Z13" s="75">
        <f t="shared" si="9"/>
        <v>0.13768663609386755</v>
      </c>
      <c r="AA13" s="75">
        <f t="shared" si="10"/>
        <v>0.0759344410563656</v>
      </c>
      <c r="AB13" s="75">
        <f t="shared" si="11"/>
        <v>0.14277840098659111</v>
      </c>
      <c r="AC13" s="75">
        <f t="shared" si="12"/>
        <v>0.13541908289132265</v>
      </c>
      <c r="AD13" s="75">
        <f t="shared" si="13"/>
        <v>0.10298222140927948</v>
      </c>
      <c r="AE13" s="75">
        <f t="shared" si="14"/>
        <v>0.08782959037037097</v>
      </c>
      <c r="AF13" s="75">
        <f t="shared" si="15"/>
        <v>0.09157401271475885</v>
      </c>
      <c r="AG13" s="75">
        <f t="shared" si="16"/>
        <v>-0.10977473065654186</v>
      </c>
      <c r="AH13" s="75">
        <f t="shared" si="17"/>
        <v>0.2510466094552406</v>
      </c>
      <c r="AI13" s="75">
        <f t="shared" si="17"/>
        <v>0.17753665505919303</v>
      </c>
    </row>
    <row r="14" spans="2:35" ht="12">
      <c r="B14" s="33" t="s">
        <v>23</v>
      </c>
      <c r="C14" s="65">
        <v>105742.51598153001</v>
      </c>
      <c r="D14" s="7">
        <f aca="true" t="shared" si="19" ref="D14:O14">+D15+D16</f>
        <v>134576.00270678</v>
      </c>
      <c r="E14" s="7">
        <f t="shared" si="19"/>
        <v>156816.03805166</v>
      </c>
      <c r="F14" s="7">
        <f t="shared" si="19"/>
        <v>117255.97644725</v>
      </c>
      <c r="G14" s="7">
        <f t="shared" si="19"/>
        <v>126134.42404000001</v>
      </c>
      <c r="H14" s="7">
        <f t="shared" si="19"/>
        <v>146510.34128706</v>
      </c>
      <c r="I14" s="7">
        <f t="shared" si="19"/>
        <v>152274.36630224</v>
      </c>
      <c r="J14" s="7">
        <f t="shared" si="19"/>
        <v>154576.07569921</v>
      </c>
      <c r="K14" s="7">
        <f t="shared" si="19"/>
        <v>169119.85756544</v>
      </c>
      <c r="L14" s="7">
        <f t="shared" si="19"/>
        <v>174568.16672279</v>
      </c>
      <c r="M14" s="7">
        <f t="shared" si="19"/>
        <v>185544.30325697</v>
      </c>
      <c r="N14" s="7">
        <f t="shared" si="19"/>
        <v>179187.91235864</v>
      </c>
      <c r="O14" s="7">
        <f t="shared" si="19"/>
        <v>175367.64895887</v>
      </c>
      <c r="P14" s="7">
        <f>+P15+P16</f>
        <v>164224.01437465003</v>
      </c>
      <c r="Q14" s="7">
        <f>+Q15+Q16</f>
        <v>133732.90662931</v>
      </c>
      <c r="R14" s="7">
        <f>+R15+R16</f>
        <v>182035.65710262998</v>
      </c>
      <c r="S14" s="7">
        <f>+S15+S16</f>
        <v>171126.88251910004</v>
      </c>
      <c r="T14" s="75">
        <f t="shared" si="3"/>
        <v>0.27267638241449</v>
      </c>
      <c r="U14" s="75">
        <f t="shared" si="4"/>
        <v>0.16526003817588153</v>
      </c>
      <c r="V14" s="75">
        <f t="shared" si="5"/>
        <v>-0.25227050814392915</v>
      </c>
      <c r="W14" s="75">
        <f t="shared" si="6"/>
        <v>0.07571850801774849</v>
      </c>
      <c r="X14" s="75">
        <f t="shared" si="7"/>
        <v>0.16154128741729012</v>
      </c>
      <c r="Y14" s="75">
        <f t="shared" si="8"/>
        <v>0.039342103530333405</v>
      </c>
      <c r="Z14" s="75">
        <f t="shared" si="9"/>
        <v>0.015115540802195682</v>
      </c>
      <c r="AA14" s="75">
        <f t="shared" si="10"/>
        <v>0.09408818150184373</v>
      </c>
      <c r="AB14" s="75">
        <f t="shared" si="11"/>
        <v>0.03221566784516594</v>
      </c>
      <c r="AC14" s="75">
        <f t="shared" si="12"/>
        <v>0.06287593402759306</v>
      </c>
      <c r="AD14" s="75">
        <f t="shared" si="13"/>
        <v>-0.034258076301737495</v>
      </c>
      <c r="AE14" s="75">
        <f t="shared" si="14"/>
        <v>-0.021319872247430594</v>
      </c>
      <c r="AF14" s="75">
        <f t="shared" si="15"/>
        <v>-0.06354441455067672</v>
      </c>
      <c r="AG14" s="75">
        <f t="shared" si="16"/>
        <v>-0.18566777740422058</v>
      </c>
      <c r="AH14" s="75">
        <f t="shared" si="17"/>
        <v>0.36118821979401705</v>
      </c>
      <c r="AI14" s="75">
        <f t="shared" si="17"/>
        <v>-0.059926581182826566</v>
      </c>
    </row>
    <row r="15" spans="2:35" ht="12">
      <c r="B15" s="34" t="s">
        <v>34</v>
      </c>
      <c r="C15" s="65">
        <v>84744.60618019</v>
      </c>
      <c r="D15" s="7">
        <v>107565.33862555001</v>
      </c>
      <c r="E15" s="7">
        <v>124550.33551235999</v>
      </c>
      <c r="F15" s="7">
        <v>97000.9425573</v>
      </c>
      <c r="G15" s="7">
        <v>103850.51145297001</v>
      </c>
      <c r="H15" s="7">
        <v>122354.69174428999</v>
      </c>
      <c r="I15" s="7">
        <v>128357.66304442</v>
      </c>
      <c r="J15" s="7">
        <v>130633.89174970001</v>
      </c>
      <c r="K15" s="7">
        <v>142225.52349886</v>
      </c>
      <c r="L15" s="7">
        <v>148666.09421416</v>
      </c>
      <c r="M15" s="7">
        <v>158558.84286839</v>
      </c>
      <c r="N15" s="7">
        <v>152755.50757712</v>
      </c>
      <c r="O15" s="7">
        <v>149017.03619762</v>
      </c>
      <c r="P15" s="7">
        <v>140918.87591204</v>
      </c>
      <c r="Q15" s="7">
        <v>114776.67747707</v>
      </c>
      <c r="R15" s="7">
        <v>152133.10363923</v>
      </c>
      <c r="S15" s="7">
        <v>137661.13515992003</v>
      </c>
      <c r="T15" s="75">
        <f t="shared" si="3"/>
        <v>0.26928831785278384</v>
      </c>
      <c r="U15" s="75">
        <f t="shared" si="4"/>
        <v>0.15790399680641665</v>
      </c>
      <c r="V15" s="75">
        <f t="shared" si="5"/>
        <v>-0.22119083695544173</v>
      </c>
      <c r="W15" s="75">
        <f t="shared" si="6"/>
        <v>0.0706134261697906</v>
      </c>
      <c r="X15" s="75">
        <f t="shared" si="7"/>
        <v>0.17818092595239476</v>
      </c>
      <c r="Y15" s="75">
        <f t="shared" si="8"/>
        <v>0.04906204424653904</v>
      </c>
      <c r="Z15" s="75">
        <f t="shared" si="9"/>
        <v>0.01773348510164352</v>
      </c>
      <c r="AA15" s="75">
        <f t="shared" si="10"/>
        <v>0.08873372441027838</v>
      </c>
      <c r="AB15" s="75">
        <f t="shared" si="11"/>
        <v>0.045284211700240995</v>
      </c>
      <c r="AC15" s="75">
        <f t="shared" si="12"/>
        <v>0.06654340861325836</v>
      </c>
      <c r="AD15" s="75">
        <f t="shared" si="13"/>
        <v>-0.03660051490213623</v>
      </c>
      <c r="AE15" s="75">
        <f t="shared" si="14"/>
        <v>-0.024473561960524415</v>
      </c>
      <c r="AF15" s="75">
        <f t="shared" si="15"/>
        <v>-0.054343855522938744</v>
      </c>
      <c r="AG15" s="75">
        <f t="shared" si="16"/>
        <v>-0.1855123968721385</v>
      </c>
      <c r="AH15" s="75">
        <f t="shared" si="17"/>
        <v>0.3254705309763217</v>
      </c>
      <c r="AI15" s="75">
        <f t="shared" si="17"/>
        <v>-0.09512701794100598</v>
      </c>
    </row>
    <row r="16" spans="2:35" ht="12">
      <c r="B16" s="34" t="s">
        <v>35</v>
      </c>
      <c r="C16" s="65">
        <v>20997.90980134</v>
      </c>
      <c r="D16" s="7">
        <v>27010.66408123</v>
      </c>
      <c r="E16" s="7">
        <v>32265.7025393</v>
      </c>
      <c r="F16" s="7">
        <v>20255.03388995</v>
      </c>
      <c r="G16" s="7">
        <v>22283.91258703</v>
      </c>
      <c r="H16" s="7">
        <v>24155.64954277</v>
      </c>
      <c r="I16" s="7">
        <v>23916.703257819994</v>
      </c>
      <c r="J16" s="7">
        <v>23942.183949509996</v>
      </c>
      <c r="K16" s="7">
        <v>26894.334066579995</v>
      </c>
      <c r="L16" s="7">
        <v>25902.072508630004</v>
      </c>
      <c r="M16" s="7">
        <v>26985.46038858</v>
      </c>
      <c r="N16" s="7">
        <v>26432.404781519996</v>
      </c>
      <c r="O16" s="7">
        <v>26350.612761250002</v>
      </c>
      <c r="P16" s="7">
        <v>23305.138462610004</v>
      </c>
      <c r="Q16" s="7">
        <v>18956.22915224</v>
      </c>
      <c r="R16" s="7">
        <v>29902.553463400003</v>
      </c>
      <c r="S16" s="7">
        <v>33465.74735917999</v>
      </c>
      <c r="T16" s="75">
        <f t="shared" si="3"/>
        <v>0.28635013374075413</v>
      </c>
      <c r="U16" s="75">
        <f t="shared" si="4"/>
        <v>0.19455421170935905</v>
      </c>
      <c r="V16" s="75">
        <f t="shared" si="5"/>
        <v>-0.37224258900672835</v>
      </c>
      <c r="W16" s="75">
        <f t="shared" si="6"/>
        <v>0.1001666404560635</v>
      </c>
      <c r="X16" s="75">
        <f t="shared" si="7"/>
        <v>0.08399498734479027</v>
      </c>
      <c r="Y16" s="75">
        <f t="shared" si="8"/>
        <v>-0.009891942029003453</v>
      </c>
      <c r="Z16" s="75">
        <f t="shared" si="9"/>
        <v>0.0010653931445032683</v>
      </c>
      <c r="AA16" s="75">
        <f t="shared" si="10"/>
        <v>0.12330329276959784</v>
      </c>
      <c r="AB16" s="75">
        <f t="shared" si="11"/>
        <v>-0.03689481790080895</v>
      </c>
      <c r="AC16" s="75">
        <f t="shared" si="12"/>
        <v>0.041826300949046935</v>
      </c>
      <c r="AD16" s="75">
        <f t="shared" si="13"/>
        <v>-0.02049457741673555</v>
      </c>
      <c r="AE16" s="75">
        <f t="shared" si="14"/>
        <v>-0.003094384371987835</v>
      </c>
      <c r="AF16" s="75">
        <f t="shared" si="15"/>
        <v>-0.11557508458089949</v>
      </c>
      <c r="AG16" s="75">
        <f t="shared" si="16"/>
        <v>-0.18660731483519177</v>
      </c>
      <c r="AH16" s="75">
        <f t="shared" si="17"/>
        <v>0.5774526264294768</v>
      </c>
      <c r="AI16" s="75">
        <f t="shared" si="17"/>
        <v>0.11916018811374252</v>
      </c>
    </row>
    <row r="17" spans="2:35" ht="12">
      <c r="B17" s="33" t="s">
        <v>24</v>
      </c>
      <c r="C17" s="65">
        <v>1284.2148516500004</v>
      </c>
      <c r="D17" s="7">
        <f aca="true" t="shared" si="20" ref="D17:I17">+D18+D19</f>
        <v>2432.09504099</v>
      </c>
      <c r="E17" s="7">
        <f t="shared" si="20"/>
        <v>4667.40637374</v>
      </c>
      <c r="F17" s="7">
        <f t="shared" si="20"/>
        <v>4677.27244713</v>
      </c>
      <c r="G17" s="7">
        <f t="shared" si="20"/>
        <v>3972.8447458700007</v>
      </c>
      <c r="H17" s="7">
        <f t="shared" si="20"/>
        <v>3990.42471013</v>
      </c>
      <c r="I17" s="7">
        <f t="shared" si="20"/>
        <v>3823.5893496300005</v>
      </c>
      <c r="J17" s="7">
        <f aca="true" t="shared" si="21" ref="J17:O17">+J18+J19+J20</f>
        <v>4876.526742460001</v>
      </c>
      <c r="K17" s="7">
        <f t="shared" si="21"/>
        <v>4853.27835502</v>
      </c>
      <c r="L17" s="7">
        <f t="shared" si="21"/>
        <v>4467.99766318</v>
      </c>
      <c r="M17" s="7">
        <f t="shared" si="21"/>
        <v>5072.746669120001</v>
      </c>
      <c r="N17" s="7">
        <f t="shared" si="21"/>
        <v>5638.50952082</v>
      </c>
      <c r="O17" s="7">
        <f t="shared" si="21"/>
        <v>5467.740356009999</v>
      </c>
      <c r="P17" s="7">
        <f>+P18+P19+P20</f>
        <v>5411.885971</v>
      </c>
      <c r="Q17" s="7">
        <f>+Q18+Q19+Q20</f>
        <v>5470.55846697</v>
      </c>
      <c r="R17" s="7">
        <f>+R18+R19+R20</f>
        <v>6274.112176330001</v>
      </c>
      <c r="S17" s="7">
        <f>+S18+S19+S20</f>
        <v>4842.31190752</v>
      </c>
      <c r="T17" s="75">
        <f t="shared" si="3"/>
        <v>0.893838120517892</v>
      </c>
      <c r="U17" s="75">
        <f t="shared" si="4"/>
        <v>0.9190888082400357</v>
      </c>
      <c r="V17" s="75">
        <f t="shared" si="5"/>
        <v>0.002113823524240166</v>
      </c>
      <c r="W17" s="75">
        <f t="shared" si="6"/>
        <v>-0.15060651463487873</v>
      </c>
      <c r="X17" s="75">
        <f t="shared" si="7"/>
        <v>0.004425031780634026</v>
      </c>
      <c r="Y17" s="75">
        <f t="shared" si="8"/>
        <v>-0.041808923264853304</v>
      </c>
      <c r="Z17" s="75">
        <f t="shared" si="9"/>
        <v>0.27537930895531204</v>
      </c>
      <c r="AA17" s="75">
        <f t="shared" si="10"/>
        <v>-0.004767406941005081</v>
      </c>
      <c r="AB17" s="75">
        <f t="shared" si="11"/>
        <v>-0.07938565721075619</v>
      </c>
      <c r="AC17" s="75">
        <f t="shared" si="12"/>
        <v>0.13535123595153897</v>
      </c>
      <c r="AD17" s="75">
        <f t="shared" si="13"/>
        <v>0.11152988481448167</v>
      </c>
      <c r="AE17" s="75">
        <f t="shared" si="14"/>
        <v>-0.03028622443208473</v>
      </c>
      <c r="AF17" s="75">
        <f t="shared" si="15"/>
        <v>-0.010215259206411642</v>
      </c>
      <c r="AG17" s="75">
        <f t="shared" si="16"/>
        <v>0.010841413933035726</v>
      </c>
      <c r="AH17" s="75">
        <f t="shared" si="17"/>
        <v>0.14688696121459577</v>
      </c>
      <c r="AI17" s="75">
        <f t="shared" si="17"/>
        <v>-0.2282076297920963</v>
      </c>
    </row>
    <row r="18" spans="2:35" ht="12">
      <c r="B18" s="34" t="s">
        <v>36</v>
      </c>
      <c r="C18" s="65">
        <v>1284.2148516500004</v>
      </c>
      <c r="D18" s="7">
        <v>172.16716099</v>
      </c>
      <c r="E18" s="7">
        <v>159.69418904000003</v>
      </c>
      <c r="F18" s="7">
        <v>142.84619371</v>
      </c>
      <c r="G18" s="7">
        <v>157.25380527000002</v>
      </c>
      <c r="H18" s="7">
        <v>163.35338953000002</v>
      </c>
      <c r="I18" s="7">
        <v>160.23541021999998</v>
      </c>
      <c r="J18" s="7">
        <v>168.32337481000002</v>
      </c>
      <c r="K18" s="7">
        <v>175.87881299999998</v>
      </c>
      <c r="L18" s="7">
        <v>156.3216975</v>
      </c>
      <c r="M18" s="7">
        <v>184.15137392999998</v>
      </c>
      <c r="N18" s="7">
        <v>198.95631149999997</v>
      </c>
      <c r="O18" s="7">
        <v>192.601416</v>
      </c>
      <c r="P18" s="7">
        <v>184.1584215</v>
      </c>
      <c r="Q18" s="7">
        <v>199.262013</v>
      </c>
      <c r="R18" s="7">
        <v>203.22415650000002</v>
      </c>
      <c r="S18" s="7">
        <v>149.524689</v>
      </c>
      <c r="T18" s="75">
        <f t="shared" si="3"/>
        <v>-0.8659358589656597</v>
      </c>
      <c r="U18" s="75">
        <f t="shared" si="4"/>
        <v>-0.0724468701131945</v>
      </c>
      <c r="V18" s="75">
        <f t="shared" si="5"/>
        <v>-0.10550161800677649</v>
      </c>
      <c r="W18" s="75">
        <f t="shared" si="6"/>
        <v>0.10086101131437708</v>
      </c>
      <c r="X18" s="75">
        <f t="shared" si="7"/>
        <v>0.038788150464958315</v>
      </c>
      <c r="Y18" s="75">
        <f t="shared" si="8"/>
        <v>-0.019087325454164583</v>
      </c>
      <c r="Z18" s="75">
        <f t="shared" si="9"/>
        <v>0.05047551336433953</v>
      </c>
      <c r="AA18" s="75">
        <f t="shared" si="10"/>
        <v>0.0448864466894654</v>
      </c>
      <c r="AB18" s="75">
        <f t="shared" si="11"/>
        <v>-0.11119654019952918</v>
      </c>
      <c r="AC18" s="75">
        <f t="shared" si="12"/>
        <v>0.17802823840241366</v>
      </c>
      <c r="AD18" s="75">
        <f t="shared" si="13"/>
        <v>0.08039547712322626</v>
      </c>
      <c r="AE18" s="75">
        <f t="shared" si="14"/>
        <v>-0.0319411606100265</v>
      </c>
      <c r="AF18" s="75">
        <f t="shared" si="15"/>
        <v>-0.04383661696443597</v>
      </c>
      <c r="AG18" s="75">
        <f t="shared" si="16"/>
        <v>0.08201412336714675</v>
      </c>
      <c r="AH18" s="75">
        <f t="shared" si="17"/>
        <v>0.019884088494077412</v>
      </c>
      <c r="AI18" s="75">
        <f t="shared" si="17"/>
        <v>-0.26423762029490827</v>
      </c>
    </row>
    <row r="19" spans="2:35" ht="12">
      <c r="B19" s="34" t="s">
        <v>37</v>
      </c>
      <c r="C19" s="65">
        <v>0</v>
      </c>
      <c r="D19" s="7">
        <v>2259.92788</v>
      </c>
      <c r="E19" s="7">
        <v>4507.7121847</v>
      </c>
      <c r="F19" s="7">
        <v>4534.42625342</v>
      </c>
      <c r="G19" s="7">
        <v>3815.5909406000005</v>
      </c>
      <c r="H19" s="7">
        <v>3827.0713206</v>
      </c>
      <c r="I19" s="7">
        <v>3663.3539394100003</v>
      </c>
      <c r="J19" s="7">
        <v>4103.53799918</v>
      </c>
      <c r="K19" s="7">
        <v>3067.2185228599997</v>
      </c>
      <c r="L19" s="7">
        <v>2700.8395331799998</v>
      </c>
      <c r="M19" s="7">
        <v>3250.2942336900005</v>
      </c>
      <c r="N19" s="7">
        <v>3673.3465718199996</v>
      </c>
      <c r="O19" s="7">
        <v>3593.5860778999995</v>
      </c>
      <c r="P19" s="7">
        <v>3501.8889202500004</v>
      </c>
      <c r="Q19" s="7">
        <v>3777.12085372</v>
      </c>
      <c r="R19" s="7">
        <v>4063.5672530800002</v>
      </c>
      <c r="S19" s="7">
        <v>3099.61898577</v>
      </c>
      <c r="T19" s="75" t="e">
        <f t="shared" si="3"/>
        <v>#DIV/0!</v>
      </c>
      <c r="U19" s="75">
        <f t="shared" si="4"/>
        <v>0.9946265651185291</v>
      </c>
      <c r="V19" s="75">
        <f t="shared" si="5"/>
        <v>0.0059263031057466</v>
      </c>
      <c r="W19" s="75">
        <f t="shared" si="6"/>
        <v>-0.15852839425447318</v>
      </c>
      <c r="X19" s="75">
        <f t="shared" si="7"/>
        <v>0.0030088078566918863</v>
      </c>
      <c r="Y19" s="75">
        <f t="shared" si="8"/>
        <v>-0.04277876409272996</v>
      </c>
      <c r="Z19" s="75">
        <f t="shared" si="9"/>
        <v>0.12015875808082388</v>
      </c>
      <c r="AA19" s="75">
        <f t="shared" si="10"/>
        <v>-0.25254292187061156</v>
      </c>
      <c r="AB19" s="75">
        <f t="shared" si="11"/>
        <v>-0.11944991429510965</v>
      </c>
      <c r="AC19" s="75">
        <f t="shared" si="12"/>
        <v>0.20343848413054966</v>
      </c>
      <c r="AD19" s="75">
        <f t="shared" si="13"/>
        <v>0.1301581665268856</v>
      </c>
      <c r="AE19" s="75">
        <f t="shared" si="14"/>
        <v>-0.021713304846289527</v>
      </c>
      <c r="AF19" s="75">
        <f t="shared" si="15"/>
        <v>-0.025516894729173845</v>
      </c>
      <c r="AG19" s="75">
        <f t="shared" si="16"/>
        <v>0.07859527807362632</v>
      </c>
      <c r="AH19" s="75">
        <f t="shared" si="17"/>
        <v>0.07583723435216161</v>
      </c>
      <c r="AI19" s="75">
        <f t="shared" si="17"/>
        <v>-0.23721725451433617</v>
      </c>
    </row>
    <row r="20" spans="2:35" ht="12">
      <c r="B20" s="34" t="s">
        <v>48</v>
      </c>
      <c r="C20" s="65"/>
      <c r="D20" s="7"/>
      <c r="E20" s="7"/>
      <c r="F20" s="7"/>
      <c r="G20" s="7">
        <v>0</v>
      </c>
      <c r="H20" s="7">
        <v>0</v>
      </c>
      <c r="I20" s="7">
        <v>0</v>
      </c>
      <c r="J20" s="7">
        <v>604.6653684700001</v>
      </c>
      <c r="K20" s="7">
        <v>1610.1810191600002</v>
      </c>
      <c r="L20" s="7">
        <v>1610.8364325000002</v>
      </c>
      <c r="M20" s="7">
        <v>1638.3010615000003</v>
      </c>
      <c r="N20" s="7">
        <v>1766.2066375</v>
      </c>
      <c r="O20" s="7">
        <v>1681.5528621100002</v>
      </c>
      <c r="P20" s="7">
        <v>1725.83862925</v>
      </c>
      <c r="Q20" s="7">
        <v>1494.1756002500001</v>
      </c>
      <c r="R20" s="7">
        <v>2007.32076675</v>
      </c>
      <c r="S20" s="7">
        <v>1593.16823275</v>
      </c>
      <c r="T20" s="149" t="e">
        <f t="shared" si="3"/>
        <v>#DIV/0!</v>
      </c>
      <c r="U20" s="149" t="e">
        <f t="shared" si="4"/>
        <v>#DIV/0!</v>
      </c>
      <c r="V20" s="149" t="e">
        <f t="shared" si="5"/>
        <v>#DIV/0!</v>
      </c>
      <c r="W20" s="149" t="e">
        <f t="shared" si="6"/>
        <v>#DIV/0!</v>
      </c>
      <c r="X20" s="149" t="e">
        <f t="shared" si="7"/>
        <v>#DIV/0!</v>
      </c>
      <c r="Y20" s="149" t="e">
        <f t="shared" si="8"/>
        <v>#DIV/0!</v>
      </c>
      <c r="Z20" s="149" t="e">
        <f t="shared" si="9"/>
        <v>#DIV/0!</v>
      </c>
      <c r="AA20" s="75">
        <f t="shared" si="10"/>
        <v>1.6629291226555303</v>
      </c>
      <c r="AB20" s="75">
        <f t="shared" si="11"/>
        <v>0.0004070432654472711</v>
      </c>
      <c r="AC20" s="75">
        <f t="shared" si="12"/>
        <v>0.017049917946898807</v>
      </c>
      <c r="AD20" s="75">
        <f t="shared" si="13"/>
        <v>0.07807208272385013</v>
      </c>
      <c r="AE20" s="75">
        <f t="shared" si="14"/>
        <v>-0.04792971195591478</v>
      </c>
      <c r="AF20" s="75">
        <f t="shared" si="15"/>
        <v>0.026336232501445345</v>
      </c>
      <c r="AG20" s="75">
        <f t="shared" si="16"/>
        <v>-0.1342321495612101</v>
      </c>
      <c r="AH20" s="75">
        <f t="shared" si="17"/>
        <v>0.3434302945478045</v>
      </c>
      <c r="AI20" s="75">
        <f t="shared" si="17"/>
        <v>-0.20632105284824187</v>
      </c>
    </row>
    <row r="21" spans="2:35" ht="12">
      <c r="B21" s="33" t="s">
        <v>25</v>
      </c>
      <c r="C21" s="65">
        <v>626706.8662524701</v>
      </c>
      <c r="D21" s="7">
        <f aca="true" t="shared" si="22" ref="D21:O21">+D22+D23</f>
        <v>797850.3480632501</v>
      </c>
      <c r="E21" s="7">
        <f t="shared" si="22"/>
        <v>936720.9369953</v>
      </c>
      <c r="F21" s="7">
        <f t="shared" si="22"/>
        <v>830537.90536244</v>
      </c>
      <c r="G21" s="7">
        <f t="shared" si="22"/>
        <v>920297.7345646601</v>
      </c>
      <c r="H21" s="7">
        <f t="shared" si="22"/>
        <v>1029811.12734746</v>
      </c>
      <c r="I21" s="7">
        <f t="shared" si="22"/>
        <v>1122977.9244157001</v>
      </c>
      <c r="J21" s="7">
        <f t="shared" si="22"/>
        <v>1176744.792895</v>
      </c>
      <c r="K21" s="7">
        <f t="shared" si="22"/>
        <v>1266797.5751280999</v>
      </c>
      <c r="L21" s="7">
        <f t="shared" si="22"/>
        <v>1336074.8360045599</v>
      </c>
      <c r="M21" s="7">
        <f t="shared" si="22"/>
        <v>1414358.2629724098</v>
      </c>
      <c r="N21" s="7">
        <f t="shared" si="22"/>
        <v>1453347.8617204002</v>
      </c>
      <c r="O21" s="7">
        <f t="shared" si="22"/>
        <v>1487620.0026040399</v>
      </c>
      <c r="P21" s="7">
        <f>+P22+P23</f>
        <v>1634985.93799891</v>
      </c>
      <c r="Q21" s="7">
        <f>+Q22+Q23</f>
        <v>1623694.8326918099</v>
      </c>
      <c r="R21" s="7">
        <f>+R22+R23</f>
        <v>2039997.0793939098</v>
      </c>
      <c r="S21" s="7">
        <f>+S22+S23</f>
        <v>2193146.62503858</v>
      </c>
      <c r="T21" s="75">
        <f t="shared" si="3"/>
        <v>0.27308378290821933</v>
      </c>
      <c r="U21" s="75">
        <f t="shared" si="4"/>
        <v>0.17405593576433565</v>
      </c>
      <c r="V21" s="75">
        <f t="shared" si="5"/>
        <v>-0.11335609938800029</v>
      </c>
      <c r="W21" s="75">
        <f t="shared" si="6"/>
        <v>0.10807433185490756</v>
      </c>
      <c r="X21" s="75">
        <f t="shared" si="7"/>
        <v>0.11899778590089038</v>
      </c>
      <c r="Y21" s="75">
        <f t="shared" si="8"/>
        <v>0.09046979061899907</v>
      </c>
      <c r="Z21" s="75">
        <f t="shared" si="9"/>
        <v>0.047878829414456536</v>
      </c>
      <c r="AA21" s="75">
        <f t="shared" si="10"/>
        <v>0.07652702844051196</v>
      </c>
      <c r="AB21" s="75">
        <f t="shared" si="11"/>
        <v>0.0546869225491331</v>
      </c>
      <c r="AC21" s="75">
        <f t="shared" si="12"/>
        <v>0.05859209743217009</v>
      </c>
      <c r="AD21" s="75">
        <f t="shared" si="13"/>
        <v>0.027566989049895962</v>
      </c>
      <c r="AE21" s="75">
        <f t="shared" si="14"/>
        <v>0.023581512579562425</v>
      </c>
      <c r="AF21" s="75">
        <f t="shared" si="15"/>
        <v>0.09906154470692097</v>
      </c>
      <c r="AG21" s="75">
        <f t="shared" si="16"/>
        <v>-0.006905934200828412</v>
      </c>
      <c r="AH21" s="75">
        <f t="shared" si="17"/>
        <v>0.256391926808033</v>
      </c>
      <c r="AI21" s="75">
        <f t="shared" si="17"/>
        <v>0.07507341416889268</v>
      </c>
    </row>
    <row r="22" spans="2:35" ht="12">
      <c r="B22" s="34" t="s">
        <v>26</v>
      </c>
      <c r="C22" s="65">
        <v>306955.15576264</v>
      </c>
      <c r="D22" s="7">
        <v>387047.4916228</v>
      </c>
      <c r="E22" s="7">
        <v>442228.08513535</v>
      </c>
      <c r="F22" s="7">
        <v>451603.54142114</v>
      </c>
      <c r="G22" s="7">
        <v>486600.17295589</v>
      </c>
      <c r="H22" s="7">
        <v>525171.88447168</v>
      </c>
      <c r="I22" s="7">
        <v>584637.9052331201</v>
      </c>
      <c r="J22" s="7">
        <v>631851.29849826</v>
      </c>
      <c r="K22" s="7">
        <v>649943.0475818799</v>
      </c>
      <c r="L22" s="7">
        <v>700495.12117729</v>
      </c>
      <c r="M22" s="7">
        <v>739878.65269658</v>
      </c>
      <c r="N22" s="7">
        <v>755084.7966683202</v>
      </c>
      <c r="O22" s="7">
        <v>779416.34652843</v>
      </c>
      <c r="P22" s="7">
        <v>958750.1185782999</v>
      </c>
      <c r="Q22" s="7">
        <v>1027921.4188224599</v>
      </c>
      <c r="R22" s="7">
        <v>1195882.6653925898</v>
      </c>
      <c r="S22" s="7">
        <v>1353037.18619253</v>
      </c>
      <c r="T22" s="75">
        <f t="shared" si="3"/>
        <v>0.26092520147175247</v>
      </c>
      <c r="U22" s="75">
        <f t="shared" si="4"/>
        <v>0.14256801737996194</v>
      </c>
      <c r="V22" s="75">
        <f t="shared" si="5"/>
        <v>0.021200499472846746</v>
      </c>
      <c r="W22" s="75">
        <f t="shared" si="6"/>
        <v>0.07749414768675189</v>
      </c>
      <c r="X22" s="75">
        <f t="shared" si="7"/>
        <v>0.07926777189881218</v>
      </c>
      <c r="Y22" s="75">
        <f t="shared" si="8"/>
        <v>0.11323153908222361</v>
      </c>
      <c r="Z22" s="75">
        <f t="shared" si="9"/>
        <v>0.08075664072160005</v>
      </c>
      <c r="AA22" s="75">
        <f t="shared" si="10"/>
        <v>0.02863292221859659</v>
      </c>
      <c r="AB22" s="75">
        <f t="shared" si="11"/>
        <v>0.07777923586303381</v>
      </c>
      <c r="AC22" s="75">
        <f t="shared" si="12"/>
        <v>0.05622242086868501</v>
      </c>
      <c r="AD22" s="75">
        <f t="shared" si="13"/>
        <v>0.02055221341542901</v>
      </c>
      <c r="AE22" s="75">
        <f t="shared" si="14"/>
        <v>0.03222359921358309</v>
      </c>
      <c r="AF22" s="75">
        <f t="shared" si="15"/>
        <v>0.2300872606131934</v>
      </c>
      <c r="AG22" s="75">
        <f t="shared" si="16"/>
        <v>0.07214737073173128</v>
      </c>
      <c r="AH22" s="75">
        <f t="shared" si="17"/>
        <v>0.1633989169741581</v>
      </c>
      <c r="AI22" s="75">
        <f t="shared" si="17"/>
        <v>0.13141299338789958</v>
      </c>
    </row>
    <row r="23" spans="2:35" ht="12">
      <c r="B23" s="34" t="s">
        <v>27</v>
      </c>
      <c r="C23" s="65">
        <v>319751.71048983006</v>
      </c>
      <c r="D23" s="7">
        <v>410802.85644045</v>
      </c>
      <c r="E23" s="7">
        <v>494492.85185994994</v>
      </c>
      <c r="F23" s="7">
        <v>378934.36394129996</v>
      </c>
      <c r="G23" s="7">
        <v>433697.56160877005</v>
      </c>
      <c r="H23" s="7">
        <v>504639.24287578004</v>
      </c>
      <c r="I23" s="7">
        <v>538340.01918258</v>
      </c>
      <c r="J23" s="7">
        <v>544893.49439674</v>
      </c>
      <c r="K23" s="7">
        <v>616854.5275462199</v>
      </c>
      <c r="L23" s="7">
        <v>635579.71482727</v>
      </c>
      <c r="M23" s="7">
        <v>674479.6102758299</v>
      </c>
      <c r="N23" s="7">
        <v>698263.06505208</v>
      </c>
      <c r="O23" s="7">
        <v>708203.65607561</v>
      </c>
      <c r="P23" s="7">
        <v>676235.81942061</v>
      </c>
      <c r="Q23" s="7">
        <v>595773.41386935</v>
      </c>
      <c r="R23" s="7">
        <v>844114.41400132</v>
      </c>
      <c r="S23" s="7">
        <v>840109.4388460501</v>
      </c>
      <c r="T23" s="75">
        <f t="shared" si="3"/>
        <v>0.2847557744449216</v>
      </c>
      <c r="U23" s="75">
        <f t="shared" si="4"/>
        <v>0.20372301240712432</v>
      </c>
      <c r="V23" s="75">
        <f t="shared" si="5"/>
        <v>-0.2336909168332698</v>
      </c>
      <c r="W23" s="75">
        <f t="shared" si="6"/>
        <v>0.14451895335613685</v>
      </c>
      <c r="X23" s="75">
        <f t="shared" si="7"/>
        <v>0.16357408375517934</v>
      </c>
      <c r="Y23" s="75">
        <f t="shared" si="8"/>
        <v>0.06678191754321339</v>
      </c>
      <c r="Z23" s="75">
        <f t="shared" si="9"/>
        <v>0.012173486979680126</v>
      </c>
      <c r="AA23" s="75">
        <f t="shared" si="10"/>
        <v>0.13206440137287578</v>
      </c>
      <c r="AB23" s="75">
        <f t="shared" si="11"/>
        <v>0.030355920958442084</v>
      </c>
      <c r="AC23" s="75">
        <f t="shared" si="12"/>
        <v>0.06120380267191439</v>
      </c>
      <c r="AD23" s="75">
        <f t="shared" si="13"/>
        <v>0.03526193292414548</v>
      </c>
      <c r="AE23" s="75">
        <f t="shared" si="14"/>
        <v>0.01423616903292535</v>
      </c>
      <c r="AF23" s="75">
        <f t="shared" si="15"/>
        <v>-0.04513932734002579</v>
      </c>
      <c r="AG23" s="75">
        <f t="shared" si="16"/>
        <v>-0.11898571953819181</v>
      </c>
      <c r="AH23" s="75">
        <f t="shared" si="17"/>
        <v>0.41683800309093666</v>
      </c>
      <c r="AI23" s="75">
        <f t="shared" si="17"/>
        <v>-0.00474458804261535</v>
      </c>
    </row>
    <row r="24" spans="2:35" ht="12">
      <c r="B24" s="33" t="s">
        <v>28</v>
      </c>
      <c r="C24" s="65">
        <v>111537.5841371</v>
      </c>
      <c r="D24" s="7">
        <f aca="true" t="shared" si="23" ref="D24:O24">+D25+D26</f>
        <v>153642.90434918998</v>
      </c>
      <c r="E24" s="7">
        <f t="shared" si="23"/>
        <v>164267.65349948002</v>
      </c>
      <c r="F24" s="7">
        <f t="shared" si="23"/>
        <v>117443.81827522</v>
      </c>
      <c r="G24" s="7">
        <f t="shared" si="23"/>
        <v>146834.25383299</v>
      </c>
      <c r="H24" s="7">
        <f t="shared" si="23"/>
        <v>174427.95126625</v>
      </c>
      <c r="I24" s="7">
        <f t="shared" si="23"/>
        <v>187862.54932736998</v>
      </c>
      <c r="J24" s="7">
        <f t="shared" si="23"/>
        <v>176404.57767929003</v>
      </c>
      <c r="K24" s="7">
        <f t="shared" si="23"/>
        <v>195837.76081959</v>
      </c>
      <c r="L24" s="7">
        <f t="shared" si="23"/>
        <v>224589.9675129</v>
      </c>
      <c r="M24" s="7">
        <f t="shared" si="23"/>
        <v>255316.76159294</v>
      </c>
      <c r="N24" s="7">
        <f t="shared" si="23"/>
        <v>243774.65371876</v>
      </c>
      <c r="O24" s="7">
        <f t="shared" si="23"/>
        <v>221200.13039741002</v>
      </c>
      <c r="P24" s="7">
        <f>+P25+P26</f>
        <v>197451.94848926997</v>
      </c>
      <c r="Q24" s="7">
        <f>+Q25+Q26</f>
        <v>142446.50037806</v>
      </c>
      <c r="R24" s="7">
        <f>+R25+R26</f>
        <v>214499.24350201996</v>
      </c>
      <c r="S24" s="7">
        <f>+S25+S26</f>
        <v>217311.18630109998</v>
      </c>
      <c r="T24" s="75">
        <f t="shared" si="3"/>
        <v>0.37749894385676197</v>
      </c>
      <c r="U24" s="75">
        <f t="shared" si="4"/>
        <v>0.06915222798797638</v>
      </c>
      <c r="V24" s="75">
        <f t="shared" si="5"/>
        <v>-0.28504598578446394</v>
      </c>
      <c r="W24" s="75">
        <f t="shared" si="6"/>
        <v>0.25025102205801875</v>
      </c>
      <c r="X24" s="75">
        <f t="shared" si="7"/>
        <v>0.18792411656646002</v>
      </c>
      <c r="Y24" s="75">
        <f t="shared" si="8"/>
        <v>0.07702090154469099</v>
      </c>
      <c r="Z24" s="75">
        <f t="shared" si="9"/>
        <v>-0.06099124966154512</v>
      </c>
      <c r="AA24" s="75">
        <f t="shared" si="10"/>
        <v>0.1101625785223681</v>
      </c>
      <c r="AB24" s="75">
        <f t="shared" si="11"/>
        <v>0.1468164595682706</v>
      </c>
      <c r="AC24" s="75">
        <f t="shared" si="12"/>
        <v>0.13681285241859742</v>
      </c>
      <c r="AD24" s="75">
        <f t="shared" si="13"/>
        <v>-0.045207011878765524</v>
      </c>
      <c r="AE24" s="75">
        <f t="shared" si="14"/>
        <v>-0.09260406271520727</v>
      </c>
      <c r="AF24" s="75">
        <f t="shared" si="15"/>
        <v>-0.1073606144149819</v>
      </c>
      <c r="AG24" s="75">
        <f t="shared" si="16"/>
        <v>-0.27857637532606616</v>
      </c>
      <c r="AH24" s="75">
        <f t="shared" si="17"/>
        <v>0.5058231892867038</v>
      </c>
      <c r="AI24" s="75">
        <f t="shared" si="17"/>
        <v>0.01310933667257208</v>
      </c>
    </row>
    <row r="25" spans="2:35" ht="12">
      <c r="B25" s="34" t="s">
        <v>26</v>
      </c>
      <c r="C25" s="65">
        <v>17316.565585099997</v>
      </c>
      <c r="D25" s="7">
        <v>20052.187693210002</v>
      </c>
      <c r="E25" s="7">
        <v>22822.76353253</v>
      </c>
      <c r="F25" s="7">
        <v>24694.89806021</v>
      </c>
      <c r="G25" s="7">
        <v>24723.62054789</v>
      </c>
      <c r="H25" s="7">
        <v>26040.187363169996</v>
      </c>
      <c r="I25" s="7">
        <v>25921.47515386</v>
      </c>
      <c r="J25" s="7">
        <v>22190.29762769</v>
      </c>
      <c r="K25" s="7">
        <v>21619.00141613</v>
      </c>
      <c r="L25" s="7">
        <v>21480.696730220006</v>
      </c>
      <c r="M25" s="7">
        <v>22629.902457039996</v>
      </c>
      <c r="N25" s="7">
        <v>22140.48721285</v>
      </c>
      <c r="O25" s="7">
        <v>19426.113489240004</v>
      </c>
      <c r="P25" s="7">
        <v>10190.93757637</v>
      </c>
      <c r="Q25" s="7">
        <v>9281.969808</v>
      </c>
      <c r="R25" s="7">
        <v>10420.760472999998</v>
      </c>
      <c r="S25" s="7">
        <v>11370.754529</v>
      </c>
      <c r="T25" s="75">
        <f t="shared" si="3"/>
        <v>0.1579771747848122</v>
      </c>
      <c r="U25" s="75">
        <f t="shared" si="4"/>
        <v>0.13816825783344133</v>
      </c>
      <c r="V25" s="75">
        <f t="shared" si="5"/>
        <v>0.08202926543105038</v>
      </c>
      <c r="W25" s="75">
        <f t="shared" si="6"/>
        <v>0.0011630939965807663</v>
      </c>
      <c r="X25" s="75">
        <f t="shared" si="7"/>
        <v>0.05325137605674657</v>
      </c>
      <c r="Y25" s="75">
        <f t="shared" si="8"/>
        <v>-0.004558807801740228</v>
      </c>
      <c r="Z25" s="75">
        <f t="shared" si="9"/>
        <v>-0.14394155826484223</v>
      </c>
      <c r="AA25" s="75">
        <f t="shared" si="10"/>
        <v>-0.02574531541420677</v>
      </c>
      <c r="AB25" s="75">
        <f t="shared" si="11"/>
        <v>-0.006397366985082087</v>
      </c>
      <c r="AC25" s="75">
        <f t="shared" si="12"/>
        <v>0.053499462389561936</v>
      </c>
      <c r="AD25" s="75">
        <f t="shared" si="13"/>
        <v>-0.02162692681150924</v>
      </c>
      <c r="AE25" s="75">
        <f t="shared" si="14"/>
        <v>-0.12259774130149281</v>
      </c>
      <c r="AF25" s="75">
        <f t="shared" si="15"/>
        <v>-0.4754000803086683</v>
      </c>
      <c r="AG25" s="75">
        <f t="shared" si="16"/>
        <v>-0.08919373331043146</v>
      </c>
      <c r="AH25" s="75">
        <f t="shared" si="17"/>
        <v>0.12268846899485619</v>
      </c>
      <c r="AI25" s="75">
        <f t="shared" si="17"/>
        <v>0.09116360158756343</v>
      </c>
    </row>
    <row r="26" spans="2:35" ht="12">
      <c r="B26" s="34" t="s">
        <v>27</v>
      </c>
      <c r="C26" s="65">
        <v>94221.018552</v>
      </c>
      <c r="D26" s="7">
        <v>133590.71665597998</v>
      </c>
      <c r="E26" s="7">
        <v>141444.88996695002</v>
      </c>
      <c r="F26" s="7">
        <v>92748.92021500999</v>
      </c>
      <c r="G26" s="7">
        <v>122110.6332851</v>
      </c>
      <c r="H26" s="7">
        <v>148387.76390308</v>
      </c>
      <c r="I26" s="7">
        <v>161941.07417351</v>
      </c>
      <c r="J26" s="7">
        <v>154214.2800516</v>
      </c>
      <c r="K26" s="7">
        <v>174218.75940346002</v>
      </c>
      <c r="L26" s="7">
        <v>203109.27078268002</v>
      </c>
      <c r="M26" s="7">
        <v>232686.85913589998</v>
      </c>
      <c r="N26" s="7">
        <v>221634.16650591002</v>
      </c>
      <c r="O26" s="7">
        <v>201774.01690817002</v>
      </c>
      <c r="P26" s="7">
        <v>187261.01091289998</v>
      </c>
      <c r="Q26" s="7">
        <v>133164.53057006001</v>
      </c>
      <c r="R26" s="7">
        <v>204078.48302901996</v>
      </c>
      <c r="S26" s="7">
        <v>205940.43177209998</v>
      </c>
      <c r="T26" s="75">
        <f t="shared" si="3"/>
        <v>0.4178441149227452</v>
      </c>
      <c r="U26" s="75">
        <f t="shared" si="4"/>
        <v>0.05879280767087991</v>
      </c>
      <c r="V26" s="75">
        <f t="shared" si="5"/>
        <v>-0.34427521392478955</v>
      </c>
      <c r="W26" s="75">
        <f t="shared" si="6"/>
        <v>0.3165720204830835</v>
      </c>
      <c r="X26" s="75">
        <f t="shared" si="7"/>
        <v>0.21519117468360838</v>
      </c>
      <c r="Y26" s="75">
        <f t="shared" si="8"/>
        <v>0.09133711509584042</v>
      </c>
      <c r="Z26" s="75">
        <f t="shared" si="9"/>
        <v>-0.04771361534647589</v>
      </c>
      <c r="AA26" s="75">
        <f t="shared" si="10"/>
        <v>0.12971872219074987</v>
      </c>
      <c r="AB26" s="75">
        <f t="shared" si="11"/>
        <v>0.16582893528884934</v>
      </c>
      <c r="AC26" s="75">
        <f t="shared" si="12"/>
        <v>0.14562401922493717</v>
      </c>
      <c r="AD26" s="75">
        <f t="shared" si="13"/>
        <v>-0.047500287171501454</v>
      </c>
      <c r="AE26" s="75">
        <f t="shared" si="14"/>
        <v>-0.08960779788981865</v>
      </c>
      <c r="AF26" s="75">
        <f t="shared" si="15"/>
        <v>-0.07192703112945953</v>
      </c>
      <c r="AG26" s="75">
        <f t="shared" si="16"/>
        <v>-0.28888277425780673</v>
      </c>
      <c r="AH26" s="75">
        <f t="shared" si="17"/>
        <v>0.5325288359849769</v>
      </c>
      <c r="AI26" s="75">
        <f t="shared" si="17"/>
        <v>0.00912368964843413</v>
      </c>
    </row>
    <row r="27" spans="2:35" ht="12">
      <c r="B27" s="33" t="s">
        <v>31</v>
      </c>
      <c r="C27" s="65">
        <v>338366.67736454</v>
      </c>
      <c r="D27" s="7">
        <v>408888.70810737007</v>
      </c>
      <c r="E27" s="7">
        <v>456881.95308372</v>
      </c>
      <c r="F27" s="7">
        <v>504954.73629983</v>
      </c>
      <c r="G27" s="7">
        <v>546319.2217539102</v>
      </c>
      <c r="H27" s="7">
        <v>585900.7356013199</v>
      </c>
      <c r="I27" s="7">
        <f>649315.37441959</f>
        <v>649315.37441959</v>
      </c>
      <c r="J27" s="7">
        <v>765267.66441396</v>
      </c>
      <c r="K27" s="7">
        <v>794363.94316756</v>
      </c>
      <c r="L27" s="7">
        <v>874903.7175533599</v>
      </c>
      <c r="M27" s="7">
        <v>891229.9355418701</v>
      </c>
      <c r="N27" s="7">
        <v>946856.8451950802</v>
      </c>
      <c r="O27" s="7">
        <v>978217.7108092299</v>
      </c>
      <c r="P27" s="7">
        <v>1032629.6121431901</v>
      </c>
      <c r="Q27" s="7">
        <v>784734.89504987</v>
      </c>
      <c r="R27" s="7">
        <v>1057650.1947493798</v>
      </c>
      <c r="S27" s="7">
        <v>1116744.43223149</v>
      </c>
      <c r="T27" s="75">
        <f t="shared" si="3"/>
        <v>0.20841895925482357</v>
      </c>
      <c r="U27" s="75">
        <f t="shared" si="4"/>
        <v>0.11737483580433672</v>
      </c>
      <c r="V27" s="75">
        <f t="shared" si="5"/>
        <v>0.10521926482681865</v>
      </c>
      <c r="W27" s="75">
        <f t="shared" si="6"/>
        <v>0.08191721451547873</v>
      </c>
      <c r="X27" s="75">
        <f t="shared" si="7"/>
        <v>0.07245125609956893</v>
      </c>
      <c r="Y27" s="75">
        <f t="shared" si="8"/>
        <v>0.10823444137373639</v>
      </c>
      <c r="Z27" s="75">
        <f t="shared" si="9"/>
        <v>0.1785762274580629</v>
      </c>
      <c r="AA27" s="75">
        <f t="shared" si="10"/>
        <v>0.03802104819871355</v>
      </c>
      <c r="AB27" s="75">
        <f t="shared" si="11"/>
        <v>0.10138901076582618</v>
      </c>
      <c r="AC27" s="75">
        <f t="shared" si="12"/>
        <v>0.01866058820068317</v>
      </c>
      <c r="AD27" s="75">
        <f t="shared" si="13"/>
        <v>0.06241589003559311</v>
      </c>
      <c r="AE27" s="75">
        <f t="shared" si="14"/>
        <v>0.033121021169455034</v>
      </c>
      <c r="AF27" s="75">
        <f t="shared" si="15"/>
        <v>0.05562350868596311</v>
      </c>
      <c r="AG27" s="75">
        <f t="shared" si="16"/>
        <v>-0.2400616001886896</v>
      </c>
      <c r="AH27" s="75">
        <f t="shared" si="17"/>
        <v>0.3477802521858875</v>
      </c>
      <c r="AI27" s="75">
        <f t="shared" si="17"/>
        <v>0.05587314007549837</v>
      </c>
    </row>
    <row r="28" spans="2:35" ht="14.25">
      <c r="B28" s="229" t="s">
        <v>140</v>
      </c>
      <c r="C28" s="65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>
        <v>545.9800145599975</v>
      </c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</row>
    <row r="29" spans="2:35" ht="14.25">
      <c r="B29" s="229" t="s">
        <v>141</v>
      </c>
      <c r="C29" s="65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>
        <v>175592.85418051</v>
      </c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</row>
    <row r="30" spans="2:35" ht="12">
      <c r="B30" s="32" t="s">
        <v>32</v>
      </c>
      <c r="C30" s="65">
        <v>33320.637684889996</v>
      </c>
      <c r="D30" s="7">
        <v>37946.23458786</v>
      </c>
      <c r="E30" s="7">
        <v>43731.28751345</v>
      </c>
      <c r="F30" s="7">
        <v>54356.29840653</v>
      </c>
      <c r="G30" s="7">
        <v>61192.7240654</v>
      </c>
      <c r="H30" s="7">
        <v>66770.1844278</v>
      </c>
      <c r="I30" s="7">
        <v>74083.45286764999</v>
      </c>
      <c r="J30" s="7">
        <v>56272.41442268</v>
      </c>
      <c r="K30" s="7">
        <v>59906.791868479995</v>
      </c>
      <c r="L30" s="7">
        <v>63458.29255947001</v>
      </c>
      <c r="M30" s="7">
        <v>145909.14689758</v>
      </c>
      <c r="N30" s="7">
        <v>71147.48806159</v>
      </c>
      <c r="O30" s="7">
        <v>85406.51048176</v>
      </c>
      <c r="P30" s="7">
        <v>77472.36677719</v>
      </c>
      <c r="Q30" s="7">
        <v>79428.35802425</v>
      </c>
      <c r="R30" s="7">
        <v>469195.33195453003</v>
      </c>
      <c r="S30" s="7">
        <v>515731.58691069996</v>
      </c>
      <c r="T30" s="75">
        <f t="shared" si="3"/>
        <v>0.138820779683565</v>
      </c>
      <c r="U30" s="75">
        <f t="shared" si="4"/>
        <v>0.15245393880110547</v>
      </c>
      <c r="V30" s="75">
        <f t="shared" si="5"/>
        <v>0.24296130979020836</v>
      </c>
      <c r="W30" s="75">
        <f t="shared" si="6"/>
        <v>0.12577062565483166</v>
      </c>
      <c r="X30" s="75">
        <f t="shared" si="7"/>
        <v>0.09114580936843208</v>
      </c>
      <c r="Y30" s="75">
        <f t="shared" si="8"/>
        <v>0.10952895371672922</v>
      </c>
      <c r="Z30" s="75">
        <f t="shared" si="9"/>
        <v>-0.24041857871810313</v>
      </c>
      <c r="AA30" s="75">
        <f t="shared" si="10"/>
        <v>0.06458541868314072</v>
      </c>
      <c r="AB30" s="75">
        <f t="shared" si="11"/>
        <v>0.059283773679402074</v>
      </c>
      <c r="AC30" s="75">
        <f t="shared" si="12"/>
        <v>1.2992920391112177</v>
      </c>
      <c r="AD30" s="75">
        <f t="shared" si="13"/>
        <v>-0.5123850041318415</v>
      </c>
      <c r="AE30" s="75">
        <f t="shared" si="14"/>
        <v>0.20041498032687288</v>
      </c>
      <c r="AF30" s="75">
        <f t="shared" si="15"/>
        <v>-0.09289858185067112</v>
      </c>
      <c r="AG30" s="75">
        <f t="shared" si="16"/>
        <v>0.025247598962419904</v>
      </c>
      <c r="AH30" s="75">
        <f t="shared" si="17"/>
        <v>4.90715134525734</v>
      </c>
      <c r="AI30" s="75">
        <f t="shared" si="17"/>
        <v>0.09918311583006068</v>
      </c>
    </row>
    <row r="31" spans="2:35" ht="12">
      <c r="B31" s="32" t="s">
        <v>11</v>
      </c>
      <c r="C31" s="65">
        <v>10453.095917289998</v>
      </c>
      <c r="D31" s="7">
        <v>19383.10028822</v>
      </c>
      <c r="E31" s="7">
        <v>11316.00130929</v>
      </c>
      <c r="F31" s="7">
        <v>13219.7322187</v>
      </c>
      <c r="G31" s="7">
        <v>27427.83534739</v>
      </c>
      <c r="H31" s="7">
        <v>22684.191252279998</v>
      </c>
      <c r="I31" s="7">
        <v>22210.13075242</v>
      </c>
      <c r="J31" s="7">
        <v>20785.93192014</v>
      </c>
      <c r="K31" s="7">
        <v>27148.408144959998</v>
      </c>
      <c r="L31" s="7">
        <v>51183.81660414001</v>
      </c>
      <c r="M31" s="7">
        <v>44548.0685435</v>
      </c>
      <c r="N31" s="7">
        <v>74944.11246303</v>
      </c>
      <c r="O31" s="7">
        <v>64904.31026154999</v>
      </c>
      <c r="P31" s="7">
        <v>80220.14906843</v>
      </c>
      <c r="Q31" s="7">
        <v>50672.41933434</v>
      </c>
      <c r="R31" s="7">
        <v>152940.32150906</v>
      </c>
      <c r="S31" s="7">
        <v>274290.35831787006</v>
      </c>
      <c r="T31" s="75">
        <f t="shared" si="3"/>
        <v>0.8542927800135538</v>
      </c>
      <c r="U31" s="75">
        <f t="shared" si="4"/>
        <v>-0.41619239744803604</v>
      </c>
      <c r="V31" s="75">
        <f t="shared" si="5"/>
        <v>0.16823353562597343</v>
      </c>
      <c r="W31" s="75">
        <f t="shared" si="6"/>
        <v>1.0747648207723826</v>
      </c>
      <c r="X31" s="75">
        <f t="shared" si="7"/>
        <v>-0.1729499989710781</v>
      </c>
      <c r="Y31" s="75">
        <f t="shared" si="8"/>
        <v>-0.020898276451110087</v>
      </c>
      <c r="Z31" s="75">
        <f t="shared" si="9"/>
        <v>-0.06412383826803092</v>
      </c>
      <c r="AA31" s="75">
        <f t="shared" si="10"/>
        <v>0.3060953075986572</v>
      </c>
      <c r="AB31" s="75">
        <f t="shared" si="11"/>
        <v>0.8853339883076017</v>
      </c>
      <c r="AC31" s="75">
        <f t="shared" si="12"/>
        <v>-0.12964543289066255</v>
      </c>
      <c r="AD31" s="75">
        <f t="shared" si="13"/>
        <v>0.6823201299928208</v>
      </c>
      <c r="AE31" s="75">
        <f t="shared" si="14"/>
        <v>-0.1339638548182508</v>
      </c>
      <c r="AF31" s="75">
        <f t="shared" si="15"/>
        <v>0.23597568089331156</v>
      </c>
      <c r="AG31" s="75">
        <f t="shared" si="16"/>
        <v>-0.3683330195370863</v>
      </c>
      <c r="AH31" s="75">
        <f t="shared" si="17"/>
        <v>2.0182162904034557</v>
      </c>
      <c r="AI31" s="75">
        <f t="shared" si="17"/>
        <v>0.7934469838395195</v>
      </c>
    </row>
    <row r="32" spans="2:35" ht="12">
      <c r="B32" s="32" t="s">
        <v>33</v>
      </c>
      <c r="C32" s="65">
        <v>16281.351952689998</v>
      </c>
      <c r="D32" s="7">
        <v>18179.892783590003</v>
      </c>
      <c r="E32" s="7">
        <v>25925.276125900004</v>
      </c>
      <c r="F32" s="7">
        <v>29272.193598469996</v>
      </c>
      <c r="G32" s="7">
        <v>161352.83755389</v>
      </c>
      <c r="H32" s="7">
        <v>165346.60179017</v>
      </c>
      <c r="I32" s="7">
        <v>166152.14579788997</v>
      </c>
      <c r="J32" s="7">
        <v>166835.259233</v>
      </c>
      <c r="K32" s="7">
        <v>188021.88733461002</v>
      </c>
      <c r="L32" s="7">
        <v>203598.08164390997</v>
      </c>
      <c r="M32" s="7">
        <v>203025.88299634002</v>
      </c>
      <c r="N32" s="7">
        <v>201783.6879192</v>
      </c>
      <c r="O32" s="7">
        <v>207803.83215792</v>
      </c>
      <c r="P32" s="7">
        <v>215338.74676677998</v>
      </c>
      <c r="Q32" s="7">
        <v>223278.63337447</v>
      </c>
      <c r="R32" s="7">
        <v>131294.62404690997</v>
      </c>
      <c r="S32" s="7">
        <v>231689.76423407</v>
      </c>
      <c r="T32" s="75">
        <f t="shared" si="3"/>
        <v>0.11660830356205953</v>
      </c>
      <c r="U32" s="75">
        <f t="shared" si="4"/>
        <v>0.4260412002705172</v>
      </c>
      <c r="V32" s="75">
        <f t="shared" si="5"/>
        <v>0.1290986239188534</v>
      </c>
      <c r="W32" s="75">
        <f t="shared" si="6"/>
        <v>4.512153949484798</v>
      </c>
      <c r="X32" s="75">
        <f t="shared" si="7"/>
        <v>0.02475174466607144</v>
      </c>
      <c r="Y32" s="75">
        <f t="shared" si="8"/>
        <v>0.0048718510026726225</v>
      </c>
      <c r="Z32" s="75">
        <f t="shared" si="9"/>
        <v>0.00411137293370234</v>
      </c>
      <c r="AA32" s="75">
        <f t="shared" si="10"/>
        <v>0.12699130986466756</v>
      </c>
      <c r="AB32" s="75">
        <f t="shared" si="11"/>
        <v>0.08284245270647683</v>
      </c>
      <c r="AC32" s="75">
        <f t="shared" si="12"/>
        <v>-0.002810432411493591</v>
      </c>
      <c r="AD32" s="75">
        <f t="shared" si="13"/>
        <v>-0.006118407460207531</v>
      </c>
      <c r="AE32" s="75">
        <f t="shared" si="14"/>
        <v>0.029834642734504202</v>
      </c>
      <c r="AF32" s="75">
        <f t="shared" si="15"/>
        <v>0.036259748102883016</v>
      </c>
      <c r="AG32" s="75">
        <f t="shared" si="16"/>
        <v>0.036871611481463784</v>
      </c>
      <c r="AH32" s="75">
        <f t="shared" si="17"/>
        <v>-0.41196960021378204</v>
      </c>
      <c r="AI32" s="75">
        <f t="shared" si="17"/>
        <v>0.7646553765315636</v>
      </c>
    </row>
    <row r="33" spans="2:35" ht="12">
      <c r="B33" s="13"/>
      <c r="C33" s="65"/>
      <c r="D33" s="7"/>
      <c r="E33" s="7"/>
      <c r="F33" s="7"/>
      <c r="G33" s="7"/>
      <c r="H33" s="7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2:35" ht="13.5">
      <c r="B34" s="19" t="s">
        <v>10</v>
      </c>
      <c r="C34" s="28">
        <v>564.58199473</v>
      </c>
      <c r="D34" s="28">
        <v>249.9</v>
      </c>
      <c r="E34" s="28">
        <v>479.421732</v>
      </c>
      <c r="F34" s="28">
        <v>4127.535</v>
      </c>
      <c r="G34" s="28">
        <v>1554.68146909</v>
      </c>
      <c r="H34" s="28">
        <v>295.34671997000004</v>
      </c>
      <c r="I34" s="28">
        <v>3933.2500000000005</v>
      </c>
      <c r="J34" s="28">
        <v>1113.2148966700001</v>
      </c>
      <c r="K34" s="28">
        <v>2460.04637263</v>
      </c>
      <c r="L34" s="28">
        <v>743.1745732199997</v>
      </c>
      <c r="M34" s="28">
        <v>6846.3377279900005</v>
      </c>
      <c r="N34" s="28">
        <v>7054.269195430001</v>
      </c>
      <c r="O34" s="28">
        <v>31409.16822149</v>
      </c>
      <c r="P34" s="28">
        <v>100375.675</v>
      </c>
      <c r="Q34" s="28">
        <v>81608.472961</v>
      </c>
      <c r="R34" s="28">
        <v>6534.948945</v>
      </c>
      <c r="S34" s="28">
        <v>7610.13509</v>
      </c>
      <c r="T34" s="82">
        <f aca="true" t="shared" si="24" ref="T34:AI34">+D34/C34-1</f>
        <v>-0.5573716442737257</v>
      </c>
      <c r="U34" s="82">
        <f t="shared" si="24"/>
        <v>0.9184543097238895</v>
      </c>
      <c r="V34" s="82">
        <f t="shared" si="24"/>
        <v>7.609403213286125</v>
      </c>
      <c r="W34" s="82">
        <f t="shared" si="24"/>
        <v>-0.6233389979515618</v>
      </c>
      <c r="X34" s="82">
        <f t="shared" si="24"/>
        <v>-0.810027503484122</v>
      </c>
      <c r="Y34" s="82">
        <f t="shared" si="24"/>
        <v>12.317398616783427</v>
      </c>
      <c r="Z34" s="82">
        <f t="shared" si="24"/>
        <v>-0.7169732672293905</v>
      </c>
      <c r="AA34" s="82">
        <f t="shared" si="24"/>
        <v>1.2098575755578058</v>
      </c>
      <c r="AB34" s="82">
        <f t="shared" si="24"/>
        <v>-0.6979022096947374</v>
      </c>
      <c r="AC34" s="82">
        <f t="shared" si="24"/>
        <v>8.212287361132981</v>
      </c>
      <c r="AD34" s="82">
        <f t="shared" si="24"/>
        <v>0.030371196353622842</v>
      </c>
      <c r="AE34" s="82">
        <f t="shared" si="24"/>
        <v>3.45250490891926</v>
      </c>
      <c r="AF34" s="82">
        <f t="shared" si="24"/>
        <v>2.1957444492695433</v>
      </c>
      <c r="AG34" s="82">
        <f t="shared" si="24"/>
        <v>-0.18696962226156877</v>
      </c>
      <c r="AH34" s="82">
        <f t="shared" si="24"/>
        <v>-0.9199231561639072</v>
      </c>
      <c r="AI34" s="82">
        <f t="shared" si="24"/>
        <v>0.1645286220365414</v>
      </c>
    </row>
    <row r="35" spans="2:35" ht="13.5" customHeight="1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75">
      <c r="A36" s="20">
        <v>2</v>
      </c>
      <c r="B36" s="91" t="s">
        <v>52</v>
      </c>
      <c r="C36" s="29">
        <f>+C40+C56</f>
        <v>1759410.3816755502</v>
      </c>
      <c r="D36" s="29">
        <f>+D40+D56</f>
        <v>2027132.6018827497</v>
      </c>
      <c r="E36" s="29">
        <f aca="true" t="shared" si="25" ref="E36:O36">+E40+E56+E65</f>
        <v>2460431.86684729</v>
      </c>
      <c r="F36" s="29">
        <f t="shared" si="25"/>
        <v>2936305.77266369</v>
      </c>
      <c r="G36" s="29">
        <f t="shared" si="25"/>
        <v>3724577.84980641</v>
      </c>
      <c r="H36" s="29">
        <f t="shared" si="25"/>
        <v>3869794.6329902397</v>
      </c>
      <c r="I36" s="29">
        <f t="shared" si="25"/>
        <v>4275491.999684111</v>
      </c>
      <c r="J36" s="29">
        <f t="shared" si="25"/>
        <v>4872299.322177</v>
      </c>
      <c r="K36" s="29">
        <f t="shared" si="25"/>
        <v>5326977.527462624</v>
      </c>
      <c r="L36" s="29">
        <f t="shared" si="25"/>
        <v>5847059.78279903</v>
      </c>
      <c r="M36" s="29">
        <f t="shared" si="25"/>
        <v>6201021.9396280395</v>
      </c>
      <c r="N36" s="29">
        <f t="shared" si="25"/>
        <v>6764675.791438292</v>
      </c>
      <c r="O36" s="29">
        <f t="shared" si="25"/>
        <v>6995166.99273302</v>
      </c>
      <c r="P36" s="29">
        <f>+P40+P56+P65</f>
        <v>7880403.584766171</v>
      </c>
      <c r="Q36" s="29">
        <f>+Q40+Q56+Q65</f>
        <v>7682246.83633231</v>
      </c>
      <c r="R36" s="29">
        <f>+R40+R56+R65</f>
        <v>8339234.285465199</v>
      </c>
      <c r="S36" s="29">
        <f>+S40+S56+S65</f>
        <v>8457926.21101796</v>
      </c>
      <c r="T36" s="81">
        <f aca="true" t="shared" si="26" ref="T36:AI36">+D36/C36-1</f>
        <v>0.15216587499741707</v>
      </c>
      <c r="U36" s="81">
        <f t="shared" si="26"/>
        <v>0.21374983785574897</v>
      </c>
      <c r="V36" s="81">
        <f t="shared" si="26"/>
        <v>0.19341072282004212</v>
      </c>
      <c r="W36" s="81">
        <f t="shared" si="26"/>
        <v>0.26845708116686806</v>
      </c>
      <c r="X36" s="81">
        <f t="shared" si="26"/>
        <v>0.03898878988161769</v>
      </c>
      <c r="Y36" s="81">
        <f t="shared" si="26"/>
        <v>0.1048369242220959</v>
      </c>
      <c r="Z36" s="81">
        <f t="shared" si="26"/>
        <v>0.13958798719234733</v>
      </c>
      <c r="AA36" s="81">
        <f t="shared" si="26"/>
        <v>0.09331902151743576</v>
      </c>
      <c r="AB36" s="81">
        <f t="shared" si="26"/>
        <v>0.09763177198611794</v>
      </c>
      <c r="AC36" s="81">
        <f t="shared" si="26"/>
        <v>0.06053677745356745</v>
      </c>
      <c r="AD36" s="81">
        <f t="shared" si="26"/>
        <v>0.09089692913488756</v>
      </c>
      <c r="AE36" s="81">
        <f t="shared" si="26"/>
        <v>0.034072763928531424</v>
      </c>
      <c r="AF36" s="81">
        <f t="shared" si="26"/>
        <v>0.12654974398077767</v>
      </c>
      <c r="AG36" s="81">
        <f t="shared" si="26"/>
        <v>-0.025145507625640273</v>
      </c>
      <c r="AH36" s="81">
        <f t="shared" si="26"/>
        <v>0.08552022124904157</v>
      </c>
      <c r="AI36" s="81">
        <f t="shared" si="26"/>
        <v>0.014232952509756869</v>
      </c>
    </row>
    <row r="37" spans="1:35" ht="12.75">
      <c r="A37" s="20"/>
      <c r="B37" s="21"/>
      <c r="C37" s="35"/>
      <c r="D37" s="35"/>
      <c r="E37" s="50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</row>
    <row r="38" spans="1:35" ht="12.75">
      <c r="A38" s="20">
        <v>3</v>
      </c>
      <c r="B38" s="4" t="s">
        <v>15</v>
      </c>
      <c r="C38" s="30">
        <f>+C36-C46</f>
        <v>1322708.2816755502</v>
      </c>
      <c r="D38" s="30">
        <f aca="true" t="shared" si="27" ref="D38:O38">+D36-D46</f>
        <v>1607490.3018827497</v>
      </c>
      <c r="E38" s="51">
        <f t="shared" si="27"/>
        <v>2120346.06684729</v>
      </c>
      <c r="F38" s="30">
        <f t="shared" si="27"/>
        <v>2576199.07266369</v>
      </c>
      <c r="G38" s="30">
        <f t="shared" si="27"/>
        <v>3323029.2306122696</v>
      </c>
      <c r="H38" s="30">
        <f t="shared" si="27"/>
        <v>3420416.6357380897</v>
      </c>
      <c r="I38" s="30">
        <f t="shared" si="27"/>
        <v>3803726.201428391</v>
      </c>
      <c r="J38" s="30">
        <f t="shared" si="27"/>
        <v>4240898.532710451</v>
      </c>
      <c r="K38" s="30">
        <f t="shared" si="27"/>
        <v>4630897.941911484</v>
      </c>
      <c r="L38" s="30">
        <f t="shared" si="27"/>
        <v>5047099.617254959</v>
      </c>
      <c r="M38" s="30">
        <f t="shared" si="27"/>
        <v>5326432.91770436</v>
      </c>
      <c r="N38" s="30">
        <f t="shared" si="27"/>
        <v>5742328.264196762</v>
      </c>
      <c r="O38" s="30">
        <f t="shared" si="27"/>
        <v>5766456.59923739</v>
      </c>
      <c r="P38" s="30">
        <f>+P36-P46</f>
        <v>6363149.724732411</v>
      </c>
      <c r="Q38" s="30">
        <f>+Q36-Q46</f>
        <v>6000938.412553499</v>
      </c>
      <c r="R38" s="30">
        <f>+R36-R46</f>
        <v>6438014.431260718</v>
      </c>
      <c r="S38" s="30">
        <f>+S36-S46</f>
        <v>6413782.84596829</v>
      </c>
      <c r="T38" s="74">
        <f aca="true" t="shared" si="28" ref="T38:AI38">+D38/C38-1</f>
        <v>0.21530221300682406</v>
      </c>
      <c r="U38" s="74">
        <f t="shared" si="28"/>
        <v>0.31904128091091155</v>
      </c>
      <c r="V38" s="74">
        <f t="shared" si="28"/>
        <v>0.21498990798902984</v>
      </c>
      <c r="W38" s="74">
        <f t="shared" si="28"/>
        <v>0.2898961364722432</v>
      </c>
      <c r="X38" s="74">
        <f t="shared" si="28"/>
        <v>0.029306815669471575</v>
      </c>
      <c r="Y38" s="74">
        <f t="shared" si="28"/>
        <v>0.11206516822696577</v>
      </c>
      <c r="Z38" s="74">
        <f t="shared" si="28"/>
        <v>0.11493264975746431</v>
      </c>
      <c r="AA38" s="74">
        <f t="shared" si="28"/>
        <v>0.09196150442952855</v>
      </c>
      <c r="AB38" s="74">
        <f t="shared" si="28"/>
        <v>0.0898749401442609</v>
      </c>
      <c r="AC38" s="74">
        <f t="shared" si="28"/>
        <v>0.05534531149225175</v>
      </c>
      <c r="AD38" s="74">
        <f t="shared" si="28"/>
        <v>0.0780814013652591</v>
      </c>
      <c r="AE38" s="74">
        <f t="shared" si="28"/>
        <v>0.004201838336388208</v>
      </c>
      <c r="AF38" s="74">
        <f t="shared" si="28"/>
        <v>0.1034765657603205</v>
      </c>
      <c r="AG38" s="74">
        <f t="shared" si="28"/>
        <v>-0.05692327351202531</v>
      </c>
      <c r="AH38" s="74">
        <f t="shared" si="28"/>
        <v>0.07283461163222227</v>
      </c>
      <c r="AI38" s="74">
        <f t="shared" si="28"/>
        <v>-0.0037638289803713088</v>
      </c>
    </row>
    <row r="39" spans="2:35" ht="13.5" customHeight="1">
      <c r="B39" s="13"/>
      <c r="C39" s="64"/>
      <c r="D39" s="26"/>
      <c r="E39" s="50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2:35" ht="12.75">
      <c r="B40" s="21" t="s">
        <v>1</v>
      </c>
      <c r="C40" s="28">
        <f>+C43+C44+C45+C46+C50</f>
        <v>1652560.2816755502</v>
      </c>
      <c r="D40" s="28">
        <f aca="true" t="shared" si="29" ref="D40:O40">+D43+D44+D45+D46+D50</f>
        <v>1850496.1018827497</v>
      </c>
      <c r="E40" s="52">
        <f t="shared" si="29"/>
        <v>2119803.56684729</v>
      </c>
      <c r="F40" s="28">
        <f t="shared" si="29"/>
        <v>2634804.7</v>
      </c>
      <c r="G40" s="28">
        <f t="shared" si="29"/>
        <v>3275989.61667607</v>
      </c>
      <c r="H40" s="28">
        <f t="shared" si="29"/>
        <v>3566159.17766121</v>
      </c>
      <c r="I40" s="28">
        <f t="shared" si="29"/>
        <v>3943824.830071451</v>
      </c>
      <c r="J40" s="28">
        <f t="shared" si="29"/>
        <v>4471847.14586692</v>
      </c>
      <c r="K40" s="28">
        <f t="shared" si="29"/>
        <v>4861110.044973184</v>
      </c>
      <c r="L40" s="28">
        <f t="shared" si="29"/>
        <v>5317321.38249662</v>
      </c>
      <c r="M40" s="28">
        <f t="shared" si="29"/>
        <v>5625718.30715256</v>
      </c>
      <c r="N40" s="28">
        <f t="shared" si="29"/>
        <v>6114730.647223711</v>
      </c>
      <c r="O40" s="28">
        <f t="shared" si="29"/>
        <v>6514974.34918488</v>
      </c>
      <c r="P40" s="28">
        <f>+P43+P44+P45+P46+P50</f>
        <v>7129672.012684571</v>
      </c>
      <c r="Q40" s="28">
        <f>+Q43+Q44+Q45+Q46+Q50</f>
        <v>7237369.94158992</v>
      </c>
      <c r="R40" s="28">
        <f>+R43+R44+R45+R46+R50</f>
        <v>7740719.007177729</v>
      </c>
      <c r="S40" s="28">
        <f>+S43+S44+S45+S46+S50</f>
        <v>7846901.19569148</v>
      </c>
      <c r="T40" s="74">
        <f aca="true" t="shared" si="30" ref="T40:AI40">+D40/C40-1</f>
        <v>0.1197752495942297</v>
      </c>
      <c r="U40" s="74">
        <f t="shared" si="30"/>
        <v>0.14553257620512627</v>
      </c>
      <c r="V40" s="74">
        <f t="shared" si="30"/>
        <v>0.24294757363704855</v>
      </c>
      <c r="W40" s="74">
        <f t="shared" si="30"/>
        <v>0.24335197089790728</v>
      </c>
      <c r="X40" s="74">
        <f t="shared" si="30"/>
        <v>0.08857462780347758</v>
      </c>
      <c r="Y40" s="74">
        <f t="shared" si="30"/>
        <v>0.10590263462606431</v>
      </c>
      <c r="Z40" s="74">
        <f t="shared" si="30"/>
        <v>0.1338858439577051</v>
      </c>
      <c r="AA40" s="74">
        <f t="shared" si="30"/>
        <v>0.0870474518490727</v>
      </c>
      <c r="AB40" s="74">
        <f t="shared" si="30"/>
        <v>0.09384921001638258</v>
      </c>
      <c r="AC40" s="74">
        <f t="shared" si="30"/>
        <v>0.057998548982032716</v>
      </c>
      <c r="AD40" s="74">
        <f t="shared" si="30"/>
        <v>0.08692442695707303</v>
      </c>
      <c r="AE40" s="74">
        <f t="shared" si="30"/>
        <v>0.06545565537590647</v>
      </c>
      <c r="AF40" s="74">
        <f t="shared" si="30"/>
        <v>0.09435150939260395</v>
      </c>
      <c r="AG40" s="74">
        <f t="shared" si="30"/>
        <v>0.015105593737515743</v>
      </c>
      <c r="AH40" s="74">
        <f t="shared" si="30"/>
        <v>0.06954861636895027</v>
      </c>
      <c r="AI40" s="74">
        <f t="shared" si="30"/>
        <v>0.013717354733493226</v>
      </c>
    </row>
    <row r="41" spans="2:35" ht="12">
      <c r="B41" s="13"/>
      <c r="C41" s="27"/>
      <c r="D41" s="26"/>
      <c r="E41" s="50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</row>
    <row r="42" spans="2:35" ht="12.75">
      <c r="B42" s="42" t="s">
        <v>40</v>
      </c>
      <c r="C42" s="6">
        <f>SUM(C43:C44)</f>
        <v>635163.6100000001</v>
      </c>
      <c r="D42" s="6">
        <f aca="true" t="shared" si="31" ref="D42:O42">SUM(D43:D44)</f>
        <v>713476.8999999999</v>
      </c>
      <c r="E42" s="53">
        <f t="shared" si="31"/>
        <v>856512.1</v>
      </c>
      <c r="F42" s="6">
        <f t="shared" si="31"/>
        <v>1114785.6</v>
      </c>
      <c r="G42" s="6">
        <f t="shared" si="31"/>
        <v>1349434.5887993101</v>
      </c>
      <c r="H42" s="6">
        <f t="shared" si="31"/>
        <v>1513597.4252949501</v>
      </c>
      <c r="I42" s="6">
        <f t="shared" si="31"/>
        <v>1647046.6485988903</v>
      </c>
      <c r="J42" s="6">
        <f t="shared" si="31"/>
        <v>1817384.20983927</v>
      </c>
      <c r="K42" s="6">
        <f t="shared" si="31"/>
        <v>1968532.6922208401</v>
      </c>
      <c r="L42" s="6">
        <f t="shared" si="31"/>
        <v>2113306.8494412806</v>
      </c>
      <c r="M42" s="6">
        <f t="shared" si="31"/>
        <v>2177506.21784662</v>
      </c>
      <c r="N42" s="6">
        <f t="shared" si="31"/>
        <v>2290203.54051869</v>
      </c>
      <c r="O42" s="6">
        <f t="shared" si="31"/>
        <v>2394708.47627817</v>
      </c>
      <c r="P42" s="6">
        <f>SUM(P43:P44)</f>
        <v>2476572.69135678</v>
      </c>
      <c r="Q42" s="6">
        <f>SUM(Q43:Q44)</f>
        <v>2481105.45870753</v>
      </c>
      <c r="R42" s="6">
        <f>SUM(R43:R44)</f>
        <v>2623920.09632738</v>
      </c>
      <c r="S42" s="6">
        <f>SUM(S43:S44)</f>
        <v>2626775.9156276896</v>
      </c>
      <c r="T42" s="82">
        <f aca="true" t="shared" si="32" ref="T42:AI48">+D42/C42-1</f>
        <v>0.123296248032849</v>
      </c>
      <c r="U42" s="82">
        <f t="shared" si="32"/>
        <v>0.2004762873191832</v>
      </c>
      <c r="V42" s="82">
        <f t="shared" si="32"/>
        <v>0.30154098231653714</v>
      </c>
      <c r="W42" s="82">
        <f t="shared" si="32"/>
        <v>0.2104879976914933</v>
      </c>
      <c r="X42" s="82">
        <f t="shared" si="32"/>
        <v>0.12165305221774969</v>
      </c>
      <c r="Y42" s="82">
        <f t="shared" si="32"/>
        <v>0.08816692012933047</v>
      </c>
      <c r="Z42" s="82">
        <f t="shared" si="32"/>
        <v>0.10341999808280011</v>
      </c>
      <c r="AA42" s="82">
        <f t="shared" si="32"/>
        <v>0.08316814989546861</v>
      </c>
      <c r="AB42" s="82">
        <f t="shared" si="32"/>
        <v>0.07354419756021957</v>
      </c>
      <c r="AC42" s="82">
        <f t="shared" si="32"/>
        <v>0.030378630733304268</v>
      </c>
      <c r="AD42" s="82">
        <f t="shared" si="32"/>
        <v>0.051755224278311696</v>
      </c>
      <c r="AE42" s="82">
        <f t="shared" si="32"/>
        <v>0.045631287311612256</v>
      </c>
      <c r="AF42" s="82">
        <f t="shared" si="32"/>
        <v>0.03418546177522308</v>
      </c>
      <c r="AG42" s="82">
        <f t="shared" si="32"/>
        <v>0.0018302581493243597</v>
      </c>
      <c r="AH42" s="82">
        <f t="shared" si="32"/>
        <v>0.05756088969077733</v>
      </c>
      <c r="AI42" s="82">
        <f t="shared" si="32"/>
        <v>0.0010883789122644316</v>
      </c>
    </row>
    <row r="43" spans="2:35" ht="12">
      <c r="B43" s="36" t="s">
        <v>2</v>
      </c>
      <c r="C43" s="65">
        <v>534618.31</v>
      </c>
      <c r="D43" s="7">
        <v>600690.2</v>
      </c>
      <c r="E43" s="54">
        <v>720710</v>
      </c>
      <c r="F43" s="38">
        <v>936856.7</v>
      </c>
      <c r="G43" s="38">
        <v>1134085.4274345902</v>
      </c>
      <c r="H43" s="38">
        <v>1268194.92794928</v>
      </c>
      <c r="I43" s="38">
        <v>1380019.0229019502</v>
      </c>
      <c r="J43" s="38">
        <v>1523276.78178241</v>
      </c>
      <c r="K43" s="38">
        <v>1649735.50512971</v>
      </c>
      <c r="L43" s="38">
        <v>1756916.4104744704</v>
      </c>
      <c r="M43" s="38">
        <v>1816069.89857681</v>
      </c>
      <c r="N43" s="38">
        <v>1897242.22683296</v>
      </c>
      <c r="O43" s="38">
        <v>1996188.1803647599</v>
      </c>
      <c r="P43" s="38">
        <v>2057916.55444863</v>
      </c>
      <c r="Q43" s="38">
        <v>2062212.5456561903</v>
      </c>
      <c r="R43" s="38">
        <v>2164266.42060495</v>
      </c>
      <c r="S43" s="38">
        <v>2165852.7572649294</v>
      </c>
      <c r="T43" s="75">
        <f t="shared" si="32"/>
        <v>0.12358703165254448</v>
      </c>
      <c r="U43" s="75">
        <f t="shared" si="32"/>
        <v>0.1998031597652168</v>
      </c>
      <c r="V43" s="75">
        <f t="shared" si="32"/>
        <v>0.29990800738160983</v>
      </c>
      <c r="W43" s="75">
        <f t="shared" si="32"/>
        <v>0.21052176649277343</v>
      </c>
      <c r="X43" s="75">
        <f t="shared" si="32"/>
        <v>0.11825343776619923</v>
      </c>
      <c r="Y43" s="75">
        <f t="shared" si="32"/>
        <v>0.08817579418449029</v>
      </c>
      <c r="Z43" s="75">
        <f t="shared" si="32"/>
        <v>0.10380853923246125</v>
      </c>
      <c r="AA43" s="75">
        <f t="shared" si="32"/>
        <v>0.08301756112853553</v>
      </c>
      <c r="AB43" s="75">
        <f t="shared" si="32"/>
        <v>0.06496853890304877</v>
      </c>
      <c r="AC43" s="75">
        <f t="shared" si="32"/>
        <v>0.03366892570965563</v>
      </c>
      <c r="AD43" s="75">
        <f t="shared" si="32"/>
        <v>0.04469669824920386</v>
      </c>
      <c r="AE43" s="75">
        <f t="shared" si="32"/>
        <v>0.05215251491475015</v>
      </c>
      <c r="AF43" s="75">
        <f t="shared" si="32"/>
        <v>0.030923123727037982</v>
      </c>
      <c r="AG43" s="75">
        <f t="shared" si="32"/>
        <v>0.0020875439279952612</v>
      </c>
      <c r="AH43" s="75">
        <f t="shared" si="32"/>
        <v>0.04948756381282049</v>
      </c>
      <c r="AI43" s="75">
        <f t="shared" si="32"/>
        <v>0.0007329673670841697</v>
      </c>
    </row>
    <row r="44" spans="2:35" ht="14.25">
      <c r="B44" s="151" t="s">
        <v>56</v>
      </c>
      <c r="C44" s="65">
        <v>100545.3</v>
      </c>
      <c r="D44" s="7">
        <v>112786.7</v>
      </c>
      <c r="E44" s="50">
        <v>135802.1</v>
      </c>
      <c r="F44" s="7">
        <v>177928.90000000002</v>
      </c>
      <c r="G44" s="38">
        <v>215349.16136472003</v>
      </c>
      <c r="H44" s="38">
        <v>245402.49734567</v>
      </c>
      <c r="I44" s="38">
        <v>267027.62569694</v>
      </c>
      <c r="J44" s="38">
        <v>294107.42805686</v>
      </c>
      <c r="K44" s="38">
        <v>318797.18709113</v>
      </c>
      <c r="L44" s="38">
        <v>356390.43896681</v>
      </c>
      <c r="M44" s="38">
        <v>361436.3192698101</v>
      </c>
      <c r="N44" s="38">
        <v>392961.31368573</v>
      </c>
      <c r="O44" s="38">
        <v>398520.29591341</v>
      </c>
      <c r="P44" s="38">
        <v>418656.13690815005</v>
      </c>
      <c r="Q44" s="38">
        <v>418892.91305134</v>
      </c>
      <c r="R44" s="38">
        <v>459653.67572243</v>
      </c>
      <c r="S44" s="38">
        <v>460923.1583627601</v>
      </c>
      <c r="T44" s="75">
        <f t="shared" si="32"/>
        <v>0.12175009672257175</v>
      </c>
      <c r="U44" s="75">
        <f t="shared" si="32"/>
        <v>0.20406129446113774</v>
      </c>
      <c r="V44" s="75">
        <f t="shared" si="32"/>
        <v>0.31020727956342364</v>
      </c>
      <c r="W44" s="75">
        <f t="shared" si="32"/>
        <v>0.2103101933678002</v>
      </c>
      <c r="X44" s="75">
        <f t="shared" si="32"/>
        <v>0.13955631770513843</v>
      </c>
      <c r="Y44" s="75">
        <f t="shared" si="32"/>
        <v>0.08812106064596881</v>
      </c>
      <c r="Z44" s="75">
        <f t="shared" si="32"/>
        <v>0.1014119879515909</v>
      </c>
      <c r="AA44" s="75">
        <f t="shared" si="32"/>
        <v>0.08394809746014542</v>
      </c>
      <c r="AB44" s="75">
        <f t="shared" si="32"/>
        <v>0.11792215677528461</v>
      </c>
      <c r="AC44" s="75">
        <f t="shared" si="32"/>
        <v>0.01415829312825645</v>
      </c>
      <c r="AD44" s="75">
        <f t="shared" si="32"/>
        <v>0.08722143496704504</v>
      </c>
      <c r="AE44" s="75">
        <f t="shared" si="32"/>
        <v>0.01414638549413505</v>
      </c>
      <c r="AF44" s="75">
        <f t="shared" si="32"/>
        <v>0.05052651320703405</v>
      </c>
      <c r="AG44" s="75">
        <f t="shared" si="32"/>
        <v>0.0005655623370017793</v>
      </c>
      <c r="AH44" s="75">
        <f t="shared" si="32"/>
        <v>0.09730592569393592</v>
      </c>
      <c r="AI44" s="75">
        <f t="shared" si="32"/>
        <v>0.0027618241893418993</v>
      </c>
    </row>
    <row r="45" spans="2:35" ht="14.25">
      <c r="B45" s="72" t="s">
        <v>57</v>
      </c>
      <c r="C45" s="64">
        <v>56310.1</v>
      </c>
      <c r="D45" s="26">
        <v>72614.9</v>
      </c>
      <c r="E45" s="50">
        <v>87627.7</v>
      </c>
      <c r="F45" s="7">
        <v>106359.2</v>
      </c>
      <c r="G45" s="38">
        <v>120680.83022841</v>
      </c>
      <c r="H45" s="38">
        <v>135631.58669587</v>
      </c>
      <c r="I45" s="38">
        <v>142944.51600178002</v>
      </c>
      <c r="J45" s="38">
        <v>158364.76321589</v>
      </c>
      <c r="K45" s="38">
        <v>179745.75943738</v>
      </c>
      <c r="L45" s="38">
        <v>193529.6064992</v>
      </c>
      <c r="M45" s="38">
        <v>197623.68718608003</v>
      </c>
      <c r="N45" s="38">
        <v>217640.84282464004</v>
      </c>
      <c r="O45" s="38">
        <v>224112.19797795</v>
      </c>
      <c r="P45" s="38">
        <v>232410.85556864</v>
      </c>
      <c r="Q45" s="38">
        <v>241731.15404712997</v>
      </c>
      <c r="R45" s="38">
        <v>341810.72399451</v>
      </c>
      <c r="S45" s="38">
        <v>356198.72754660004</v>
      </c>
      <c r="T45" s="75">
        <f t="shared" si="32"/>
        <v>0.2895537390272793</v>
      </c>
      <c r="U45" s="75">
        <f t="shared" si="32"/>
        <v>0.20674544755966062</v>
      </c>
      <c r="V45" s="75">
        <f t="shared" si="32"/>
        <v>0.21376231488444875</v>
      </c>
      <c r="W45" s="75">
        <f t="shared" si="32"/>
        <v>0.1346534218799127</v>
      </c>
      <c r="X45" s="75">
        <f t="shared" si="32"/>
        <v>0.12388675516370773</v>
      </c>
      <c r="Y45" s="75">
        <f t="shared" si="32"/>
        <v>0.05391759754538583</v>
      </c>
      <c r="Z45" s="75">
        <f t="shared" si="32"/>
        <v>0.10787575239275338</v>
      </c>
      <c r="AA45" s="75">
        <f t="shared" si="32"/>
        <v>0.1350110705646208</v>
      </c>
      <c r="AB45" s="75">
        <f t="shared" si="32"/>
        <v>0.0766852420049553</v>
      </c>
      <c r="AC45" s="75">
        <f t="shared" si="32"/>
        <v>0.02115480293139016</v>
      </c>
      <c r="AD45" s="75">
        <f t="shared" si="32"/>
        <v>0.10128925294118263</v>
      </c>
      <c r="AE45" s="75">
        <f t="shared" si="32"/>
        <v>0.029734102612918756</v>
      </c>
      <c r="AF45" s="75">
        <f t="shared" si="32"/>
        <v>0.03702903128684887</v>
      </c>
      <c r="AG45" s="75">
        <f t="shared" si="32"/>
        <v>0.040102681329948986</v>
      </c>
      <c r="AH45" s="75">
        <f t="shared" si="32"/>
        <v>0.4140118816785514</v>
      </c>
      <c r="AI45" s="75">
        <f t="shared" si="32"/>
        <v>0.042093481983090486</v>
      </c>
    </row>
    <row r="46" spans="2:35" ht="12.75">
      <c r="B46" s="13" t="s">
        <v>16</v>
      </c>
      <c r="C46" s="6">
        <f>+C47+C48</f>
        <v>436702.1</v>
      </c>
      <c r="D46" s="6">
        <f aca="true" t="shared" si="33" ref="D46:O46">+D47+D48</f>
        <v>419642.3</v>
      </c>
      <c r="E46" s="53">
        <f t="shared" si="33"/>
        <v>340085.80000000005</v>
      </c>
      <c r="F46" s="6">
        <f t="shared" si="33"/>
        <v>360106.7</v>
      </c>
      <c r="G46" s="6">
        <f t="shared" si="33"/>
        <v>401548.61919414</v>
      </c>
      <c r="H46" s="6">
        <f t="shared" si="33"/>
        <v>449377.99725215</v>
      </c>
      <c r="I46" s="6">
        <f t="shared" si="33"/>
        <v>471765.79825571994</v>
      </c>
      <c r="J46" s="6">
        <f t="shared" si="33"/>
        <v>631400.7894665499</v>
      </c>
      <c r="K46" s="6">
        <f t="shared" si="33"/>
        <v>696079.58555114</v>
      </c>
      <c r="L46" s="6">
        <f t="shared" si="33"/>
        <v>799960.16554407</v>
      </c>
      <c r="M46" s="6">
        <f t="shared" si="33"/>
        <v>874589.02192368</v>
      </c>
      <c r="N46" s="6">
        <f t="shared" si="33"/>
        <v>1022347.5272415301</v>
      </c>
      <c r="O46" s="6">
        <f t="shared" si="33"/>
        <v>1228710.39349563</v>
      </c>
      <c r="P46" s="6">
        <f>+P47+P48</f>
        <v>1517253.8600337598</v>
      </c>
      <c r="Q46" s="6">
        <f>+Q47+Q48</f>
        <v>1681308.4237788103</v>
      </c>
      <c r="R46" s="6">
        <f>+R47+R48</f>
        <v>1901219.85420448</v>
      </c>
      <c r="S46" s="6">
        <f>+S47+S48</f>
        <v>2044143.3650496702</v>
      </c>
      <c r="T46" s="82">
        <f t="shared" si="32"/>
        <v>-0.039065074337860994</v>
      </c>
      <c r="U46" s="82">
        <f t="shared" si="32"/>
        <v>-0.18958169850846762</v>
      </c>
      <c r="V46" s="82">
        <f t="shared" si="32"/>
        <v>0.05887014394602752</v>
      </c>
      <c r="W46" s="82">
        <f t="shared" si="32"/>
        <v>0.11508233308111171</v>
      </c>
      <c r="X46" s="82">
        <f t="shared" si="32"/>
        <v>0.11911229617473906</v>
      </c>
      <c r="Y46" s="82">
        <f t="shared" si="32"/>
        <v>0.04981953086369728</v>
      </c>
      <c r="Z46" s="82">
        <f t="shared" si="32"/>
        <v>0.33837762678230443</v>
      </c>
      <c r="AA46" s="82">
        <f t="shared" si="32"/>
        <v>0.10243698956923253</v>
      </c>
      <c r="AB46" s="82">
        <f t="shared" si="32"/>
        <v>0.14923664211568521</v>
      </c>
      <c r="AC46" s="82">
        <f t="shared" si="32"/>
        <v>0.09329071570564196</v>
      </c>
      <c r="AD46" s="82">
        <f t="shared" si="32"/>
        <v>0.1689462154382544</v>
      </c>
      <c r="AE46" s="82">
        <f t="shared" si="32"/>
        <v>0.201851973771485</v>
      </c>
      <c r="AF46" s="82">
        <f t="shared" si="32"/>
        <v>0.23483439878557189</v>
      </c>
      <c r="AG46" s="82">
        <f t="shared" si="32"/>
        <v>0.1081259821223326</v>
      </c>
      <c r="AH46" s="82">
        <f t="shared" si="32"/>
        <v>0.1307977925498105</v>
      </c>
      <c r="AI46" s="82">
        <f t="shared" si="32"/>
        <v>0.07517463618377418</v>
      </c>
    </row>
    <row r="47" spans="2:35" ht="12">
      <c r="B47" s="13" t="s">
        <v>3</v>
      </c>
      <c r="C47" s="64">
        <v>349454.3</v>
      </c>
      <c r="D47" s="26">
        <v>331663.8</v>
      </c>
      <c r="E47" s="50">
        <v>255328.7</v>
      </c>
      <c r="F47" s="7">
        <v>280639</v>
      </c>
      <c r="G47" s="7">
        <v>336646.25961148</v>
      </c>
      <c r="H47" s="7">
        <v>390876.4895037</v>
      </c>
      <c r="I47" s="7">
        <v>424770.39638429997</v>
      </c>
      <c r="J47" s="7">
        <v>568909.5643796299</v>
      </c>
      <c r="K47" s="7">
        <v>600095.87801328</v>
      </c>
      <c r="L47" s="7">
        <v>657218.47768552</v>
      </c>
      <c r="M47" s="7">
        <v>693689.58436102</v>
      </c>
      <c r="N47" s="7">
        <v>828127.1489249801</v>
      </c>
      <c r="O47" s="7">
        <v>1023837.97962648</v>
      </c>
      <c r="P47" s="7">
        <v>1310014.3845654</v>
      </c>
      <c r="Q47" s="7">
        <v>1441804.6332063403</v>
      </c>
      <c r="R47" s="7">
        <v>1649623.27713554</v>
      </c>
      <c r="S47" s="7">
        <v>1735788.4315923802</v>
      </c>
      <c r="T47" s="75">
        <f t="shared" si="32"/>
        <v>-0.05090937498837478</v>
      </c>
      <c r="U47" s="75">
        <f t="shared" si="32"/>
        <v>-0.23015806970793917</v>
      </c>
      <c r="V47" s="75">
        <f t="shared" si="32"/>
        <v>0.0991283001088401</v>
      </c>
      <c r="W47" s="75">
        <f t="shared" si="32"/>
        <v>0.19957047884107348</v>
      </c>
      <c r="X47" s="75">
        <f t="shared" si="32"/>
        <v>0.16108965522090335</v>
      </c>
      <c r="Y47" s="75">
        <f t="shared" si="32"/>
        <v>0.08671257492011208</v>
      </c>
      <c r="Z47" s="75">
        <f t="shared" si="32"/>
        <v>0.3393343067743444</v>
      </c>
      <c r="AA47" s="75">
        <f t="shared" si="32"/>
        <v>0.05481769965962391</v>
      </c>
      <c r="AB47" s="75">
        <f t="shared" si="32"/>
        <v>0.09518912188058026</v>
      </c>
      <c r="AC47" s="75">
        <f t="shared" si="32"/>
        <v>0.055493124301583485</v>
      </c>
      <c r="AD47" s="75">
        <f t="shared" si="32"/>
        <v>0.19380075410501485</v>
      </c>
      <c r="AE47" s="75">
        <f t="shared" si="32"/>
        <v>0.23632944645705534</v>
      </c>
      <c r="AF47" s="75">
        <f t="shared" si="32"/>
        <v>0.27951337089812167</v>
      </c>
      <c r="AG47" s="75">
        <f t="shared" si="32"/>
        <v>0.10060213856709832</v>
      </c>
      <c r="AH47" s="75">
        <f t="shared" si="32"/>
        <v>0.1441378666311015</v>
      </c>
      <c r="AI47" s="75">
        <f t="shared" si="32"/>
        <v>0.05223323146025205</v>
      </c>
    </row>
    <row r="48" spans="2:35" ht="12">
      <c r="B48" s="13" t="s">
        <v>4</v>
      </c>
      <c r="C48" s="64">
        <v>87247.8</v>
      </c>
      <c r="D48" s="26">
        <v>87978.5</v>
      </c>
      <c r="E48" s="50">
        <v>84757.1</v>
      </c>
      <c r="F48" s="7">
        <v>79467.7</v>
      </c>
      <c r="G48" s="7">
        <v>64902.35958266</v>
      </c>
      <c r="H48" s="7">
        <v>58501.50774845</v>
      </c>
      <c r="I48" s="7">
        <v>46995.40187142001</v>
      </c>
      <c r="J48" s="7">
        <v>62491.22508691999</v>
      </c>
      <c r="K48" s="7">
        <v>95983.70753786</v>
      </c>
      <c r="L48" s="7">
        <v>142741.68785855002</v>
      </c>
      <c r="M48" s="7">
        <v>180899.43756266</v>
      </c>
      <c r="N48" s="7">
        <v>194220.37831655</v>
      </c>
      <c r="O48" s="7">
        <v>204872.41386914998</v>
      </c>
      <c r="P48" s="7">
        <v>207239.47546836</v>
      </c>
      <c r="Q48" s="7">
        <v>239503.79057247</v>
      </c>
      <c r="R48" s="7">
        <v>251596.57706893998</v>
      </c>
      <c r="S48" s="7">
        <v>308354.93345729</v>
      </c>
      <c r="T48" s="75">
        <f t="shared" si="32"/>
        <v>0.00837499627497773</v>
      </c>
      <c r="U48" s="75">
        <f t="shared" si="32"/>
        <v>-0.03661576407872369</v>
      </c>
      <c r="V48" s="75">
        <f t="shared" si="32"/>
        <v>-0.06240657124889837</v>
      </c>
      <c r="W48" s="75">
        <f t="shared" si="32"/>
        <v>-0.18328629641149796</v>
      </c>
      <c r="X48" s="75">
        <f t="shared" si="32"/>
        <v>-0.0986227908410301</v>
      </c>
      <c r="Y48" s="75">
        <f t="shared" si="32"/>
        <v>-0.1966805014069889</v>
      </c>
      <c r="Z48" s="75">
        <f t="shared" si="32"/>
        <v>0.3297306246661482</v>
      </c>
      <c r="AA48" s="75">
        <f t="shared" si="32"/>
        <v>0.53595496654698</v>
      </c>
      <c r="AB48" s="75">
        <f t="shared" si="32"/>
        <v>0.4871449699132191</v>
      </c>
      <c r="AC48" s="75">
        <f t="shared" si="32"/>
        <v>0.26732029217646924</v>
      </c>
      <c r="AD48" s="75">
        <f t="shared" si="32"/>
        <v>0.0736372701505823</v>
      </c>
      <c r="AE48" s="75">
        <f t="shared" si="32"/>
        <v>0.05484509733185039</v>
      </c>
      <c r="AF48" s="75">
        <f t="shared" si="32"/>
        <v>0.011553832722065893</v>
      </c>
      <c r="AG48" s="75">
        <f t="shared" si="32"/>
        <v>0.15568614536971226</v>
      </c>
      <c r="AH48" s="75">
        <f t="shared" si="32"/>
        <v>0.05049100253305139</v>
      </c>
      <c r="AI48" s="75">
        <f t="shared" si="32"/>
        <v>0.22559272089300975</v>
      </c>
    </row>
    <row r="49" spans="2:35" ht="12">
      <c r="B49" s="13"/>
      <c r="C49" s="64"/>
      <c r="D49" s="26"/>
      <c r="E49" s="50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2:35" ht="15">
      <c r="B50" s="72" t="s">
        <v>54</v>
      </c>
      <c r="C50" s="6">
        <f>+C51+C52+C53+C54</f>
        <v>524384.47167555</v>
      </c>
      <c r="D50" s="6">
        <f aca="true" t="shared" si="34" ref="D50:O50">+D51+D52+D53+D54</f>
        <v>644762.0018827498</v>
      </c>
      <c r="E50" s="53">
        <f t="shared" si="34"/>
        <v>835577.9668472899</v>
      </c>
      <c r="F50" s="6">
        <f t="shared" si="34"/>
        <v>1053553.2000000002</v>
      </c>
      <c r="G50" s="6">
        <f t="shared" si="34"/>
        <v>1404325.57845421</v>
      </c>
      <c r="H50" s="6">
        <f t="shared" si="34"/>
        <v>1467552.1684182398</v>
      </c>
      <c r="I50" s="6">
        <f t="shared" si="34"/>
        <v>1682067.8672150609</v>
      </c>
      <c r="J50" s="6">
        <f t="shared" si="34"/>
        <v>1864697.3833452102</v>
      </c>
      <c r="K50" s="6">
        <f t="shared" si="34"/>
        <v>2016752.0077638247</v>
      </c>
      <c r="L50" s="6">
        <f t="shared" si="34"/>
        <v>2210524.76101207</v>
      </c>
      <c r="M50" s="6">
        <f t="shared" si="34"/>
        <v>2375999.3801961797</v>
      </c>
      <c r="N50" s="6">
        <f t="shared" si="34"/>
        <v>2584538.73663885</v>
      </c>
      <c r="O50" s="6">
        <f t="shared" si="34"/>
        <v>2667443.2814331297</v>
      </c>
      <c r="P50" s="6">
        <f>+P51+P52+P53+P54</f>
        <v>2903434.6057253904</v>
      </c>
      <c r="Q50" s="6">
        <f>+Q51+Q52+Q53+Q54</f>
        <v>2833224.905056449</v>
      </c>
      <c r="R50" s="6">
        <f>+R51+R52+R53+R54</f>
        <v>2873768.3326513595</v>
      </c>
      <c r="S50" s="6">
        <f>+S51+S52+S53+S54</f>
        <v>2819783.18746752</v>
      </c>
      <c r="T50" s="82">
        <f aca="true" t="shared" si="35" ref="T50:AI54">+D50/C50-1</f>
        <v>0.22955967750639372</v>
      </c>
      <c r="U50" s="82">
        <f t="shared" si="35"/>
        <v>0.29594790699102025</v>
      </c>
      <c r="V50" s="82">
        <f t="shared" si="35"/>
        <v>0.260867617147865</v>
      </c>
      <c r="W50" s="82">
        <f t="shared" si="35"/>
        <v>0.33294225526932064</v>
      </c>
      <c r="X50" s="82">
        <f t="shared" si="35"/>
        <v>0.04502274325418587</v>
      </c>
      <c r="Y50" s="82">
        <f t="shared" si="35"/>
        <v>0.1461724519326839</v>
      </c>
      <c r="Z50" s="82">
        <f t="shared" si="35"/>
        <v>0.108574403976055</v>
      </c>
      <c r="AA50" s="82">
        <f t="shared" si="35"/>
        <v>0.08154386109870182</v>
      </c>
      <c r="AB50" s="82">
        <f t="shared" si="35"/>
        <v>0.09608159679637573</v>
      </c>
      <c r="AC50" s="82">
        <f t="shared" si="35"/>
        <v>0.07485761847261485</v>
      </c>
      <c r="AD50" s="82">
        <f t="shared" si="35"/>
        <v>0.08776911230736584</v>
      </c>
      <c r="AE50" s="82">
        <f t="shared" si="35"/>
        <v>0.03207711442626526</v>
      </c>
      <c r="AF50" s="82">
        <f t="shared" si="35"/>
        <v>0.08847098115820873</v>
      </c>
      <c r="AG50" s="82">
        <f t="shared" si="35"/>
        <v>-0.02418160220674237</v>
      </c>
      <c r="AH50" s="82">
        <f t="shared" si="35"/>
        <v>0.014309992659796489</v>
      </c>
      <c r="AI50" s="82">
        <f t="shared" si="35"/>
        <v>-0.018785489620185336</v>
      </c>
    </row>
    <row r="51" spans="2:35" ht="12">
      <c r="B51" s="13" t="s">
        <v>6</v>
      </c>
      <c r="C51" s="65">
        <v>283654.37167555</v>
      </c>
      <c r="D51" s="7">
        <v>324337.65720666986</v>
      </c>
      <c r="E51" s="50">
        <v>374510.3</v>
      </c>
      <c r="F51" s="7">
        <v>448883.7</v>
      </c>
      <c r="G51" s="7">
        <v>490465.63345878996</v>
      </c>
      <c r="H51" s="7">
        <v>529496.04893651</v>
      </c>
      <c r="I51" s="7">
        <v>570532.0949985703</v>
      </c>
      <c r="J51" s="7">
        <v>640019.1071816001</v>
      </c>
      <c r="K51" s="7">
        <v>679065.6914942</v>
      </c>
      <c r="L51" s="7">
        <v>743704.5335801803</v>
      </c>
      <c r="M51" s="7">
        <v>769905.92001158</v>
      </c>
      <c r="N51" s="7">
        <v>801193.0339574799</v>
      </c>
      <c r="O51" s="7">
        <v>851049.3669742999</v>
      </c>
      <c r="P51" s="7">
        <v>872220.8607158201</v>
      </c>
      <c r="Q51" s="7">
        <v>1025499.3107226</v>
      </c>
      <c r="R51" s="7">
        <v>979532.82006422</v>
      </c>
      <c r="S51" s="7">
        <v>1011200.77613545</v>
      </c>
      <c r="T51" s="75">
        <f t="shared" si="35"/>
        <v>0.14342555445489236</v>
      </c>
      <c r="U51" s="75">
        <f t="shared" si="35"/>
        <v>0.15469262257561356</v>
      </c>
      <c r="V51" s="75">
        <f t="shared" si="35"/>
        <v>0.19858839663421812</v>
      </c>
      <c r="W51" s="75">
        <f t="shared" si="35"/>
        <v>0.09263409087652308</v>
      </c>
      <c r="X51" s="75">
        <f t="shared" si="35"/>
        <v>0.07957828809018785</v>
      </c>
      <c r="Y51" s="75">
        <f t="shared" si="35"/>
        <v>0.07750019314493661</v>
      </c>
      <c r="Z51" s="75">
        <f t="shared" si="35"/>
        <v>0.12179334483050241</v>
      </c>
      <c r="AA51" s="75">
        <f t="shared" si="35"/>
        <v>0.06100846658242154</v>
      </c>
      <c r="AB51" s="75">
        <f t="shared" si="35"/>
        <v>0.09518790729031013</v>
      </c>
      <c r="AC51" s="75">
        <f t="shared" si="35"/>
        <v>0.03523090857772071</v>
      </c>
      <c r="AD51" s="75">
        <f t="shared" si="35"/>
        <v>0.040637580687039376</v>
      </c>
      <c r="AE51" s="75">
        <f t="shared" si="35"/>
        <v>0.06222761669626031</v>
      </c>
      <c r="AF51" s="75">
        <f t="shared" si="35"/>
        <v>0.024876927899952994</v>
      </c>
      <c r="AG51" s="75">
        <f t="shared" si="35"/>
        <v>0.17573352909833662</v>
      </c>
      <c r="AH51" s="75">
        <f t="shared" si="35"/>
        <v>-0.04482352174960558</v>
      </c>
      <c r="AI51" s="75">
        <f t="shared" si="35"/>
        <v>0.03232965289427847</v>
      </c>
    </row>
    <row r="52" spans="2:35" ht="14.25">
      <c r="B52" s="72" t="s">
        <v>86</v>
      </c>
      <c r="C52" s="65">
        <v>237128.09999999998</v>
      </c>
      <c r="D52" s="7">
        <v>314448.04467607994</v>
      </c>
      <c r="E52" s="50">
        <v>454514.46684728994</v>
      </c>
      <c r="F52" s="7">
        <v>593519.9</v>
      </c>
      <c r="G52" s="7">
        <v>888205.12267514</v>
      </c>
      <c r="H52" s="7">
        <v>929181.4314205496</v>
      </c>
      <c r="I52" s="7">
        <v>1104433.9743464906</v>
      </c>
      <c r="J52" s="7">
        <v>1215410.6612270102</v>
      </c>
      <c r="K52" s="7">
        <v>1320652.6436918944</v>
      </c>
      <c r="L52" s="7">
        <v>1450049.0035381995</v>
      </c>
      <c r="M52" s="7">
        <v>1581290.56530526</v>
      </c>
      <c r="N52" s="7">
        <v>1731163.1392413299</v>
      </c>
      <c r="O52" s="7">
        <v>1793384.8573098397</v>
      </c>
      <c r="P52" s="7">
        <v>1986950.3536098003</v>
      </c>
      <c r="Q52" s="7">
        <v>1698595.2434500996</v>
      </c>
      <c r="R52" s="7">
        <v>1823396.7360928794</v>
      </c>
      <c r="S52" s="7">
        <v>1792449.2312301002</v>
      </c>
      <c r="T52" s="75">
        <f t="shared" si="35"/>
        <v>0.326068250351097</v>
      </c>
      <c r="U52" s="75">
        <f t="shared" si="35"/>
        <v>0.44543581854832515</v>
      </c>
      <c r="V52" s="75">
        <f t="shared" si="35"/>
        <v>0.30583280245601907</v>
      </c>
      <c r="W52" s="75">
        <f t="shared" si="35"/>
        <v>0.49650436771393847</v>
      </c>
      <c r="X52" s="75">
        <f t="shared" si="35"/>
        <v>0.046133835191126904</v>
      </c>
      <c r="Y52" s="75">
        <f t="shared" si="35"/>
        <v>0.1886096051855144</v>
      </c>
      <c r="Z52" s="75">
        <f t="shared" si="35"/>
        <v>0.10048286222468494</v>
      </c>
      <c r="AA52" s="75">
        <f t="shared" si="35"/>
        <v>0.08658964893284526</v>
      </c>
      <c r="AB52" s="75">
        <f t="shared" si="35"/>
        <v>0.09797910182088199</v>
      </c>
      <c r="AC52" s="75">
        <f t="shared" si="35"/>
        <v>0.09050836312898669</v>
      </c>
      <c r="AD52" s="75">
        <f t="shared" si="35"/>
        <v>0.09477864297959537</v>
      </c>
      <c r="AE52" s="75">
        <f t="shared" si="35"/>
        <v>0.03594214586603206</v>
      </c>
      <c r="AF52" s="75">
        <f t="shared" si="35"/>
        <v>0.10793304934575931</v>
      </c>
      <c r="AG52" s="75">
        <f t="shared" si="35"/>
        <v>-0.1451244665654733</v>
      </c>
      <c r="AH52" s="75">
        <f t="shared" si="35"/>
        <v>0.07347335577679437</v>
      </c>
      <c r="AI52" s="75">
        <f t="shared" si="35"/>
        <v>-0.01697244721908009</v>
      </c>
    </row>
    <row r="53" spans="2:35" ht="12">
      <c r="B53" s="13" t="s">
        <v>8</v>
      </c>
      <c r="C53" s="65">
        <v>2096.8</v>
      </c>
      <c r="D53" s="26">
        <v>2497.9</v>
      </c>
      <c r="E53" s="50">
        <v>3088.3</v>
      </c>
      <c r="F53" s="7">
        <v>3106</v>
      </c>
      <c r="G53" s="7">
        <v>3902.67753434</v>
      </c>
      <c r="H53" s="7">
        <v>4203.11315715</v>
      </c>
      <c r="I53" s="7">
        <v>3616.98571049</v>
      </c>
      <c r="J53" s="7">
        <v>6037.76890975</v>
      </c>
      <c r="K53" s="7">
        <v>5946.12932298</v>
      </c>
      <c r="L53" s="7">
        <v>5740.0226235499995</v>
      </c>
      <c r="M53" s="7">
        <v>5173.752607889999</v>
      </c>
      <c r="N53" s="7">
        <v>5819.77330433</v>
      </c>
      <c r="O53" s="7">
        <v>5403.619508990002</v>
      </c>
      <c r="P53" s="7">
        <v>5747.998892880004</v>
      </c>
      <c r="Q53" s="7">
        <v>6566.518776359998</v>
      </c>
      <c r="R53" s="7">
        <v>8225.167972820005</v>
      </c>
      <c r="S53" s="7">
        <v>9072.551884550001</v>
      </c>
      <c r="T53" s="75">
        <f t="shared" si="35"/>
        <v>0.19129149179702387</v>
      </c>
      <c r="U53" s="75">
        <f t="shared" si="35"/>
        <v>0.23635854117458677</v>
      </c>
      <c r="V53" s="75">
        <f t="shared" si="35"/>
        <v>0.005731308486869757</v>
      </c>
      <c r="W53" s="75">
        <f t="shared" si="35"/>
        <v>0.256496308544752</v>
      </c>
      <c r="X53" s="75">
        <f t="shared" si="35"/>
        <v>0.0769819233504283</v>
      </c>
      <c r="Y53" s="75">
        <f t="shared" si="35"/>
        <v>-0.1394507891520662</v>
      </c>
      <c r="Z53" s="75">
        <f t="shared" si="35"/>
        <v>0.6692819361268783</v>
      </c>
      <c r="AA53" s="75">
        <f t="shared" si="35"/>
        <v>-0.015177723450464753</v>
      </c>
      <c r="AB53" s="75">
        <f t="shared" si="35"/>
        <v>-0.03466233043964595</v>
      </c>
      <c r="AC53" s="75">
        <f t="shared" si="35"/>
        <v>-0.09865292400359604</v>
      </c>
      <c r="AD53" s="75">
        <f t="shared" si="35"/>
        <v>0.1248650148936028</v>
      </c>
      <c r="AE53" s="75">
        <f t="shared" si="35"/>
        <v>-0.07150687382107712</v>
      </c>
      <c r="AF53" s="75">
        <f t="shared" si="35"/>
        <v>0.06373124223810689</v>
      </c>
      <c r="AG53" s="75">
        <f t="shared" si="35"/>
        <v>0.14240084222943872</v>
      </c>
      <c r="AH53" s="75">
        <f t="shared" si="35"/>
        <v>0.25259186076361795</v>
      </c>
      <c r="AI53" s="75">
        <f t="shared" si="35"/>
        <v>0.10302329563726453</v>
      </c>
    </row>
    <row r="54" spans="2:35" ht="12">
      <c r="B54" s="23" t="s">
        <v>38</v>
      </c>
      <c r="C54" s="65">
        <v>1505.2</v>
      </c>
      <c r="D54" s="26">
        <v>3478.4</v>
      </c>
      <c r="E54" s="50">
        <v>3464.9</v>
      </c>
      <c r="F54" s="7">
        <v>8043.6</v>
      </c>
      <c r="G54" s="7">
        <v>21752.14478594</v>
      </c>
      <c r="H54" s="7">
        <v>4671.57490403</v>
      </c>
      <c r="I54" s="7">
        <v>3484.81215951</v>
      </c>
      <c r="J54" s="7">
        <v>3229.84602685</v>
      </c>
      <c r="K54" s="7">
        <v>11087.543254749999</v>
      </c>
      <c r="L54" s="7">
        <v>11031.20127014</v>
      </c>
      <c r="M54" s="7">
        <v>19629.14227145</v>
      </c>
      <c r="N54" s="7">
        <v>46362.79013571</v>
      </c>
      <c r="O54" s="7">
        <v>17605.43764</v>
      </c>
      <c r="P54" s="7">
        <v>38515.39250689</v>
      </c>
      <c r="Q54" s="7">
        <v>102563.83210739</v>
      </c>
      <c r="R54" s="7">
        <v>62613.60852143999</v>
      </c>
      <c r="S54" s="7">
        <v>7060.62821742</v>
      </c>
      <c r="T54" s="75">
        <f t="shared" si="35"/>
        <v>1.3109221365931436</v>
      </c>
      <c r="U54" s="75">
        <f t="shared" si="35"/>
        <v>-0.003881094756209791</v>
      </c>
      <c r="V54" s="75">
        <f t="shared" si="35"/>
        <v>1.321452278565038</v>
      </c>
      <c r="W54" s="75">
        <f t="shared" si="35"/>
        <v>1.70427977347705</v>
      </c>
      <c r="X54" s="75">
        <f t="shared" si="35"/>
        <v>-0.7852361249889446</v>
      </c>
      <c r="Y54" s="75">
        <f t="shared" si="35"/>
        <v>-0.25403911291162684</v>
      </c>
      <c r="Z54" s="75">
        <f t="shared" si="35"/>
        <v>-0.07316495724574468</v>
      </c>
      <c r="AA54" s="75">
        <f t="shared" si="35"/>
        <v>2.43283957271593</v>
      </c>
      <c r="AB54" s="75">
        <f t="shared" si="35"/>
        <v>-0.00508155714169245</v>
      </c>
      <c r="AC54" s="75">
        <f t="shared" si="35"/>
        <v>0.77942019103427</v>
      </c>
      <c r="AD54" s="75">
        <f t="shared" si="35"/>
        <v>1.3619366294544255</v>
      </c>
      <c r="AE54" s="75">
        <f t="shared" si="35"/>
        <v>-0.6202679435714166</v>
      </c>
      <c r="AF54" s="75">
        <f t="shared" si="35"/>
        <v>1.1876986698349405</v>
      </c>
      <c r="AG54" s="75">
        <f t="shared" si="35"/>
        <v>1.6629309850352012</v>
      </c>
      <c r="AH54" s="75">
        <f t="shared" si="35"/>
        <v>-0.3895157070976045</v>
      </c>
      <c r="AI54" s="75">
        <f t="shared" si="35"/>
        <v>-0.8872349256950697</v>
      </c>
    </row>
    <row r="55" spans="2:35" ht="12">
      <c r="B55" s="13"/>
      <c r="C55" s="65"/>
      <c r="D55" s="26"/>
      <c r="E55" s="50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26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12.75">
      <c r="A56" s="20"/>
      <c r="B56" s="21" t="s">
        <v>9</v>
      </c>
      <c r="C56" s="28">
        <f>+C58+C59</f>
        <v>106850.1</v>
      </c>
      <c r="D56" s="28">
        <f aca="true" t="shared" si="36" ref="D56:O56">+D58+D59</f>
        <v>176636.5</v>
      </c>
      <c r="E56" s="28">
        <f t="shared" si="36"/>
        <v>275723.60000000003</v>
      </c>
      <c r="F56" s="28">
        <f t="shared" si="36"/>
        <v>301501.07266368996</v>
      </c>
      <c r="G56" s="28">
        <f t="shared" si="36"/>
        <v>448588.23313033994</v>
      </c>
      <c r="H56" s="28">
        <f t="shared" si="36"/>
        <v>303635.45532902994</v>
      </c>
      <c r="I56" s="28">
        <f t="shared" si="36"/>
        <v>331667.16961266</v>
      </c>
      <c r="J56" s="28">
        <f t="shared" si="36"/>
        <v>400452.17631008005</v>
      </c>
      <c r="K56" s="28">
        <f t="shared" si="36"/>
        <v>464667.98248943995</v>
      </c>
      <c r="L56" s="28">
        <f t="shared" si="36"/>
        <v>525861.2831939999</v>
      </c>
      <c r="M56" s="28">
        <f t="shared" si="36"/>
        <v>571341.3984524899</v>
      </c>
      <c r="N56" s="28">
        <f t="shared" si="36"/>
        <v>649282.20180158</v>
      </c>
      <c r="O56" s="28">
        <f t="shared" si="36"/>
        <v>479519.50349765</v>
      </c>
      <c r="P56" s="28">
        <f>+P58+P59</f>
        <v>718825.01136907</v>
      </c>
      <c r="Q56" s="28">
        <f>+Q58+Q59</f>
        <v>444014.72348663</v>
      </c>
      <c r="R56" s="28">
        <f>+R58+R59</f>
        <v>594010.0960954999</v>
      </c>
      <c r="S56" s="28">
        <f>+S58+S59</f>
        <v>605647.7264444199</v>
      </c>
      <c r="T56" s="74">
        <f aca="true" t="shared" si="37" ref="T56:AI56">+D56/C56-1</f>
        <v>0.6531243302533174</v>
      </c>
      <c r="U56" s="74">
        <f t="shared" si="37"/>
        <v>0.5609661649772275</v>
      </c>
      <c r="V56" s="74">
        <f t="shared" si="37"/>
        <v>0.09349026584481668</v>
      </c>
      <c r="W56" s="74">
        <f t="shared" si="37"/>
        <v>0.4878495428462992</v>
      </c>
      <c r="X56" s="74">
        <f t="shared" si="37"/>
        <v>-0.32313102996438414</v>
      </c>
      <c r="Y56" s="74">
        <f t="shared" si="37"/>
        <v>0.09232029327159408</v>
      </c>
      <c r="Z56" s="74">
        <f t="shared" si="37"/>
        <v>0.20739166549933508</v>
      </c>
      <c r="AA56" s="74">
        <f t="shared" si="37"/>
        <v>0.16035823995531495</v>
      </c>
      <c r="AB56" s="74">
        <f t="shared" si="37"/>
        <v>0.13169252672998755</v>
      </c>
      <c r="AC56" s="74">
        <f t="shared" si="37"/>
        <v>0.0864869057905362</v>
      </c>
      <c r="AD56" s="74">
        <f t="shared" si="37"/>
        <v>0.136417216676749</v>
      </c>
      <c r="AE56" s="74">
        <f t="shared" si="37"/>
        <v>-0.26146211590720514</v>
      </c>
      <c r="AF56" s="74">
        <f t="shared" si="37"/>
        <v>0.4990527103192015</v>
      </c>
      <c r="AG56" s="74">
        <f t="shared" si="37"/>
        <v>-0.3823048496309803</v>
      </c>
      <c r="AH56" s="74">
        <f t="shared" si="37"/>
        <v>0.33781621346028756</v>
      </c>
      <c r="AI56" s="74">
        <f t="shared" si="37"/>
        <v>0.019591637289358532</v>
      </c>
    </row>
    <row r="57" spans="2:35" ht="12">
      <c r="B57" s="13"/>
      <c r="C57" s="64"/>
      <c r="D57" s="26"/>
      <c r="E57" s="50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</row>
    <row r="58" spans="2:35" ht="12">
      <c r="B58" s="13" t="s">
        <v>12</v>
      </c>
      <c r="C58" s="64">
        <v>25297.9</v>
      </c>
      <c r="D58" s="26">
        <v>40174.2</v>
      </c>
      <c r="E58" s="50">
        <v>61451.4</v>
      </c>
      <c r="F58" s="50">
        <v>82119.59999999999</v>
      </c>
      <c r="G58" s="50">
        <v>64385.58913271</v>
      </c>
      <c r="H58" s="50">
        <v>72055.85177585</v>
      </c>
      <c r="I58" s="50">
        <v>51500.78416088001</v>
      </c>
      <c r="J58" s="50">
        <v>81389.07759493002</v>
      </c>
      <c r="K58" s="50">
        <v>86790.96023437999</v>
      </c>
      <c r="L58" s="50">
        <v>97573.381225</v>
      </c>
      <c r="M58" s="50">
        <v>95054.27015672001</v>
      </c>
      <c r="N58" s="50">
        <v>98445.71097539001</v>
      </c>
      <c r="O58" s="50">
        <v>67401.91643583</v>
      </c>
      <c r="P58" s="50">
        <v>60860.50565731</v>
      </c>
      <c r="Q58" s="50">
        <v>73814.17188298001</v>
      </c>
      <c r="R58" s="50">
        <v>249866.63002611</v>
      </c>
      <c r="S58" s="50">
        <v>220616.04776568</v>
      </c>
      <c r="T58" s="75">
        <f aca="true" t="shared" si="38" ref="T58:AI63">+D58/C58-1</f>
        <v>0.5880448574782886</v>
      </c>
      <c r="U58" s="75">
        <f t="shared" si="38"/>
        <v>0.5296234897023464</v>
      </c>
      <c r="V58" s="75">
        <f t="shared" si="38"/>
        <v>0.33633407863775266</v>
      </c>
      <c r="W58" s="75">
        <f t="shared" si="38"/>
        <v>-0.21595344920445292</v>
      </c>
      <c r="X58" s="75">
        <f t="shared" si="38"/>
        <v>0.11913011508414151</v>
      </c>
      <c r="Y58" s="75">
        <f t="shared" si="38"/>
        <v>-0.28526576410355</v>
      </c>
      <c r="Z58" s="75">
        <f t="shared" si="38"/>
        <v>0.5803463757111713</v>
      </c>
      <c r="AA58" s="75">
        <f t="shared" si="38"/>
        <v>0.06637110038689609</v>
      </c>
      <c r="AB58" s="75">
        <f t="shared" si="38"/>
        <v>0.12423437834426498</v>
      </c>
      <c r="AC58" s="75">
        <f t="shared" si="38"/>
        <v>-0.025817605546240463</v>
      </c>
      <c r="AD58" s="75">
        <f t="shared" si="38"/>
        <v>0.03567899488448423</v>
      </c>
      <c r="AE58" s="75">
        <f t="shared" si="38"/>
        <v>-0.315339228413115</v>
      </c>
      <c r="AF58" s="75">
        <f t="shared" si="38"/>
        <v>-0.09705081286149708</v>
      </c>
      <c r="AG58" s="75">
        <f t="shared" si="38"/>
        <v>0.21284190930993585</v>
      </c>
      <c r="AH58" s="75">
        <f t="shared" si="38"/>
        <v>2.38507665468674</v>
      </c>
      <c r="AI58" s="75">
        <f t="shared" si="38"/>
        <v>-0.11706478074872761</v>
      </c>
    </row>
    <row r="59" spans="2:35" ht="12.75">
      <c r="B59" s="13" t="s">
        <v>5</v>
      </c>
      <c r="C59" s="6">
        <f>+C60+C61+C62+C63</f>
        <v>81552.20000000001</v>
      </c>
      <c r="D59" s="6">
        <f aca="true" t="shared" si="39" ref="D59:O59">+D60+D61+D62+D63</f>
        <v>136462.3</v>
      </c>
      <c r="E59" s="53">
        <f t="shared" si="39"/>
        <v>214272.2</v>
      </c>
      <c r="F59" s="6">
        <f t="shared" si="39"/>
        <v>219381.47266369</v>
      </c>
      <c r="G59" s="6">
        <f t="shared" si="39"/>
        <v>384202.64399762993</v>
      </c>
      <c r="H59" s="6">
        <f t="shared" si="39"/>
        <v>231579.60355317997</v>
      </c>
      <c r="I59" s="6">
        <f t="shared" si="39"/>
        <v>280166.38545178</v>
      </c>
      <c r="J59" s="6">
        <f t="shared" si="39"/>
        <v>319063.09871515003</v>
      </c>
      <c r="K59" s="6">
        <f t="shared" si="39"/>
        <v>377877.02225506</v>
      </c>
      <c r="L59" s="6">
        <f t="shared" si="39"/>
        <v>428287.90196899994</v>
      </c>
      <c r="M59" s="6">
        <f t="shared" si="39"/>
        <v>476287.1282957699</v>
      </c>
      <c r="N59" s="6">
        <f t="shared" si="39"/>
        <v>550836.49082619</v>
      </c>
      <c r="O59" s="6">
        <f t="shared" si="39"/>
        <v>412117.58706181997</v>
      </c>
      <c r="P59" s="6">
        <f>+P60+P61+P62+P63</f>
        <v>657964.50571176</v>
      </c>
      <c r="Q59" s="6">
        <f>+Q60+Q61+Q62+Q63</f>
        <v>370200.55160365</v>
      </c>
      <c r="R59" s="6">
        <f>+R60+R61+R62+R63</f>
        <v>344143.46606938995</v>
      </c>
      <c r="S59" s="6">
        <f>+S60+S61+S62+S63</f>
        <v>385031.67867873993</v>
      </c>
      <c r="T59" s="82">
        <f t="shared" si="38"/>
        <v>0.6733123079450949</v>
      </c>
      <c r="U59" s="82">
        <f t="shared" si="38"/>
        <v>0.5701933794168794</v>
      </c>
      <c r="V59" s="82">
        <f t="shared" si="38"/>
        <v>0.023844776241108256</v>
      </c>
      <c r="W59" s="82">
        <f t="shared" si="38"/>
        <v>0.751299411626293</v>
      </c>
      <c r="X59" s="82">
        <f t="shared" si="38"/>
        <v>-0.3972462002249819</v>
      </c>
      <c r="Y59" s="82">
        <f t="shared" si="38"/>
        <v>0.20980596370803672</v>
      </c>
      <c r="Z59" s="82">
        <f t="shared" si="38"/>
        <v>0.13883433303623294</v>
      </c>
      <c r="AA59" s="82">
        <f t="shared" si="38"/>
        <v>0.1843332048637103</v>
      </c>
      <c r="AB59" s="82">
        <f t="shared" si="38"/>
        <v>0.133405517522877</v>
      </c>
      <c r="AC59" s="82">
        <f t="shared" si="38"/>
        <v>0.11207233757035762</v>
      </c>
      <c r="AD59" s="82">
        <f t="shared" si="38"/>
        <v>0.15652189215603918</v>
      </c>
      <c r="AE59" s="82">
        <f t="shared" si="38"/>
        <v>-0.2518331774939383</v>
      </c>
      <c r="AF59" s="82">
        <f t="shared" si="38"/>
        <v>0.5965455645867925</v>
      </c>
      <c r="AG59" s="82">
        <f t="shared" si="38"/>
        <v>-0.4373548293411639</v>
      </c>
      <c r="AH59" s="82">
        <f t="shared" si="38"/>
        <v>-0.07038640385970485</v>
      </c>
      <c r="AI59" s="82">
        <f t="shared" si="38"/>
        <v>0.11881153251680687</v>
      </c>
    </row>
    <row r="60" spans="2:35" ht="12">
      <c r="B60" s="13" t="s">
        <v>6</v>
      </c>
      <c r="C60" s="64">
        <v>658.1</v>
      </c>
      <c r="D60" s="26">
        <v>667.9</v>
      </c>
      <c r="E60" s="50">
        <v>771.7</v>
      </c>
      <c r="F60" s="7">
        <v>19787.57794828</v>
      </c>
      <c r="G60" s="7">
        <v>18399.99725091</v>
      </c>
      <c r="H60" s="7">
        <v>11941.214984220001</v>
      </c>
      <c r="I60" s="7">
        <v>12585.66174492</v>
      </c>
      <c r="J60" s="7">
        <v>14532.33951661</v>
      </c>
      <c r="K60" s="7">
        <v>16202.45934511</v>
      </c>
      <c r="L60" s="7">
        <v>17506.87010214</v>
      </c>
      <c r="M60" s="7">
        <v>18035.79572995</v>
      </c>
      <c r="N60" s="7">
        <v>18580.31498497</v>
      </c>
      <c r="O60" s="7">
        <v>18112.78092841</v>
      </c>
      <c r="P60" s="7">
        <v>20150.978144669996</v>
      </c>
      <c r="Q60" s="7">
        <v>14079.84721246</v>
      </c>
      <c r="R60" s="7">
        <v>20884.455959490002</v>
      </c>
      <c r="S60" s="7">
        <v>17730.511185690004</v>
      </c>
      <c r="T60" s="75">
        <f t="shared" si="38"/>
        <v>0.014891353897583892</v>
      </c>
      <c r="U60" s="75">
        <f t="shared" si="38"/>
        <v>0.1554124868992366</v>
      </c>
      <c r="V60" s="75">
        <f t="shared" si="38"/>
        <v>24.64154198299857</v>
      </c>
      <c r="W60" s="75">
        <f t="shared" si="38"/>
        <v>-0.07012382723124588</v>
      </c>
      <c r="X60" s="75">
        <f t="shared" si="38"/>
        <v>-0.3510208278085786</v>
      </c>
      <c r="Y60" s="75">
        <f t="shared" si="38"/>
        <v>0.05396827387762615</v>
      </c>
      <c r="Z60" s="75">
        <f t="shared" si="38"/>
        <v>0.15467424845386013</v>
      </c>
      <c r="AA60" s="75">
        <f t="shared" si="38"/>
        <v>0.11492436070538448</v>
      </c>
      <c r="AB60" s="75">
        <f t="shared" si="38"/>
        <v>0.08050696065617213</v>
      </c>
      <c r="AC60" s="75">
        <f t="shared" si="38"/>
        <v>0.030212460863883628</v>
      </c>
      <c r="AD60" s="75">
        <f t="shared" si="38"/>
        <v>0.03019103028073089</v>
      </c>
      <c r="AE60" s="75">
        <f t="shared" si="38"/>
        <v>-0.025162870324760167</v>
      </c>
      <c r="AF60" s="75">
        <f t="shared" si="38"/>
        <v>0.11252812167915494</v>
      </c>
      <c r="AG60" s="75">
        <f t="shared" si="38"/>
        <v>-0.3012821952673217</v>
      </c>
      <c r="AH60" s="75">
        <f t="shared" si="38"/>
        <v>0.48328711557382853</v>
      </c>
      <c r="AI60" s="75">
        <f t="shared" si="38"/>
        <v>-0.1510187662976602</v>
      </c>
    </row>
    <row r="61" spans="2:35" ht="12">
      <c r="B61" s="13" t="s">
        <v>7</v>
      </c>
      <c r="C61" s="64">
        <f>70631-3500</f>
        <v>67131</v>
      </c>
      <c r="D61" s="26">
        <f>138015.1-3500</f>
        <v>134515.1</v>
      </c>
      <c r="E61" s="50">
        <f>212507.5-3500</f>
        <v>209007.5</v>
      </c>
      <c r="F61" s="7">
        <f>180111.40305339-3500</f>
        <v>176611.40305339</v>
      </c>
      <c r="G61" s="7">
        <f>344141.67196802-4500</f>
        <v>339641.67196802</v>
      </c>
      <c r="H61" s="7">
        <f>198752.67122191-4500</f>
        <v>194252.67122191</v>
      </c>
      <c r="I61" s="7">
        <v>255890.29412898</v>
      </c>
      <c r="J61" s="7">
        <v>263848.87009791</v>
      </c>
      <c r="K61" s="7">
        <v>288854.17975233996</v>
      </c>
      <c r="L61" s="7">
        <v>315576.89125821996</v>
      </c>
      <c r="M61" s="7">
        <v>333722.49486090994</v>
      </c>
      <c r="N61" s="7">
        <v>470275.79631274</v>
      </c>
      <c r="O61" s="7">
        <v>360447.7369603</v>
      </c>
      <c r="P61" s="7">
        <v>501374.6862027</v>
      </c>
      <c r="Q61" s="7">
        <v>329542.68146005995</v>
      </c>
      <c r="R61" s="7">
        <v>287646.53760976996</v>
      </c>
      <c r="S61" s="7">
        <v>307290.9883710899</v>
      </c>
      <c r="T61" s="75">
        <f t="shared" si="38"/>
        <v>1.0037702402764745</v>
      </c>
      <c r="U61" s="75">
        <f t="shared" si="38"/>
        <v>0.5537846680409857</v>
      </c>
      <c r="V61" s="75">
        <f t="shared" si="38"/>
        <v>-0.15499968635867134</v>
      </c>
      <c r="W61" s="75">
        <f t="shared" si="38"/>
        <v>0.9231016010067343</v>
      </c>
      <c r="X61" s="75">
        <f t="shared" si="38"/>
        <v>-0.42806584923359914</v>
      </c>
      <c r="Y61" s="75">
        <f t="shared" si="38"/>
        <v>0.3173064366083107</v>
      </c>
      <c r="Z61" s="75">
        <f t="shared" si="38"/>
        <v>0.031101515577290906</v>
      </c>
      <c r="AA61" s="75">
        <f t="shared" si="38"/>
        <v>0.09477133498866563</v>
      </c>
      <c r="AB61" s="75">
        <f t="shared" si="38"/>
        <v>0.09251280881167001</v>
      </c>
      <c r="AC61" s="75">
        <f t="shared" si="38"/>
        <v>0.05749978564762026</v>
      </c>
      <c r="AD61" s="75">
        <f t="shared" si="38"/>
        <v>0.4091821904566044</v>
      </c>
      <c r="AE61" s="75">
        <f t="shared" si="38"/>
        <v>-0.23353968078638432</v>
      </c>
      <c r="AF61" s="75">
        <f t="shared" si="38"/>
        <v>0.3909774838118121</v>
      </c>
      <c r="AG61" s="75">
        <f t="shared" si="38"/>
        <v>-0.3427217397911676</v>
      </c>
      <c r="AH61" s="75">
        <f t="shared" si="38"/>
        <v>-0.12713419598537723</v>
      </c>
      <c r="AI61" s="75">
        <f t="shared" si="38"/>
        <v>0.06829371535133943</v>
      </c>
    </row>
    <row r="62" spans="2:35" ht="12">
      <c r="B62" s="13" t="s">
        <v>8</v>
      </c>
      <c r="C62" s="64">
        <v>30</v>
      </c>
      <c r="D62" s="26">
        <v>84.5</v>
      </c>
      <c r="E62" s="50">
        <v>85</v>
      </c>
      <c r="F62" s="7">
        <v>99.99999998999999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1568.7226663400002</v>
      </c>
      <c r="O62" s="7">
        <v>413.02341776</v>
      </c>
      <c r="P62" s="7">
        <v>156.38724956000001</v>
      </c>
      <c r="Q62" s="7">
        <v>0</v>
      </c>
      <c r="R62" s="7">
        <v>0</v>
      </c>
      <c r="S62" s="7">
        <v>0</v>
      </c>
      <c r="T62" s="75">
        <f t="shared" si="38"/>
        <v>1.8166666666666669</v>
      </c>
      <c r="U62" s="75">
        <f t="shared" si="38"/>
        <v>0.00591715976331364</v>
      </c>
      <c r="V62" s="75">
        <f t="shared" si="38"/>
        <v>0.17647058811764693</v>
      </c>
      <c r="W62" s="75">
        <f t="shared" si="38"/>
        <v>-1</v>
      </c>
      <c r="X62" s="149" t="e">
        <f t="shared" si="38"/>
        <v>#DIV/0!</v>
      </c>
      <c r="Y62" s="149" t="e">
        <f t="shared" si="38"/>
        <v>#DIV/0!</v>
      </c>
      <c r="Z62" s="149" t="e">
        <f t="shared" si="38"/>
        <v>#DIV/0!</v>
      </c>
      <c r="AA62" s="149" t="e">
        <f t="shared" si="38"/>
        <v>#DIV/0!</v>
      </c>
      <c r="AB62" s="149" t="e">
        <f t="shared" si="38"/>
        <v>#DIV/0!</v>
      </c>
      <c r="AC62" s="149" t="e">
        <f t="shared" si="38"/>
        <v>#DIV/0!</v>
      </c>
      <c r="AD62" s="149" t="e">
        <f t="shared" si="38"/>
        <v>#DIV/0!</v>
      </c>
      <c r="AE62" s="75">
        <f t="shared" si="38"/>
        <v>-0.7367135526105272</v>
      </c>
      <c r="AF62" s="75">
        <f t="shared" si="38"/>
        <v>-0.621359848291039</v>
      </c>
      <c r="AG62" s="75">
        <f t="shared" si="38"/>
        <v>-1</v>
      </c>
      <c r="AH62" s="75" t="e">
        <f t="shared" si="38"/>
        <v>#DIV/0!</v>
      </c>
      <c r="AI62" s="75" t="e">
        <f t="shared" si="38"/>
        <v>#DIV/0!</v>
      </c>
    </row>
    <row r="63" spans="2:35" ht="12">
      <c r="B63" s="129" t="s">
        <v>38</v>
      </c>
      <c r="C63" s="64">
        <v>13733.1</v>
      </c>
      <c r="D63" s="26">
        <v>1194.8</v>
      </c>
      <c r="E63" s="50">
        <f>4408</f>
        <v>4408</v>
      </c>
      <c r="F63" s="7">
        <v>22882.49166203</v>
      </c>
      <c r="G63" s="7">
        <v>26160.974778699998</v>
      </c>
      <c r="H63" s="7">
        <v>25385.71734705</v>
      </c>
      <c r="I63" s="7">
        <v>11690.42957788</v>
      </c>
      <c r="J63" s="7">
        <v>40681.88910063</v>
      </c>
      <c r="K63" s="7">
        <v>72820.38315761</v>
      </c>
      <c r="L63" s="7">
        <v>95204.14060864</v>
      </c>
      <c r="M63" s="7">
        <v>124528.83770491</v>
      </c>
      <c r="N63" s="7">
        <v>60411.65686213999</v>
      </c>
      <c r="O63" s="7">
        <v>33144.04575535</v>
      </c>
      <c r="P63" s="7">
        <v>136282.45411483</v>
      </c>
      <c r="Q63" s="7">
        <v>26578.02293113</v>
      </c>
      <c r="R63" s="7">
        <v>35612.47250013</v>
      </c>
      <c r="S63" s="7">
        <v>60010.17912196</v>
      </c>
      <c r="T63" s="75">
        <f t="shared" si="38"/>
        <v>-0.9129985218195454</v>
      </c>
      <c r="U63" s="75">
        <f t="shared" si="38"/>
        <v>2.6893203883495147</v>
      </c>
      <c r="V63" s="75">
        <f t="shared" si="38"/>
        <v>4.191127872511343</v>
      </c>
      <c r="W63" s="75">
        <f t="shared" si="38"/>
        <v>0.14327474320072153</v>
      </c>
      <c r="X63" s="75">
        <f t="shared" si="38"/>
        <v>-0.02963411869045518</v>
      </c>
      <c r="Y63" s="75">
        <f t="shared" si="38"/>
        <v>-0.5394879168447642</v>
      </c>
      <c r="Z63" s="75">
        <f t="shared" si="38"/>
        <v>2.4799310692231593</v>
      </c>
      <c r="AA63" s="75">
        <f t="shared" si="38"/>
        <v>0.7899951247957735</v>
      </c>
      <c r="AB63" s="75">
        <f t="shared" si="38"/>
        <v>0.30738313203575607</v>
      </c>
      <c r="AC63" s="75">
        <f t="shared" si="38"/>
        <v>0.3080191356047881</v>
      </c>
      <c r="AD63" s="75">
        <f t="shared" si="38"/>
        <v>-0.5148781762077103</v>
      </c>
      <c r="AE63" s="75">
        <f t="shared" si="38"/>
        <v>-0.45136340440082534</v>
      </c>
      <c r="AF63" s="75">
        <f t="shared" si="38"/>
        <v>3.1118231347128686</v>
      </c>
      <c r="AG63" s="75">
        <f t="shared" si="38"/>
        <v>-0.8049783950270248</v>
      </c>
      <c r="AH63" s="75">
        <f t="shared" si="38"/>
        <v>0.3399218065395766</v>
      </c>
      <c r="AI63" s="75">
        <f t="shared" si="38"/>
        <v>0.6850888160528852</v>
      </c>
    </row>
    <row r="64" spans="2:35" ht="12">
      <c r="B64" s="23"/>
      <c r="C64" s="64"/>
      <c r="D64" s="26"/>
      <c r="E64" s="50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</row>
    <row r="65" spans="2:35" ht="12.75">
      <c r="B65" s="70" t="s">
        <v>50</v>
      </c>
      <c r="C65" s="64"/>
      <c r="D65" s="26"/>
      <c r="E65" s="50">
        <v>64904.7</v>
      </c>
      <c r="F65" s="28">
        <f>F66-F67</f>
        <v>0</v>
      </c>
      <c r="G65" s="28">
        <f>G66-G67</f>
        <v>0</v>
      </c>
      <c r="H65" s="28">
        <f>H66-H67</f>
        <v>0</v>
      </c>
      <c r="I65" s="28">
        <f>I66-I67</f>
        <v>0</v>
      </c>
      <c r="J65" s="28">
        <f>J66-J67</f>
        <v>0</v>
      </c>
      <c r="K65" s="28">
        <f aca="true" t="shared" si="40" ref="K65:S65">+K66-K67</f>
        <v>1199.5</v>
      </c>
      <c r="L65" s="28">
        <f t="shared" si="40"/>
        <v>3877.1171084099997</v>
      </c>
      <c r="M65" s="28">
        <f t="shared" si="40"/>
        <v>3962.234022989999</v>
      </c>
      <c r="N65" s="28">
        <f t="shared" si="40"/>
        <v>662.9424130000001</v>
      </c>
      <c r="O65" s="28">
        <f t="shared" si="40"/>
        <v>673.14005049</v>
      </c>
      <c r="P65" s="28">
        <f t="shared" si="40"/>
        <v>31906.56071253</v>
      </c>
      <c r="Q65" s="28">
        <f t="shared" si="40"/>
        <v>862.17125576</v>
      </c>
      <c r="R65" s="28">
        <f t="shared" si="40"/>
        <v>4505.1821919700005</v>
      </c>
      <c r="S65" s="28">
        <f t="shared" si="40"/>
        <v>5377.28888206</v>
      </c>
      <c r="T65" s="149" t="e">
        <f aca="true" t="shared" si="41" ref="T65:AI67">+D65/C65-1</f>
        <v>#DIV/0!</v>
      </c>
      <c r="U65" s="149" t="e">
        <f t="shared" si="41"/>
        <v>#DIV/0!</v>
      </c>
      <c r="V65" s="75">
        <f t="shared" si="41"/>
        <v>-1</v>
      </c>
      <c r="W65" s="149" t="e">
        <f t="shared" si="41"/>
        <v>#DIV/0!</v>
      </c>
      <c r="X65" s="149" t="e">
        <f t="shared" si="41"/>
        <v>#DIV/0!</v>
      </c>
      <c r="Y65" s="149" t="e">
        <f t="shared" si="41"/>
        <v>#DIV/0!</v>
      </c>
      <c r="Z65" s="149" t="e">
        <f t="shared" si="41"/>
        <v>#DIV/0!</v>
      </c>
      <c r="AA65" s="149" t="e">
        <f t="shared" si="41"/>
        <v>#DIV/0!</v>
      </c>
      <c r="AB65" s="75">
        <f t="shared" si="41"/>
        <v>2.2322777060525216</v>
      </c>
      <c r="AC65" s="75">
        <f t="shared" si="41"/>
        <v>0.021953660980569722</v>
      </c>
      <c r="AD65" s="75">
        <f t="shared" si="41"/>
        <v>-0.832684690214303</v>
      </c>
      <c r="AE65" s="75">
        <f t="shared" si="41"/>
        <v>0.015382388107969769</v>
      </c>
      <c r="AF65" s="75">
        <f t="shared" si="41"/>
        <v>46.39958748451262</v>
      </c>
      <c r="AG65" s="75">
        <f t="shared" si="41"/>
        <v>-0.9729782453355614</v>
      </c>
      <c r="AH65" s="75">
        <f t="shared" si="41"/>
        <v>4.225391315091691</v>
      </c>
      <c r="AI65" s="75">
        <f t="shared" si="41"/>
        <v>0.19357856196014334</v>
      </c>
    </row>
    <row r="66" spans="2:35" ht="12">
      <c r="B66" s="71" t="s">
        <v>49</v>
      </c>
      <c r="C66" s="64"/>
      <c r="D66" s="26"/>
      <c r="E66" s="50">
        <v>64904.7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50">
        <v>1199.5</v>
      </c>
      <c r="L66" s="50">
        <v>3877.1171084099997</v>
      </c>
      <c r="M66" s="50">
        <v>3962.234022989999</v>
      </c>
      <c r="N66" s="50">
        <v>662.9424130000001</v>
      </c>
      <c r="O66" s="50">
        <v>673.14005049</v>
      </c>
      <c r="P66" s="50">
        <v>31906.56071253</v>
      </c>
      <c r="Q66" s="50">
        <v>862.17125576</v>
      </c>
      <c r="R66" s="50">
        <v>4505.1821919700005</v>
      </c>
      <c r="S66" s="50">
        <v>5377.28888206</v>
      </c>
      <c r="T66" s="149" t="e">
        <f t="shared" si="41"/>
        <v>#DIV/0!</v>
      </c>
      <c r="U66" s="149" t="e">
        <f t="shared" si="41"/>
        <v>#DIV/0!</v>
      </c>
      <c r="V66" s="75">
        <f t="shared" si="41"/>
        <v>-1</v>
      </c>
      <c r="W66" s="149" t="e">
        <f t="shared" si="41"/>
        <v>#DIV/0!</v>
      </c>
      <c r="X66" s="149" t="e">
        <f t="shared" si="41"/>
        <v>#DIV/0!</v>
      </c>
      <c r="Y66" s="149" t="e">
        <f t="shared" si="41"/>
        <v>#DIV/0!</v>
      </c>
      <c r="Z66" s="149" t="e">
        <f t="shared" si="41"/>
        <v>#DIV/0!</v>
      </c>
      <c r="AA66" s="149" t="e">
        <f t="shared" si="41"/>
        <v>#DIV/0!</v>
      </c>
      <c r="AB66" s="75">
        <f t="shared" si="41"/>
        <v>2.2322777060525216</v>
      </c>
      <c r="AC66" s="75">
        <f t="shared" si="41"/>
        <v>0.021953660980569722</v>
      </c>
      <c r="AD66" s="75">
        <f t="shared" si="41"/>
        <v>-0.832684690214303</v>
      </c>
      <c r="AE66" s="75">
        <f t="shared" si="41"/>
        <v>0.015382388107969769</v>
      </c>
      <c r="AF66" s="75">
        <f t="shared" si="41"/>
        <v>46.39958748451262</v>
      </c>
      <c r="AG66" s="75">
        <f t="shared" si="41"/>
        <v>-0.9729782453355614</v>
      </c>
      <c r="AH66" s="75">
        <f t="shared" si="41"/>
        <v>4.225391315091691</v>
      </c>
      <c r="AI66" s="75">
        <f t="shared" si="41"/>
        <v>0.19357856196014334</v>
      </c>
    </row>
    <row r="67" spans="2:35" ht="12">
      <c r="B67" s="72" t="s">
        <v>51</v>
      </c>
      <c r="C67" s="64"/>
      <c r="D67" s="26"/>
      <c r="E67" s="50"/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/>
      <c r="S67" s="7"/>
      <c r="T67" s="149" t="e">
        <f t="shared" si="41"/>
        <v>#DIV/0!</v>
      </c>
      <c r="U67" s="149" t="e">
        <f t="shared" si="41"/>
        <v>#DIV/0!</v>
      </c>
      <c r="V67" s="149" t="e">
        <f t="shared" si="41"/>
        <v>#DIV/0!</v>
      </c>
      <c r="W67" s="149" t="e">
        <f t="shared" si="41"/>
        <v>#DIV/0!</v>
      </c>
      <c r="X67" s="149" t="e">
        <f t="shared" si="41"/>
        <v>#DIV/0!</v>
      </c>
      <c r="Y67" s="149" t="e">
        <f t="shared" si="41"/>
        <v>#DIV/0!</v>
      </c>
      <c r="Z67" s="149" t="e">
        <f t="shared" si="41"/>
        <v>#DIV/0!</v>
      </c>
      <c r="AA67" s="149" t="e">
        <f t="shared" si="41"/>
        <v>#DIV/0!</v>
      </c>
      <c r="AB67" s="149" t="e">
        <f t="shared" si="41"/>
        <v>#DIV/0!</v>
      </c>
      <c r="AC67" s="149" t="e">
        <f t="shared" si="41"/>
        <v>#DIV/0!</v>
      </c>
      <c r="AD67" s="149" t="e">
        <f t="shared" si="41"/>
        <v>#DIV/0!</v>
      </c>
      <c r="AE67" s="149" t="e">
        <f t="shared" si="41"/>
        <v>#DIV/0!</v>
      </c>
      <c r="AF67" s="149" t="e">
        <f t="shared" si="41"/>
        <v>#DIV/0!</v>
      </c>
      <c r="AG67" s="149" t="e">
        <f t="shared" si="41"/>
        <v>#DIV/0!</v>
      </c>
      <c r="AH67" s="149" t="e">
        <f t="shared" si="41"/>
        <v>#DIV/0!</v>
      </c>
      <c r="AI67" s="149" t="e">
        <f t="shared" si="41"/>
        <v>#DIV/0!</v>
      </c>
    </row>
    <row r="68" spans="2:35" ht="12" customHeight="1">
      <c r="B68" s="23"/>
      <c r="C68" s="64"/>
      <c r="D68" s="26"/>
      <c r="E68" s="50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</row>
    <row r="69" spans="1:35" ht="12.75">
      <c r="A69" s="5" t="s">
        <v>17</v>
      </c>
      <c r="B69" s="4" t="s">
        <v>21</v>
      </c>
      <c r="C69" s="31">
        <f aca="true" t="shared" si="42" ref="C69:S69">+C9-C38</f>
        <v>315644.3754028501</v>
      </c>
      <c r="D69" s="31">
        <f t="shared" si="42"/>
        <v>497210.6506484307</v>
      </c>
      <c r="E69" s="31">
        <f t="shared" si="42"/>
        <v>369684.54495154973</v>
      </c>
      <c r="F69" s="31">
        <f t="shared" si="42"/>
        <v>-212933.37021532934</v>
      </c>
      <c r="G69" s="31">
        <f t="shared" si="42"/>
        <v>-579849.0904709795</v>
      </c>
      <c r="H69" s="31">
        <f t="shared" si="42"/>
        <v>-395987.39922993956</v>
      </c>
      <c r="I69" s="31">
        <f t="shared" si="42"/>
        <v>-529425.0345961209</v>
      </c>
      <c r="J69" s="31">
        <f t="shared" si="42"/>
        <v>-703582.8709591501</v>
      </c>
      <c r="K69" s="31">
        <f t="shared" si="42"/>
        <v>-830918.3153762734</v>
      </c>
      <c r="L69" s="31">
        <f t="shared" si="42"/>
        <v>-866203.1362086395</v>
      </c>
      <c r="M69" s="31">
        <f t="shared" si="42"/>
        <v>-758363.6775953593</v>
      </c>
      <c r="N69" s="31">
        <f t="shared" si="42"/>
        <v>-996529.8757173009</v>
      </c>
      <c r="O69" s="31">
        <f t="shared" si="42"/>
        <v>-809801.1389953895</v>
      </c>
      <c r="P69" s="31">
        <f t="shared" si="42"/>
        <v>-1000173.0712731415</v>
      </c>
      <c r="Q69" s="31">
        <f t="shared" si="42"/>
        <v>-1224621.9691118496</v>
      </c>
      <c r="R69" s="31">
        <f t="shared" si="42"/>
        <v>-111803.6220398182</v>
      </c>
      <c r="S69" s="31">
        <f t="shared" si="42"/>
        <v>927391.8882590597</v>
      </c>
      <c r="T69" s="81">
        <f aca="true" t="shared" si="43" ref="T69:AI69">+D69/C69-1</f>
        <v>0.5752241744014968</v>
      </c>
      <c r="U69" s="81">
        <f t="shared" si="43"/>
        <v>-0.25648305306929664</v>
      </c>
      <c r="V69" s="81">
        <f t="shared" si="43"/>
        <v>-1.5759866705902894</v>
      </c>
      <c r="W69" s="81">
        <f t="shared" si="43"/>
        <v>1.7231480433743465</v>
      </c>
      <c r="X69" s="81">
        <f t="shared" si="43"/>
        <v>-0.3170854180209185</v>
      </c>
      <c r="Y69" s="81">
        <f t="shared" si="43"/>
        <v>0.33697444824171696</v>
      </c>
      <c r="Z69" s="81">
        <f t="shared" si="43"/>
        <v>0.32895655660841183</v>
      </c>
      <c r="AA69" s="81">
        <f t="shared" si="43"/>
        <v>0.18098144464991717</v>
      </c>
      <c r="AB69" s="81">
        <f t="shared" si="43"/>
        <v>0.042464849046428554</v>
      </c>
      <c r="AC69" s="81">
        <f t="shared" si="43"/>
        <v>-0.12449673073834877</v>
      </c>
      <c r="AD69" s="81">
        <f t="shared" si="43"/>
        <v>0.3140527495688159</v>
      </c>
      <c r="AE69" s="81">
        <f t="shared" si="43"/>
        <v>-0.18737896501848916</v>
      </c>
      <c r="AF69" s="81">
        <f t="shared" si="43"/>
        <v>0.23508479194524323</v>
      </c>
      <c r="AG69" s="81">
        <f t="shared" si="43"/>
        <v>0.2244100589041078</v>
      </c>
      <c r="AH69" s="81">
        <f t="shared" si="43"/>
        <v>-0.9087035633364449</v>
      </c>
      <c r="AI69" s="81">
        <f t="shared" si="43"/>
        <v>-9.294828658849482</v>
      </c>
    </row>
    <row r="70" spans="1:35" ht="15">
      <c r="A70" s="2"/>
      <c r="B70" s="62" t="s">
        <v>45</v>
      </c>
      <c r="C70" s="63">
        <f aca="true" t="shared" si="44" ref="C70:O70">+C69/C$78</f>
        <v>0.027179512439410098</v>
      </c>
      <c r="D70" s="63">
        <f t="shared" si="44"/>
        <v>0.035798744106477605</v>
      </c>
      <c r="E70" s="63">
        <f t="shared" si="44"/>
        <v>0.022807398481012483</v>
      </c>
      <c r="F70" s="63">
        <f t="shared" si="44"/>
        <v>-0.012080539312360883</v>
      </c>
      <c r="G70" s="63">
        <f t="shared" si="44"/>
        <v>-0.0292823341116169</v>
      </c>
      <c r="H70" s="63">
        <f t="shared" si="44"/>
        <v>-0.018312805454016482</v>
      </c>
      <c r="I70" s="63">
        <f t="shared" si="44"/>
        <v>-0.022288888281734566</v>
      </c>
      <c r="J70" s="63">
        <f t="shared" si="44"/>
        <v>-0.027631627280172353</v>
      </c>
      <c r="K70" s="63">
        <f t="shared" si="44"/>
        <v>-0.029674247137349063</v>
      </c>
      <c r="L70" s="63">
        <f t="shared" si="44"/>
        <v>-0.0284917404844786</v>
      </c>
      <c r="M70" s="63">
        <f t="shared" si="44"/>
        <v>-0.023657251671307326</v>
      </c>
      <c r="N70" s="63">
        <f t="shared" si="44"/>
        <v>-0.0290164251108535</v>
      </c>
      <c r="O70" s="63">
        <f t="shared" si="44"/>
        <v>-0.022485282912827233</v>
      </c>
      <c r="P70" s="63">
        <f>+P69/P$78</f>
        <v>-0.026437119660409614</v>
      </c>
      <c r="Q70" s="63">
        <f>+Q69/Q$78</f>
        <v>-0.03355565724248807</v>
      </c>
      <c r="R70" s="63">
        <f>+R69/R$78</f>
        <v>-0.002787221889772181</v>
      </c>
      <c r="S70" s="63">
        <f>+S69/S$78</f>
        <v>0.020957208510008454</v>
      </c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</row>
    <row r="71" spans="1:35" ht="12.75">
      <c r="A71" s="5" t="s">
        <v>18</v>
      </c>
      <c r="B71" s="4" t="s">
        <v>20</v>
      </c>
      <c r="C71" s="31">
        <f aca="true" t="shared" si="45" ref="C71:S71">+C9-C36</f>
        <v>-121057.72459715</v>
      </c>
      <c r="D71" s="31">
        <f t="shared" si="45"/>
        <v>77568.35064843064</v>
      </c>
      <c r="E71" s="31">
        <f t="shared" si="45"/>
        <v>29598.74495154945</v>
      </c>
      <c r="F71" s="31">
        <f t="shared" si="45"/>
        <v>-573040.0702153295</v>
      </c>
      <c r="G71" s="31">
        <f t="shared" si="45"/>
        <v>-981397.7096651196</v>
      </c>
      <c r="H71" s="31">
        <f t="shared" si="45"/>
        <v>-845365.3964820895</v>
      </c>
      <c r="I71" s="31">
        <f t="shared" si="45"/>
        <v>-1001190.8328518411</v>
      </c>
      <c r="J71" s="31">
        <f t="shared" si="45"/>
        <v>-1334983.6604256998</v>
      </c>
      <c r="K71" s="31">
        <f t="shared" si="45"/>
        <v>-1526997.9009274133</v>
      </c>
      <c r="L71" s="31">
        <f t="shared" si="45"/>
        <v>-1666163.3017527098</v>
      </c>
      <c r="M71" s="31">
        <f t="shared" si="45"/>
        <v>-1632952.6995190391</v>
      </c>
      <c r="N71" s="31">
        <f t="shared" si="45"/>
        <v>-2018877.4029588308</v>
      </c>
      <c r="O71" s="31">
        <f t="shared" si="45"/>
        <v>-2038511.53249102</v>
      </c>
      <c r="P71" s="31">
        <f t="shared" si="45"/>
        <v>-2517426.9313069014</v>
      </c>
      <c r="Q71" s="31">
        <f t="shared" si="45"/>
        <v>-2905930.39289066</v>
      </c>
      <c r="R71" s="31">
        <f t="shared" si="45"/>
        <v>-2013023.4762442987</v>
      </c>
      <c r="S71" s="31">
        <f t="shared" si="45"/>
        <v>-1116751.4767906107</v>
      </c>
      <c r="T71" s="81">
        <f aca="true" t="shared" si="46" ref="T71:AI71">+D71/C71-1</f>
        <v>-1.6407550687621035</v>
      </c>
      <c r="U71" s="81">
        <f t="shared" si="46"/>
        <v>-0.6184172448670173</v>
      </c>
      <c r="V71" s="81">
        <f t="shared" si="46"/>
        <v>-20.360282713113204</v>
      </c>
      <c r="W71" s="81">
        <f t="shared" si="46"/>
        <v>0.7126162037784598</v>
      </c>
      <c r="X71" s="81">
        <f t="shared" si="46"/>
        <v>-0.13861079136759769</v>
      </c>
      <c r="Y71" s="81">
        <f t="shared" si="46"/>
        <v>0.18432909250627572</v>
      </c>
      <c r="Z71" s="81">
        <f t="shared" si="46"/>
        <v>0.33339580889196396</v>
      </c>
      <c r="AA71" s="81">
        <f t="shared" si="46"/>
        <v>0.1438326521842852</v>
      </c>
      <c r="AB71" s="81">
        <f t="shared" si="46"/>
        <v>0.09113660257212874</v>
      </c>
      <c r="AC71" s="81">
        <f t="shared" si="46"/>
        <v>-0.019932381297040336</v>
      </c>
      <c r="AD71" s="81">
        <f t="shared" si="46"/>
        <v>0.23633550656639346</v>
      </c>
      <c r="AE71" s="81">
        <f t="shared" si="46"/>
        <v>0.009725270837849687</v>
      </c>
      <c r="AF71" s="81">
        <f t="shared" si="46"/>
        <v>0.23493386776706449</v>
      </c>
      <c r="AG71" s="81">
        <f t="shared" si="46"/>
        <v>0.15432561587083304</v>
      </c>
      <c r="AH71" s="81">
        <f t="shared" si="46"/>
        <v>-0.3072705797877514</v>
      </c>
      <c r="AI71" s="81">
        <f t="shared" si="46"/>
        <v>-0.44523673470806424</v>
      </c>
    </row>
    <row r="72" spans="2:34" ht="15">
      <c r="B72" s="62" t="s">
        <v>45</v>
      </c>
      <c r="C72" s="63">
        <f aca="true" t="shared" si="47" ref="C72:N72">+C71/C$78</f>
        <v>-0.010424041066391866</v>
      </c>
      <c r="D72" s="63">
        <f t="shared" si="47"/>
        <v>0.005584855296247784</v>
      </c>
      <c r="E72" s="63">
        <f t="shared" si="47"/>
        <v>0.0018260713894228888</v>
      </c>
      <c r="F72" s="63">
        <f t="shared" si="47"/>
        <v>-0.03251079475609577</v>
      </c>
      <c r="G72" s="63">
        <f t="shared" si="47"/>
        <v>-0.049560508247840224</v>
      </c>
      <c r="H72" s="63">
        <f t="shared" si="47"/>
        <v>-0.03909470875446871</v>
      </c>
      <c r="I72" s="63">
        <f t="shared" si="47"/>
        <v>-0.042150312440655736</v>
      </c>
      <c r="J72" s="63">
        <f t="shared" si="47"/>
        <v>-0.05242846642886052</v>
      </c>
      <c r="K72" s="63">
        <f t="shared" si="47"/>
        <v>-0.054533053673048455</v>
      </c>
      <c r="L72" s="63">
        <f t="shared" si="47"/>
        <v>-0.054804572292457984</v>
      </c>
      <c r="M72" s="63">
        <f t="shared" si="47"/>
        <v>-0.050940167786457546</v>
      </c>
      <c r="N72" s="63">
        <f t="shared" si="47"/>
        <v>-0.058784594820885896</v>
      </c>
      <c r="O72" s="63">
        <f>+O71/O$78</f>
        <v>-0.05660217838911011</v>
      </c>
      <c r="P72" s="63">
        <f>+P71/P$78</f>
        <v>-0.06654200051055258</v>
      </c>
      <c r="Q72" s="63">
        <f>+Q71/Q$78</f>
        <v>-0.07962490196471535</v>
      </c>
      <c r="R72" s="63">
        <f>+R71/R$78</f>
        <v>-0.05018391171276335</v>
      </c>
      <c r="S72" s="63">
        <f>+S71/S$78</f>
        <v>-0.025236357843172085</v>
      </c>
      <c r="T72" s="63"/>
      <c r="U72" s="63"/>
      <c r="V72" s="63"/>
      <c r="W72" s="63"/>
      <c r="X72" s="63"/>
      <c r="Y72" s="63"/>
      <c r="Z72" s="63"/>
      <c r="AA72" s="24"/>
      <c r="AB72" s="13"/>
      <c r="AC72" s="13"/>
      <c r="AD72" s="13"/>
      <c r="AE72" s="13"/>
      <c r="AF72" s="13"/>
      <c r="AG72" s="63"/>
      <c r="AH72" s="68"/>
    </row>
    <row r="73" spans="2:33" ht="12.75">
      <c r="B73" s="3"/>
      <c r="C73" s="43"/>
      <c r="D73" s="43"/>
      <c r="E73" s="26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43"/>
      <c r="U73" s="43"/>
      <c r="V73" s="43"/>
      <c r="W73" s="43"/>
      <c r="X73" s="85"/>
      <c r="Y73" s="43"/>
      <c r="Z73" s="43"/>
      <c r="AA73" s="43"/>
      <c r="AB73" s="26"/>
      <c r="AC73" s="26"/>
      <c r="AD73" s="26"/>
      <c r="AE73" s="13"/>
      <c r="AF73" s="13"/>
      <c r="AG73" s="3"/>
    </row>
    <row r="74" spans="2:34" ht="12.75">
      <c r="B74" s="44" t="s">
        <v>39</v>
      </c>
      <c r="C74" s="26"/>
      <c r="D74" s="26"/>
      <c r="E74" s="13"/>
      <c r="F74" s="56">
        <f aca="true" t="shared" si="48" ref="F74:O74">F75+F76</f>
        <v>511194.1240001582</v>
      </c>
      <c r="G74" s="56">
        <f t="shared" si="48"/>
        <v>976172.2559976972</v>
      </c>
      <c r="H74" s="56">
        <f t="shared" si="48"/>
        <v>820899.904011962</v>
      </c>
      <c r="I74" s="56">
        <f t="shared" si="48"/>
        <v>1001190.8598919711</v>
      </c>
      <c r="J74" s="56">
        <f t="shared" si="48"/>
        <v>1334983.731426685</v>
      </c>
      <c r="K74" s="56">
        <f t="shared" si="48"/>
        <v>1526997.896439658</v>
      </c>
      <c r="L74" s="56">
        <f t="shared" si="48"/>
        <v>1666163.270968995</v>
      </c>
      <c r="M74" s="56">
        <f t="shared" si="48"/>
        <v>1632952.6928599917</v>
      </c>
      <c r="N74" s="56">
        <f t="shared" si="48"/>
        <v>2018877.3674416707</v>
      </c>
      <c r="O74" s="56">
        <f t="shared" si="48"/>
        <v>2038511.5411695244</v>
      </c>
      <c r="P74" s="56">
        <f>P75+P76</f>
        <v>2517426.8721859343</v>
      </c>
      <c r="Q74" s="56">
        <f>Q75+Q76</f>
        <v>2905930.4457885935</v>
      </c>
      <c r="R74" s="56">
        <f>R75+R76</f>
        <v>2013023.4813070763</v>
      </c>
      <c r="S74" s="56">
        <f>S75+S76</f>
        <v>1116751.481838133</v>
      </c>
      <c r="T74" s="26"/>
      <c r="U74" s="26"/>
      <c r="V74" s="26"/>
      <c r="W74" s="26"/>
      <c r="X74" s="7"/>
      <c r="Y74" s="26"/>
      <c r="Z74" s="26"/>
      <c r="AA74" s="26"/>
      <c r="AB74" s="13"/>
      <c r="AC74" s="13"/>
      <c r="AD74" s="13"/>
      <c r="AE74" s="13"/>
      <c r="AF74" s="13"/>
      <c r="AG74" s="56"/>
      <c r="AH74" s="68"/>
    </row>
    <row r="75" spans="2:34" ht="12.75">
      <c r="B75" s="45" t="s">
        <v>41</v>
      </c>
      <c r="C75" s="24"/>
      <c r="D75" s="24"/>
      <c r="E75" s="13"/>
      <c r="F75" s="55">
        <v>697503.9621242984</v>
      </c>
      <c r="G75" s="55">
        <v>729450.2559976972</v>
      </c>
      <c r="H75" s="55">
        <v>932701.312341818</v>
      </c>
      <c r="I75" s="55">
        <f>647179.001067203-1907.3</f>
        <v>645271.701067203</v>
      </c>
      <c r="J75" s="55">
        <f>938929.182117816-5301.3-0.2</f>
        <v>933627.682117816</v>
      </c>
      <c r="K75" s="69">
        <f>1021847.21333357+16771.9-1142.8</f>
        <v>1037476.31333357</v>
      </c>
      <c r="L75" s="90">
        <v>1063074.5714398602</v>
      </c>
      <c r="M75" s="90">
        <v>1472490.61874377</v>
      </c>
      <c r="N75" s="90">
        <v>1956885.58559019</v>
      </c>
      <c r="O75" s="90">
        <v>1897756.94777404</v>
      </c>
      <c r="P75" s="90">
        <v>1398837.12127938</v>
      </c>
      <c r="Q75" s="90">
        <f>2182387.42408183-263.4</f>
        <v>2182124.02408183</v>
      </c>
      <c r="R75" s="90">
        <v>1367792.28869205</v>
      </c>
      <c r="S75" s="90">
        <v>65623.4274119075</v>
      </c>
      <c r="T75" s="24"/>
      <c r="U75" s="24"/>
      <c r="V75" s="24"/>
      <c r="W75" s="24"/>
      <c r="X75" s="86"/>
      <c r="Y75" s="24"/>
      <c r="Z75" s="24"/>
      <c r="AA75" s="24"/>
      <c r="AB75" s="13"/>
      <c r="AC75" s="13"/>
      <c r="AD75" s="13"/>
      <c r="AE75" s="13"/>
      <c r="AF75" s="13"/>
      <c r="AG75" s="69"/>
      <c r="AH75" s="68"/>
    </row>
    <row r="76" spans="2:33" ht="12.75">
      <c r="B76" s="45" t="s">
        <v>42</v>
      </c>
      <c r="C76" s="8"/>
      <c r="D76" s="8"/>
      <c r="F76" s="55">
        <v>-186309.83812414022</v>
      </c>
      <c r="G76" s="55">
        <v>246722</v>
      </c>
      <c r="H76" s="55">
        <v>-111801.408329856</v>
      </c>
      <c r="I76" s="55">
        <v>355919.15882476815</v>
      </c>
      <c r="J76" s="55">
        <v>401356.0493088689</v>
      </c>
      <c r="K76" s="69">
        <v>489521.58310608804</v>
      </c>
      <c r="L76" s="69">
        <v>603088.6995291348</v>
      </c>
      <c r="M76" s="69">
        <v>160462.0741162217</v>
      </c>
      <c r="N76" s="69">
        <v>61991.78185148078</v>
      </c>
      <c r="O76" s="69">
        <v>140754.59339548435</v>
      </c>
      <c r="P76" s="69">
        <v>1118589.7509065543</v>
      </c>
      <c r="Q76" s="69">
        <v>723806.4217067636</v>
      </c>
      <c r="R76" s="69">
        <v>645231.1926150265</v>
      </c>
      <c r="S76" s="69">
        <v>1051128.0544262254</v>
      </c>
      <c r="AE76" s="25"/>
      <c r="AF76" s="25"/>
      <c r="AG76" s="69"/>
    </row>
    <row r="77" spans="2:35" ht="12.75" thickBot="1">
      <c r="B77" s="37"/>
      <c r="C77" s="11"/>
      <c r="D77" s="11"/>
      <c r="E77" s="10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11"/>
      <c r="U77" s="11"/>
      <c r="V77" s="11"/>
      <c r="W77" s="11"/>
      <c r="X77" s="79"/>
      <c r="Y77" s="11"/>
      <c r="Z77" s="11"/>
      <c r="AA77" s="11"/>
      <c r="AB77" s="10"/>
      <c r="AC77" s="10"/>
      <c r="AD77" s="10"/>
      <c r="AE77" s="10"/>
      <c r="AF77" s="10"/>
      <c r="AG77" s="10"/>
      <c r="AH77" s="10"/>
      <c r="AI77" s="10"/>
    </row>
    <row r="78" spans="2:27" ht="15" thickTop="1">
      <c r="B78" s="60" t="s">
        <v>84</v>
      </c>
      <c r="C78" s="163">
        <v>11613320</v>
      </c>
      <c r="D78" s="163">
        <v>13889052.9</v>
      </c>
      <c r="E78" s="163">
        <v>16208974.7</v>
      </c>
      <c r="F78" s="131">
        <v>17626147.7</v>
      </c>
      <c r="G78" s="131">
        <v>19802010.6</v>
      </c>
      <c r="H78" s="131">
        <v>21623524.6</v>
      </c>
      <c r="I78" s="131">
        <v>23752868.6</v>
      </c>
      <c r="J78" s="131">
        <v>25462954.6</v>
      </c>
      <c r="K78" s="131">
        <v>28001327.6</v>
      </c>
      <c r="L78" s="131">
        <v>30401903.2</v>
      </c>
      <c r="M78" s="131">
        <v>32056288.2</v>
      </c>
      <c r="N78" s="131">
        <v>34343647.5</v>
      </c>
      <c r="O78" s="131">
        <v>36014718.7</v>
      </c>
      <c r="P78" s="131">
        <v>37832149.8</v>
      </c>
      <c r="Q78" s="131">
        <v>36495246.1</v>
      </c>
      <c r="R78" s="131">
        <v>40112924.79084135</v>
      </c>
      <c r="S78" s="131">
        <v>44251689.714122415</v>
      </c>
      <c r="T78" s="131"/>
      <c r="U78" s="61"/>
      <c r="V78" s="61"/>
      <c r="W78" s="61"/>
      <c r="X78" s="88"/>
      <c r="Y78" s="61"/>
      <c r="Z78" s="61"/>
      <c r="AA78" s="61"/>
    </row>
    <row r="79" spans="2:27" ht="12"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1"/>
      <c r="U79" s="61"/>
      <c r="V79" s="61"/>
      <c r="W79" s="61"/>
      <c r="X79" s="88"/>
      <c r="Y79" s="61"/>
      <c r="Z79" s="61"/>
      <c r="AA79" s="61"/>
    </row>
    <row r="80" spans="2:27" ht="14.25">
      <c r="B80" s="60" t="s">
        <v>63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1"/>
      <c r="U80" s="61"/>
      <c r="V80" s="61"/>
      <c r="W80" s="61"/>
      <c r="X80" s="88"/>
      <c r="Y80" s="61"/>
      <c r="Z80" s="61"/>
      <c r="AA80" s="61"/>
    </row>
    <row r="81" spans="2:27" ht="14.25">
      <c r="B81" s="60" t="s">
        <v>64</v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1"/>
      <c r="U81" s="61"/>
      <c r="V81" s="61"/>
      <c r="W81" s="61"/>
      <c r="X81" s="88"/>
      <c r="Y81" s="61"/>
      <c r="Z81" s="61"/>
      <c r="AA81" s="61"/>
    </row>
    <row r="82" spans="2:27" ht="14.25">
      <c r="B82" s="60" t="s">
        <v>65</v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1"/>
      <c r="U82" s="61"/>
      <c r="V82" s="61"/>
      <c r="W82" s="61"/>
      <c r="X82" s="88"/>
      <c r="Y82" s="61"/>
      <c r="Z82" s="61"/>
      <c r="AA82" s="61"/>
    </row>
    <row r="83" spans="2:27" ht="14.25">
      <c r="B83" s="60" t="s">
        <v>139</v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1"/>
      <c r="U83" s="61"/>
      <c r="V83" s="61"/>
      <c r="W83" s="61"/>
      <c r="X83" s="88"/>
      <c r="Y83" s="61"/>
      <c r="Z83" s="61"/>
      <c r="AA83" s="61"/>
    </row>
    <row r="84" spans="2:27" ht="14.25">
      <c r="B84" s="60" t="s">
        <v>61</v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1"/>
      <c r="U84" s="61"/>
      <c r="V84" s="61"/>
      <c r="W84" s="61"/>
      <c r="X84" s="88"/>
      <c r="Y84" s="61"/>
      <c r="Z84" s="61"/>
      <c r="AA84" s="61"/>
    </row>
    <row r="85" spans="2:27" ht="14.25">
      <c r="B85" s="60" t="s">
        <v>62</v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1"/>
      <c r="U85" s="61"/>
      <c r="V85" s="61"/>
      <c r="W85" s="61"/>
      <c r="X85" s="88"/>
      <c r="Y85" s="61"/>
      <c r="Z85" s="61"/>
      <c r="AA85" s="61"/>
    </row>
    <row r="86" spans="2:27" ht="14.25">
      <c r="B86" s="60" t="s">
        <v>66</v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1"/>
      <c r="U86" s="61"/>
      <c r="V86" s="61"/>
      <c r="W86" s="61"/>
      <c r="X86" s="88"/>
      <c r="Y86" s="61"/>
      <c r="Z86" s="61"/>
      <c r="AA86" s="61"/>
    </row>
    <row r="87" spans="2:27" ht="14.25">
      <c r="B87" s="60" t="s">
        <v>142</v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130"/>
      <c r="T87" s="61"/>
      <c r="U87" s="61"/>
      <c r="V87" s="61"/>
      <c r="W87" s="61"/>
      <c r="X87" s="88"/>
      <c r="Y87" s="61"/>
      <c r="Z87" s="61"/>
      <c r="AA87" s="61"/>
    </row>
    <row r="88" spans="2:19" ht="12"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130"/>
      <c r="R88" s="130"/>
      <c r="S88" s="130"/>
    </row>
    <row r="89" spans="2:19" ht="14.25"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60"/>
      <c r="R89" s="60"/>
      <c r="S89" s="60"/>
    </row>
    <row r="90" spans="1:31" ht="12">
      <c r="A90" s="233" t="s">
        <v>44</v>
      </c>
      <c r="B90" s="233"/>
      <c r="C90" s="233"/>
      <c r="D90" s="233"/>
      <c r="E90" s="233"/>
      <c r="F90" s="233"/>
      <c r="G90" s="233"/>
      <c r="H90" s="233"/>
      <c r="I90" s="233"/>
      <c r="J90" s="233"/>
      <c r="K90" s="233"/>
      <c r="L90" s="233"/>
      <c r="M90" s="233"/>
      <c r="N90" s="233"/>
      <c r="O90" s="233"/>
      <c r="P90" s="233"/>
      <c r="Q90" s="233"/>
      <c r="R90" s="233"/>
      <c r="S90" s="233"/>
      <c r="T90" s="233"/>
      <c r="U90" s="233"/>
      <c r="V90" s="233"/>
      <c r="W90" s="233"/>
      <c r="X90" s="233"/>
      <c r="Y90" s="233"/>
      <c r="Z90" s="233"/>
      <c r="AA90" s="233"/>
      <c r="AB90" s="233"/>
      <c r="AC90" s="233"/>
      <c r="AD90" s="233"/>
      <c r="AE90" s="233"/>
    </row>
    <row r="91" ht="12">
      <c r="P91" s="41"/>
    </row>
    <row r="92" spans="16:19" ht="12">
      <c r="P92" s="41"/>
      <c r="Q92" s="41"/>
      <c r="R92" s="41"/>
      <c r="S92" s="41"/>
    </row>
    <row r="93" spans="2:20" ht="12"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160"/>
      <c r="M93" s="60"/>
      <c r="N93" s="60"/>
      <c r="O93" s="60"/>
      <c r="P93" s="130"/>
      <c r="Q93" s="139"/>
      <c r="R93" s="139"/>
      <c r="S93" s="139"/>
      <c r="T93" s="139"/>
    </row>
    <row r="94" spans="2:19" ht="12"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2"/>
      <c r="M94" s="41"/>
      <c r="N94" s="41"/>
      <c r="O94" s="41"/>
      <c r="P94" s="41"/>
      <c r="Q94" s="130"/>
      <c r="R94" s="130"/>
      <c r="S94" s="130"/>
    </row>
    <row r="95" spans="12:19" ht="12">
      <c r="L95" s="2"/>
      <c r="P95" s="41"/>
      <c r="Q95" s="130"/>
      <c r="R95" s="130"/>
      <c r="S95" s="130"/>
    </row>
    <row r="96" spans="12:19" ht="12">
      <c r="L96" s="161"/>
      <c r="Q96" s="130"/>
      <c r="R96" s="130"/>
      <c r="S96" s="130"/>
    </row>
    <row r="97" spans="12:19" ht="12">
      <c r="L97" s="161"/>
      <c r="Q97" s="130"/>
      <c r="R97" s="130"/>
      <c r="S97" s="130"/>
    </row>
    <row r="98" ht="12">
      <c r="L98" s="162"/>
    </row>
    <row r="99" ht="12">
      <c r="L99" s="161"/>
    </row>
  </sheetData>
  <sheetProtection/>
  <mergeCells count="6">
    <mergeCell ref="A2:AF2"/>
    <mergeCell ref="A3:AF3"/>
    <mergeCell ref="A4:AF4"/>
    <mergeCell ref="A90:AE90"/>
    <mergeCell ref="T6:AI6"/>
    <mergeCell ref="C6:S6"/>
  </mergeCells>
  <printOptions/>
  <pageMargins left="0.2362204724409449" right="0.2755905511811024" top="0.4724409448818898" bottom="0.1968503937007874" header="0" footer="0"/>
  <pageSetup horizontalDpi="600" verticalDpi="600" orientation="portrait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2"/>
  <sheetViews>
    <sheetView zoomScalePageLayoutView="0" workbookViewId="0" topLeftCell="A1">
      <selection activeCell="Q20" sqref="Q20"/>
    </sheetView>
  </sheetViews>
  <sheetFormatPr defaultColWidth="11.421875" defaultRowHeight="12.75"/>
  <cols>
    <col min="1" max="1" width="4.7109375" style="76" customWidth="1"/>
    <col min="2" max="2" width="36.8515625" style="76" customWidth="1"/>
    <col min="3" max="5" width="7.8515625" style="76" bestFit="1" customWidth="1"/>
    <col min="6" max="6" width="6.8515625" style="76" bestFit="1" customWidth="1"/>
    <col min="7" max="7" width="7.140625" style="76" bestFit="1" customWidth="1"/>
    <col min="8" max="8" width="4.28125" style="76" customWidth="1"/>
    <col min="9" max="9" width="38.7109375" style="76" customWidth="1"/>
    <col min="10" max="10" width="9.140625" style="76" bestFit="1" customWidth="1"/>
    <col min="11" max="11" width="9.140625" style="76" customWidth="1"/>
    <col min="12" max="12" width="9.140625" style="76" bestFit="1" customWidth="1"/>
    <col min="13" max="14" width="6.8515625" style="76" bestFit="1" customWidth="1"/>
    <col min="15" max="15" width="11.421875" style="76" customWidth="1"/>
    <col min="16" max="16" width="11.421875" style="77" customWidth="1"/>
    <col min="17" max="26" width="11.421875" style="78" customWidth="1"/>
    <col min="27" max="16384" width="11.421875" style="76" customWidth="1"/>
  </cols>
  <sheetData>
    <row r="1" spans="1:14" ht="10.5">
      <c r="A1" s="167"/>
      <c r="B1" s="168"/>
      <c r="C1" s="169" t="s">
        <v>89</v>
      </c>
      <c r="D1" s="169" t="s">
        <v>89</v>
      </c>
      <c r="E1" s="169" t="s">
        <v>89</v>
      </c>
      <c r="F1" s="170" t="s">
        <v>89</v>
      </c>
      <c r="G1" s="170"/>
      <c r="H1" s="167"/>
      <c r="I1" s="167"/>
      <c r="J1" s="171" t="s">
        <v>89</v>
      </c>
      <c r="K1" s="171" t="s">
        <v>89</v>
      </c>
      <c r="L1" s="171" t="s">
        <v>89</v>
      </c>
      <c r="M1" s="170"/>
      <c r="N1" s="170"/>
    </row>
    <row r="2" spans="1:14" ht="10.5">
      <c r="A2" s="167"/>
      <c r="B2" s="237" t="s">
        <v>90</v>
      </c>
      <c r="C2" s="237"/>
      <c r="D2" s="237"/>
      <c r="E2" s="237"/>
      <c r="F2" s="237"/>
      <c r="G2" s="237"/>
      <c r="H2" s="167"/>
      <c r="I2" s="237" t="s">
        <v>90</v>
      </c>
      <c r="J2" s="237"/>
      <c r="K2" s="237"/>
      <c r="L2" s="237"/>
      <c r="M2" s="237"/>
      <c r="N2" s="237"/>
    </row>
    <row r="3" spans="1:14" ht="10.5">
      <c r="A3" s="167"/>
      <c r="B3" s="237" t="s">
        <v>91</v>
      </c>
      <c r="C3" s="237"/>
      <c r="D3" s="237"/>
      <c r="E3" s="237"/>
      <c r="F3" s="237"/>
      <c r="G3" s="237"/>
      <c r="H3" s="167"/>
      <c r="I3" s="237" t="s">
        <v>91</v>
      </c>
      <c r="J3" s="237"/>
      <c r="K3" s="237"/>
      <c r="L3" s="237"/>
      <c r="M3" s="237"/>
      <c r="N3" s="237"/>
    </row>
    <row r="4" spans="1:14" ht="10.5">
      <c r="A4" s="167"/>
      <c r="B4" s="237" t="s">
        <v>92</v>
      </c>
      <c r="C4" s="237"/>
      <c r="D4" s="237"/>
      <c r="E4" s="237"/>
      <c r="F4" s="237"/>
      <c r="G4" s="237"/>
      <c r="H4" s="167"/>
      <c r="I4" s="237" t="s">
        <v>93</v>
      </c>
      <c r="J4" s="237"/>
      <c r="K4" s="237"/>
      <c r="L4" s="237"/>
      <c r="M4" s="237"/>
      <c r="N4" s="237"/>
    </row>
    <row r="5" spans="1:14" ht="10.5">
      <c r="A5" s="167"/>
      <c r="B5" s="237" t="s">
        <v>94</v>
      </c>
      <c r="C5" s="237"/>
      <c r="D5" s="237"/>
      <c r="E5" s="237"/>
      <c r="F5" s="237"/>
      <c r="G5" s="237"/>
      <c r="H5" s="167"/>
      <c r="I5" s="237" t="s">
        <v>94</v>
      </c>
      <c r="J5" s="237"/>
      <c r="K5" s="237"/>
      <c r="L5" s="237"/>
      <c r="M5" s="237"/>
      <c r="N5" s="237"/>
    </row>
    <row r="6" spans="1:14" ht="10.5">
      <c r="A6" s="167"/>
      <c r="B6" s="172"/>
      <c r="C6" s="172"/>
      <c r="D6" s="172"/>
      <c r="E6" s="172"/>
      <c r="F6" s="172"/>
      <c r="G6" s="172"/>
      <c r="H6" s="167"/>
      <c r="I6" s="172"/>
      <c r="J6" s="172"/>
      <c r="K6" s="172"/>
      <c r="L6" s="172"/>
      <c r="M6" s="172"/>
      <c r="N6" s="172"/>
    </row>
    <row r="7" spans="1:14" ht="11.25" customHeight="1">
      <c r="A7" s="167"/>
      <c r="B7" s="173" t="s">
        <v>0</v>
      </c>
      <c r="C7" s="174">
        <v>2020</v>
      </c>
      <c r="D7" s="174">
        <v>2021</v>
      </c>
      <c r="E7" s="175">
        <v>2022</v>
      </c>
      <c r="F7" s="240" t="s">
        <v>95</v>
      </c>
      <c r="G7" s="241"/>
      <c r="H7" s="167"/>
      <c r="I7" s="173" t="s">
        <v>0</v>
      </c>
      <c r="J7" s="174">
        <v>2020</v>
      </c>
      <c r="K7" s="174">
        <v>2021</v>
      </c>
      <c r="L7" s="175">
        <v>2022</v>
      </c>
      <c r="M7" s="240" t="s">
        <v>95</v>
      </c>
      <c r="N7" s="241"/>
    </row>
    <row r="8" spans="1:14" ht="10.5">
      <c r="A8" s="167"/>
      <c r="B8" s="176"/>
      <c r="C8" s="176"/>
      <c r="D8" s="177"/>
      <c r="E8" s="178"/>
      <c r="F8" s="92" t="s">
        <v>83</v>
      </c>
      <c r="G8" s="93" t="s">
        <v>88</v>
      </c>
      <c r="H8" s="167"/>
      <c r="I8" s="176"/>
      <c r="J8" s="174"/>
      <c r="K8" s="174"/>
      <c r="L8" s="175"/>
      <c r="M8" s="93" t="s">
        <v>83</v>
      </c>
      <c r="N8" s="93" t="s">
        <v>88</v>
      </c>
    </row>
    <row r="9" spans="1:14" ht="10.5">
      <c r="A9" s="171"/>
      <c r="B9" s="179" t="s">
        <v>96</v>
      </c>
      <c r="C9" s="180">
        <v>661721.5856612</v>
      </c>
      <c r="D9" s="181">
        <v>800381.8416371801</v>
      </c>
      <c r="E9" s="180">
        <f>E10+E62</f>
        <v>824570.1235132802</v>
      </c>
      <c r="F9" s="94">
        <f>D9/C9-1</f>
        <v>0.2095447072917065</v>
      </c>
      <c r="G9" s="95">
        <f>E9/D9-1</f>
        <v>0.030220927834423428</v>
      </c>
      <c r="H9" s="167"/>
      <c r="I9" s="179" t="s">
        <v>96</v>
      </c>
      <c r="J9" s="182">
        <v>4776316.44344165</v>
      </c>
      <c r="K9" s="183">
        <v>6326210.809220899</v>
      </c>
      <c r="L9" s="180">
        <f>L10+L62</f>
        <v>7341174.73422735</v>
      </c>
      <c r="M9" s="95">
        <f>K9/J9-1</f>
        <v>0.3244957456508992</v>
      </c>
      <c r="N9" s="95">
        <f>L9/K9-1</f>
        <v>0.16043789175142087</v>
      </c>
    </row>
    <row r="10" spans="1:14" ht="10.5">
      <c r="A10" s="171"/>
      <c r="B10" s="184" t="s">
        <v>97</v>
      </c>
      <c r="C10" s="185">
        <v>655113.1127001999</v>
      </c>
      <c r="D10" s="186">
        <v>800381.8416371801</v>
      </c>
      <c r="E10" s="187">
        <f>E12++E59+E60+E61</f>
        <v>824570.1235132802</v>
      </c>
      <c r="F10" s="96">
        <f aca="true" t="shared" si="0" ref="F10:G61">D10/C10-1</f>
        <v>0.22174602541265198</v>
      </c>
      <c r="G10" s="97">
        <f>E10/D10-1</f>
        <v>0.030220927834423428</v>
      </c>
      <c r="H10" s="167"/>
      <c r="I10" s="184" t="s">
        <v>97</v>
      </c>
      <c r="J10" s="185">
        <v>4694707.97048065</v>
      </c>
      <c r="K10" s="186">
        <v>6319675.860275899</v>
      </c>
      <c r="L10" s="187">
        <f>L12++L59+L60+L61</f>
        <v>7333564.59913735</v>
      </c>
      <c r="M10" s="97">
        <f>K10/J10-1</f>
        <v>0.3461275759882638</v>
      </c>
      <c r="N10" s="97">
        <f>L10/K10-1</f>
        <v>0.16043366167472817</v>
      </c>
    </row>
    <row r="11" spans="1:14" ht="10.5">
      <c r="A11" s="171"/>
      <c r="B11" s="188"/>
      <c r="C11" s="180"/>
      <c r="D11" s="189"/>
      <c r="E11" s="180"/>
      <c r="F11" s="98"/>
      <c r="G11" s="99"/>
      <c r="H11" s="167"/>
      <c r="I11" s="188"/>
      <c r="J11" s="190"/>
      <c r="K11" s="191"/>
      <c r="L11" s="180"/>
      <c r="M11" s="100"/>
      <c r="N11" s="100"/>
    </row>
    <row r="12" spans="1:14" ht="10.5">
      <c r="A12" s="171"/>
      <c r="B12" s="192" t="s">
        <v>98</v>
      </c>
      <c r="C12" s="140">
        <v>624164.9836781999</v>
      </c>
      <c r="D12" s="152">
        <v>729636.66031604</v>
      </c>
      <c r="E12" s="153">
        <f>E14+E21+E26+E30+E35+E39+E43+E56+E57</f>
        <v>746805.1980145301</v>
      </c>
      <c r="F12" s="102">
        <f t="shared" si="0"/>
        <v>0.16898044490784514</v>
      </c>
      <c r="G12" s="103">
        <f>E12/D12-1</f>
        <v>0.023530256403308414</v>
      </c>
      <c r="H12" s="167"/>
      <c r="I12" s="193" t="s">
        <v>98</v>
      </c>
      <c r="J12" s="101">
        <v>4341328.55974759</v>
      </c>
      <c r="K12" s="152">
        <v>5566245.582765399</v>
      </c>
      <c r="L12" s="153">
        <f>L14+L21+L26+L30+L35+L39+L43+L56+L57</f>
        <v>6311852.88967471</v>
      </c>
      <c r="M12" s="102">
        <f>K12/J12-1</f>
        <v>0.28215257291860607</v>
      </c>
      <c r="N12" s="103">
        <f>L12/K12-1</f>
        <v>0.13395156498626526</v>
      </c>
    </row>
    <row r="13" spans="1:14" ht="10.5">
      <c r="A13" s="171"/>
      <c r="B13" s="194"/>
      <c r="C13" s="141"/>
      <c r="D13" s="141"/>
      <c r="E13" s="154"/>
      <c r="F13" s="105"/>
      <c r="G13" s="106"/>
      <c r="H13" s="167"/>
      <c r="I13" s="195"/>
      <c r="J13" s="104"/>
      <c r="K13" s="141"/>
      <c r="L13" s="154"/>
      <c r="M13" s="105"/>
      <c r="N13" s="106"/>
    </row>
    <row r="14" spans="1:14" ht="10.5">
      <c r="A14" s="171"/>
      <c r="B14" s="196" t="s">
        <v>99</v>
      </c>
      <c r="C14" s="197">
        <v>221140.96147429998</v>
      </c>
      <c r="D14" s="197">
        <v>265213.34534026</v>
      </c>
      <c r="E14" s="198">
        <f>SUM(E15:E19)</f>
        <v>293677.12479114</v>
      </c>
      <c r="F14" s="107">
        <f t="shared" si="0"/>
        <v>0.1992954338813524</v>
      </c>
      <c r="G14" s="108">
        <f>E14/D14-1</f>
        <v>0.10732408436823548</v>
      </c>
      <c r="H14" s="199"/>
      <c r="I14" s="200" t="s">
        <v>99</v>
      </c>
      <c r="J14" s="198">
        <v>1651248.86653157</v>
      </c>
      <c r="K14" s="197">
        <v>2065789.2958411297</v>
      </c>
      <c r="L14" s="198">
        <f>SUM(L15:L19)</f>
        <v>2432542.6174818496</v>
      </c>
      <c r="M14" s="107">
        <f aca="true" t="shared" si="1" ref="M14:N18">K14/J14-1</f>
        <v>0.2510466094552406</v>
      </c>
      <c r="N14" s="108">
        <f t="shared" si="1"/>
        <v>0.17753665505919303</v>
      </c>
    </row>
    <row r="15" spans="1:14" ht="9.75">
      <c r="A15" s="171"/>
      <c r="B15" s="194" t="s">
        <v>100</v>
      </c>
      <c r="C15" s="118">
        <v>50749.200398550005</v>
      </c>
      <c r="D15" s="118">
        <v>55860.29026444</v>
      </c>
      <c r="E15" s="155">
        <v>60739.08943032</v>
      </c>
      <c r="F15" s="110">
        <f>D15/C15-1</f>
        <v>0.10071271716107733</v>
      </c>
      <c r="G15" s="111">
        <f>E15/D15-1</f>
        <v>0.08733930924425892</v>
      </c>
      <c r="H15" s="167"/>
      <c r="I15" s="195" t="s">
        <v>100</v>
      </c>
      <c r="J15" s="109">
        <v>568091.70639836</v>
      </c>
      <c r="K15" s="118">
        <v>636626.56102815</v>
      </c>
      <c r="L15" s="155">
        <v>705157.98175819</v>
      </c>
      <c r="M15" s="112">
        <f t="shared" si="1"/>
        <v>0.12064047733471339</v>
      </c>
      <c r="N15" s="113">
        <f t="shared" si="1"/>
        <v>0.107647756039839</v>
      </c>
    </row>
    <row r="16" spans="1:14" ht="9.75">
      <c r="A16" s="171"/>
      <c r="B16" s="194" t="s">
        <v>101</v>
      </c>
      <c r="C16" s="118">
        <v>151216.8418653</v>
      </c>
      <c r="D16" s="118">
        <v>189675.01300779</v>
      </c>
      <c r="E16" s="155">
        <v>208360.30688408</v>
      </c>
      <c r="F16" s="110">
        <f aca="true" t="shared" si="2" ref="F16:G18">D16/C16-1</f>
        <v>0.25432465503245694</v>
      </c>
      <c r="G16" s="111">
        <f t="shared" si="2"/>
        <v>0.09851215286603199</v>
      </c>
      <c r="H16" s="167"/>
      <c r="I16" s="195" t="s">
        <v>101</v>
      </c>
      <c r="J16" s="109">
        <v>903844.5554134201</v>
      </c>
      <c r="K16" s="118">
        <v>1234146.5194194699</v>
      </c>
      <c r="L16" s="155">
        <v>1482596.87498739</v>
      </c>
      <c r="M16" s="112">
        <f t="shared" si="1"/>
        <v>0.3654411170900611</v>
      </c>
      <c r="N16" s="113">
        <f t="shared" si="1"/>
        <v>0.20131350018698635</v>
      </c>
    </row>
    <row r="17" spans="1:14" ht="9.75">
      <c r="A17" s="171"/>
      <c r="B17" s="194" t="s">
        <v>102</v>
      </c>
      <c r="C17" s="118">
        <v>0</v>
      </c>
      <c r="D17" s="118">
        <v>0</v>
      </c>
      <c r="E17" s="155">
        <v>0</v>
      </c>
      <c r="F17" s="201" t="e">
        <f t="shared" si="2"/>
        <v>#DIV/0!</v>
      </c>
      <c r="G17" s="202" t="e">
        <f t="shared" si="2"/>
        <v>#DIV/0!</v>
      </c>
      <c r="H17" s="167"/>
      <c r="I17" s="195" t="s">
        <v>102</v>
      </c>
      <c r="J17" s="109">
        <v>0</v>
      </c>
      <c r="K17" s="118">
        <v>0</v>
      </c>
      <c r="L17" s="155">
        <v>0</v>
      </c>
      <c r="M17" s="203" t="e">
        <f t="shared" si="1"/>
        <v>#DIV/0!</v>
      </c>
      <c r="N17" s="204" t="e">
        <f t="shared" si="1"/>
        <v>#DIV/0!</v>
      </c>
    </row>
    <row r="18" spans="1:14" ht="9.75">
      <c r="A18" s="171"/>
      <c r="B18" s="194" t="s">
        <v>103</v>
      </c>
      <c r="C18" s="118">
        <v>19174.91921045</v>
      </c>
      <c r="D18" s="118">
        <v>19678.042068029998</v>
      </c>
      <c r="E18" s="155">
        <v>24577.72847674</v>
      </c>
      <c r="F18" s="110">
        <f t="shared" si="2"/>
        <v>0.02623859073710233</v>
      </c>
      <c r="G18" s="111">
        <f t="shared" si="2"/>
        <v>0.24899257719701184</v>
      </c>
      <c r="H18" s="167"/>
      <c r="I18" s="195" t="s">
        <v>103</v>
      </c>
      <c r="J18" s="109">
        <v>179312.60471979</v>
      </c>
      <c r="K18" s="118">
        <v>195016.21539350998</v>
      </c>
      <c r="L18" s="155">
        <v>244787.76073627002</v>
      </c>
      <c r="M18" s="112">
        <f t="shared" si="1"/>
        <v>0.0875767250063646</v>
      </c>
      <c r="N18" s="113">
        <f t="shared" si="1"/>
        <v>0.2552174712360684</v>
      </c>
    </row>
    <row r="19" spans="1:14" ht="9.75">
      <c r="A19" s="171"/>
      <c r="B19" s="194" t="s">
        <v>104</v>
      </c>
      <c r="C19" s="118">
        <v>0</v>
      </c>
      <c r="D19" s="118">
        <v>0</v>
      </c>
      <c r="E19" s="155">
        <v>0</v>
      </c>
      <c r="F19" s="110">
        <v>0</v>
      </c>
      <c r="G19" s="111">
        <v>0</v>
      </c>
      <c r="H19" s="167"/>
      <c r="I19" s="195" t="s">
        <v>104</v>
      </c>
      <c r="J19" s="109">
        <v>0</v>
      </c>
      <c r="K19" s="118">
        <v>0</v>
      </c>
      <c r="L19" s="155">
        <v>0</v>
      </c>
      <c r="M19" s="112">
        <v>0</v>
      </c>
      <c r="N19" s="113">
        <v>0</v>
      </c>
    </row>
    <row r="20" spans="1:14" ht="9.75">
      <c r="A20" s="171"/>
      <c r="B20" s="205"/>
      <c r="C20" s="206"/>
      <c r="D20" s="206"/>
      <c r="E20" s="207"/>
      <c r="F20" s="110"/>
      <c r="G20" s="111"/>
      <c r="H20" s="171"/>
      <c r="I20" s="195"/>
      <c r="J20" s="207"/>
      <c r="K20" s="206"/>
      <c r="L20" s="207"/>
      <c r="M20" s="110"/>
      <c r="N20" s="111"/>
    </row>
    <row r="21" spans="1:14" ht="10.5">
      <c r="A21" s="171"/>
      <c r="B21" s="208" t="s">
        <v>105</v>
      </c>
      <c r="C21" s="209">
        <v>75320.71331092999</v>
      </c>
      <c r="D21" s="210">
        <v>126523.60115638</v>
      </c>
      <c r="E21" s="209">
        <f>SUM(E22:E24)</f>
        <v>114756.28375904</v>
      </c>
      <c r="F21" s="114">
        <f t="shared" si="0"/>
        <v>0.6797982333767918</v>
      </c>
      <c r="G21" s="115">
        <f>E21/D21-1</f>
        <v>-0.09300491995004068</v>
      </c>
      <c r="H21" s="167"/>
      <c r="I21" s="208" t="s">
        <v>105</v>
      </c>
      <c r="J21" s="209">
        <v>140036.67572744</v>
      </c>
      <c r="K21" s="210">
        <v>215894.96590528003</v>
      </c>
      <c r="L21" s="209">
        <f>SUM(L22:L24)</f>
        <v>218039.74176642</v>
      </c>
      <c r="M21" s="116">
        <f aca="true" t="shared" si="3" ref="M21:N24">K21/J21-1</f>
        <v>0.5417030201822743</v>
      </c>
      <c r="N21" s="114">
        <f t="shared" si="3"/>
        <v>0.009934348641000401</v>
      </c>
    </row>
    <row r="22" spans="1:14" ht="9.75">
      <c r="A22" s="171"/>
      <c r="B22" s="195" t="s">
        <v>106</v>
      </c>
      <c r="C22" s="109">
        <v>74581.27526169</v>
      </c>
      <c r="D22" s="118">
        <v>125912.53558641</v>
      </c>
      <c r="E22" s="155">
        <v>113876.02752577</v>
      </c>
      <c r="F22" s="111">
        <f t="shared" si="0"/>
        <v>0.6882593539009545</v>
      </c>
      <c r="G22" s="117">
        <f>E22/D22-1</f>
        <v>-0.09559419961310922</v>
      </c>
      <c r="H22" s="167"/>
      <c r="I22" s="195" t="s">
        <v>106</v>
      </c>
      <c r="J22" s="109">
        <v>109545.27267261999</v>
      </c>
      <c r="K22" s="118">
        <v>185161.04638676002</v>
      </c>
      <c r="L22" s="155">
        <v>188250.24642726</v>
      </c>
      <c r="M22" s="75">
        <f t="shared" si="3"/>
        <v>0.6902696197591338</v>
      </c>
      <c r="N22" s="111">
        <f t="shared" si="3"/>
        <v>0.01668385495104263</v>
      </c>
    </row>
    <row r="23" spans="1:14" ht="9.75">
      <c r="A23" s="171"/>
      <c r="B23" s="195" t="s">
        <v>107</v>
      </c>
      <c r="C23" s="109">
        <v>170.091311</v>
      </c>
      <c r="D23" s="118">
        <v>79.398755</v>
      </c>
      <c r="E23" s="155">
        <v>43.871991</v>
      </c>
      <c r="F23" s="111">
        <f t="shared" si="0"/>
        <v>-0.5331992296772878</v>
      </c>
      <c r="G23" s="117">
        <f>E23/D23-1</f>
        <v>-0.44744736866465973</v>
      </c>
      <c r="H23" s="167"/>
      <c r="I23" s="195" t="s">
        <v>107</v>
      </c>
      <c r="J23" s="109">
        <v>4655.338395889999</v>
      </c>
      <c r="K23" s="118">
        <v>5108.023714</v>
      </c>
      <c r="L23" s="155">
        <v>5206.233069</v>
      </c>
      <c r="M23" s="75">
        <f t="shared" si="3"/>
        <v>0.09724004564515809</v>
      </c>
      <c r="N23" s="111">
        <f t="shared" si="3"/>
        <v>0.019226487678753124</v>
      </c>
    </row>
    <row r="24" spans="1:14" ht="9.75">
      <c r="A24" s="171"/>
      <c r="B24" s="195" t="s">
        <v>108</v>
      </c>
      <c r="C24" s="109">
        <v>569.34673824</v>
      </c>
      <c r="D24" s="118">
        <v>531.66681497</v>
      </c>
      <c r="E24" s="155">
        <v>836.38424227</v>
      </c>
      <c r="F24" s="111">
        <f t="shared" si="0"/>
        <v>-0.0661809767918905</v>
      </c>
      <c r="G24" s="117">
        <f t="shared" si="0"/>
        <v>0.5731360670257255</v>
      </c>
      <c r="H24" s="167"/>
      <c r="I24" s="195" t="s">
        <v>108</v>
      </c>
      <c r="J24" s="109">
        <v>25836.06465893</v>
      </c>
      <c r="K24" s="118">
        <v>25625.895804519998</v>
      </c>
      <c r="L24" s="155">
        <v>24583.26227016</v>
      </c>
      <c r="M24" s="75">
        <f t="shared" si="3"/>
        <v>-0.008134708485386888</v>
      </c>
      <c r="N24" s="111">
        <f t="shared" si="3"/>
        <v>-0.040686715590878664</v>
      </c>
    </row>
    <row r="25" spans="1:14" ht="9.75">
      <c r="A25" s="171"/>
      <c r="B25" s="211"/>
      <c r="C25" s="119"/>
      <c r="D25" s="156"/>
      <c r="E25" s="157"/>
      <c r="F25" s="120"/>
      <c r="G25" s="121"/>
      <c r="H25" s="167"/>
      <c r="I25" s="211"/>
      <c r="J25" s="119"/>
      <c r="K25" s="156"/>
      <c r="L25" s="157"/>
      <c r="M25" s="122"/>
      <c r="N25" s="120"/>
    </row>
    <row r="26" spans="1:14" ht="10.5">
      <c r="A26" s="171"/>
      <c r="B26" s="200" t="s">
        <v>109</v>
      </c>
      <c r="C26" s="198">
        <v>19632.04438934</v>
      </c>
      <c r="D26" s="197">
        <v>18766.08949975</v>
      </c>
      <c r="E26" s="198">
        <f>SUM(E27:E28)</f>
        <v>16677.003569559998</v>
      </c>
      <c r="F26" s="123">
        <f t="shared" si="0"/>
        <v>-0.04410925690755907</v>
      </c>
      <c r="G26" s="124">
        <f>E26/D26-1</f>
        <v>-0.11132238979345332</v>
      </c>
      <c r="H26" s="167"/>
      <c r="I26" s="200" t="s">
        <v>109</v>
      </c>
      <c r="J26" s="198">
        <v>133732.90662931</v>
      </c>
      <c r="K26" s="197">
        <v>182035.65710262998</v>
      </c>
      <c r="L26" s="198">
        <f>SUM(L27:L28)</f>
        <v>171126.88251910004</v>
      </c>
      <c r="M26" s="124">
        <f aca="true" t="shared" si="4" ref="M26:N28">K26/J26-1</f>
        <v>0.36118821979401705</v>
      </c>
      <c r="N26" s="124">
        <f t="shared" si="4"/>
        <v>-0.059926581182826566</v>
      </c>
    </row>
    <row r="27" spans="1:14" ht="9.75">
      <c r="A27" s="171"/>
      <c r="B27" s="195" t="s">
        <v>110</v>
      </c>
      <c r="C27" s="109">
        <v>17068.26817435</v>
      </c>
      <c r="D27" s="118">
        <v>15657.59718614</v>
      </c>
      <c r="E27" s="155">
        <v>13690.57969986</v>
      </c>
      <c r="F27" s="110">
        <f t="shared" si="0"/>
        <v>-0.08264874759408458</v>
      </c>
      <c r="G27" s="111">
        <f>E27/D27-1</f>
        <v>-0.12562703350301985</v>
      </c>
      <c r="H27" s="167"/>
      <c r="I27" s="195" t="s">
        <v>110</v>
      </c>
      <c r="J27" s="109">
        <v>114776.67747707</v>
      </c>
      <c r="K27" s="118">
        <v>152133.10363923</v>
      </c>
      <c r="L27" s="155">
        <v>137661.13515992003</v>
      </c>
      <c r="M27" s="111">
        <f t="shared" si="4"/>
        <v>0.3254705309763217</v>
      </c>
      <c r="N27" s="111">
        <f t="shared" si="4"/>
        <v>-0.09512701794100598</v>
      </c>
    </row>
    <row r="28" spans="1:14" ht="9.75">
      <c r="A28" s="171"/>
      <c r="B28" s="195" t="s">
        <v>111</v>
      </c>
      <c r="C28" s="109">
        <v>2563.77621499</v>
      </c>
      <c r="D28" s="118">
        <v>3108.49231361</v>
      </c>
      <c r="E28" s="155">
        <v>2986.4238696999996</v>
      </c>
      <c r="F28" s="110">
        <f t="shared" si="0"/>
        <v>0.21246632035788848</v>
      </c>
      <c r="G28" s="111">
        <f>E28/D28-1</f>
        <v>-0.03926934075903765</v>
      </c>
      <c r="H28" s="167"/>
      <c r="I28" s="195" t="s">
        <v>111</v>
      </c>
      <c r="J28" s="109">
        <v>18956.22915224</v>
      </c>
      <c r="K28" s="118">
        <v>29902.553463400003</v>
      </c>
      <c r="L28" s="155">
        <v>33465.74735917999</v>
      </c>
      <c r="M28" s="111">
        <f t="shared" si="4"/>
        <v>0.5774526264294768</v>
      </c>
      <c r="N28" s="111">
        <f t="shared" si="4"/>
        <v>0.11916018811374252</v>
      </c>
    </row>
    <row r="29" spans="1:14" ht="9.75">
      <c r="A29" s="171"/>
      <c r="B29" s="195"/>
      <c r="C29" s="207"/>
      <c r="D29" s="206"/>
      <c r="E29" s="207"/>
      <c r="F29" s="110"/>
      <c r="G29" s="111"/>
      <c r="H29" s="167"/>
      <c r="I29" s="195"/>
      <c r="J29" s="207"/>
      <c r="K29" s="206"/>
      <c r="L29" s="207"/>
      <c r="M29" s="111"/>
      <c r="N29" s="111"/>
    </row>
    <row r="30" spans="1:14" ht="10.5">
      <c r="A30" s="171"/>
      <c r="B30" s="208" t="s">
        <v>112</v>
      </c>
      <c r="C30" s="209">
        <v>511.39554043</v>
      </c>
      <c r="D30" s="210">
        <v>477.29599396</v>
      </c>
      <c r="E30" s="209">
        <f>SUM(E31:E33)</f>
        <v>461.47463222</v>
      </c>
      <c r="F30" s="114">
        <f t="shared" si="0"/>
        <v>-0.06667939740211237</v>
      </c>
      <c r="G30" s="115">
        <f>E30/D30-1</f>
        <v>-0.03314790390075195</v>
      </c>
      <c r="H30" s="167"/>
      <c r="I30" s="208" t="s">
        <v>112</v>
      </c>
      <c r="J30" s="209">
        <v>5470.55846697</v>
      </c>
      <c r="K30" s="210">
        <v>6274.112176330001</v>
      </c>
      <c r="L30" s="209">
        <f>SUM(L31:L33)</f>
        <v>4842.31190752</v>
      </c>
      <c r="M30" s="116">
        <f aca="true" t="shared" si="5" ref="M30:N37">K30/J30-1</f>
        <v>0.14688696121459577</v>
      </c>
      <c r="N30" s="114">
        <f t="shared" si="5"/>
        <v>-0.2282076297920963</v>
      </c>
    </row>
    <row r="31" spans="1:14" ht="9.75">
      <c r="A31" s="171"/>
      <c r="B31" s="195" t="s">
        <v>113</v>
      </c>
      <c r="C31" s="109">
        <v>17.615805</v>
      </c>
      <c r="D31" s="118">
        <v>14.7833265</v>
      </c>
      <c r="E31" s="155">
        <v>15.5387805</v>
      </c>
      <c r="F31" s="111">
        <f t="shared" si="0"/>
        <v>-0.16079188546875955</v>
      </c>
      <c r="G31" s="117">
        <f>E31/D31-1</f>
        <v>0.05110175981028364</v>
      </c>
      <c r="H31" s="167"/>
      <c r="I31" s="195" t="s">
        <v>113</v>
      </c>
      <c r="J31" s="109">
        <v>199.262013</v>
      </c>
      <c r="K31" s="118">
        <v>203.22415650000002</v>
      </c>
      <c r="L31" s="155">
        <v>149.524689</v>
      </c>
      <c r="M31" s="75">
        <f t="shared" si="5"/>
        <v>0.019884088494077412</v>
      </c>
      <c r="N31" s="111">
        <f t="shared" si="5"/>
        <v>-0.26423762029490827</v>
      </c>
    </row>
    <row r="32" spans="1:14" ht="9.75">
      <c r="A32" s="171"/>
      <c r="B32" s="195" t="s">
        <v>114</v>
      </c>
      <c r="C32" s="109">
        <v>350.37849743</v>
      </c>
      <c r="D32" s="118">
        <v>302.30028846</v>
      </c>
      <c r="E32" s="155">
        <v>304.75351372</v>
      </c>
      <c r="F32" s="111">
        <f t="shared" si="0"/>
        <v>-0.13721792097017949</v>
      </c>
      <c r="G32" s="117">
        <f>E32/D32-1</f>
        <v>0.00811519324873089</v>
      </c>
      <c r="H32" s="167"/>
      <c r="I32" s="195" t="s">
        <v>114</v>
      </c>
      <c r="J32" s="109">
        <v>3777.12085372</v>
      </c>
      <c r="K32" s="118">
        <v>4063.5672530800002</v>
      </c>
      <c r="L32" s="155">
        <v>3099.61898577</v>
      </c>
      <c r="M32" s="75">
        <f t="shared" si="5"/>
        <v>0.07583723435216161</v>
      </c>
      <c r="N32" s="111">
        <f t="shared" si="5"/>
        <v>-0.23721725451433617</v>
      </c>
    </row>
    <row r="33" spans="1:14" ht="9.75">
      <c r="A33" s="171"/>
      <c r="B33" s="212" t="s">
        <v>115</v>
      </c>
      <c r="C33" s="109">
        <v>143.401238</v>
      </c>
      <c r="D33" s="118">
        <v>160.212379</v>
      </c>
      <c r="E33" s="155">
        <v>141.182338</v>
      </c>
      <c r="F33" s="111">
        <f t="shared" si="0"/>
        <v>0.11723149140455802</v>
      </c>
      <c r="G33" s="117">
        <f t="shared" si="0"/>
        <v>-0.1187800912687278</v>
      </c>
      <c r="H33" s="167"/>
      <c r="I33" s="212" t="s">
        <v>115</v>
      </c>
      <c r="J33" s="109">
        <v>1494.1756002500001</v>
      </c>
      <c r="K33" s="118">
        <v>2007.32076675</v>
      </c>
      <c r="L33" s="155">
        <v>1593.16823275</v>
      </c>
      <c r="M33" s="75">
        <f t="shared" si="5"/>
        <v>0.3434302945478045</v>
      </c>
      <c r="N33" s="111">
        <f t="shared" si="5"/>
        <v>-0.20632105284824187</v>
      </c>
    </row>
    <row r="34" spans="1:14" ht="9.75">
      <c r="A34" s="171"/>
      <c r="B34" s="213"/>
      <c r="C34" s="119"/>
      <c r="D34" s="156"/>
      <c r="E34" s="157"/>
      <c r="F34" s="120"/>
      <c r="G34" s="121"/>
      <c r="H34" s="167"/>
      <c r="I34" s="213"/>
      <c r="J34" s="119"/>
      <c r="K34" s="156"/>
      <c r="L34" s="157"/>
      <c r="M34" s="122"/>
      <c r="N34" s="120"/>
    </row>
    <row r="35" spans="1:14" ht="10.5">
      <c r="A35" s="171"/>
      <c r="B35" s="200" t="s">
        <v>116</v>
      </c>
      <c r="C35" s="198">
        <v>223509.28676886</v>
      </c>
      <c r="D35" s="197">
        <v>209104.27373770002</v>
      </c>
      <c r="E35" s="197">
        <f>SUM(E36:E37)</f>
        <v>198128.28252636</v>
      </c>
      <c r="F35" s="74">
        <f t="shared" si="0"/>
        <v>-0.06444928190414212</v>
      </c>
      <c r="G35" s="124">
        <f>E35/D35-1</f>
        <v>-0.05249051592847054</v>
      </c>
      <c r="H35" s="167"/>
      <c r="I35" s="200" t="s">
        <v>116</v>
      </c>
      <c r="J35" s="198">
        <v>1623694.8326918099</v>
      </c>
      <c r="K35" s="197">
        <v>2039997.0793939098</v>
      </c>
      <c r="L35" s="197">
        <f>SUM(L36:L37)</f>
        <v>2193146.62503858</v>
      </c>
      <c r="M35" s="124">
        <f>K35/J35-1</f>
        <v>0.256391926808033</v>
      </c>
      <c r="N35" s="124">
        <f t="shared" si="5"/>
        <v>0.07507341416889268</v>
      </c>
    </row>
    <row r="36" spans="1:14" ht="9.75">
      <c r="A36" s="171"/>
      <c r="B36" s="195" t="s">
        <v>117</v>
      </c>
      <c r="C36" s="109">
        <v>141555.55849539003</v>
      </c>
      <c r="D36" s="118">
        <v>118587.96461896</v>
      </c>
      <c r="E36" s="128">
        <v>124985.39583295</v>
      </c>
      <c r="F36" s="75">
        <f t="shared" si="0"/>
        <v>-0.1622514447370006</v>
      </c>
      <c r="G36" s="111">
        <f>E36/D36-1</f>
        <v>0.05394671571053489</v>
      </c>
      <c r="H36" s="167"/>
      <c r="I36" s="195" t="s">
        <v>117</v>
      </c>
      <c r="J36" s="109">
        <v>1027921.4188224599</v>
      </c>
      <c r="K36" s="118">
        <v>1195882.6653925898</v>
      </c>
      <c r="L36" s="128">
        <v>1353037.18619253</v>
      </c>
      <c r="M36" s="111">
        <f>K36/J36-1</f>
        <v>0.1633989169741581</v>
      </c>
      <c r="N36" s="111">
        <f t="shared" si="5"/>
        <v>0.13141299338789958</v>
      </c>
    </row>
    <row r="37" spans="1:14" ht="9.75">
      <c r="A37" s="171"/>
      <c r="B37" s="195" t="s">
        <v>118</v>
      </c>
      <c r="C37" s="109">
        <v>81953.72827347</v>
      </c>
      <c r="D37" s="118">
        <v>90516.30911874</v>
      </c>
      <c r="E37" s="128">
        <v>73142.88669341001</v>
      </c>
      <c r="F37" s="75">
        <f t="shared" si="0"/>
        <v>0.10448067495718649</v>
      </c>
      <c r="G37" s="111">
        <f>E37/D37-1</f>
        <v>-0.19193692931667594</v>
      </c>
      <c r="H37" s="167"/>
      <c r="I37" s="195" t="s">
        <v>118</v>
      </c>
      <c r="J37" s="109">
        <v>595773.41386935</v>
      </c>
      <c r="K37" s="118">
        <v>844114.41400132</v>
      </c>
      <c r="L37" s="128">
        <v>840109.4388460501</v>
      </c>
      <c r="M37" s="111">
        <f>K37/J37-1</f>
        <v>0.41683800309093666</v>
      </c>
      <c r="N37" s="111">
        <f t="shared" si="5"/>
        <v>-0.00474458804261535</v>
      </c>
    </row>
    <row r="38" spans="1:14" ht="9.75">
      <c r="A38" s="171"/>
      <c r="B38" s="214" t="s">
        <v>89</v>
      </c>
      <c r="C38" s="215"/>
      <c r="D38" s="216"/>
      <c r="E38" s="216"/>
      <c r="F38" s="75"/>
      <c r="G38" s="120"/>
      <c r="H38" s="167"/>
      <c r="I38" s="214" t="s">
        <v>89</v>
      </c>
      <c r="J38" s="215"/>
      <c r="K38" s="216"/>
      <c r="L38" s="216"/>
      <c r="M38" s="111"/>
      <c r="N38" s="111"/>
    </row>
    <row r="39" spans="1:14" ht="10.5">
      <c r="A39" s="171"/>
      <c r="B39" s="208" t="s">
        <v>119</v>
      </c>
      <c r="C39" s="209">
        <v>24128.09528141</v>
      </c>
      <c r="D39" s="210">
        <v>25459.096273040002</v>
      </c>
      <c r="E39" s="210">
        <f>SUM(E40:E41)</f>
        <v>21911.849728549998</v>
      </c>
      <c r="F39" s="125">
        <f t="shared" si="0"/>
        <v>0.055163947924870005</v>
      </c>
      <c r="G39" s="114">
        <f>E39/D39-1</f>
        <v>-0.1393312043148356</v>
      </c>
      <c r="H39" s="167"/>
      <c r="I39" s="208" t="s">
        <v>119</v>
      </c>
      <c r="J39" s="209">
        <v>142446.50037806</v>
      </c>
      <c r="K39" s="210">
        <v>214499.24350201996</v>
      </c>
      <c r="L39" s="210">
        <f>SUM(L40:L41)</f>
        <v>217311.18630109998</v>
      </c>
      <c r="M39" s="114">
        <f aca="true" t="shared" si="6" ref="M39:N41">K39/J39-1</f>
        <v>0.5058231892867038</v>
      </c>
      <c r="N39" s="114">
        <f t="shared" si="6"/>
        <v>0.01310933667257208</v>
      </c>
    </row>
    <row r="40" spans="1:14" ht="9.75">
      <c r="A40" s="171"/>
      <c r="B40" s="195" t="s">
        <v>120</v>
      </c>
      <c r="C40" s="109">
        <v>2282.625677</v>
      </c>
      <c r="D40" s="118">
        <v>1160.016627</v>
      </c>
      <c r="E40" s="128">
        <v>1073.15524</v>
      </c>
      <c r="F40" s="110">
        <f t="shared" si="0"/>
        <v>-0.49180602028249243</v>
      </c>
      <c r="G40" s="111">
        <f>E40/D40-1</f>
        <v>-0.07487943274109632</v>
      </c>
      <c r="H40" s="167"/>
      <c r="I40" s="195" t="s">
        <v>120</v>
      </c>
      <c r="J40" s="109">
        <v>9281.969808</v>
      </c>
      <c r="K40" s="118">
        <v>10420.760472999998</v>
      </c>
      <c r="L40" s="128">
        <v>11370.754529</v>
      </c>
      <c r="M40" s="111">
        <f t="shared" si="6"/>
        <v>0.12268846899485619</v>
      </c>
      <c r="N40" s="111">
        <f t="shared" si="6"/>
        <v>0.09116360158756343</v>
      </c>
    </row>
    <row r="41" spans="1:14" ht="9.75">
      <c r="A41" s="171"/>
      <c r="B41" s="195" t="s">
        <v>121</v>
      </c>
      <c r="C41" s="109">
        <v>21845.46960441</v>
      </c>
      <c r="D41" s="118">
        <v>24299.07964604</v>
      </c>
      <c r="E41" s="128">
        <v>20838.694488549998</v>
      </c>
      <c r="F41" s="110">
        <f t="shared" si="0"/>
        <v>0.11231665356988652</v>
      </c>
      <c r="G41" s="111">
        <f>E41/D41-1</f>
        <v>-0.14240807503398345</v>
      </c>
      <c r="H41" s="167"/>
      <c r="I41" s="195" t="s">
        <v>121</v>
      </c>
      <c r="J41" s="109">
        <v>133164.53057006001</v>
      </c>
      <c r="K41" s="118">
        <v>204078.48302901996</v>
      </c>
      <c r="L41" s="128">
        <v>205940.43177209998</v>
      </c>
      <c r="M41" s="111">
        <f t="shared" si="6"/>
        <v>0.5325288359849769</v>
      </c>
      <c r="N41" s="111">
        <f t="shared" si="6"/>
        <v>0.00912368964843413</v>
      </c>
    </row>
    <row r="42" spans="1:14" ht="9.75">
      <c r="A42" s="171"/>
      <c r="B42" s="217" t="s">
        <v>89</v>
      </c>
      <c r="C42" s="215"/>
      <c r="D42" s="216"/>
      <c r="E42" s="216"/>
      <c r="F42" s="126"/>
      <c r="G42" s="120"/>
      <c r="H42" s="167"/>
      <c r="I42" s="217" t="s">
        <v>89</v>
      </c>
      <c r="J42" s="215"/>
      <c r="K42" s="216"/>
      <c r="L42" s="216"/>
      <c r="M42" s="120"/>
      <c r="N42" s="120"/>
    </row>
    <row r="43" spans="1:14" ht="10.5">
      <c r="A43" s="171"/>
      <c r="B43" s="208" t="s">
        <v>122</v>
      </c>
      <c r="C43" s="209">
        <v>59922.48691293002</v>
      </c>
      <c r="D43" s="210">
        <v>84092.95831495</v>
      </c>
      <c r="E43" s="210">
        <f>SUM(E44:E55)</f>
        <v>108779.92147665</v>
      </c>
      <c r="F43" s="74">
        <f t="shared" si="0"/>
        <v>0.4033622876357037</v>
      </c>
      <c r="G43" s="124">
        <f>E43/D43-1</f>
        <v>0.2935675430663398</v>
      </c>
      <c r="H43" s="167"/>
      <c r="I43" s="208" t="s">
        <v>122</v>
      </c>
      <c r="J43" s="209">
        <v>644698.21932243</v>
      </c>
      <c r="K43" s="210">
        <v>841755.2288441001</v>
      </c>
      <c r="L43" s="210">
        <f>SUM(L44:L55)</f>
        <v>898704.69046507</v>
      </c>
      <c r="M43" s="114">
        <f aca="true" t="shared" si="7" ref="M43:M57">K43/J43-1</f>
        <v>0.3056577536832268</v>
      </c>
      <c r="N43" s="115">
        <f>L43/K43-1</f>
        <v>0.06765560779369673</v>
      </c>
    </row>
    <row r="44" spans="1:14" ht="9.75">
      <c r="A44" s="171"/>
      <c r="B44" s="195" t="s">
        <v>123</v>
      </c>
      <c r="C44" s="109">
        <v>37836.53920908</v>
      </c>
      <c r="D44" s="118">
        <v>46622.66941714</v>
      </c>
      <c r="E44" s="128">
        <v>58622.509953839995</v>
      </c>
      <c r="F44" s="75">
        <f>D44/C44-1</f>
        <v>0.2322128395387575</v>
      </c>
      <c r="G44" s="111">
        <f>E44/D44-1</f>
        <v>0.25738209945328583</v>
      </c>
      <c r="H44" s="167"/>
      <c r="I44" s="195" t="s">
        <v>123</v>
      </c>
      <c r="J44" s="109">
        <v>436383.71349095996</v>
      </c>
      <c r="K44" s="118">
        <v>522062.51319883</v>
      </c>
      <c r="L44" s="155">
        <v>530194.50093906</v>
      </c>
      <c r="M44" s="111">
        <f>K44/J44-1</f>
        <v>0.1963382157928426</v>
      </c>
      <c r="N44" s="117">
        <f>L44/K44-1</f>
        <v>0.01557665516032336</v>
      </c>
    </row>
    <row r="45" spans="1:14" ht="9.75">
      <c r="A45" s="171"/>
      <c r="B45" s="195" t="s">
        <v>124</v>
      </c>
      <c r="C45" s="109">
        <v>3200.95259323</v>
      </c>
      <c r="D45" s="118">
        <v>3996.23471305</v>
      </c>
      <c r="E45" s="128">
        <v>4445.42288098</v>
      </c>
      <c r="F45" s="75">
        <f t="shared" si="0"/>
        <v>0.24845170200334055</v>
      </c>
      <c r="G45" s="111">
        <f t="shared" si="0"/>
        <v>0.11240284922783506</v>
      </c>
      <c r="H45" s="167"/>
      <c r="I45" s="195" t="s">
        <v>124</v>
      </c>
      <c r="J45" s="109">
        <v>38509.767903980006</v>
      </c>
      <c r="K45" s="118">
        <v>43234.367100409996</v>
      </c>
      <c r="L45" s="155">
        <v>49556.33970697</v>
      </c>
      <c r="M45" s="111">
        <f>K45/J45-1</f>
        <v>0.12268573542718486</v>
      </c>
      <c r="N45" s="117">
        <f aca="true" t="shared" si="8" ref="N45:N54">L45/K45-1</f>
        <v>0.14622563091712415</v>
      </c>
    </row>
    <row r="46" spans="1:14" ht="9.75">
      <c r="A46" s="171"/>
      <c r="B46" s="195" t="s">
        <v>125</v>
      </c>
      <c r="C46" s="109">
        <v>240.45358677000002</v>
      </c>
      <c r="D46" s="118">
        <v>347.8630785</v>
      </c>
      <c r="E46" s="128">
        <v>257.89748883</v>
      </c>
      <c r="F46" s="75">
        <f t="shared" si="0"/>
        <v>0.4466953193455163</v>
      </c>
      <c r="G46" s="111">
        <f t="shared" si="0"/>
        <v>-0.2586235655072546</v>
      </c>
      <c r="H46" s="167"/>
      <c r="I46" s="195" t="s">
        <v>125</v>
      </c>
      <c r="J46" s="109">
        <v>3051.8705919000004</v>
      </c>
      <c r="K46" s="118">
        <v>3199.79163921</v>
      </c>
      <c r="L46" s="155">
        <v>2809.65865866</v>
      </c>
      <c r="M46" s="111">
        <f t="shared" si="7"/>
        <v>0.04846897758463231</v>
      </c>
      <c r="N46" s="117">
        <f>L46/K46-1</f>
        <v>-0.12192449526067273</v>
      </c>
    </row>
    <row r="47" spans="1:14" ht="9.75">
      <c r="A47" s="171"/>
      <c r="B47" s="195" t="s">
        <v>126</v>
      </c>
      <c r="C47" s="109">
        <v>4997.30930574</v>
      </c>
      <c r="D47" s="118">
        <v>5493.43015749</v>
      </c>
      <c r="E47" s="128">
        <v>5059.59816883</v>
      </c>
      <c r="F47" s="75">
        <f t="shared" si="0"/>
        <v>0.0992775954812617</v>
      </c>
      <c r="G47" s="111">
        <f t="shared" si="0"/>
        <v>-0.0789728778236114</v>
      </c>
      <c r="H47" s="167"/>
      <c r="I47" s="195" t="s">
        <v>126</v>
      </c>
      <c r="J47" s="109">
        <v>44373.33288823</v>
      </c>
      <c r="K47" s="118">
        <v>53117.98046212</v>
      </c>
      <c r="L47" s="155">
        <v>55539.34916891</v>
      </c>
      <c r="M47" s="111">
        <f t="shared" si="7"/>
        <v>0.1970698842008669</v>
      </c>
      <c r="N47" s="117">
        <f t="shared" si="8"/>
        <v>0.045584728292084487</v>
      </c>
    </row>
    <row r="48" spans="1:14" ht="9.75">
      <c r="A48" s="171"/>
      <c r="B48" s="195" t="s">
        <v>127</v>
      </c>
      <c r="C48" s="109">
        <v>2869.53376276</v>
      </c>
      <c r="D48" s="118">
        <v>3728.6996237199996</v>
      </c>
      <c r="E48" s="128">
        <v>1887.5251307400001</v>
      </c>
      <c r="F48" s="75">
        <f>D48/C48-1</f>
        <v>0.29940956684671627</v>
      </c>
      <c r="G48" s="111">
        <f t="shared" si="0"/>
        <v>-0.4937846109317653</v>
      </c>
      <c r="H48" s="167"/>
      <c r="I48" s="195" t="s">
        <v>127</v>
      </c>
      <c r="J48" s="109">
        <v>23895.770543630002</v>
      </c>
      <c r="K48" s="118">
        <v>27019.180142400004</v>
      </c>
      <c r="L48" s="155">
        <v>22311.87026077</v>
      </c>
      <c r="M48" s="111">
        <f t="shared" si="7"/>
        <v>0.13070972509830292</v>
      </c>
      <c r="N48" s="117">
        <f t="shared" si="8"/>
        <v>-0.17422104804146266</v>
      </c>
    </row>
    <row r="49" spans="1:14" ht="9.75">
      <c r="A49" s="171"/>
      <c r="B49" s="195" t="s">
        <v>128</v>
      </c>
      <c r="C49" s="109">
        <v>2231.864973</v>
      </c>
      <c r="D49" s="118">
        <v>2089.263454</v>
      </c>
      <c r="E49" s="128">
        <v>1824.99212</v>
      </c>
      <c r="F49" s="75">
        <f t="shared" si="0"/>
        <v>-0.06389343473961151</v>
      </c>
      <c r="G49" s="111">
        <f t="shared" si="0"/>
        <v>-0.12649019131313433</v>
      </c>
      <c r="H49" s="167"/>
      <c r="I49" s="195" t="s">
        <v>128</v>
      </c>
      <c r="J49" s="109">
        <v>22592.559209</v>
      </c>
      <c r="K49" s="118">
        <v>28063.75593671</v>
      </c>
      <c r="L49" s="155">
        <v>27596.536749709994</v>
      </c>
      <c r="M49" s="111">
        <f t="shared" si="7"/>
        <v>0.24216808184928817</v>
      </c>
      <c r="N49" s="117">
        <f t="shared" si="8"/>
        <v>-0.01664849095943144</v>
      </c>
    </row>
    <row r="50" spans="1:14" ht="9.75">
      <c r="A50" s="171"/>
      <c r="B50" s="195" t="s">
        <v>129</v>
      </c>
      <c r="C50" s="109">
        <v>4104.89566716</v>
      </c>
      <c r="D50" s="118">
        <v>5991.8917615</v>
      </c>
      <c r="E50" s="128">
        <v>4956.878364</v>
      </c>
      <c r="F50" s="75">
        <f t="shared" si="0"/>
        <v>0.45969404519494916</v>
      </c>
      <c r="G50" s="111">
        <f t="shared" si="0"/>
        <v>-0.17273566324250433</v>
      </c>
      <c r="H50" s="167"/>
      <c r="I50" s="195" t="s">
        <v>129</v>
      </c>
      <c r="J50" s="109">
        <v>35300.46209994</v>
      </c>
      <c r="K50" s="118">
        <v>58206.31952589</v>
      </c>
      <c r="L50" s="155">
        <v>65802.4751128</v>
      </c>
      <c r="M50" s="111">
        <f t="shared" si="7"/>
        <v>0.6488826509154659</v>
      </c>
      <c r="N50" s="117">
        <f t="shared" si="8"/>
        <v>0.1305039667304726</v>
      </c>
    </row>
    <row r="51" spans="1:14" ht="9.75">
      <c r="A51" s="171"/>
      <c r="B51" s="195" t="s">
        <v>130</v>
      </c>
      <c r="C51" s="109">
        <v>1562.76401345</v>
      </c>
      <c r="D51" s="118">
        <v>648.8120902000001</v>
      </c>
      <c r="E51" s="128">
        <v>803.06767</v>
      </c>
      <c r="F51" s="75">
        <f t="shared" si="0"/>
        <v>-0.5848304128992163</v>
      </c>
      <c r="G51" s="111">
        <f t="shared" si="0"/>
        <v>0.23775077889262164</v>
      </c>
      <c r="H51" s="167"/>
      <c r="I51" s="195" t="s">
        <v>130</v>
      </c>
      <c r="J51" s="109">
        <v>6077.53809934</v>
      </c>
      <c r="K51" s="118">
        <v>7420.551106860001</v>
      </c>
      <c r="L51" s="155">
        <v>6405.442127530001</v>
      </c>
      <c r="M51" s="111">
        <f t="shared" si="7"/>
        <v>0.22097977595004248</v>
      </c>
      <c r="N51" s="117">
        <f t="shared" si="8"/>
        <v>-0.1367969797272297</v>
      </c>
    </row>
    <row r="52" spans="1:14" ht="9.75">
      <c r="A52" s="171"/>
      <c r="B52" s="195" t="s">
        <v>131</v>
      </c>
      <c r="C52" s="109">
        <v>1409.21239757</v>
      </c>
      <c r="D52" s="118">
        <v>4740.494950439999</v>
      </c>
      <c r="E52" s="128">
        <v>4680.56043092</v>
      </c>
      <c r="F52" s="75">
        <f t="shared" si="0"/>
        <v>2.3639321926306884</v>
      </c>
      <c r="G52" s="111">
        <f t="shared" si="0"/>
        <v>-0.012643093210011003</v>
      </c>
      <c r="H52" s="167"/>
      <c r="I52" s="195" t="s">
        <v>131</v>
      </c>
      <c r="J52" s="109">
        <v>18085.107481470004</v>
      </c>
      <c r="K52" s="118">
        <v>31311.1195782</v>
      </c>
      <c r="L52" s="155">
        <v>54711.34413361001</v>
      </c>
      <c r="M52" s="111">
        <f t="shared" si="7"/>
        <v>0.7313206244575192</v>
      </c>
      <c r="N52" s="117">
        <f t="shared" si="8"/>
        <v>0.7473455076228619</v>
      </c>
    </row>
    <row r="53" spans="1:14" ht="9.75">
      <c r="A53" s="171"/>
      <c r="B53" s="195" t="s">
        <v>132</v>
      </c>
      <c r="C53" s="109">
        <v>22.77733125</v>
      </c>
      <c r="D53" s="118">
        <v>41.62958424</v>
      </c>
      <c r="E53" s="128">
        <v>985.7951828600001</v>
      </c>
      <c r="F53" s="75">
        <f t="shared" si="0"/>
        <v>0.8276761128457488</v>
      </c>
      <c r="G53" s="111">
        <f t="shared" si="0"/>
        <v>22.680159215061142</v>
      </c>
      <c r="H53" s="167"/>
      <c r="I53" s="195" t="s">
        <v>132</v>
      </c>
      <c r="J53" s="109">
        <v>1627.84681145</v>
      </c>
      <c r="K53" s="118">
        <v>647.67758484</v>
      </c>
      <c r="L53" s="155">
        <v>1989.85995216</v>
      </c>
      <c r="M53" s="111">
        <f t="shared" si="7"/>
        <v>-0.6021262072792445</v>
      </c>
      <c r="N53" s="117">
        <f t="shared" si="8"/>
        <v>2.0723001671449968</v>
      </c>
    </row>
    <row r="54" spans="1:14" ht="9.75">
      <c r="A54" s="171"/>
      <c r="B54" s="195" t="s">
        <v>133</v>
      </c>
      <c r="C54" s="109">
        <v>1205.8206038399999</v>
      </c>
      <c r="D54" s="118">
        <v>4737.41874399</v>
      </c>
      <c r="E54" s="128">
        <v>18587.599885310003</v>
      </c>
      <c r="F54" s="75">
        <f t="shared" si="0"/>
        <v>2.928792333539034</v>
      </c>
      <c r="G54" s="111">
        <f t="shared" si="0"/>
        <v>2.9235712293515674</v>
      </c>
      <c r="H54" s="167"/>
      <c r="I54" s="195" t="s">
        <v>133</v>
      </c>
      <c r="J54" s="109">
        <v>11651.29575913</v>
      </c>
      <c r="K54" s="118">
        <v>18665.89529353</v>
      </c>
      <c r="L54" s="155">
        <v>21385.638246140003</v>
      </c>
      <c r="M54" s="111">
        <f t="shared" si="7"/>
        <v>0.6020445862343966</v>
      </c>
      <c r="N54" s="117">
        <f t="shared" si="8"/>
        <v>0.1457065364313237</v>
      </c>
    </row>
    <row r="55" spans="1:14" ht="9.75">
      <c r="A55" s="171"/>
      <c r="B55" s="195" t="s">
        <v>134</v>
      </c>
      <c r="C55" s="109">
        <v>240.36346908000002</v>
      </c>
      <c r="D55" s="118">
        <v>5654.55074068</v>
      </c>
      <c r="E55" s="128">
        <v>6668.074200339999</v>
      </c>
      <c r="F55" s="75">
        <f t="shared" si="0"/>
        <v>22.525000543231464</v>
      </c>
      <c r="G55" s="111">
        <f t="shared" si="0"/>
        <v>0.17924031565735254</v>
      </c>
      <c r="H55" s="167"/>
      <c r="I55" s="195" t="s">
        <v>134</v>
      </c>
      <c r="J55" s="109">
        <v>3148.9544434</v>
      </c>
      <c r="K55" s="118">
        <v>48806.077275100004</v>
      </c>
      <c r="L55" s="155">
        <v>60401.675408749994</v>
      </c>
      <c r="M55" s="111">
        <f t="shared" si="7"/>
        <v>14.499137301714324</v>
      </c>
      <c r="N55" s="117">
        <f>L55/K55-1</f>
        <v>0.23758512834969947</v>
      </c>
    </row>
    <row r="56" spans="1:14" ht="9.75">
      <c r="A56" s="171"/>
      <c r="B56" s="195" t="s">
        <v>135</v>
      </c>
      <c r="C56" s="109">
        <v>0</v>
      </c>
      <c r="D56" s="118">
        <v>0</v>
      </c>
      <c r="E56" s="128">
        <v>-8105.86798564</v>
      </c>
      <c r="F56" s="127" t="e">
        <f t="shared" si="0"/>
        <v>#DIV/0!</v>
      </c>
      <c r="G56" s="202" t="e">
        <f t="shared" si="0"/>
        <v>#DIV/0!</v>
      </c>
      <c r="H56" s="167"/>
      <c r="I56" s="195" t="s">
        <v>135</v>
      </c>
      <c r="J56" s="109">
        <v>0</v>
      </c>
      <c r="K56" s="118">
        <v>0</v>
      </c>
      <c r="L56" s="155">
        <v>545.9800145599975</v>
      </c>
      <c r="M56" s="202" t="e">
        <f t="shared" si="7"/>
        <v>#DIV/0!</v>
      </c>
      <c r="N56" s="218" t="e">
        <f>L56/K56-1</f>
        <v>#DIV/0!</v>
      </c>
    </row>
    <row r="57" spans="1:14" ht="9.75">
      <c r="A57" s="171"/>
      <c r="B57" s="195" t="s">
        <v>136</v>
      </c>
      <c r="C57" s="109">
        <v>0</v>
      </c>
      <c r="D57" s="118">
        <v>0</v>
      </c>
      <c r="E57" s="128">
        <v>519.12551665</v>
      </c>
      <c r="F57" s="127" t="e">
        <f t="shared" si="0"/>
        <v>#DIV/0!</v>
      </c>
      <c r="G57" s="202" t="e">
        <f t="shared" si="0"/>
        <v>#DIV/0!</v>
      </c>
      <c r="H57" s="167"/>
      <c r="I57" s="195" t="s">
        <v>136</v>
      </c>
      <c r="J57" s="109">
        <v>0</v>
      </c>
      <c r="K57" s="118">
        <v>0</v>
      </c>
      <c r="L57" s="155">
        <v>175592.85418051</v>
      </c>
      <c r="M57" s="202" t="e">
        <f t="shared" si="7"/>
        <v>#DIV/0!</v>
      </c>
      <c r="N57" s="218" t="e">
        <f>L57/K57-1</f>
        <v>#DIV/0!</v>
      </c>
    </row>
    <row r="58" spans="1:14" ht="10.5">
      <c r="A58" s="171"/>
      <c r="B58" s="211"/>
      <c r="C58" s="219"/>
      <c r="D58" s="220"/>
      <c r="E58" s="220"/>
      <c r="F58" s="122"/>
      <c r="G58" s="120"/>
      <c r="H58" s="167"/>
      <c r="I58" s="211"/>
      <c r="J58" s="221"/>
      <c r="K58" s="222"/>
      <c r="L58" s="221"/>
      <c r="M58" s="120"/>
      <c r="N58" s="121"/>
    </row>
    <row r="59" spans="1:14" ht="10.5">
      <c r="A59" s="171"/>
      <c r="B59" s="223" t="s">
        <v>32</v>
      </c>
      <c r="C59" s="142">
        <v>8065.21668312</v>
      </c>
      <c r="D59" s="158">
        <v>40133.8343503</v>
      </c>
      <c r="E59" s="158">
        <v>45415.84254412</v>
      </c>
      <c r="F59" s="132">
        <f t="shared" si="0"/>
        <v>3.976163186575958</v>
      </c>
      <c r="G59" s="133">
        <f>E59/D59-1</f>
        <v>0.1316098568533739</v>
      </c>
      <c r="H59" s="167"/>
      <c r="I59" s="223" t="s">
        <v>32</v>
      </c>
      <c r="J59" s="142">
        <v>79428.35802425</v>
      </c>
      <c r="K59" s="158">
        <v>469195.33195453003</v>
      </c>
      <c r="L59" s="164">
        <v>515731.58691069996</v>
      </c>
      <c r="M59" s="133">
        <f aca="true" t="shared" si="9" ref="M59:N61">K59/J59-1</f>
        <v>4.90715134525734</v>
      </c>
      <c r="N59" s="133">
        <f t="shared" si="9"/>
        <v>0.09918311583006068</v>
      </c>
    </row>
    <row r="60" spans="1:14" ht="10.5">
      <c r="A60" s="171"/>
      <c r="B60" s="223" t="s">
        <v>11</v>
      </c>
      <c r="C60" s="143">
        <v>2019.1141715699998</v>
      </c>
      <c r="D60" s="224">
        <v>22832.700354470002</v>
      </c>
      <c r="E60" s="143">
        <v>15609.5087366</v>
      </c>
      <c r="F60" s="134">
        <f t="shared" si="0"/>
        <v>10.30827601329548</v>
      </c>
      <c r="G60" s="135">
        <f t="shared" si="0"/>
        <v>-0.31635292828848005</v>
      </c>
      <c r="H60" s="167"/>
      <c r="I60" s="223" t="s">
        <v>11</v>
      </c>
      <c r="J60" s="143">
        <v>50672.41933434</v>
      </c>
      <c r="K60" s="165">
        <v>152940.32150906</v>
      </c>
      <c r="L60" s="166">
        <v>274290.35831787006</v>
      </c>
      <c r="M60" s="135">
        <f t="shared" si="9"/>
        <v>2.0182162904034557</v>
      </c>
      <c r="N60" s="135">
        <f t="shared" si="9"/>
        <v>0.7934469838395195</v>
      </c>
    </row>
    <row r="61" spans="1:14" ht="10.5">
      <c r="A61" s="171"/>
      <c r="B61" s="225" t="s">
        <v>137</v>
      </c>
      <c r="C61" s="144">
        <v>20863.79816731</v>
      </c>
      <c r="D61" s="159">
        <v>7778.64661637</v>
      </c>
      <c r="E61" s="159">
        <v>16739.57421803</v>
      </c>
      <c r="F61" s="136">
        <f t="shared" si="0"/>
        <v>-0.6271701559806206</v>
      </c>
      <c r="G61" s="137">
        <f t="shared" si="0"/>
        <v>1.151990576715738</v>
      </c>
      <c r="H61" s="167"/>
      <c r="I61" s="223" t="s">
        <v>137</v>
      </c>
      <c r="J61" s="144">
        <v>223278.63337447</v>
      </c>
      <c r="K61" s="159">
        <v>131294.62404690997</v>
      </c>
      <c r="L61" s="145">
        <v>231689.76423407</v>
      </c>
      <c r="M61" s="137">
        <f t="shared" si="9"/>
        <v>-0.41196960021378204</v>
      </c>
      <c r="N61" s="137">
        <f t="shared" si="9"/>
        <v>0.7646553765315636</v>
      </c>
    </row>
    <row r="62" spans="1:14" ht="10.5">
      <c r="A62" s="171"/>
      <c r="B62" s="225" t="s">
        <v>138</v>
      </c>
      <c r="C62" s="144">
        <v>0</v>
      </c>
      <c r="D62" s="159">
        <v>6608.472961</v>
      </c>
      <c r="E62" s="159">
        <v>0</v>
      </c>
      <c r="F62" s="136">
        <v>0</v>
      </c>
      <c r="G62" s="137">
        <v>0</v>
      </c>
      <c r="H62" s="226"/>
      <c r="I62" s="227" t="s">
        <v>138</v>
      </c>
      <c r="J62" s="144">
        <v>81608.472961</v>
      </c>
      <c r="K62" s="159">
        <v>6534.948945</v>
      </c>
      <c r="L62" s="145">
        <v>7610.13509</v>
      </c>
      <c r="M62" s="146">
        <v>0</v>
      </c>
      <c r="N62" s="137">
        <v>0</v>
      </c>
    </row>
    <row r="63" spans="2:23" ht="35.25" customHeight="1">
      <c r="B63" s="238"/>
      <c r="C63" s="239"/>
      <c r="D63" s="239"/>
      <c r="E63" s="239"/>
      <c r="F63" s="239"/>
      <c r="G63" s="239"/>
      <c r="H63" s="239"/>
      <c r="I63" s="239"/>
      <c r="J63" s="239"/>
      <c r="K63" s="239"/>
      <c r="L63" s="239"/>
      <c r="M63" s="239"/>
      <c r="N63" s="239"/>
      <c r="O63" s="147"/>
      <c r="P63" s="147"/>
      <c r="Q63" s="147"/>
      <c r="R63" s="147"/>
      <c r="S63" s="147"/>
      <c r="T63" s="147"/>
      <c r="U63" s="147"/>
      <c r="V63" s="147"/>
      <c r="W63" s="147"/>
    </row>
    <row r="65" spans="11:12" ht="9.75">
      <c r="K65" s="228"/>
      <c r="L65" s="228"/>
    </row>
    <row r="67" spans="11:12" ht="9.75">
      <c r="K67" s="228"/>
      <c r="L67" s="228"/>
    </row>
    <row r="69" ht="9.75">
      <c r="K69" s="228"/>
    </row>
    <row r="72" spans="11:12" ht="9.75">
      <c r="K72" s="228"/>
      <c r="L72" s="228"/>
    </row>
  </sheetData>
  <sheetProtection/>
  <mergeCells count="11">
    <mergeCell ref="B4:G4"/>
    <mergeCell ref="I4:N4"/>
    <mergeCell ref="B63:N63"/>
    <mergeCell ref="B2:G2"/>
    <mergeCell ref="I2:N2"/>
    <mergeCell ref="F7:G7"/>
    <mergeCell ref="M7:N7"/>
    <mergeCell ref="B5:G5"/>
    <mergeCell ref="I5:N5"/>
    <mergeCell ref="B3:G3"/>
    <mergeCell ref="I3:N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Ana Miriam Araya Porras</cp:lastModifiedBy>
  <cp:lastPrinted>2019-02-06T16:15:30Z</cp:lastPrinted>
  <dcterms:created xsi:type="dcterms:W3CDTF">1996-11-27T10:00:04Z</dcterms:created>
  <dcterms:modified xsi:type="dcterms:W3CDTF">2023-02-07T23:13:03Z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ContentTypeId">
    <vt:lpwstr>0x010100055897E2559D2945A60BBF43CA6D3644</vt:lpwstr>
  </property>
</Properties>
</file>