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0995" windowHeight="7200" activeTab="1"/>
  </bookViews>
  <sheets>
    <sheet name="SIMPLE" sheetId="1" r:id="rId1"/>
    <sheet name="ACUMULADO" sheetId="2" r:id="rId2"/>
    <sheet name="Ingresos" sheetId="3" r:id="rId3"/>
  </sheets>
  <externalReferences>
    <externalReference r:id="rId6"/>
  </externalReferences>
  <definedNames>
    <definedName name="\a">#REF!</definedName>
    <definedName name="ANITA">#REF!</definedName>
    <definedName name="_xlnm.Print_Area" localSheetId="1">'ACUMULADO'!$A$1:$AE$86</definedName>
    <definedName name="_xlnm.Print_Area" localSheetId="0">'SIMPLE'!$A$1:$AE$86</definedName>
    <definedName name="BERNA">#REF!</definedName>
    <definedName name="INGRE">#REF!</definedName>
    <definedName name="J">#REF!</definedName>
    <definedName name="NOTAS">#REF!</definedName>
    <definedName name="PASA">#REF!</definedName>
    <definedName name="REES">#REF!</definedName>
    <definedName name="RESU">#REF!</definedName>
    <definedName name="tabla">#REF!</definedName>
  </definedNames>
  <calcPr calcMode="manual" fullCalcOnLoad="1"/>
</workbook>
</file>

<file path=xl/sharedStrings.xml><?xml version="1.0" encoding="utf-8"?>
<sst xmlns="http://schemas.openxmlformats.org/spreadsheetml/2006/main" count="296" uniqueCount="142">
  <si>
    <t>CONCEPTO</t>
  </si>
  <si>
    <t>GASTOS CORRIENTES</t>
  </si>
  <si>
    <t xml:space="preserve">    Sueldos y Salarios</t>
  </si>
  <si>
    <t xml:space="preserve">         Deuda Interna</t>
  </si>
  <si>
    <t xml:space="preserve">         Deuda externa</t>
  </si>
  <si>
    <t xml:space="preserve">    Transferencias</t>
  </si>
  <si>
    <t xml:space="preserve">         Sector Privado </t>
  </si>
  <si>
    <t xml:space="preserve">         Sector Publico</t>
  </si>
  <si>
    <t xml:space="preserve">         Sector Externo</t>
  </si>
  <si>
    <t>GASTOS DE CAPITAL</t>
  </si>
  <si>
    <t xml:space="preserve">INGRESOS TOTALES </t>
  </si>
  <si>
    <t xml:space="preserve"> II- Ingresos de Capital:</t>
  </si>
  <si>
    <t>I-3  Ingresos no Tributarios</t>
  </si>
  <si>
    <t xml:space="preserve">    Inversion </t>
  </si>
  <si>
    <t>Transferencias ctes con recurso externo</t>
  </si>
  <si>
    <t>Transferencias capital con recurso externo</t>
  </si>
  <si>
    <t>Gasto Total sin Intereses</t>
  </si>
  <si>
    <t xml:space="preserve">    Intereses    </t>
  </si>
  <si>
    <t>1 - 3</t>
  </si>
  <si>
    <t>1 - 2</t>
  </si>
  <si>
    <t>VARIACION</t>
  </si>
  <si>
    <t>SUP/ DÉFICIT  FINANCIERO.</t>
  </si>
  <si>
    <t>DEF/SUPERÁVIT PRIMARIO</t>
  </si>
  <si>
    <t>Impuesto a los ingresos y utilidades</t>
  </si>
  <si>
    <t>Sobre importaciones</t>
  </si>
  <si>
    <t>Sobre exportaciones</t>
  </si>
  <si>
    <t>Ventas</t>
  </si>
  <si>
    <t>Interno</t>
  </si>
  <si>
    <t>Aduanas</t>
  </si>
  <si>
    <t>Consumo</t>
  </si>
  <si>
    <t>I-1  Ingresos Tributarios</t>
  </si>
  <si>
    <t>I-   Ingresos Corrientes</t>
  </si>
  <si>
    <t>Otros ingresos tributarios</t>
  </si>
  <si>
    <t>I-2 Contribuciones Sociales</t>
  </si>
  <si>
    <t>I-4  Transferencias</t>
  </si>
  <si>
    <t>Arancel:</t>
  </si>
  <si>
    <t>1% Valor Aduanero:</t>
  </si>
  <si>
    <t xml:space="preserve"> Por Caja Banano Exportada</t>
  </si>
  <si>
    <t>Der.de Exp.ad/valorem</t>
  </si>
  <si>
    <t>Transferencias con recurso externo</t>
  </si>
  <si>
    <t>FINANCIAMIENTO</t>
  </si>
  <si>
    <t>Remuneraciones</t>
  </si>
  <si>
    <t xml:space="preserve">   Interno Neto</t>
  </si>
  <si>
    <t xml:space="preserve">   Externo Neto</t>
  </si>
  <si>
    <t>en millones de colones</t>
  </si>
  <si>
    <t>INGRESO, GASTO Y FINANCIAMIENTO DEL GOBIERNO CENTRAL</t>
  </si>
  <si>
    <r>
      <rPr>
        <b/>
        <sz val="10"/>
        <rFont val="Arial"/>
        <family val="2"/>
      </rPr>
      <t xml:space="preserve">Fuente:  </t>
    </r>
    <r>
      <rPr>
        <sz val="10"/>
        <rFont val="Arial"/>
        <family val="0"/>
      </rPr>
      <t>Cuadro elaborado en la Secretaría Técnica de la Autoridad Presupuestaria, con información suministrada por la Contabilidad Nacional y la Dirección de Crédito Público.</t>
    </r>
  </si>
  <si>
    <t>Acumulado al mes de noviembre</t>
  </si>
  <si>
    <t>Mes de noviembre</t>
  </si>
  <si>
    <t xml:space="preserve"> Impuesto Exportaciones Vía Terrestre</t>
  </si>
  <si>
    <t>% PIB</t>
  </si>
  <si>
    <t>Concesión Neta de Préstamos</t>
  </si>
  <si>
    <t xml:space="preserve">Concesión </t>
  </si>
  <si>
    <t xml:space="preserve">Recuperación </t>
  </si>
  <si>
    <r>
      <t xml:space="preserve">    Transferencias </t>
    </r>
    <r>
      <rPr>
        <vertAlign val="superscript"/>
        <sz val="10"/>
        <rFont val="Arial"/>
        <family val="2"/>
      </rPr>
      <t>1/</t>
    </r>
  </si>
  <si>
    <t>GASTOS TOTALES Y CONCESIÓN NETA</t>
  </si>
  <si>
    <r>
      <t xml:space="preserve">    Cargas Sociales</t>
    </r>
    <r>
      <rPr>
        <vertAlign val="superscript"/>
        <sz val="10"/>
        <rFont val="Arial"/>
        <family val="2"/>
      </rPr>
      <t>5/</t>
    </r>
  </si>
  <si>
    <r>
      <t xml:space="preserve">    Bienes y Servicios</t>
    </r>
    <r>
      <rPr>
        <vertAlign val="superscript"/>
        <sz val="10"/>
        <rFont val="Arial"/>
        <family val="2"/>
      </rPr>
      <t>6/</t>
    </r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</si>
  <si>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Se reclasifica Cuota Patronal de Pensiones y Jubilaciones, Contributivas y no contributivas de sector privado a sector público</t>
    </r>
  </si>
  <si>
    <r>
      <rPr>
        <vertAlign val="superscript"/>
        <sz val="10"/>
        <rFont val="Arial"/>
        <family val="2"/>
      </rPr>
      <t xml:space="preserve">2/ </t>
    </r>
    <r>
      <rPr>
        <sz val="10"/>
        <rFont val="Arial"/>
        <family val="2"/>
      </rPr>
      <t xml:space="preserve"> Para el 2016 se excluyen ¢2437,3 millones y se registran en el renglón transferencias corrientes con recurso externo</t>
    </r>
  </si>
  <si>
    <r>
      <rPr>
        <vertAlign val="superscript"/>
        <sz val="10"/>
        <rFont val="Arial"/>
        <family val="2"/>
      </rPr>
      <t xml:space="preserve">3/ </t>
    </r>
    <r>
      <rPr>
        <sz val="10"/>
        <rFont val="Arial"/>
        <family val="2"/>
      </rPr>
      <t xml:space="preserve"> Para el 2016 se excluyen ¢3,075,3 millones y se registran en el renglón transferencias de capital con recurso externo</t>
    </r>
  </si>
  <si>
    <r>
      <rPr>
        <vertAlign val="superscript"/>
        <sz val="10"/>
        <rFont val="Arial"/>
        <family val="2"/>
      </rPr>
      <t xml:space="preserve">5/ </t>
    </r>
    <r>
      <rPr>
        <sz val="10"/>
        <rFont val="Arial"/>
        <family val="2"/>
      </rPr>
      <t xml:space="preserve"> A partir de enero 2020 los egresos de las cargas sociales de los programas 327-328- 329 del Ministerio de Obras Públicas y Transportes (MOPT), se capitalizan, por lo que se incluyen en el rubro de inversión</t>
    </r>
  </si>
  <si>
    <r>
      <rPr>
        <vertAlign val="superscript"/>
        <sz val="10"/>
        <rFont val="Arial"/>
        <family val="2"/>
      </rPr>
      <t>6/</t>
    </r>
    <r>
      <rPr>
        <sz val="10"/>
        <rFont val="Arial"/>
        <family val="2"/>
      </rPr>
      <t xml:space="preserve"> Los egresos de bienes y servicios del programa 797 de Ministerio de Comercio Exterior a partir de enero 2020 se capitalizan y se incluyen en el rubro de inversión</t>
    </r>
  </si>
  <si>
    <r>
      <t xml:space="preserve">PIB </t>
    </r>
    <r>
      <rPr>
        <vertAlign val="superscript"/>
        <sz val="10"/>
        <rFont val="Arial"/>
        <family val="2"/>
      </rPr>
      <t>4/</t>
    </r>
  </si>
  <si>
    <r>
      <t>PIB</t>
    </r>
    <r>
      <rPr>
        <vertAlign val="superscript"/>
        <sz val="10"/>
        <rFont val="Arial"/>
        <family val="2"/>
      </rPr>
      <t xml:space="preserve"> 4/</t>
    </r>
  </si>
  <si>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En el 2020 la transferencia del FEES incluyen un monto de ¢44,560,1 con recurso externo y  a la CCSS por ¢14,821,8</t>
    </r>
  </si>
  <si>
    <t xml:space="preserve">         Sector Publico </t>
  </si>
  <si>
    <r>
      <t xml:space="preserve">         Sector Publico </t>
    </r>
    <r>
      <rPr>
        <vertAlign val="superscript"/>
        <sz val="10"/>
        <rFont val="Arial"/>
        <family val="2"/>
      </rPr>
      <t>7/</t>
    </r>
  </si>
  <si>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En el mes de noviembre 2020 la transferencia del FEES incluyen un monto de ¢36,112,4 con recurso externo y a la CCSS por ¢14.821,8</t>
    </r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</si>
  <si>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</si>
  <si>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</si>
  <si>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</si>
  <si>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</si>
  <si>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</si>
  <si>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</si>
  <si>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</si>
  <si>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</si>
  <si>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</si>
  <si>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</si>
  <si>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</si>
  <si>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17/19</t>
  </si>
  <si>
    <t>18/19</t>
  </si>
  <si>
    <t>19/20</t>
  </si>
  <si>
    <t>20/21</t>
  </si>
  <si>
    <t>21/22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</si>
  <si>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 Según el PIB publicado por el Banco Central  en octubre 2022, proyección 2022-2023 utilizada en el informe de Política Monetaria  de octubre 2022, aprobado por la Junta Directiva en el artículo 7 del acta de la sesión 6088-2022, el 26 de octubre de 2022.</t>
    </r>
  </si>
  <si>
    <r>
      <rPr>
        <vertAlign val="superscript"/>
        <sz val="10"/>
        <rFont val="Arial"/>
        <family val="2"/>
      </rPr>
      <t xml:space="preserve">4/ </t>
    </r>
    <r>
      <rPr>
        <sz val="10"/>
        <rFont val="Arial"/>
        <family val="2"/>
      </rPr>
      <t>Según el PIB publicado por el Banco Central  en octubre 2022, proyección 2022-2023 utilizada en el informe de Política Monetaria  de octubre 2022, aprobado por la Junta Directiva en el artículo 7 del acta de la sesión 6088-2022, el 26 de octubre de 2022.</t>
    </r>
  </si>
  <si>
    <t xml:space="preserve"> </t>
  </si>
  <si>
    <t>GOBIERNO CENTRAL DE COSTA RICA</t>
  </si>
  <si>
    <t>PRINCIPALES INGRESOS</t>
  </si>
  <si>
    <t>COMPARATIVOS MES NOVIEMBRE</t>
  </si>
  <si>
    <t>COMPARATIVOS ACUMULADO AL MES DE NOVIEMBRE</t>
  </si>
  <si>
    <t>(en millones de colones)</t>
  </si>
  <si>
    <t>Variacion</t>
  </si>
  <si>
    <t>INGRESOS TOTALES:</t>
  </si>
  <si>
    <t>Ingresos Corrientes:</t>
  </si>
  <si>
    <t>I-1 Ingresos Tributarios :</t>
  </si>
  <si>
    <t>I-1.1   Impuesto a los ingresos y utilidades</t>
  </si>
  <si>
    <t xml:space="preserve">       - Ingresos y Utilidades a Personas Físicas</t>
  </si>
  <si>
    <t xml:space="preserve">       - Ingresos y Utilidades a Personas Jurídicas</t>
  </si>
  <si>
    <t xml:space="preserve">       - Dividendos e Intereses s/ Títulos valores</t>
  </si>
  <si>
    <t xml:space="preserve">       - Remesas al Exterior</t>
  </si>
  <si>
    <t xml:space="preserve">       - Bancos y Entidades Financ no domiciliadas</t>
  </si>
  <si>
    <t xml:space="preserve">I-1.2   Impuestos a la propiedad </t>
  </si>
  <si>
    <t xml:space="preserve">            Propiedad de vehículos</t>
  </si>
  <si>
    <t xml:space="preserve">            Imp Solidario Vivienda</t>
  </si>
  <si>
    <t xml:space="preserve">            Imp. Sociedades Anónimas</t>
  </si>
  <si>
    <t>I-1.3  Sobre Importaciones :</t>
  </si>
  <si>
    <t xml:space="preserve">           I-1.3.1  Arancel:</t>
  </si>
  <si>
    <t xml:space="preserve">           I-1.3.2 1% Valor Aduanero:</t>
  </si>
  <si>
    <t>I-1.4  Sobre Exportaciones :</t>
  </si>
  <si>
    <t xml:space="preserve">           I-1.4.1  Por Caja Banano Exportada</t>
  </si>
  <si>
    <t xml:space="preserve">           I-1.4.2  Der.de Exp.ad/valorem</t>
  </si>
  <si>
    <t xml:space="preserve">           I-1.4.3  Imp Exp vía terrestre</t>
  </si>
  <si>
    <t xml:space="preserve">I-1.5  Ventas: </t>
  </si>
  <si>
    <t xml:space="preserve">           I-1.5.1  Interno</t>
  </si>
  <si>
    <t xml:space="preserve">           I-1.5.2  Aduanas:</t>
  </si>
  <si>
    <t xml:space="preserve">I-1.6  Consumo: </t>
  </si>
  <si>
    <t xml:space="preserve">           I-1.6.1  Interno</t>
  </si>
  <si>
    <t xml:space="preserve">           I-1.6.2  Aduanas:</t>
  </si>
  <si>
    <t>I-1.7  Otros Indirectos :</t>
  </si>
  <si>
    <t xml:space="preserve">    Impuesto unico combustibles</t>
  </si>
  <si>
    <t xml:space="preserve">    Impuesto bebidas no alcohólicas</t>
  </si>
  <si>
    <t xml:space="preserve">    Impuesto jabón de tocador</t>
  </si>
  <si>
    <t xml:space="preserve">    Impuesto bebidas alcohólicas</t>
  </si>
  <si>
    <t xml:space="preserve">    Imp.Prod.Tabaco </t>
  </si>
  <si>
    <t xml:space="preserve">    Traspaso vehículos usados</t>
  </si>
  <si>
    <t xml:space="preserve">    Traspaso bienes inmuebles</t>
  </si>
  <si>
    <t xml:space="preserve">    Timbre Fiscal</t>
  </si>
  <si>
    <t xml:space="preserve">    Derechos de Salida del Territorio Nacional</t>
  </si>
  <si>
    <t xml:space="preserve">    Derechos Consulares</t>
  </si>
  <si>
    <t xml:space="preserve">    Impuestos Ley de Migración y Extranjeria </t>
  </si>
  <si>
    <t xml:space="preserve">    Otros Ingresos Tributarios</t>
  </si>
  <si>
    <t xml:space="preserve">    Otros Ingresos tributarios diversos internos</t>
  </si>
  <si>
    <t xml:space="preserve">    Otros Ingresos tributarios diversos aduanas</t>
  </si>
  <si>
    <t>I-4 Transferencias</t>
  </si>
  <si>
    <t>II- Ingresos de Capital:</t>
  </si>
  <si>
    <t>Otros Ingresos tributarios diversos internos</t>
  </si>
  <si>
    <t>Otros Ingresos tributarios diversos aduanas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</si>
  <si>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</si>
  <si>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Cifras del mes de noviembre 2016  - 2022 (Preliminar)</t>
  </si>
  <si>
    <t>Cifras acumuladas al mes de noviembre 2016  - 2022 (Preliminar)</t>
  </si>
</sst>
</file>

<file path=xl/styles.xml><?xml version="1.0" encoding="utf-8"?>
<styleSheet xmlns="http://schemas.openxmlformats.org/spreadsheetml/2006/main">
  <numFmts count="5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\ _p_t_a"/>
    <numFmt numFmtId="195" formatCode="0.0"/>
    <numFmt numFmtId="196" formatCode="_-* #,##0.0\ _p_t_a_-;\-* #,##0.0\ _p_t_a_-;_-* &quot;-&quot;\ _p_t_a_-;_-@_-"/>
    <numFmt numFmtId="197" formatCode="0.000000000000"/>
    <numFmt numFmtId="198" formatCode="0.00000000000"/>
    <numFmt numFmtId="199" formatCode="#,##0.0"/>
    <numFmt numFmtId="200" formatCode="#,##0.0_);\(#,##0.0\)"/>
    <numFmt numFmtId="201" formatCode="0.0%"/>
    <numFmt numFmtId="202" formatCode="_-* #,##0.0_-;\-* #,##0.0_-;_-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double"/>
      <sz val="8"/>
      <name val="Arial"/>
      <family val="2"/>
    </font>
    <font>
      <sz val="10"/>
      <color indexed="49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199" fontId="0" fillId="0" borderId="0" xfId="0" applyNumberFormat="1" applyFont="1" applyFill="1" applyAlignment="1">
      <alignment/>
    </xf>
    <xf numFmtId="19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199" fontId="2" fillId="0" borderId="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194" fontId="0" fillId="0" borderId="0" xfId="0" applyNumberFormat="1" applyFont="1" applyAlignment="1">
      <alignment/>
    </xf>
    <xf numFmtId="193" fontId="0" fillId="0" borderId="0" xfId="50" applyFont="1" applyAlignment="1">
      <alignment/>
    </xf>
    <xf numFmtId="0" fontId="0" fillId="0" borderId="10" xfId="0" applyFont="1" applyBorder="1" applyAlignment="1">
      <alignment/>
    </xf>
    <xf numFmtId="194" fontId="0" fillId="0" borderId="10" xfId="0" applyNumberFormat="1" applyFont="1" applyBorder="1" applyAlignment="1">
      <alignment/>
    </xf>
    <xf numFmtId="19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94" fontId="0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99" fontId="4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2"/>
    </xf>
    <xf numFmtId="194" fontId="6" fillId="0" borderId="0" xfId="0" applyNumberFormat="1" applyFont="1" applyBorder="1" applyAlignment="1">
      <alignment/>
    </xf>
    <xf numFmtId="199" fontId="0" fillId="0" borderId="0" xfId="0" applyNumberFormat="1" applyFont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8" fillId="0" borderId="0" xfId="0" applyNumberFormat="1" applyFont="1" applyFill="1" applyBorder="1" applyAlignment="1">
      <alignment/>
    </xf>
    <xf numFmtId="199" fontId="2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/>
    </xf>
    <xf numFmtId="199" fontId="0" fillId="0" borderId="0" xfId="0" applyNumberFormat="1" applyFont="1" applyFill="1" applyBorder="1" applyAlignment="1">
      <alignment horizontal="left" indent="1"/>
    </xf>
    <xf numFmtId="199" fontId="0" fillId="0" borderId="0" xfId="0" applyNumberFormat="1" applyFont="1" applyFill="1" applyBorder="1" applyAlignment="1">
      <alignment horizontal="left" indent="2"/>
    </xf>
    <xf numFmtId="199" fontId="0" fillId="0" borderId="0" xfId="0" applyNumberFormat="1" applyFont="1" applyFill="1" applyBorder="1" applyAlignment="1">
      <alignment horizontal="left" indent="3"/>
    </xf>
    <xf numFmtId="199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199" fontId="0" fillId="0" borderId="0" xfId="0" applyNumberFormat="1" applyFont="1" applyFill="1" applyBorder="1" applyAlignment="1">
      <alignment horizontal="right"/>
    </xf>
    <xf numFmtId="199" fontId="9" fillId="0" borderId="0" xfId="0" applyNumberFormat="1" applyFont="1" applyBorder="1" applyAlignment="1">
      <alignment/>
    </xf>
    <xf numFmtId="201" fontId="5" fillId="0" borderId="0" xfId="62" applyNumberFormat="1" applyFont="1" applyBorder="1" applyAlignment="1">
      <alignment/>
    </xf>
    <xf numFmtId="201" fontId="1" fillId="0" borderId="0" xfId="62" applyNumberFormat="1" applyFont="1" applyBorder="1" applyAlignment="1">
      <alignment/>
    </xf>
    <xf numFmtId="0" fontId="12" fillId="0" borderId="0" xfId="0" applyFont="1" applyBorder="1" applyAlignment="1">
      <alignment/>
    </xf>
    <xf numFmtId="201" fontId="3" fillId="0" borderId="0" xfId="62" applyNumberFormat="1" applyFont="1" applyBorder="1" applyAlignment="1">
      <alignment/>
    </xf>
    <xf numFmtId="194" fontId="1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99" fontId="8" fillId="0" borderId="0" xfId="60" applyNumberFormat="1" applyFont="1" applyFill="1" applyBorder="1" applyAlignment="1">
      <alignment horizontal="left" wrapText="1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199" fontId="0" fillId="0" borderId="0" xfId="0" applyNumberFormat="1" applyFont="1" applyFill="1" applyBorder="1" applyAlignment="1">
      <alignment/>
    </xf>
    <xf numFmtId="199" fontId="8" fillId="0" borderId="0" xfId="55" applyNumberFormat="1" applyFont="1" applyFill="1" applyBorder="1">
      <alignment/>
      <protection/>
    </xf>
    <xf numFmtId="199" fontId="0" fillId="0" borderId="0" xfId="55" applyNumberFormat="1" applyFont="1" applyFill="1" applyBorder="1">
      <alignment/>
      <protection/>
    </xf>
    <xf numFmtId="199" fontId="2" fillId="0" borderId="0" xfId="55" applyNumberFormat="1" applyFont="1" applyBorder="1">
      <alignment/>
      <protection/>
    </xf>
    <xf numFmtId="199" fontId="7" fillId="0" borderId="0" xfId="55" applyNumberFormat="1" applyFont="1" applyFill="1" applyBorder="1">
      <alignment/>
      <protection/>
    </xf>
    <xf numFmtId="199" fontId="2" fillId="0" borderId="0" xfId="55" applyNumberFormat="1" applyFont="1" applyFill="1" applyBorder="1">
      <alignment/>
      <protection/>
    </xf>
    <xf numFmtId="199" fontId="0" fillId="0" borderId="0" xfId="55" applyNumberFormat="1" applyFont="1" applyFill="1" applyBorder="1" applyAlignment="1">
      <alignment horizontal="right"/>
      <protection/>
    </xf>
    <xf numFmtId="201" fontId="14" fillId="0" borderId="0" xfId="62" applyNumberFormat="1" applyFont="1" applyBorder="1" applyAlignment="1">
      <alignment/>
    </xf>
    <xf numFmtId="199" fontId="7" fillId="0" borderId="0" xfId="55" applyNumberFormat="1" applyFont="1" applyBorder="1">
      <alignment/>
      <protection/>
    </xf>
    <xf numFmtId="3" fontId="8" fillId="0" borderId="0" xfId="60" applyNumberFormat="1" applyFont="1">
      <alignment/>
      <protection/>
    </xf>
    <xf numFmtId="199" fontId="2" fillId="0" borderId="0" xfId="0" applyNumberFormat="1" applyFont="1" applyFill="1" applyBorder="1" applyAlignment="1">
      <alignment/>
    </xf>
    <xf numFmtId="199" fontId="0" fillId="0" borderId="0" xfId="60" applyNumberFormat="1" applyFont="1">
      <alignment/>
      <protection/>
    </xf>
    <xf numFmtId="199" fontId="0" fillId="0" borderId="0" xfId="0" applyNumberFormat="1" applyFont="1" applyAlignment="1">
      <alignment/>
    </xf>
    <xf numFmtId="199" fontId="15" fillId="0" borderId="0" xfId="0" applyNumberFormat="1" applyFont="1" applyBorder="1" applyAlignment="1">
      <alignment/>
    </xf>
    <xf numFmtId="201" fontId="59" fillId="0" borderId="0" xfId="62" applyNumberFormat="1" applyFont="1" applyBorder="1" applyAlignment="1">
      <alignment/>
    </xf>
    <xf numFmtId="199" fontId="1" fillId="0" borderId="0" xfId="60" applyNumberFormat="1" applyFont="1">
      <alignment/>
      <protection/>
    </xf>
    <xf numFmtId="199" fontId="1" fillId="0" borderId="0" xfId="60" applyNumberFormat="1" applyFont="1" applyFill="1">
      <alignment/>
      <protection/>
    </xf>
    <xf numFmtId="199" fontId="16" fillId="0" borderId="0" xfId="0" applyNumberFormat="1" applyFont="1" applyFill="1" applyBorder="1" applyAlignment="1">
      <alignment horizontal="right" wrapText="1"/>
    </xf>
    <xf numFmtId="201" fontId="17" fillId="0" borderId="0" xfId="62" applyNumberFormat="1" applyFont="1" applyFill="1" applyBorder="1" applyAlignment="1">
      <alignment horizontal="right" wrapText="1"/>
    </xf>
    <xf numFmtId="4" fontId="58" fillId="0" borderId="0" xfId="0" applyNumberFormat="1" applyFont="1" applyAlignment="1">
      <alignment/>
    </xf>
    <xf numFmtId="199" fontId="8" fillId="0" borderId="0" xfId="60" applyNumberFormat="1" applyFont="1">
      <alignment/>
      <protection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99" fontId="2" fillId="0" borderId="0" xfId="0" applyNumberFormat="1" applyFont="1" applyBorder="1" applyAlignment="1">
      <alignment/>
    </xf>
    <xf numFmtId="201" fontId="1" fillId="0" borderId="0" xfId="62" applyNumberFormat="1" applyFont="1" applyFill="1" applyBorder="1" applyAlignment="1">
      <alignment/>
    </xf>
    <xf numFmtId="0" fontId="1" fillId="0" borderId="0" xfId="58" applyFont="1" applyFill="1">
      <alignment/>
      <protection/>
    </xf>
    <xf numFmtId="0" fontId="1" fillId="0" borderId="0" xfId="58" applyFont="1" applyFill="1" applyBorder="1">
      <alignment/>
      <protection/>
    </xf>
    <xf numFmtId="0" fontId="7" fillId="0" borderId="0" xfId="0" applyFont="1" applyBorder="1" applyAlignment="1">
      <alignment/>
    </xf>
    <xf numFmtId="199" fontId="1" fillId="0" borderId="0" xfId="58" applyNumberFormat="1" applyFont="1" applyFill="1">
      <alignment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199" fontId="0" fillId="0" borderId="10" xfId="60" applyNumberFormat="1" applyFont="1" applyBorder="1">
      <alignment/>
      <protection/>
    </xf>
    <xf numFmtId="49" fontId="3" fillId="16" borderId="12" xfId="58" applyNumberFormat="1" applyFont="1" applyFill="1" applyBorder="1" applyAlignment="1">
      <alignment horizontal="center" wrapText="1"/>
      <protection/>
    </xf>
    <xf numFmtId="49" fontId="3" fillId="16" borderId="13" xfId="58" applyNumberFormat="1" applyFont="1" applyFill="1" applyBorder="1" applyAlignment="1">
      <alignment horizontal="center" wrapText="1"/>
      <protection/>
    </xf>
    <xf numFmtId="201" fontId="3" fillId="0" borderId="14" xfId="62" applyNumberFormat="1" applyFont="1" applyFill="1" applyBorder="1" applyAlignment="1">
      <alignment horizontal="right"/>
    </xf>
    <xf numFmtId="201" fontId="3" fillId="0" borderId="15" xfId="62" applyNumberFormat="1" applyFont="1" applyFill="1" applyBorder="1" applyAlignment="1">
      <alignment horizontal="right"/>
    </xf>
    <xf numFmtId="201" fontId="19" fillId="0" borderId="14" xfId="62" applyNumberFormat="1" applyFont="1" applyFill="1" applyBorder="1" applyAlignment="1">
      <alignment/>
    </xf>
    <xf numFmtId="201" fontId="19" fillId="0" borderId="15" xfId="62" applyNumberFormat="1" applyFont="1" applyFill="1" applyBorder="1" applyAlignment="1">
      <alignment/>
    </xf>
    <xf numFmtId="201" fontId="3" fillId="0" borderId="16" xfId="62" applyNumberFormat="1" applyFont="1" applyFill="1" applyBorder="1" applyAlignment="1">
      <alignment/>
    </xf>
    <xf numFmtId="201" fontId="3" fillId="0" borderId="12" xfId="62" applyNumberFormat="1" applyFont="1" applyFill="1" applyBorder="1" applyAlignment="1">
      <alignment/>
    </xf>
    <xf numFmtId="201" fontId="3" fillId="0" borderId="17" xfId="62" applyNumberFormat="1" applyFont="1" applyFill="1" applyBorder="1" applyAlignment="1">
      <alignment/>
    </xf>
    <xf numFmtId="201" fontId="5" fillId="16" borderId="18" xfId="62" applyNumberFormat="1" applyFont="1" applyFill="1" applyBorder="1" applyAlignment="1">
      <alignment/>
    </xf>
    <xf numFmtId="201" fontId="5" fillId="16" borderId="17" xfId="62" applyNumberFormat="1" applyFont="1" applyFill="1" applyBorder="1" applyAlignment="1">
      <alignment/>
    </xf>
    <xf numFmtId="199" fontId="5" fillId="33" borderId="17" xfId="59" applyNumberFormat="1" applyFont="1" applyFill="1" applyBorder="1">
      <alignment/>
      <protection/>
    </xf>
    <xf numFmtId="199" fontId="3" fillId="0" borderId="19" xfId="63" applyNumberFormat="1" applyFont="1" applyFill="1" applyBorder="1" applyAlignment="1">
      <alignment/>
    </xf>
    <xf numFmtId="199" fontId="3" fillId="0" borderId="20" xfId="63" applyNumberFormat="1" applyFont="1" applyFill="1" applyBorder="1" applyAlignment="1">
      <alignment/>
    </xf>
    <xf numFmtId="201" fontId="3" fillId="0" borderId="21" xfId="62" applyNumberFormat="1" applyFont="1" applyFill="1" applyBorder="1" applyAlignment="1">
      <alignment/>
    </xf>
    <xf numFmtId="201" fontId="3" fillId="0" borderId="19" xfId="62" applyNumberFormat="1" applyFont="1" applyFill="1" applyBorder="1" applyAlignment="1">
      <alignment/>
    </xf>
    <xf numFmtId="201" fontId="5" fillId="0" borderId="21" xfId="62" applyNumberFormat="1" applyFont="1" applyFill="1" applyBorder="1" applyAlignment="1">
      <alignment/>
    </xf>
    <xf numFmtId="201" fontId="5" fillId="0" borderId="19" xfId="62" applyNumberFormat="1" applyFont="1" applyFill="1" applyBorder="1" applyAlignment="1">
      <alignment/>
    </xf>
    <xf numFmtId="199" fontId="1" fillId="0" borderId="19" xfId="63" applyNumberFormat="1" applyFont="1" applyFill="1" applyBorder="1" applyAlignment="1">
      <alignment/>
    </xf>
    <xf numFmtId="199" fontId="1" fillId="0" borderId="20" xfId="63" applyNumberFormat="1" applyFont="1" applyFill="1" applyBorder="1" applyAlignment="1">
      <alignment/>
    </xf>
    <xf numFmtId="201" fontId="1" fillId="0" borderId="21" xfId="62" applyNumberFormat="1" applyFont="1" applyFill="1" applyBorder="1" applyAlignment="1">
      <alignment/>
    </xf>
    <xf numFmtId="201" fontId="1" fillId="0" borderId="19" xfId="62" applyNumberFormat="1" applyFont="1" applyFill="1" applyBorder="1" applyAlignment="1">
      <alignment/>
    </xf>
    <xf numFmtId="201" fontId="1" fillId="0" borderId="21" xfId="62" applyNumberFormat="1" applyFont="1" applyFill="1" applyBorder="1" applyAlignment="1">
      <alignment/>
    </xf>
    <xf numFmtId="201" fontId="1" fillId="0" borderId="19" xfId="62" applyNumberFormat="1" applyFont="1" applyFill="1" applyBorder="1" applyAlignment="1">
      <alignment/>
    </xf>
    <xf numFmtId="201" fontId="5" fillId="0" borderId="17" xfId="62" applyNumberFormat="1" applyFont="1" applyFill="1" applyBorder="1" applyAlignment="1">
      <alignment/>
    </xf>
    <xf numFmtId="201" fontId="5" fillId="0" borderId="22" xfId="62" applyNumberFormat="1" applyFont="1" applyFill="1" applyBorder="1" applyAlignment="1">
      <alignment/>
    </xf>
    <xf numFmtId="201" fontId="5" fillId="0" borderId="23" xfId="62" applyNumberFormat="1" applyFont="1" applyFill="1" applyBorder="1" applyAlignment="1">
      <alignment/>
    </xf>
    <xf numFmtId="201" fontId="1" fillId="0" borderId="20" xfId="62" applyNumberFormat="1" applyFont="1" applyFill="1" applyBorder="1" applyAlignment="1">
      <alignment/>
    </xf>
    <xf numFmtId="199" fontId="1" fillId="0" borderId="15" xfId="63" applyNumberFormat="1" applyFont="1" applyFill="1" applyBorder="1" applyAlignment="1">
      <alignment/>
    </xf>
    <xf numFmtId="201" fontId="1" fillId="0" borderId="15" xfId="62" applyNumberFormat="1" applyFont="1" applyFill="1" applyBorder="1" applyAlignment="1">
      <alignment/>
    </xf>
    <xf numFmtId="201" fontId="1" fillId="0" borderId="13" xfId="62" applyNumberFormat="1" applyFont="1" applyFill="1" applyBorder="1" applyAlignment="1">
      <alignment/>
    </xf>
    <xf numFmtId="199" fontId="1" fillId="0" borderId="13" xfId="63" applyNumberFormat="1" applyFont="1" applyFill="1" applyBorder="1" applyAlignment="1">
      <alignment/>
    </xf>
    <xf numFmtId="201" fontId="1" fillId="0" borderId="11" xfId="62" applyNumberFormat="1" applyFont="1" applyFill="1" applyBorder="1" applyAlignment="1">
      <alignment/>
    </xf>
    <xf numFmtId="201" fontId="5" fillId="0" borderId="21" xfId="62" applyNumberFormat="1" applyFont="1" applyFill="1" applyBorder="1" applyAlignment="1">
      <alignment/>
    </xf>
    <xf numFmtId="201" fontId="5" fillId="0" borderId="19" xfId="62" applyNumberFormat="1" applyFont="1" applyFill="1" applyBorder="1" applyAlignment="1">
      <alignment/>
    </xf>
    <xf numFmtId="201" fontId="5" fillId="0" borderId="0" xfId="62" applyNumberFormat="1" applyFont="1" applyFill="1" applyBorder="1" applyAlignment="1">
      <alignment/>
    </xf>
    <xf numFmtId="201" fontId="5" fillId="0" borderId="18" xfId="62" applyNumberFormat="1" applyFont="1" applyFill="1" applyBorder="1" applyAlignment="1">
      <alignment/>
    </xf>
    <xf numFmtId="201" fontId="1" fillId="0" borderId="14" xfId="62" applyNumberFormat="1" applyFont="1" applyFill="1" applyBorder="1" applyAlignment="1">
      <alignment/>
    </xf>
    <xf numFmtId="199" fontId="1" fillId="33" borderId="17" xfId="63" applyNumberFormat="1" applyFont="1" applyFill="1" applyBorder="1" applyAlignment="1">
      <alignment/>
    </xf>
    <xf numFmtId="201" fontId="1" fillId="16" borderId="23" xfId="62" applyNumberFormat="1" applyFont="1" applyFill="1" applyBorder="1" applyAlignment="1">
      <alignment/>
    </xf>
    <xf numFmtId="201" fontId="1" fillId="16" borderId="17" xfId="62" applyNumberFormat="1" applyFont="1" applyFill="1" applyBorder="1" applyAlignment="1">
      <alignment/>
    </xf>
    <xf numFmtId="199" fontId="1" fillId="33" borderId="19" xfId="63" applyNumberFormat="1" applyFont="1" applyFill="1" applyBorder="1" applyAlignment="1">
      <alignment/>
    </xf>
    <xf numFmtId="201" fontId="1" fillId="16" borderId="0" xfId="62" applyNumberFormat="1" applyFont="1" applyFill="1" applyBorder="1" applyAlignment="1">
      <alignment/>
    </xf>
    <xf numFmtId="201" fontId="1" fillId="16" borderId="19" xfId="62" applyNumberFormat="1" applyFont="1" applyFill="1" applyBorder="1" applyAlignment="1">
      <alignment/>
    </xf>
    <xf numFmtId="199" fontId="1" fillId="33" borderId="15" xfId="63" applyNumberFormat="1" applyFont="1" applyFill="1" applyBorder="1" applyAlignment="1">
      <alignment/>
    </xf>
    <xf numFmtId="201" fontId="1" fillId="16" borderId="11" xfId="62" applyNumberFormat="1" applyFont="1" applyFill="1" applyBorder="1" applyAlignment="1">
      <alignment/>
    </xf>
    <xf numFmtId="201" fontId="1" fillId="16" borderId="15" xfId="62" applyNumberFormat="1" applyFont="1" applyFill="1" applyBorder="1" applyAlignment="1">
      <alignment/>
    </xf>
    <xf numFmtId="199" fontId="5" fillId="33" borderId="20" xfId="59" applyNumberFormat="1" applyFont="1" applyFill="1" applyBorder="1">
      <alignment/>
      <protection/>
    </xf>
    <xf numFmtId="199" fontId="1" fillId="16" borderId="22" xfId="63" applyNumberFormat="1" applyFont="1" applyFill="1" applyBorder="1" applyAlignment="1">
      <alignment/>
    </xf>
    <xf numFmtId="199" fontId="1" fillId="16" borderId="20" xfId="63" applyNumberFormat="1" applyFont="1" applyFill="1" applyBorder="1" applyAlignment="1">
      <alignment/>
    </xf>
    <xf numFmtId="199" fontId="1" fillId="16" borderId="13" xfId="63" applyNumberFormat="1" applyFont="1" applyFill="1" applyBorder="1" applyAlignment="1">
      <alignment/>
    </xf>
    <xf numFmtId="201" fontId="1" fillId="16" borderId="12" xfId="62" applyNumberFormat="1" applyFont="1" applyFill="1" applyBorder="1" applyAlignment="1">
      <alignment/>
    </xf>
    <xf numFmtId="194" fontId="60" fillId="0" borderId="0" xfId="0" applyNumberFormat="1" applyFont="1" applyBorder="1" applyAlignment="1">
      <alignment/>
    </xf>
    <xf numFmtId="199" fontId="8" fillId="0" borderId="0" xfId="60" applyNumberFormat="1" applyFont="1" applyAlignment="1">
      <alignment horizontal="left" indent="1"/>
      <protection/>
    </xf>
    <xf numFmtId="16" fontId="3" fillId="0" borderId="11" xfId="0" applyNumberFormat="1" applyFont="1" applyBorder="1" applyAlignment="1">
      <alignment horizontal="center"/>
    </xf>
    <xf numFmtId="199" fontId="5" fillId="33" borderId="22" xfId="59" applyNumberFormat="1" applyFont="1" applyFill="1" applyBorder="1">
      <alignment/>
      <protection/>
    </xf>
    <xf numFmtId="199" fontId="5" fillId="16" borderId="17" xfId="58" applyNumberFormat="1" applyFont="1" applyFill="1" applyBorder="1">
      <alignment/>
      <protection/>
    </xf>
    <xf numFmtId="199" fontId="1" fillId="33" borderId="22" xfId="63" applyNumberFormat="1" applyFont="1" applyFill="1" applyBorder="1" applyAlignment="1">
      <alignment/>
    </xf>
    <xf numFmtId="199" fontId="1" fillId="33" borderId="20" xfId="63" applyNumberFormat="1" applyFont="1" applyFill="1" applyBorder="1" applyAlignment="1">
      <alignment/>
    </xf>
    <xf numFmtId="199" fontId="1" fillId="33" borderId="13" xfId="63" applyNumberFormat="1" applyFont="1" applyFill="1" applyBorder="1" applyAlignment="1">
      <alignment/>
    </xf>
    <xf numFmtId="201" fontId="0" fillId="0" borderId="0" xfId="62" applyNumberFormat="1" applyFont="1" applyAlignment="1">
      <alignment/>
    </xf>
    <xf numFmtId="0" fontId="5" fillId="0" borderId="10" xfId="0" applyFont="1" applyBorder="1" applyAlignment="1">
      <alignment/>
    </xf>
    <xf numFmtId="0" fontId="1" fillId="0" borderId="0" xfId="58" applyFont="1">
      <alignment/>
      <protection/>
    </xf>
    <xf numFmtId="0" fontId="61" fillId="0" borderId="0" xfId="58" applyFont="1">
      <alignment/>
      <protection/>
    </xf>
    <xf numFmtId="199" fontId="61" fillId="0" borderId="0" xfId="58" applyNumberFormat="1" applyFont="1">
      <alignment/>
      <protection/>
    </xf>
    <xf numFmtId="200" fontId="1" fillId="0" borderId="0" xfId="58" applyNumberFormat="1" applyFont="1">
      <alignment/>
      <protection/>
    </xf>
    <xf numFmtId="199" fontId="1" fillId="0" borderId="0" xfId="58" applyNumberFormat="1" applyFont="1">
      <alignment/>
      <protection/>
    </xf>
    <xf numFmtId="0" fontId="3" fillId="0" borderId="0" xfId="58" applyFont="1" applyAlignment="1">
      <alignment horizontal="center"/>
      <protection/>
    </xf>
    <xf numFmtId="0" fontId="3" fillId="16" borderId="16" xfId="58" applyFont="1" applyFill="1" applyBorder="1" applyAlignment="1">
      <alignment horizontal="center"/>
      <protection/>
    </xf>
    <xf numFmtId="0" fontId="3" fillId="16" borderId="12" xfId="58" applyFont="1" applyFill="1" applyBorder="1" applyAlignment="1">
      <alignment horizontal="center"/>
      <protection/>
    </xf>
    <xf numFmtId="0" fontId="3" fillId="16" borderId="24" xfId="58" applyFont="1" applyFill="1" applyBorder="1" applyAlignment="1">
      <alignment horizontal="center"/>
      <protection/>
    </xf>
    <xf numFmtId="0" fontId="3" fillId="16" borderId="14" xfId="58" applyFont="1" applyFill="1" applyBorder="1" applyAlignment="1">
      <alignment horizontal="center"/>
      <protection/>
    </xf>
    <xf numFmtId="0" fontId="3" fillId="16" borderId="15" xfId="58" applyFont="1" applyFill="1" applyBorder="1" applyAlignment="1">
      <alignment horizontal="center"/>
      <protection/>
    </xf>
    <xf numFmtId="0" fontId="3" fillId="16" borderId="11" xfId="58" applyFont="1" applyFill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199" fontId="3" fillId="0" borderId="12" xfId="59" applyNumberFormat="1" applyFont="1" applyBorder="1">
      <alignment/>
      <protection/>
    </xf>
    <xf numFmtId="199" fontId="3" fillId="0" borderId="24" xfId="59" applyNumberFormat="1" applyFont="1" applyBorder="1">
      <alignment/>
      <protection/>
    </xf>
    <xf numFmtId="199" fontId="3" fillId="0" borderId="12" xfId="58" applyNumberFormat="1" applyFont="1" applyBorder="1">
      <alignment/>
      <protection/>
    </xf>
    <xf numFmtId="199" fontId="3" fillId="0" borderId="15" xfId="59" applyNumberFormat="1" applyFont="1" applyBorder="1">
      <alignment/>
      <protection/>
    </xf>
    <xf numFmtId="199" fontId="3" fillId="0" borderId="13" xfId="59" applyNumberFormat="1" applyFont="1" applyBorder="1">
      <alignment/>
      <protection/>
    </xf>
    <xf numFmtId="0" fontId="19" fillId="0" borderId="16" xfId="58" applyFont="1" applyBorder="1" applyAlignment="1">
      <alignment horizontal="center"/>
      <protection/>
    </xf>
    <xf numFmtId="199" fontId="62" fillId="0" borderId="12" xfId="59" applyNumberFormat="1" applyFont="1" applyBorder="1">
      <alignment/>
      <protection/>
    </xf>
    <xf numFmtId="199" fontId="62" fillId="0" borderId="24" xfId="59" applyNumberFormat="1" applyFont="1" applyBorder="1">
      <alignment/>
      <protection/>
    </xf>
    <xf numFmtId="199" fontId="19" fillId="0" borderId="12" xfId="58" applyNumberFormat="1" applyFont="1" applyBorder="1">
      <alignment/>
      <protection/>
    </xf>
    <xf numFmtId="0" fontId="1" fillId="0" borderId="16" xfId="58" applyFont="1" applyBorder="1" applyAlignment="1">
      <alignment horizontal="left"/>
      <protection/>
    </xf>
    <xf numFmtId="199" fontId="3" fillId="0" borderId="25" xfId="59" applyNumberFormat="1" applyFont="1" applyBorder="1">
      <alignment/>
      <protection/>
    </xf>
    <xf numFmtId="199" fontId="3" fillId="0" borderId="17" xfId="59" applyNumberFormat="1" applyFont="1" applyBorder="1">
      <alignment/>
      <protection/>
    </xf>
    <xf numFmtId="199" fontId="3" fillId="0" borderId="22" xfId="59" applyNumberFormat="1" applyFont="1" applyBorder="1">
      <alignment/>
      <protection/>
    </xf>
    <xf numFmtId="0" fontId="3" fillId="16" borderId="18" xfId="58" applyFont="1" applyFill="1" applyBorder="1" applyAlignment="1">
      <alignment horizontal="left"/>
      <protection/>
    </xf>
    <xf numFmtId="0" fontId="1" fillId="0" borderId="21" xfId="58" applyFont="1" applyBorder="1" applyAlignment="1">
      <alignment horizontal="left"/>
      <protection/>
    </xf>
    <xf numFmtId="0" fontId="3" fillId="0" borderId="21" xfId="58" applyFont="1" applyBorder="1" applyAlignment="1">
      <alignment horizontal="left"/>
      <protection/>
    </xf>
    <xf numFmtId="199" fontId="5" fillId="0" borderId="20" xfId="59" applyNumberFormat="1" applyFont="1" applyBorder="1">
      <alignment/>
      <protection/>
    </xf>
    <xf numFmtId="199" fontId="5" fillId="0" borderId="19" xfId="58" applyNumberFormat="1" applyFont="1" applyBorder="1">
      <alignment/>
      <protection/>
    </xf>
    <xf numFmtId="0" fontId="3" fillId="0" borderId="0" xfId="58" applyFont="1">
      <alignment/>
      <protection/>
    </xf>
    <xf numFmtId="199" fontId="5" fillId="0" borderId="19" xfId="59" applyNumberFormat="1" applyFont="1" applyBorder="1">
      <alignment/>
      <protection/>
    </xf>
    <xf numFmtId="201" fontId="59" fillId="0" borderId="21" xfId="62" applyNumberFormat="1" applyFont="1" applyFill="1" applyBorder="1" applyAlignment="1">
      <alignment/>
    </xf>
    <xf numFmtId="201" fontId="59" fillId="0" borderId="19" xfId="62" applyNumberFormat="1" applyFont="1" applyFill="1" applyBorder="1" applyAlignment="1">
      <alignment/>
    </xf>
    <xf numFmtId="201" fontId="59" fillId="0" borderId="21" xfId="62" applyNumberFormat="1" applyFont="1" applyFill="1" applyBorder="1" applyAlignment="1">
      <alignment/>
    </xf>
    <xf numFmtId="201" fontId="59" fillId="0" borderId="19" xfId="62" applyNumberFormat="1" applyFont="1" applyFill="1" applyBorder="1" applyAlignment="1">
      <alignment/>
    </xf>
    <xf numFmtId="199" fontId="1" fillId="0" borderId="20" xfId="59" applyNumberFormat="1" applyFont="1" applyBorder="1">
      <alignment/>
      <protection/>
    </xf>
    <xf numFmtId="199" fontId="1" fillId="0" borderId="19" xfId="58" applyNumberFormat="1" applyFont="1" applyBorder="1">
      <alignment/>
      <protection/>
    </xf>
    <xf numFmtId="199" fontId="1" fillId="0" borderId="19" xfId="59" applyNumberFormat="1" applyFont="1" applyBorder="1">
      <alignment/>
      <protection/>
    </xf>
    <xf numFmtId="0" fontId="3" fillId="0" borderId="18" xfId="58" applyFont="1" applyBorder="1" applyAlignment="1">
      <alignment horizontal="left"/>
      <protection/>
    </xf>
    <xf numFmtId="199" fontId="5" fillId="0" borderId="17" xfId="59" applyNumberFormat="1" applyFont="1" applyBorder="1">
      <alignment/>
      <protection/>
    </xf>
    <xf numFmtId="199" fontId="5" fillId="0" borderId="22" xfId="59" applyNumberFormat="1" applyFont="1" applyBorder="1">
      <alignment/>
      <protection/>
    </xf>
    <xf numFmtId="199" fontId="5" fillId="0" borderId="17" xfId="58" applyNumberFormat="1" applyFont="1" applyBorder="1">
      <alignment/>
      <protection/>
    </xf>
    <xf numFmtId="0" fontId="1" fillId="0" borderId="21" xfId="59" applyFont="1" applyBorder="1" applyAlignment="1">
      <alignment horizontal="left"/>
      <protection/>
    </xf>
    <xf numFmtId="0" fontId="1" fillId="0" borderId="14" xfId="59" applyFont="1" applyBorder="1" applyAlignment="1">
      <alignment horizontal="left"/>
      <protection/>
    </xf>
    <xf numFmtId="0" fontId="20" fillId="0" borderId="21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199" fontId="5" fillId="0" borderId="20" xfId="58" applyNumberFormat="1" applyFont="1" applyBorder="1">
      <alignment/>
      <protection/>
    </xf>
    <xf numFmtId="200" fontId="1" fillId="0" borderId="14" xfId="58" applyNumberFormat="1" applyFont="1" applyBorder="1" applyAlignment="1">
      <alignment horizontal="left"/>
      <protection/>
    </xf>
    <xf numFmtId="199" fontId="1" fillId="0" borderId="15" xfId="59" applyNumberFormat="1" applyFont="1" applyBorder="1">
      <alignment/>
      <protection/>
    </xf>
    <xf numFmtId="199" fontId="1" fillId="0" borderId="13" xfId="59" applyNumberFormat="1" applyFont="1" applyBorder="1">
      <alignment/>
      <protection/>
    </xf>
    <xf numFmtId="199" fontId="1" fillId="0" borderId="13" xfId="58" applyNumberFormat="1" applyFont="1" applyBorder="1">
      <alignment/>
      <protection/>
    </xf>
    <xf numFmtId="199" fontId="5" fillId="0" borderId="22" xfId="58" applyNumberFormat="1" applyFont="1" applyBorder="1">
      <alignment/>
      <protection/>
    </xf>
    <xf numFmtId="195" fontId="1" fillId="0" borderId="21" xfId="58" applyNumberFormat="1" applyFont="1" applyBorder="1" applyAlignment="1">
      <alignment horizontal="left"/>
      <protection/>
    </xf>
    <xf numFmtId="201" fontId="59" fillId="0" borderId="0" xfId="62" applyNumberFormat="1" applyFont="1" applyFill="1" applyBorder="1" applyAlignment="1">
      <alignment/>
    </xf>
    <xf numFmtId="201" fontId="59" fillId="0" borderId="20" xfId="62" applyNumberFormat="1" applyFont="1" applyFill="1" applyBorder="1" applyAlignment="1">
      <alignment/>
    </xf>
    <xf numFmtId="0" fontId="1" fillId="0" borderId="14" xfId="58" applyFont="1" applyBorder="1" applyAlignment="1">
      <alignment horizontal="left"/>
      <protection/>
    </xf>
    <xf numFmtId="199" fontId="21" fillId="0" borderId="19" xfId="59" applyNumberFormat="1" applyFont="1" applyBorder="1">
      <alignment/>
      <protection/>
    </xf>
    <xf numFmtId="199" fontId="21" fillId="0" borderId="20" xfId="59" applyNumberFormat="1" applyFont="1" applyBorder="1">
      <alignment/>
      <protection/>
    </xf>
    <xf numFmtId="199" fontId="21" fillId="0" borderId="20" xfId="58" applyNumberFormat="1" applyFont="1" applyBorder="1">
      <alignment/>
      <protection/>
    </xf>
    <xf numFmtId="199" fontId="5" fillId="0" borderId="15" xfId="59" applyNumberFormat="1" applyFont="1" applyBorder="1">
      <alignment/>
      <protection/>
    </xf>
    <xf numFmtId="199" fontId="5" fillId="0" borderId="13" xfId="59" applyNumberFormat="1" applyFont="1" applyBorder="1">
      <alignment/>
      <protection/>
    </xf>
    <xf numFmtId="199" fontId="5" fillId="0" borderId="15" xfId="58" applyNumberFormat="1" applyFont="1" applyBorder="1">
      <alignment/>
      <protection/>
    </xf>
    <xf numFmtId="0" fontId="3" fillId="16" borderId="21" xfId="58" applyFont="1" applyFill="1" applyBorder="1" applyAlignment="1">
      <alignment horizontal="left"/>
      <protection/>
    </xf>
    <xf numFmtId="199" fontId="1" fillId="33" borderId="0" xfId="63" applyNumberFormat="1" applyFont="1" applyFill="1" applyBorder="1" applyAlignment="1">
      <alignment/>
    </xf>
    <xf numFmtId="0" fontId="3" fillId="16" borderId="14" xfId="58" applyFont="1" applyFill="1" applyBorder="1" applyAlignment="1">
      <alignment horizontal="left"/>
      <protection/>
    </xf>
    <xf numFmtId="0" fontId="1" fillId="0" borderId="11" xfId="58" applyFont="1" applyBorder="1">
      <alignment/>
      <protection/>
    </xf>
    <xf numFmtId="0" fontId="3" fillId="16" borderId="16" xfId="58" applyFont="1" applyFill="1" applyBorder="1" applyAlignment="1">
      <alignment horizontal="left"/>
      <protection/>
    </xf>
    <xf numFmtId="0" fontId="3" fillId="16" borderId="17" xfId="59" applyFont="1" applyFill="1" applyBorder="1" applyAlignment="1">
      <alignment horizontal="left"/>
      <protection/>
    </xf>
    <xf numFmtId="0" fontId="1" fillId="0" borderId="19" xfId="59" applyFont="1" applyBorder="1" applyAlignment="1">
      <alignment horizontal="left"/>
      <protection/>
    </xf>
    <xf numFmtId="0" fontId="3" fillId="0" borderId="19" xfId="59" applyFont="1" applyBorder="1" applyAlignment="1">
      <alignment horizontal="left"/>
      <protection/>
    </xf>
    <xf numFmtId="0" fontId="1" fillId="0" borderId="15" xfId="59" applyFont="1" applyBorder="1" applyAlignment="1">
      <alignment horizontal="left"/>
      <protection/>
    </xf>
    <xf numFmtId="49" fontId="0" fillId="0" borderId="0" xfId="55" applyNumberFormat="1" applyFont="1" applyFill="1" applyBorder="1" applyAlignment="1">
      <alignment horizontal="left" wrapText="1"/>
      <protection/>
    </xf>
    <xf numFmtId="0" fontId="2" fillId="0" borderId="0" xfId="57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49" fontId="3" fillId="16" borderId="16" xfId="58" applyNumberFormat="1" applyFont="1" applyFill="1" applyBorder="1" applyAlignment="1">
      <alignment horizontal="center" wrapText="1"/>
      <protection/>
    </xf>
    <xf numFmtId="49" fontId="3" fillId="16" borderId="24" xfId="58" applyNumberFormat="1" applyFont="1" applyFill="1" applyBorder="1" applyAlignment="1">
      <alignment horizont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rmal_Cuadro Resumen 05-06 2" xfId="58"/>
    <cellStyle name="Normal_Cuadro Resumen 05-06 2 2" xfId="59"/>
    <cellStyle name="Normal_plantilla para datos fiscales" xfId="60"/>
    <cellStyle name="Notas" xfId="61"/>
    <cellStyle name="Percent" xfId="62"/>
    <cellStyle name="Porcentual 2 10" xfId="63"/>
    <cellStyle name="Porcentual 2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104775</xdr:rowOff>
    </xdr:to>
    <xdr:pic>
      <xdr:nvPicPr>
        <xdr:cNvPr id="1" name="4 Imagen" descr="Macintosh HD:Users:Ministerio_de_Hacienda:Desktop:André:Libro de marca nuevo:Logos para hojas membretadas:png logos (Juanito Mora):logo-ST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1</xdr:col>
      <xdr:colOff>800100</xdr:colOff>
      <xdr:row>3</xdr:row>
      <xdr:rowOff>133350</xdr:rowOff>
    </xdr:to>
    <xdr:pic>
      <xdr:nvPicPr>
        <xdr:cNvPr id="1" name="4 Imagen" descr="Macintosh HD:Users:Ministerio_de_Hacienda:Desktop:André:Libro de marca nuevo:Logos para hojas membretadas:png logos (Juanito Mora):logo-ST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cienda.go.cr/2008\Transferecias%20Regimen%20no%20COntrib%20y%20avance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ES PÚBLICA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zoomScalePageLayoutView="0" workbookViewId="0" topLeftCell="A1">
      <pane xSplit="2" ySplit="7" topLeftCell="C3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89" sqref="S89"/>
    </sheetView>
  </sheetViews>
  <sheetFormatPr defaultColWidth="11.421875" defaultRowHeight="12.75"/>
  <cols>
    <col min="1" max="1" width="3.8515625" style="1" customWidth="1"/>
    <col min="2" max="2" width="38.140625" style="1" customWidth="1"/>
    <col min="3" max="12" width="10.00390625" style="1" hidden="1" customWidth="1"/>
    <col min="13" max="15" width="10.00390625" style="1" customWidth="1"/>
    <col min="16" max="17" width="10.00390625" style="1" bestFit="1" customWidth="1"/>
    <col min="18" max="19" width="10.00390625" style="1" customWidth="1"/>
    <col min="20" max="20" width="7.57421875" style="7" hidden="1" customWidth="1"/>
    <col min="21" max="21" width="7.421875" style="7" hidden="1" customWidth="1"/>
    <col min="22" max="22" width="8.00390625" style="7" hidden="1" customWidth="1"/>
    <col min="23" max="24" width="7.421875" style="7" hidden="1" customWidth="1"/>
    <col min="25" max="25" width="6.28125" style="7" hidden="1" customWidth="1"/>
    <col min="26" max="26" width="8.8515625" style="7" hidden="1" customWidth="1"/>
    <col min="27" max="27" width="7.421875" style="7" hidden="1" customWidth="1"/>
    <col min="28" max="28" width="8.421875" style="7" hidden="1" customWidth="1"/>
    <col min="29" max="29" width="7.421875" style="7" bestFit="1" customWidth="1"/>
    <col min="30" max="35" width="7.421875" style="1" bestFit="1" customWidth="1"/>
    <col min="36" max="36" width="19.00390625" style="1" bestFit="1" customWidth="1"/>
    <col min="37" max="16384" width="11.421875" style="1" customWidth="1"/>
  </cols>
  <sheetData>
    <row r="1" ht="12.75">
      <c r="AD1" s="8"/>
    </row>
    <row r="2" spans="1:32" ht="12.75">
      <c r="A2" s="214" t="s">
        <v>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2" ht="12.75">
      <c r="A3" s="215" t="s">
        <v>140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</row>
    <row r="4" spans="1:32" ht="12.75">
      <c r="A4" s="216" t="s">
        <v>44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</row>
    <row r="5" spans="2:35" ht="13.5" thickBo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9"/>
      <c r="AF5" s="9"/>
      <c r="AG5" s="9"/>
      <c r="AH5" s="9"/>
      <c r="AI5" s="9"/>
    </row>
    <row r="6" spans="2:35" ht="13.5" thickTop="1">
      <c r="B6" s="12"/>
      <c r="C6" s="217" t="s">
        <v>48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 t="s">
        <v>20</v>
      </c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</row>
    <row r="7" spans="2:35" ht="12.75">
      <c r="B7" s="15" t="s">
        <v>0</v>
      </c>
      <c r="C7" s="16">
        <v>2006</v>
      </c>
      <c r="D7" s="16">
        <v>2007</v>
      </c>
      <c r="E7" s="16">
        <v>2008</v>
      </c>
      <c r="F7" s="16">
        <v>2009</v>
      </c>
      <c r="G7" s="16">
        <v>2010</v>
      </c>
      <c r="H7" s="16">
        <v>2011</v>
      </c>
      <c r="I7" s="16">
        <v>2012</v>
      </c>
      <c r="J7" s="16">
        <v>2013</v>
      </c>
      <c r="K7" s="16">
        <v>2014</v>
      </c>
      <c r="L7" s="16">
        <v>2015</v>
      </c>
      <c r="M7" s="16">
        <v>2016</v>
      </c>
      <c r="N7" s="16">
        <v>2017</v>
      </c>
      <c r="O7" s="16">
        <v>2018</v>
      </c>
      <c r="P7" s="16">
        <v>2019</v>
      </c>
      <c r="Q7" s="16">
        <v>2020</v>
      </c>
      <c r="R7" s="16">
        <v>2021</v>
      </c>
      <c r="S7" s="16">
        <v>2022</v>
      </c>
      <c r="T7" s="17" t="s">
        <v>69</v>
      </c>
      <c r="U7" s="17" t="s">
        <v>70</v>
      </c>
      <c r="V7" s="17" t="s">
        <v>71</v>
      </c>
      <c r="W7" s="17" t="s">
        <v>72</v>
      </c>
      <c r="X7" s="17" t="s">
        <v>73</v>
      </c>
      <c r="Y7" s="17" t="s">
        <v>74</v>
      </c>
      <c r="Z7" s="17" t="s">
        <v>75</v>
      </c>
      <c r="AA7" s="17" t="s">
        <v>76</v>
      </c>
      <c r="AB7" s="17" t="s">
        <v>77</v>
      </c>
      <c r="AC7" s="17" t="s">
        <v>78</v>
      </c>
      <c r="AD7" s="17" t="s">
        <v>79</v>
      </c>
      <c r="AE7" s="17" t="s">
        <v>80</v>
      </c>
      <c r="AF7" s="17" t="s">
        <v>81</v>
      </c>
      <c r="AG7" s="17" t="s">
        <v>82</v>
      </c>
      <c r="AH7" s="17" t="s">
        <v>83</v>
      </c>
      <c r="AI7" s="17" t="s">
        <v>84</v>
      </c>
    </row>
    <row r="8" spans="2:31" ht="12.75">
      <c r="B8" s="12"/>
      <c r="C8" s="14"/>
      <c r="D8" s="14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"/>
      <c r="U8" s="14"/>
      <c r="V8" s="14"/>
      <c r="W8" s="14"/>
      <c r="X8" s="14"/>
      <c r="Y8" s="14"/>
      <c r="Z8" s="14"/>
      <c r="AA8" s="14"/>
      <c r="AB8" s="14"/>
      <c r="AC8" s="14"/>
      <c r="AD8" s="12"/>
      <c r="AE8" s="12"/>
    </row>
    <row r="9" spans="1:37" ht="12.75">
      <c r="A9" s="1">
        <v>1</v>
      </c>
      <c r="B9" s="3" t="s">
        <v>10</v>
      </c>
      <c r="C9" s="29">
        <f aca="true" t="shared" si="0" ref="C9:O9">+C11+C34</f>
        <v>140940.3844383</v>
      </c>
      <c r="D9" s="29">
        <f t="shared" si="0"/>
        <v>167847.46451266998</v>
      </c>
      <c r="E9" s="29">
        <f t="shared" si="0"/>
        <v>162481.68597105</v>
      </c>
      <c r="F9" s="29">
        <f t="shared" si="0"/>
        <v>171870.19203495</v>
      </c>
      <c r="G9" s="29">
        <f t="shared" si="0"/>
        <v>207812.78153116</v>
      </c>
      <c r="H9" s="29">
        <f t="shared" si="0"/>
        <v>246414.44440568998</v>
      </c>
      <c r="I9" s="29">
        <f t="shared" si="0"/>
        <v>244018.79396518003</v>
      </c>
      <c r="J9" s="29">
        <f t="shared" si="0"/>
        <v>263896.44713913003</v>
      </c>
      <c r="K9" s="29">
        <f t="shared" si="0"/>
        <v>272599.92767840996</v>
      </c>
      <c r="L9" s="29">
        <f t="shared" si="0"/>
        <v>315793.08956610004</v>
      </c>
      <c r="M9" s="29">
        <f t="shared" si="0"/>
        <v>347566.5364694301</v>
      </c>
      <c r="N9" s="29">
        <f t="shared" si="0"/>
        <v>372845.6080066099</v>
      </c>
      <c r="O9" s="29">
        <f t="shared" si="0"/>
        <v>369797.24152059003</v>
      </c>
      <c r="P9" s="29">
        <f>+P11+P34</f>
        <v>403906.63718281005</v>
      </c>
      <c r="Q9" s="29">
        <f>+Q11+Q34</f>
        <v>378237.87459328</v>
      </c>
      <c r="R9" s="29">
        <f>+R11+R34</f>
        <v>483444.25675224996</v>
      </c>
      <c r="S9" s="29">
        <f>+S11+S34</f>
        <v>527799.5148912701</v>
      </c>
      <c r="T9" s="52">
        <f aca="true" t="shared" si="1" ref="T9:AI9">+D9/C9-1</f>
        <v>0.1909110733705226</v>
      </c>
      <c r="U9" s="52">
        <f t="shared" si="1"/>
        <v>-0.03196818347658115</v>
      </c>
      <c r="V9" s="52">
        <f t="shared" si="1"/>
        <v>0.05778193405484977</v>
      </c>
      <c r="W9" s="52">
        <f t="shared" si="1"/>
        <v>0.20912637072576845</v>
      </c>
      <c r="X9" s="52">
        <f t="shared" si="1"/>
        <v>0.18575211105935718</v>
      </c>
      <c r="Y9" s="52">
        <f t="shared" si="1"/>
        <v>-0.009722037384163329</v>
      </c>
      <c r="Z9" s="52">
        <f t="shared" si="1"/>
        <v>0.08145951732220436</v>
      </c>
      <c r="AA9" s="52">
        <f t="shared" si="1"/>
        <v>0.03298066583932191</v>
      </c>
      <c r="AB9" s="52">
        <f t="shared" si="1"/>
        <v>0.15844891176437015</v>
      </c>
      <c r="AC9" s="52">
        <f t="shared" si="1"/>
        <v>0.10061476312539575</v>
      </c>
      <c r="AD9" s="52">
        <f t="shared" si="1"/>
        <v>0.0727316035483847</v>
      </c>
      <c r="AE9" s="52">
        <f t="shared" si="1"/>
        <v>-0.008175948490630525</v>
      </c>
      <c r="AF9" s="52">
        <f t="shared" si="1"/>
        <v>0.09223810194463233</v>
      </c>
      <c r="AG9" s="52">
        <f t="shared" si="1"/>
        <v>-0.06355122750288511</v>
      </c>
      <c r="AH9" s="52">
        <f t="shared" si="1"/>
        <v>0.27814872392696954</v>
      </c>
      <c r="AI9" s="52">
        <f t="shared" si="1"/>
        <v>0.09174844363028756</v>
      </c>
      <c r="AK9" s="57"/>
    </row>
    <row r="10" spans="2:35" ht="12.75">
      <c r="B10" s="3"/>
      <c r="C10" s="25"/>
      <c r="D10" s="25"/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2:36" ht="15">
      <c r="B11" s="3" t="s">
        <v>31</v>
      </c>
      <c r="C11" s="33">
        <f aca="true" t="shared" si="2" ref="C11:L11">+C12+C30+C31+C32</f>
        <v>140632.3844383</v>
      </c>
      <c r="D11" s="33">
        <f t="shared" si="2"/>
        <v>167797.46451266998</v>
      </c>
      <c r="E11" s="33">
        <f t="shared" si="2"/>
        <v>162481.68597105</v>
      </c>
      <c r="F11" s="33">
        <f t="shared" si="2"/>
        <v>170388.45203495002</v>
      </c>
      <c r="G11" s="33">
        <f t="shared" si="2"/>
        <v>207493.88153116</v>
      </c>
      <c r="H11" s="33">
        <f t="shared" si="2"/>
        <v>246358.14440569</v>
      </c>
      <c r="I11" s="33">
        <f t="shared" si="2"/>
        <v>244017.09396518</v>
      </c>
      <c r="J11" s="33">
        <f t="shared" si="2"/>
        <v>263896.44713913003</v>
      </c>
      <c r="K11" s="33">
        <f t="shared" si="2"/>
        <v>272599.92767840996</v>
      </c>
      <c r="L11" s="33">
        <f t="shared" si="2"/>
        <v>315744.38406188006</v>
      </c>
      <c r="M11" s="33">
        <f aca="true" t="shared" si="3" ref="M11:R11">+M12+M30+M31+M32</f>
        <v>347566.5364694301</v>
      </c>
      <c r="N11" s="33">
        <f t="shared" si="3"/>
        <v>372845.6080066099</v>
      </c>
      <c r="O11" s="33">
        <f t="shared" si="3"/>
        <v>369797.24152059003</v>
      </c>
      <c r="P11" s="33">
        <f t="shared" si="3"/>
        <v>403906.63718281005</v>
      </c>
      <c r="Q11" s="33">
        <f t="shared" si="3"/>
        <v>378237.87459328</v>
      </c>
      <c r="R11" s="33">
        <f t="shared" si="3"/>
        <v>483444.25675224996</v>
      </c>
      <c r="S11" s="33">
        <f>+S12+S30+S31+S32</f>
        <v>527799.5148912701</v>
      </c>
      <c r="T11" s="37">
        <f aca="true" t="shared" si="4" ref="T11:T32">+D11/C11-1</f>
        <v>0.19316375942049224</v>
      </c>
      <c r="U11" s="37">
        <f aca="true" t="shared" si="5" ref="U11:U32">+E11/D11-1</f>
        <v>-0.03167973102012278</v>
      </c>
      <c r="V11" s="37">
        <f aca="true" t="shared" si="6" ref="V11:V32">+F11/E11-1</f>
        <v>0.04866250627968505</v>
      </c>
      <c r="W11" s="37">
        <f aca="true" t="shared" si="7" ref="W11:W32">+G11/F11-1</f>
        <v>0.21776962612817763</v>
      </c>
      <c r="X11" s="37">
        <f aca="true" t="shared" si="8" ref="X11:X32">+H11/G11-1</f>
        <v>0.1873031753405876</v>
      </c>
      <c r="Y11" s="37">
        <f aca="true" t="shared" si="9" ref="Y11:Y32">+I11/H11-1</f>
        <v>-0.009502630595621175</v>
      </c>
      <c r="Z11" s="37">
        <f aca="true" t="shared" si="10" ref="Z11:Z32">+J11/I11-1</f>
        <v>0.08146705155330913</v>
      </c>
      <c r="AA11" s="37">
        <f aca="true" t="shared" si="11" ref="AA11:AA32">+K11/J11-1</f>
        <v>0.03298066583932191</v>
      </c>
      <c r="AB11" s="37">
        <f aca="true" t="shared" si="12" ref="AB11:AB32">+L11/K11-1</f>
        <v>0.15827024148872204</v>
      </c>
      <c r="AC11" s="37">
        <f aca="true" t="shared" si="13" ref="AC11:AC32">+M11/L11-1</f>
        <v>0.10078453969054113</v>
      </c>
      <c r="AD11" s="37">
        <f aca="true" t="shared" si="14" ref="AD11:AD32">+N11/M11-1</f>
        <v>0.0727316035483847</v>
      </c>
      <c r="AE11" s="37">
        <f aca="true" t="shared" si="15" ref="AE11:AE32">+O11/N11-1</f>
        <v>-0.008175948490630525</v>
      </c>
      <c r="AF11" s="37">
        <f aca="true" t="shared" si="16" ref="AF11:AF32">+P11/O11-1</f>
        <v>0.09223810194463233</v>
      </c>
      <c r="AG11" s="37">
        <f aca="true" t="shared" si="17" ref="AG11:AG32">+Q11/P11-1</f>
        <v>-0.06355122750288511</v>
      </c>
      <c r="AH11" s="37">
        <f aca="true" t="shared" si="18" ref="AH11:AI32">+R11/Q11-1</f>
        <v>0.27814872392696954</v>
      </c>
      <c r="AI11" s="37">
        <f t="shared" si="18"/>
        <v>0.09174844363028756</v>
      </c>
      <c r="AJ11" s="64"/>
    </row>
    <row r="12" spans="2:36" ht="15">
      <c r="B12" s="30" t="s">
        <v>30</v>
      </c>
      <c r="C12" s="25">
        <v>133787.65339510998</v>
      </c>
      <c r="D12" s="25">
        <f aca="true" t="shared" si="19" ref="D12:L12">+D13+D14+D17+D21+D24+D27</f>
        <v>162792.40773573998</v>
      </c>
      <c r="E12" s="25">
        <f t="shared" si="19"/>
        <v>157590.84512687</v>
      </c>
      <c r="F12" s="25">
        <f t="shared" si="19"/>
        <v>162159.4903031</v>
      </c>
      <c r="G12" s="25">
        <f t="shared" si="19"/>
        <v>185419.18153116002</v>
      </c>
      <c r="H12" s="25">
        <f t="shared" si="19"/>
        <v>212757.12710390997</v>
      </c>
      <c r="I12" s="25">
        <f t="shared" si="19"/>
        <v>229259.4864396</v>
      </c>
      <c r="J12" s="25">
        <f t="shared" si="19"/>
        <v>236723.94103770002</v>
      </c>
      <c r="K12" s="25">
        <f t="shared" si="19"/>
        <v>256825.90431615</v>
      </c>
      <c r="L12" s="25">
        <f t="shared" si="19"/>
        <v>299173.01046396</v>
      </c>
      <c r="M12" s="25">
        <f aca="true" t="shared" si="20" ref="M12:R12">+M13+M14+M17+M21+M24+M27</f>
        <v>315676.55971842003</v>
      </c>
      <c r="N12" s="25">
        <f t="shared" si="20"/>
        <v>332454.41515618993</v>
      </c>
      <c r="O12" s="25">
        <f t="shared" si="20"/>
        <v>341343.94146231003</v>
      </c>
      <c r="P12" s="25">
        <f t="shared" si="20"/>
        <v>367570.25037972</v>
      </c>
      <c r="Q12" s="25">
        <f t="shared" si="20"/>
        <v>340064.80282846</v>
      </c>
      <c r="R12" s="25">
        <f t="shared" si="20"/>
        <v>432045.17124886997</v>
      </c>
      <c r="S12" s="25">
        <f>+S13+S14+S17+S21+S24+S27+S28+S29</f>
        <v>471429.06962496</v>
      </c>
      <c r="T12" s="38">
        <f t="shared" si="4"/>
        <v>0.21679694354882928</v>
      </c>
      <c r="U12" s="38">
        <f t="shared" si="5"/>
        <v>-0.031952120379677984</v>
      </c>
      <c r="V12" s="38">
        <f t="shared" si="6"/>
        <v>0.028990549372027052</v>
      </c>
      <c r="W12" s="38">
        <f t="shared" si="7"/>
        <v>0.14343712590970914</v>
      </c>
      <c r="X12" s="38">
        <f t="shared" si="8"/>
        <v>0.14743860558005828</v>
      </c>
      <c r="Y12" s="38">
        <f t="shared" si="9"/>
        <v>0.07756430799909397</v>
      </c>
      <c r="Z12" s="38">
        <f t="shared" si="10"/>
        <v>0.032558978099545666</v>
      </c>
      <c r="AA12" s="38">
        <f t="shared" si="11"/>
        <v>0.08491732264312302</v>
      </c>
      <c r="AB12" s="38">
        <f t="shared" si="12"/>
        <v>0.16488642865122038</v>
      </c>
      <c r="AC12" s="38">
        <f t="shared" si="13"/>
        <v>0.055163897401260265</v>
      </c>
      <c r="AD12" s="38">
        <f t="shared" si="14"/>
        <v>0.053148879513688296</v>
      </c>
      <c r="AE12" s="38">
        <f t="shared" si="15"/>
        <v>0.026739083317463885</v>
      </c>
      <c r="AF12" s="38">
        <f t="shared" si="16"/>
        <v>0.07683250156735477</v>
      </c>
      <c r="AG12" s="38">
        <f t="shared" si="17"/>
        <v>-0.0748304508399289</v>
      </c>
      <c r="AH12" s="38">
        <f t="shared" si="18"/>
        <v>0.2704789429996022</v>
      </c>
      <c r="AI12" s="38">
        <f t="shared" si="18"/>
        <v>0.09115689978028674</v>
      </c>
      <c r="AJ12" s="64"/>
    </row>
    <row r="13" spans="2:35" ht="12.75">
      <c r="B13" s="31" t="s">
        <v>23</v>
      </c>
      <c r="C13" s="25">
        <v>18440.08752186</v>
      </c>
      <c r="D13" s="25">
        <v>23627.6208767</v>
      </c>
      <c r="E13" s="25">
        <v>23092.620776530002</v>
      </c>
      <c r="F13" s="25">
        <v>28523.11291192</v>
      </c>
      <c r="G13" s="25">
        <v>31357.039710660003</v>
      </c>
      <c r="H13" s="25">
        <v>34382.77807755001</v>
      </c>
      <c r="I13" s="25">
        <v>41772.95317949</v>
      </c>
      <c r="J13" s="25">
        <v>47752.30953039</v>
      </c>
      <c r="K13" s="25">
        <v>58240.87547114</v>
      </c>
      <c r="L13" s="25">
        <v>74995.96375072001</v>
      </c>
      <c r="M13" s="25">
        <v>64043.238350219995</v>
      </c>
      <c r="N13" s="25">
        <v>75899.5297738</v>
      </c>
      <c r="O13" s="25">
        <v>96894.35627461</v>
      </c>
      <c r="P13" s="25">
        <v>95844.00206349001</v>
      </c>
      <c r="Q13" s="25">
        <v>92679.06797707001</v>
      </c>
      <c r="R13" s="25">
        <v>106856.13717013999</v>
      </c>
      <c r="S13" s="25">
        <v>126574.05573523001</v>
      </c>
      <c r="T13" s="38">
        <f t="shared" si="4"/>
        <v>0.28131826102725266</v>
      </c>
      <c r="U13" s="38">
        <f t="shared" si="5"/>
        <v>-0.022642994949084283</v>
      </c>
      <c r="V13" s="38">
        <f t="shared" si="6"/>
        <v>0.2351613611959209</v>
      </c>
      <c r="W13" s="38">
        <f t="shared" si="7"/>
        <v>0.0993554528038798</v>
      </c>
      <c r="X13" s="38">
        <f t="shared" si="8"/>
        <v>0.09649311270481276</v>
      </c>
      <c r="Y13" s="38">
        <f t="shared" si="9"/>
        <v>0.21493827768284257</v>
      </c>
      <c r="Z13" s="38">
        <f t="shared" si="10"/>
        <v>0.1431394214626842</v>
      </c>
      <c r="AA13" s="38">
        <f t="shared" si="11"/>
        <v>0.21964520761189554</v>
      </c>
      <c r="AB13" s="38">
        <f t="shared" si="12"/>
        <v>0.28768606488208825</v>
      </c>
      <c r="AC13" s="38">
        <f t="shared" si="13"/>
        <v>-0.14604419828386916</v>
      </c>
      <c r="AD13" s="38">
        <f t="shared" si="14"/>
        <v>0.1851294801606369</v>
      </c>
      <c r="AE13" s="38">
        <f t="shared" si="15"/>
        <v>0.27661339356620473</v>
      </c>
      <c r="AF13" s="38">
        <f t="shared" si="16"/>
        <v>-0.010840200105599163</v>
      </c>
      <c r="AG13" s="38">
        <f t="shared" si="17"/>
        <v>-0.03302172299027595</v>
      </c>
      <c r="AH13" s="38">
        <f t="shared" si="18"/>
        <v>0.15296948385991072</v>
      </c>
      <c r="AI13" s="38">
        <f t="shared" si="18"/>
        <v>0.18452771256080935</v>
      </c>
    </row>
    <row r="14" spans="2:35" ht="12.75">
      <c r="B14" s="31" t="s">
        <v>24</v>
      </c>
      <c r="C14" s="25">
        <v>12114.26313305</v>
      </c>
      <c r="D14" s="25">
        <f aca="true" t="shared" si="21" ref="D14:L14">+D15+D16</f>
        <v>15448.6128623</v>
      </c>
      <c r="E14" s="25">
        <f t="shared" si="21"/>
        <v>14222.03345997</v>
      </c>
      <c r="F14" s="25">
        <f t="shared" si="21"/>
        <v>11705.955693079999</v>
      </c>
      <c r="G14" s="25">
        <f t="shared" si="21"/>
        <v>13229.161170129999</v>
      </c>
      <c r="H14" s="25">
        <f t="shared" si="21"/>
        <v>15323.81599503</v>
      </c>
      <c r="I14" s="25">
        <f t="shared" si="21"/>
        <v>16565.57467567</v>
      </c>
      <c r="J14" s="25">
        <f t="shared" si="21"/>
        <v>14907.128684880001</v>
      </c>
      <c r="K14" s="25">
        <f t="shared" si="21"/>
        <v>16300.44670564</v>
      </c>
      <c r="L14" s="25">
        <f t="shared" si="21"/>
        <v>18131.81654032</v>
      </c>
      <c r="M14" s="25">
        <f aca="true" t="shared" si="22" ref="M14:S14">+M15+M16</f>
        <v>18653.20959053</v>
      </c>
      <c r="N14" s="25">
        <f t="shared" si="22"/>
        <v>18650.40910388</v>
      </c>
      <c r="O14" s="25">
        <f t="shared" si="22"/>
        <v>20141.391824860002</v>
      </c>
      <c r="P14" s="25">
        <f t="shared" si="22"/>
        <v>15402.977132680002</v>
      </c>
      <c r="Q14" s="25">
        <f t="shared" si="22"/>
        <v>11687.784921760001</v>
      </c>
      <c r="R14" s="25">
        <f t="shared" si="22"/>
        <v>19328.52112581</v>
      </c>
      <c r="S14" s="25">
        <f t="shared" si="22"/>
        <v>18726.70761701</v>
      </c>
      <c r="T14" s="38">
        <f t="shared" si="4"/>
        <v>0.27524164636586623</v>
      </c>
      <c r="U14" s="38">
        <f t="shared" si="5"/>
        <v>-0.07939738106346628</v>
      </c>
      <c r="V14" s="38">
        <f t="shared" si="6"/>
        <v>-0.17691406604912518</v>
      </c>
      <c r="W14" s="38">
        <f t="shared" si="7"/>
        <v>0.13012226570705776</v>
      </c>
      <c r="X14" s="38">
        <f t="shared" si="8"/>
        <v>0.15833617853484938</v>
      </c>
      <c r="Y14" s="38">
        <f t="shared" si="9"/>
        <v>0.08103455960595851</v>
      </c>
      <c r="Z14" s="38">
        <f t="shared" si="10"/>
        <v>-0.10011400288006744</v>
      </c>
      <c r="AA14" s="38">
        <f t="shared" si="11"/>
        <v>0.09346655886677979</v>
      </c>
      <c r="AB14" s="38">
        <f t="shared" si="12"/>
        <v>0.11235089858281855</v>
      </c>
      <c r="AC14" s="38">
        <f t="shared" si="13"/>
        <v>0.02875569852863724</v>
      </c>
      <c r="AD14" s="38">
        <f t="shared" si="14"/>
        <v>-0.0001501343045768877</v>
      </c>
      <c r="AE14" s="38">
        <f t="shared" si="15"/>
        <v>0.07994370057382927</v>
      </c>
      <c r="AF14" s="38">
        <f t="shared" si="16"/>
        <v>-0.23525755982421714</v>
      </c>
      <c r="AG14" s="38">
        <f t="shared" si="17"/>
        <v>-0.24119961867875506</v>
      </c>
      <c r="AH14" s="38">
        <f t="shared" si="18"/>
        <v>0.6537368932777572</v>
      </c>
      <c r="AI14" s="38">
        <f t="shared" si="18"/>
        <v>-0.03113603492387096</v>
      </c>
    </row>
    <row r="15" spans="2:35" ht="12.75">
      <c r="B15" s="32" t="s">
        <v>35</v>
      </c>
      <c r="C15" s="25">
        <v>9944.884787870002</v>
      </c>
      <c r="D15" s="25">
        <v>12560.861833120001</v>
      </c>
      <c r="E15" s="25">
        <v>11702.88282945</v>
      </c>
      <c r="F15" s="25">
        <v>9806.221936389999</v>
      </c>
      <c r="G15" s="25">
        <v>11277.6300844</v>
      </c>
      <c r="H15" s="25">
        <v>12961.68439522</v>
      </c>
      <c r="I15" s="25">
        <v>14343.11574247</v>
      </c>
      <c r="J15" s="25">
        <v>13024.65067067</v>
      </c>
      <c r="K15" s="25">
        <v>14036.188380270001</v>
      </c>
      <c r="L15" s="25">
        <v>15553.62501768</v>
      </c>
      <c r="M15" s="25">
        <v>16008.753657370002</v>
      </c>
      <c r="N15" s="25">
        <v>16075.76618724</v>
      </c>
      <c r="O15" s="25">
        <v>17272.3583159</v>
      </c>
      <c r="P15" s="25">
        <v>13376.816873450001</v>
      </c>
      <c r="Q15" s="25">
        <v>9698.695571620001</v>
      </c>
      <c r="R15" s="25">
        <v>16369.6069729</v>
      </c>
      <c r="S15" s="25">
        <v>14837.00337362</v>
      </c>
      <c r="T15" s="38">
        <f t="shared" si="4"/>
        <v>0.2630474963813323</v>
      </c>
      <c r="U15" s="38">
        <f t="shared" si="5"/>
        <v>-0.06830574327373895</v>
      </c>
      <c r="V15" s="38">
        <f t="shared" si="6"/>
        <v>-0.16206783582307627</v>
      </c>
      <c r="W15" s="38">
        <f t="shared" si="7"/>
        <v>0.150048424108141</v>
      </c>
      <c r="X15" s="38">
        <f t="shared" si="8"/>
        <v>0.14932696836275028</v>
      </c>
      <c r="Y15" s="38">
        <f t="shared" si="9"/>
        <v>0.10657807312137946</v>
      </c>
      <c r="Z15" s="38">
        <f t="shared" si="10"/>
        <v>-0.0919231982417893</v>
      </c>
      <c r="AA15" s="38">
        <f t="shared" si="11"/>
        <v>0.07766332742250559</v>
      </c>
      <c r="AB15" s="38">
        <f t="shared" si="12"/>
        <v>0.10810888229050764</v>
      </c>
      <c r="AC15" s="38">
        <f t="shared" si="13"/>
        <v>0.02926190127206052</v>
      </c>
      <c r="AD15" s="38">
        <f t="shared" si="14"/>
        <v>0.004185992945125339</v>
      </c>
      <c r="AE15" s="38">
        <f t="shared" si="15"/>
        <v>0.07443453174939707</v>
      </c>
      <c r="AF15" s="38">
        <f t="shared" si="16"/>
        <v>-0.22553616426912437</v>
      </c>
      <c r="AG15" s="38">
        <f t="shared" si="17"/>
        <v>-0.27496237233614607</v>
      </c>
      <c r="AH15" s="38">
        <f t="shared" si="18"/>
        <v>0.6878153203200021</v>
      </c>
      <c r="AI15" s="38">
        <f t="shared" si="18"/>
        <v>-0.09362494785716202</v>
      </c>
    </row>
    <row r="16" spans="2:35" ht="12.75">
      <c r="B16" s="32" t="s">
        <v>36</v>
      </c>
      <c r="C16" s="25">
        <v>2169.37834518</v>
      </c>
      <c r="D16" s="25">
        <v>2887.75102918</v>
      </c>
      <c r="E16" s="25">
        <v>2519.15063052</v>
      </c>
      <c r="F16" s="25">
        <v>1899.73375669</v>
      </c>
      <c r="G16" s="25">
        <v>1951.53108573</v>
      </c>
      <c r="H16" s="25">
        <v>2362.13159981</v>
      </c>
      <c r="I16" s="25">
        <v>2222.4589331999996</v>
      </c>
      <c r="J16" s="25">
        <v>1882.47801421</v>
      </c>
      <c r="K16" s="25">
        <v>2264.25832537</v>
      </c>
      <c r="L16" s="25">
        <v>2578.1915226399997</v>
      </c>
      <c r="M16" s="25">
        <v>2644.45593316</v>
      </c>
      <c r="N16" s="25">
        <v>2574.64291664</v>
      </c>
      <c r="O16" s="25">
        <v>2869.03350896</v>
      </c>
      <c r="P16" s="25">
        <v>2026.16025923</v>
      </c>
      <c r="Q16" s="25">
        <v>1989.08935014</v>
      </c>
      <c r="R16" s="25">
        <v>2958.9141529099998</v>
      </c>
      <c r="S16" s="25">
        <v>3889.7042433899996</v>
      </c>
      <c r="T16" s="38">
        <f t="shared" si="4"/>
        <v>0.33114218439402476</v>
      </c>
      <c r="U16" s="38">
        <f t="shared" si="5"/>
        <v>-0.1276427209047405</v>
      </c>
      <c r="V16" s="38">
        <f t="shared" si="6"/>
        <v>-0.24588322203747726</v>
      </c>
      <c r="W16" s="38">
        <f t="shared" si="7"/>
        <v>0.027265572798079285</v>
      </c>
      <c r="X16" s="38">
        <f t="shared" si="8"/>
        <v>0.21039916662480862</v>
      </c>
      <c r="Y16" s="38">
        <f t="shared" si="9"/>
        <v>-0.059129925962310925</v>
      </c>
      <c r="Z16" s="38">
        <f t="shared" si="10"/>
        <v>-0.1529751186450402</v>
      </c>
      <c r="AA16" s="38">
        <f t="shared" si="11"/>
        <v>0.20280731476177039</v>
      </c>
      <c r="AB16" s="38">
        <f t="shared" si="12"/>
        <v>0.13864725316564752</v>
      </c>
      <c r="AC16" s="38">
        <f t="shared" si="13"/>
        <v>0.025701896053147877</v>
      </c>
      <c r="AD16" s="38">
        <f t="shared" si="14"/>
        <v>-0.02639976550358958</v>
      </c>
      <c r="AE16" s="38">
        <f t="shared" si="15"/>
        <v>0.1143422998262571</v>
      </c>
      <c r="AF16" s="38">
        <f t="shared" si="16"/>
        <v>-0.29378299245990125</v>
      </c>
      <c r="AG16" s="38">
        <f t="shared" si="17"/>
        <v>-0.018296138679616547</v>
      </c>
      <c r="AH16" s="38">
        <f t="shared" si="18"/>
        <v>0.48757226652575447</v>
      </c>
      <c r="AI16" s="38">
        <f t="shared" si="18"/>
        <v>0.3145715091343886</v>
      </c>
    </row>
    <row r="17" spans="2:35" ht="12.75">
      <c r="B17" s="31" t="s">
        <v>25</v>
      </c>
      <c r="C17" s="25">
        <v>65.80050024</v>
      </c>
      <c r="D17" s="25">
        <f aca="true" t="shared" si="23" ref="D17:I17">+D18+D19</f>
        <v>250.42794294</v>
      </c>
      <c r="E17" s="25">
        <f t="shared" si="23"/>
        <v>285.67927431</v>
      </c>
      <c r="F17" s="25">
        <f t="shared" si="23"/>
        <v>420.23497434</v>
      </c>
      <c r="G17" s="25">
        <f t="shared" si="23"/>
        <v>347.03798497</v>
      </c>
      <c r="H17" s="25">
        <f t="shared" si="23"/>
        <v>362.68784527</v>
      </c>
      <c r="I17" s="25">
        <f t="shared" si="23"/>
        <v>377.63078543</v>
      </c>
      <c r="J17" s="25">
        <f aca="true" t="shared" si="24" ref="J17:O17">+J18+J19+J20</f>
        <v>1169.5388037799999</v>
      </c>
      <c r="K17" s="25">
        <f t="shared" si="24"/>
        <v>373.23395207</v>
      </c>
      <c r="L17" s="25">
        <f t="shared" si="24"/>
        <v>372.40658604</v>
      </c>
      <c r="M17" s="25">
        <f t="shared" si="24"/>
        <v>450.84558547000006</v>
      </c>
      <c r="N17" s="25">
        <f t="shared" si="24"/>
        <v>517.17724057</v>
      </c>
      <c r="O17" s="25">
        <f t="shared" si="24"/>
        <v>502.1265201</v>
      </c>
      <c r="P17" s="25">
        <f>+P18+P19+P20</f>
        <v>454.16284925</v>
      </c>
      <c r="Q17" s="25">
        <f>+Q18+Q19+Q20</f>
        <v>489.37475548000003</v>
      </c>
      <c r="R17" s="25">
        <f>+R18+R19+R20</f>
        <v>453.6157204</v>
      </c>
      <c r="S17" s="25">
        <f>+S18+S19+S20</f>
        <v>497.54405268999994</v>
      </c>
      <c r="T17" s="38">
        <f t="shared" si="4"/>
        <v>2.8058668555192123</v>
      </c>
      <c r="U17" s="38">
        <f t="shared" si="5"/>
        <v>0.14076436900831713</v>
      </c>
      <c r="V17" s="38">
        <f t="shared" si="6"/>
        <v>0.4710026667317462</v>
      </c>
      <c r="W17" s="38">
        <f t="shared" si="7"/>
        <v>-0.1741810982890215</v>
      </c>
      <c r="X17" s="38">
        <f t="shared" si="8"/>
        <v>0.0450955254980312</v>
      </c>
      <c r="Y17" s="38">
        <f t="shared" si="9"/>
        <v>0.04120055401601852</v>
      </c>
      <c r="Z17" s="38">
        <f t="shared" si="10"/>
        <v>2.097043061381427</v>
      </c>
      <c r="AA17" s="38">
        <f t="shared" si="11"/>
        <v>-0.6808708262917897</v>
      </c>
      <c r="AB17" s="38">
        <f t="shared" si="12"/>
        <v>-0.0022167491071252154</v>
      </c>
      <c r="AC17" s="38">
        <f t="shared" si="13"/>
        <v>0.2106273153331799</v>
      </c>
      <c r="AD17" s="38">
        <f t="shared" si="14"/>
        <v>0.1471272143673097</v>
      </c>
      <c r="AE17" s="38">
        <f t="shared" si="15"/>
        <v>-0.029101668227727973</v>
      </c>
      <c r="AF17" s="38">
        <f t="shared" si="16"/>
        <v>-0.09552108667840897</v>
      </c>
      <c r="AG17" s="38">
        <f t="shared" si="17"/>
        <v>0.07753145438502651</v>
      </c>
      <c r="AH17" s="38">
        <f t="shared" si="18"/>
        <v>-0.073070861705823</v>
      </c>
      <c r="AI17" s="38">
        <f t="shared" si="18"/>
        <v>0.09684040987658848</v>
      </c>
    </row>
    <row r="18" spans="2:35" ht="12.75">
      <c r="B18" s="32" t="s">
        <v>37</v>
      </c>
      <c r="C18" s="25">
        <v>65.80050024</v>
      </c>
      <c r="D18" s="25">
        <v>15.36411672</v>
      </c>
      <c r="E18" s="25">
        <v>10.731001599999999</v>
      </c>
      <c r="F18" s="25">
        <v>15.22878</v>
      </c>
      <c r="G18" s="25">
        <v>13.9880685</v>
      </c>
      <c r="H18" s="25">
        <v>14.687898</v>
      </c>
      <c r="I18" s="25">
        <v>16.2063225</v>
      </c>
      <c r="J18" s="25">
        <v>19.27695</v>
      </c>
      <c r="K18" s="25">
        <v>12.8674845</v>
      </c>
      <c r="L18" s="25">
        <v>13.050033</v>
      </c>
      <c r="M18" s="25">
        <v>16.2902325</v>
      </c>
      <c r="N18" s="25">
        <v>18.3973215</v>
      </c>
      <c r="O18" s="25">
        <v>16.818132</v>
      </c>
      <c r="P18" s="25">
        <v>15.5176905</v>
      </c>
      <c r="Q18" s="25">
        <v>16.403235</v>
      </c>
      <c r="R18" s="25">
        <v>13.6373295</v>
      </c>
      <c r="S18" s="25">
        <v>15.8943225</v>
      </c>
      <c r="T18" s="38">
        <f t="shared" si="4"/>
        <v>-0.7665045605434443</v>
      </c>
      <c r="U18" s="38">
        <f t="shared" si="5"/>
        <v>-0.3015542777001242</v>
      </c>
      <c r="V18" s="38">
        <f t="shared" si="6"/>
        <v>0.4191387316539028</v>
      </c>
      <c r="W18" s="38">
        <f t="shared" si="7"/>
        <v>-0.08147149673184584</v>
      </c>
      <c r="X18" s="38">
        <f t="shared" si="8"/>
        <v>0.050030459888011025</v>
      </c>
      <c r="Y18" s="38">
        <f t="shared" si="9"/>
        <v>0.1033792922581569</v>
      </c>
      <c r="Z18" s="38">
        <f t="shared" si="10"/>
        <v>0.18947096110175532</v>
      </c>
      <c r="AA18" s="38">
        <f t="shared" si="11"/>
        <v>-0.33249375549555293</v>
      </c>
      <c r="AB18" s="38">
        <f t="shared" si="12"/>
        <v>0.01418680550965501</v>
      </c>
      <c r="AC18" s="38">
        <f t="shared" si="13"/>
        <v>0.24829052156419817</v>
      </c>
      <c r="AD18" s="38">
        <f t="shared" si="14"/>
        <v>0.12934677267497574</v>
      </c>
      <c r="AE18" s="38">
        <f t="shared" si="15"/>
        <v>-0.08583801179970696</v>
      </c>
      <c r="AF18" s="38">
        <f t="shared" si="16"/>
        <v>-0.07732377769421706</v>
      </c>
      <c r="AG18" s="38">
        <f t="shared" si="17"/>
        <v>0.05706677163073959</v>
      </c>
      <c r="AH18" s="38">
        <f t="shared" si="18"/>
        <v>-0.16861951316310464</v>
      </c>
      <c r="AI18" s="38">
        <f t="shared" si="18"/>
        <v>0.16550109755725995</v>
      </c>
    </row>
    <row r="19" spans="2:35" ht="12.75">
      <c r="B19" s="32" t="s">
        <v>38</v>
      </c>
      <c r="C19" s="25">
        <v>0</v>
      </c>
      <c r="D19" s="25">
        <v>235.06382622</v>
      </c>
      <c r="E19" s="25">
        <v>274.94827270999997</v>
      </c>
      <c r="F19" s="25">
        <v>405.00619434000004</v>
      </c>
      <c r="G19" s="25">
        <v>333.04991647</v>
      </c>
      <c r="H19" s="25">
        <v>347.99994727</v>
      </c>
      <c r="I19" s="25">
        <v>361.42446293</v>
      </c>
      <c r="J19" s="25">
        <v>1024.75343828</v>
      </c>
      <c r="K19" s="25">
        <v>226.02030857</v>
      </c>
      <c r="L19" s="25">
        <v>225.56513479</v>
      </c>
      <c r="M19" s="25">
        <v>294.50994797000004</v>
      </c>
      <c r="N19" s="25">
        <v>342.80603357</v>
      </c>
      <c r="O19" s="25">
        <v>329.91846335</v>
      </c>
      <c r="P19" s="25">
        <v>291.9028435</v>
      </c>
      <c r="Q19" s="25">
        <v>326.94776023000003</v>
      </c>
      <c r="R19" s="25">
        <v>277.5709359</v>
      </c>
      <c r="S19" s="25">
        <v>320.18114369</v>
      </c>
      <c r="T19" s="59" t="e">
        <f t="shared" si="4"/>
        <v>#DIV/0!</v>
      </c>
      <c r="U19" s="38">
        <f t="shared" si="5"/>
        <v>0.16967496501427437</v>
      </c>
      <c r="V19" s="38">
        <f t="shared" si="6"/>
        <v>0.47302687282992273</v>
      </c>
      <c r="W19" s="38">
        <f t="shared" si="7"/>
        <v>-0.177667104542093</v>
      </c>
      <c r="X19" s="38">
        <f t="shared" si="8"/>
        <v>0.044888258668416725</v>
      </c>
      <c r="Y19" s="38">
        <f t="shared" si="9"/>
        <v>0.0385762002704686</v>
      </c>
      <c r="Z19" s="38">
        <f t="shared" si="10"/>
        <v>1.8353184230323452</v>
      </c>
      <c r="AA19" s="38">
        <f t="shared" si="11"/>
        <v>-0.779439326449722</v>
      </c>
      <c r="AB19" s="38">
        <f t="shared" si="12"/>
        <v>-0.00201386230679812</v>
      </c>
      <c r="AC19" s="38">
        <f t="shared" si="13"/>
        <v>0.30565367845605795</v>
      </c>
      <c r="AD19" s="38">
        <f t="shared" si="14"/>
        <v>0.1639879601110099</v>
      </c>
      <c r="AE19" s="38">
        <f t="shared" si="15"/>
        <v>-0.03759435061801031</v>
      </c>
      <c r="AF19" s="38">
        <f t="shared" si="16"/>
        <v>-0.11522731848344736</v>
      </c>
      <c r="AG19" s="38">
        <f t="shared" si="17"/>
        <v>0.12005678433893019</v>
      </c>
      <c r="AH19" s="38">
        <f t="shared" si="18"/>
        <v>-0.15102358950330352</v>
      </c>
      <c r="AI19" s="38">
        <f t="shared" si="18"/>
        <v>0.15351105709911606</v>
      </c>
    </row>
    <row r="20" spans="2:35" ht="12.75">
      <c r="B20" s="32" t="s">
        <v>49</v>
      </c>
      <c r="C20" s="25"/>
      <c r="D20" s="25"/>
      <c r="E20" s="25"/>
      <c r="F20" s="25"/>
      <c r="G20" s="25">
        <v>0</v>
      </c>
      <c r="H20" s="25">
        <v>0</v>
      </c>
      <c r="I20" s="25">
        <v>0</v>
      </c>
      <c r="J20" s="25">
        <v>125.5084155</v>
      </c>
      <c r="K20" s="25">
        <v>134.346159</v>
      </c>
      <c r="L20" s="25">
        <v>133.79141825</v>
      </c>
      <c r="M20" s="25">
        <v>140.045405</v>
      </c>
      <c r="N20" s="25">
        <v>155.9738855</v>
      </c>
      <c r="O20" s="25">
        <v>155.38992475</v>
      </c>
      <c r="P20" s="25">
        <v>146.74231525</v>
      </c>
      <c r="Q20" s="25">
        <v>146.02376025</v>
      </c>
      <c r="R20" s="25">
        <v>162.407455</v>
      </c>
      <c r="S20" s="25">
        <v>161.4685865</v>
      </c>
      <c r="T20" s="59" t="e">
        <f t="shared" si="4"/>
        <v>#DIV/0!</v>
      </c>
      <c r="U20" s="59" t="e">
        <f t="shared" si="5"/>
        <v>#DIV/0!</v>
      </c>
      <c r="V20" s="59" t="e">
        <f t="shared" si="6"/>
        <v>#DIV/0!</v>
      </c>
      <c r="W20" s="59" t="e">
        <f t="shared" si="7"/>
        <v>#DIV/0!</v>
      </c>
      <c r="X20" s="59" t="e">
        <f t="shared" si="8"/>
        <v>#DIV/0!</v>
      </c>
      <c r="Y20" s="59" t="e">
        <f t="shared" si="9"/>
        <v>#DIV/0!</v>
      </c>
      <c r="Z20" s="59" t="e">
        <f t="shared" si="10"/>
        <v>#DIV/0!</v>
      </c>
      <c r="AA20" s="38">
        <f t="shared" si="11"/>
        <v>0.07041554516318471</v>
      </c>
      <c r="AB20" s="38">
        <f t="shared" si="12"/>
        <v>-0.004129189506638653</v>
      </c>
      <c r="AC20" s="38">
        <f t="shared" si="13"/>
        <v>0.04674430416989761</v>
      </c>
      <c r="AD20" s="38">
        <f t="shared" si="14"/>
        <v>0.11373797305238265</v>
      </c>
      <c r="AE20" s="38">
        <f t="shared" si="15"/>
        <v>-0.0037439648831469885</v>
      </c>
      <c r="AF20" s="38">
        <f t="shared" si="16"/>
        <v>-0.05565103087547518</v>
      </c>
      <c r="AG20" s="38">
        <f t="shared" si="17"/>
        <v>-0.004896712981363294</v>
      </c>
      <c r="AH20" s="38">
        <f t="shared" si="18"/>
        <v>0.11219882793012781</v>
      </c>
      <c r="AI20" s="38">
        <f t="shared" si="18"/>
        <v>-0.0057809446001109155</v>
      </c>
    </row>
    <row r="21" spans="2:35" ht="12.75">
      <c r="B21" s="31" t="s">
        <v>26</v>
      </c>
      <c r="C21" s="25">
        <v>62535.551586589994</v>
      </c>
      <c r="D21" s="25">
        <f aca="true" t="shared" si="25" ref="D21:L21">+D22+D23</f>
        <v>77369.29421147</v>
      </c>
      <c r="E21" s="25">
        <f t="shared" si="25"/>
        <v>72362.12883307</v>
      </c>
      <c r="F21" s="25">
        <f t="shared" si="25"/>
        <v>73247.38836712</v>
      </c>
      <c r="G21" s="25">
        <f t="shared" si="25"/>
        <v>82647.50708999002</v>
      </c>
      <c r="H21" s="25">
        <f t="shared" si="25"/>
        <v>94816.54278175998</v>
      </c>
      <c r="I21" s="25">
        <f t="shared" si="25"/>
        <v>99419.40294985</v>
      </c>
      <c r="J21" s="25">
        <f t="shared" si="25"/>
        <v>103588.59570577</v>
      </c>
      <c r="K21" s="25">
        <f t="shared" si="25"/>
        <v>105881.47905657</v>
      </c>
      <c r="L21" s="25">
        <f t="shared" si="25"/>
        <v>119681.79242041</v>
      </c>
      <c r="M21" s="25">
        <f aca="true" t="shared" si="26" ref="M21:S21">+M22+M23</f>
        <v>129642.63101678</v>
      </c>
      <c r="N21" s="25">
        <f t="shared" si="26"/>
        <v>131148.43486722998</v>
      </c>
      <c r="O21" s="25">
        <f t="shared" si="26"/>
        <v>138488.66024919</v>
      </c>
      <c r="P21" s="25">
        <f t="shared" si="26"/>
        <v>151938.16790479</v>
      </c>
      <c r="Q21" s="25">
        <f t="shared" si="26"/>
        <v>153969.75066117</v>
      </c>
      <c r="R21" s="25">
        <f t="shared" si="26"/>
        <v>188389.40279334004</v>
      </c>
      <c r="S21" s="25">
        <f t="shared" si="26"/>
        <v>203786.00184893003</v>
      </c>
      <c r="T21" s="38">
        <f t="shared" si="4"/>
        <v>0.23720495379880724</v>
      </c>
      <c r="U21" s="38">
        <f t="shared" si="5"/>
        <v>-0.06471773368791678</v>
      </c>
      <c r="V21" s="38">
        <f t="shared" si="6"/>
        <v>0.012233740885265743</v>
      </c>
      <c r="W21" s="38">
        <f t="shared" si="7"/>
        <v>0.1283338414163806</v>
      </c>
      <c r="X21" s="38">
        <f t="shared" si="8"/>
        <v>0.14724020264180293</v>
      </c>
      <c r="Y21" s="38">
        <f t="shared" si="9"/>
        <v>0.04854490612133433</v>
      </c>
      <c r="Z21" s="38">
        <f t="shared" si="10"/>
        <v>0.04193540327357481</v>
      </c>
      <c r="AA21" s="38">
        <f t="shared" si="11"/>
        <v>0.022134515244444763</v>
      </c>
      <c r="AB21" s="38">
        <f t="shared" si="12"/>
        <v>0.13033736860123413</v>
      </c>
      <c r="AC21" s="38">
        <f t="shared" si="13"/>
        <v>0.08322768563976912</v>
      </c>
      <c r="AD21" s="38">
        <f t="shared" si="14"/>
        <v>0.011615036185551375</v>
      </c>
      <c r="AE21" s="38">
        <f t="shared" si="15"/>
        <v>0.05596883706154032</v>
      </c>
      <c r="AF21" s="38">
        <f t="shared" si="16"/>
        <v>0.09711630996645915</v>
      </c>
      <c r="AG21" s="38">
        <f t="shared" si="17"/>
        <v>0.013371115266132882</v>
      </c>
      <c r="AH21" s="38">
        <f t="shared" si="18"/>
        <v>0.22354814490746855</v>
      </c>
      <c r="AI21" s="38">
        <f t="shared" si="18"/>
        <v>0.08172752196937427</v>
      </c>
    </row>
    <row r="22" spans="2:35" ht="12.75">
      <c r="B22" s="32" t="s">
        <v>27</v>
      </c>
      <c r="C22" s="25">
        <v>27381.87511538</v>
      </c>
      <c r="D22" s="25">
        <v>32418.67214631</v>
      </c>
      <c r="E22" s="25">
        <v>33902.93659789</v>
      </c>
      <c r="F22" s="25">
        <v>37145.53304396</v>
      </c>
      <c r="G22" s="25">
        <v>40347.638503550006</v>
      </c>
      <c r="H22" s="25">
        <v>41833.418513669996</v>
      </c>
      <c r="I22" s="25">
        <v>46327.435829760005</v>
      </c>
      <c r="J22" s="25">
        <v>48724.85936406</v>
      </c>
      <c r="K22" s="25">
        <v>48791.44814761</v>
      </c>
      <c r="L22" s="25">
        <v>55470.410421010005</v>
      </c>
      <c r="M22" s="25">
        <v>59740.82084417</v>
      </c>
      <c r="N22" s="25">
        <v>59459.944417779996</v>
      </c>
      <c r="O22" s="25">
        <v>62163.188710480004</v>
      </c>
      <c r="P22" s="25">
        <v>89254.38696739999</v>
      </c>
      <c r="Q22" s="25">
        <v>91762.97471678</v>
      </c>
      <c r="R22" s="25">
        <v>99169.13003927</v>
      </c>
      <c r="S22" s="25">
        <v>116836.67475763001</v>
      </c>
      <c r="T22" s="38">
        <f t="shared" si="4"/>
        <v>0.18394638824792908</v>
      </c>
      <c r="U22" s="38">
        <f t="shared" si="5"/>
        <v>0.045784245723615946</v>
      </c>
      <c r="V22" s="38">
        <f t="shared" si="6"/>
        <v>0.09564352741856008</v>
      </c>
      <c r="W22" s="38">
        <f t="shared" si="7"/>
        <v>0.08620432114409193</v>
      </c>
      <c r="X22" s="38">
        <f t="shared" si="8"/>
        <v>0.03682446024664521</v>
      </c>
      <c r="Y22" s="38">
        <f t="shared" si="9"/>
        <v>0.1074264900111257</v>
      </c>
      <c r="Z22" s="38">
        <f t="shared" si="10"/>
        <v>0.05174954087918526</v>
      </c>
      <c r="AA22" s="38">
        <f t="shared" si="11"/>
        <v>0.0013666285427826885</v>
      </c>
      <c r="AB22" s="38">
        <f t="shared" si="12"/>
        <v>0.1368879696539027</v>
      </c>
      <c r="AC22" s="38">
        <f t="shared" si="13"/>
        <v>0.07698537636098912</v>
      </c>
      <c r="AD22" s="38">
        <f t="shared" si="14"/>
        <v>-0.004701582978289598</v>
      </c>
      <c r="AE22" s="38">
        <f t="shared" si="15"/>
        <v>0.04546328320972459</v>
      </c>
      <c r="AF22" s="38">
        <f t="shared" si="16"/>
        <v>0.4358077315353792</v>
      </c>
      <c r="AG22" s="38">
        <f t="shared" si="17"/>
        <v>0.0281060442473966</v>
      </c>
      <c r="AH22" s="38">
        <f t="shared" si="18"/>
        <v>0.0807096254818307</v>
      </c>
      <c r="AI22" s="38">
        <f t="shared" si="18"/>
        <v>0.17815568928923575</v>
      </c>
    </row>
    <row r="23" spans="2:35" ht="12.75">
      <c r="B23" s="32" t="s">
        <v>28</v>
      </c>
      <c r="C23" s="25">
        <v>35153.67647121</v>
      </c>
      <c r="D23" s="25">
        <v>44950.62206516</v>
      </c>
      <c r="E23" s="25">
        <v>38459.19223518</v>
      </c>
      <c r="F23" s="25">
        <v>36101.85532316</v>
      </c>
      <c r="G23" s="25">
        <v>42299.86858644</v>
      </c>
      <c r="H23" s="25">
        <v>52983.124268089996</v>
      </c>
      <c r="I23" s="25">
        <v>53091.96712009</v>
      </c>
      <c r="J23" s="25">
        <v>54863.73634171</v>
      </c>
      <c r="K23" s="25">
        <v>57090.03090896</v>
      </c>
      <c r="L23" s="25">
        <v>64211.3819994</v>
      </c>
      <c r="M23" s="25">
        <v>69901.81017261</v>
      </c>
      <c r="N23" s="25">
        <v>71688.49044945</v>
      </c>
      <c r="O23" s="25">
        <v>76325.47153871</v>
      </c>
      <c r="P23" s="25">
        <v>62683.78093739</v>
      </c>
      <c r="Q23" s="25">
        <v>62206.77594439</v>
      </c>
      <c r="R23" s="25">
        <v>89220.27275407001</v>
      </c>
      <c r="S23" s="25">
        <v>86949.3270913</v>
      </c>
      <c r="T23" s="38">
        <f t="shared" si="4"/>
        <v>0.2786890754363478</v>
      </c>
      <c r="U23" s="38">
        <f t="shared" si="5"/>
        <v>-0.14441245819846682</v>
      </c>
      <c r="V23" s="38">
        <f t="shared" si="6"/>
        <v>-0.06129449879250615</v>
      </c>
      <c r="W23" s="38">
        <f t="shared" si="7"/>
        <v>0.17168129470908</v>
      </c>
      <c r="X23" s="38">
        <f t="shared" si="8"/>
        <v>0.25256002060192473</v>
      </c>
      <c r="Y23" s="38">
        <f t="shared" si="9"/>
        <v>0.002054292824433368</v>
      </c>
      <c r="Z23" s="38">
        <f t="shared" si="10"/>
        <v>0.03337170042338777</v>
      </c>
      <c r="AA23" s="38">
        <f t="shared" si="11"/>
        <v>0.0405786174201459</v>
      </c>
      <c r="AB23" s="38">
        <f t="shared" si="12"/>
        <v>0.1247389601486859</v>
      </c>
      <c r="AC23" s="38">
        <f t="shared" si="13"/>
        <v>0.08862024139681601</v>
      </c>
      <c r="AD23" s="38">
        <f t="shared" si="14"/>
        <v>0.025559857068480962</v>
      </c>
      <c r="AE23" s="38">
        <f t="shared" si="15"/>
        <v>0.06468236477276235</v>
      </c>
      <c r="AF23" s="38">
        <f t="shared" si="16"/>
        <v>-0.17873051192879086</v>
      </c>
      <c r="AG23" s="38">
        <f t="shared" si="17"/>
        <v>-0.007609703592647787</v>
      </c>
      <c r="AH23" s="38">
        <f t="shared" si="18"/>
        <v>0.43425328510561045</v>
      </c>
      <c r="AI23" s="38">
        <f t="shared" si="18"/>
        <v>-0.0254532472572655</v>
      </c>
    </row>
    <row r="24" spans="2:35" ht="12.75">
      <c r="B24" s="31" t="s">
        <v>29</v>
      </c>
      <c r="C24" s="25">
        <v>11711.53316014</v>
      </c>
      <c r="D24" s="25">
        <f aca="true" t="shared" si="27" ref="D24:L24">+D25+D26</f>
        <v>16735.09768667</v>
      </c>
      <c r="E24" s="25">
        <f t="shared" si="27"/>
        <v>11457.14436532</v>
      </c>
      <c r="F24" s="25">
        <f t="shared" si="27"/>
        <v>11229.10584994</v>
      </c>
      <c r="G24" s="25">
        <f t="shared" si="27"/>
        <v>14588.969387510002</v>
      </c>
      <c r="H24" s="25">
        <f t="shared" si="27"/>
        <v>18167.2539845</v>
      </c>
      <c r="I24" s="25">
        <f t="shared" si="27"/>
        <v>18769.01350089</v>
      </c>
      <c r="J24" s="25">
        <f t="shared" si="27"/>
        <v>18172.21279528</v>
      </c>
      <c r="K24" s="25">
        <f t="shared" si="27"/>
        <v>20021.8500065</v>
      </c>
      <c r="L24" s="25">
        <f t="shared" si="27"/>
        <v>24657.46478971</v>
      </c>
      <c r="M24" s="25">
        <f aca="true" t="shared" si="28" ref="M24:S24">+M25+M26</f>
        <v>25904.069168829996</v>
      </c>
      <c r="N24" s="25">
        <f t="shared" si="28"/>
        <v>24501.008450830002</v>
      </c>
      <c r="O24" s="25">
        <f t="shared" si="28"/>
        <v>23321.96366788</v>
      </c>
      <c r="P24" s="25">
        <f t="shared" si="28"/>
        <v>19634.182476949998</v>
      </c>
      <c r="Q24" s="25">
        <f t="shared" si="28"/>
        <v>13140.64256341</v>
      </c>
      <c r="R24" s="25">
        <f t="shared" si="28"/>
        <v>23135.771384570002</v>
      </c>
      <c r="S24" s="25">
        <f t="shared" si="28"/>
        <v>26383.358971119997</v>
      </c>
      <c r="T24" s="38">
        <f t="shared" si="4"/>
        <v>0.428941664412275</v>
      </c>
      <c r="U24" s="38">
        <f t="shared" si="5"/>
        <v>-0.315382283400356</v>
      </c>
      <c r="V24" s="38">
        <f t="shared" si="6"/>
        <v>-0.01990360844804029</v>
      </c>
      <c r="W24" s="38">
        <f t="shared" si="7"/>
        <v>0.29921024723334977</v>
      </c>
      <c r="X24" s="38">
        <f t="shared" si="8"/>
        <v>0.2452732953195076</v>
      </c>
      <c r="Y24" s="38">
        <f t="shared" si="9"/>
        <v>0.03312330619164627</v>
      </c>
      <c r="Z24" s="38">
        <f t="shared" si="10"/>
        <v>-0.03179712698175108</v>
      </c>
      <c r="AA24" s="38">
        <f t="shared" si="11"/>
        <v>0.10178381862776886</v>
      </c>
      <c r="AB24" s="38">
        <f t="shared" si="12"/>
        <v>0.23152779496924958</v>
      </c>
      <c r="AC24" s="38">
        <f t="shared" si="13"/>
        <v>0.05055687556492927</v>
      </c>
      <c r="AD24" s="38">
        <f t="shared" si="14"/>
        <v>-0.05416371879087922</v>
      </c>
      <c r="AE24" s="38">
        <f t="shared" si="15"/>
        <v>-0.048122296080839844</v>
      </c>
      <c r="AF24" s="38">
        <f t="shared" si="16"/>
        <v>-0.15812481502185738</v>
      </c>
      <c r="AG24" s="38">
        <f t="shared" si="17"/>
        <v>-0.3307262689018623</v>
      </c>
      <c r="AH24" s="38">
        <f t="shared" si="18"/>
        <v>0.7606270981748904</v>
      </c>
      <c r="AI24" s="38">
        <f t="shared" si="18"/>
        <v>0.14037083668262373</v>
      </c>
    </row>
    <row r="25" spans="2:35" ht="12.75">
      <c r="B25" s="32" t="s">
        <v>27</v>
      </c>
      <c r="C25" s="25">
        <v>1568.16496593</v>
      </c>
      <c r="D25" s="25">
        <v>1879.1610727</v>
      </c>
      <c r="E25" s="25">
        <v>2371.60221233</v>
      </c>
      <c r="F25" s="25">
        <v>2059.9234461300002</v>
      </c>
      <c r="G25" s="25">
        <v>2024.65733431</v>
      </c>
      <c r="H25" s="25">
        <v>2184.01809336</v>
      </c>
      <c r="I25" s="25">
        <v>2324.33988535</v>
      </c>
      <c r="J25" s="25">
        <v>1337.96481486</v>
      </c>
      <c r="K25" s="25">
        <v>1691.9607493699998</v>
      </c>
      <c r="L25" s="25">
        <v>1790.33637149</v>
      </c>
      <c r="M25" s="25">
        <v>1960.76617498</v>
      </c>
      <c r="N25" s="25">
        <v>1073.76623702</v>
      </c>
      <c r="O25" s="25">
        <v>988.2447623099999</v>
      </c>
      <c r="P25" s="25">
        <v>820.5847128099999</v>
      </c>
      <c r="Q25" s="25">
        <v>952.470453</v>
      </c>
      <c r="R25" s="25">
        <v>710.674169</v>
      </c>
      <c r="S25" s="25">
        <v>822.999727</v>
      </c>
      <c r="T25" s="38">
        <f t="shared" si="4"/>
        <v>0.19831848914285866</v>
      </c>
      <c r="U25" s="38">
        <f t="shared" si="5"/>
        <v>0.26205371470496397</v>
      </c>
      <c r="V25" s="38">
        <f t="shared" si="6"/>
        <v>-0.13142118209351317</v>
      </c>
      <c r="W25" s="38">
        <f t="shared" si="7"/>
        <v>-0.017120107975980958</v>
      </c>
      <c r="X25" s="38">
        <f t="shared" si="8"/>
        <v>0.07870999025339276</v>
      </c>
      <c r="Y25" s="38">
        <f t="shared" si="9"/>
        <v>0.06424937248304663</v>
      </c>
      <c r="Z25" s="38">
        <f t="shared" si="10"/>
        <v>-0.42436782877882384</v>
      </c>
      <c r="AA25" s="38">
        <f t="shared" si="11"/>
        <v>0.26457791010523746</v>
      </c>
      <c r="AB25" s="38">
        <f t="shared" si="12"/>
        <v>0.05814296942563835</v>
      </c>
      <c r="AC25" s="38">
        <f t="shared" si="13"/>
        <v>0.09519429209169261</v>
      </c>
      <c r="AD25" s="38">
        <f t="shared" si="14"/>
        <v>-0.45237415316441154</v>
      </c>
      <c r="AE25" s="38">
        <f t="shared" si="15"/>
        <v>-0.0796462691426637</v>
      </c>
      <c r="AF25" s="38">
        <f t="shared" si="16"/>
        <v>-0.1696543770271025</v>
      </c>
      <c r="AG25" s="38">
        <f t="shared" si="17"/>
        <v>0.16072166362735696</v>
      </c>
      <c r="AH25" s="38">
        <f t="shared" si="18"/>
        <v>-0.25386224133086044</v>
      </c>
      <c r="AI25" s="38">
        <f t="shared" si="18"/>
        <v>0.15805493276624216</v>
      </c>
    </row>
    <row r="26" spans="2:35" ht="12.75">
      <c r="B26" s="32" t="s">
        <v>28</v>
      </c>
      <c r="C26" s="25">
        <v>10143.36819421</v>
      </c>
      <c r="D26" s="25">
        <v>14855.93661397</v>
      </c>
      <c r="E26" s="25">
        <v>9085.54215299</v>
      </c>
      <c r="F26" s="25">
        <v>9169.18240381</v>
      </c>
      <c r="G26" s="25">
        <v>12564.312053200001</v>
      </c>
      <c r="H26" s="25">
        <v>15983.235891139999</v>
      </c>
      <c r="I26" s="25">
        <v>16444.67361554</v>
      </c>
      <c r="J26" s="25">
        <v>16834.24798042</v>
      </c>
      <c r="K26" s="25">
        <v>18329.889257130002</v>
      </c>
      <c r="L26" s="25">
        <v>22867.12841822</v>
      </c>
      <c r="M26" s="25">
        <v>23943.302993849997</v>
      </c>
      <c r="N26" s="25">
        <v>23427.24221381</v>
      </c>
      <c r="O26" s="25">
        <v>22333.71890557</v>
      </c>
      <c r="P26" s="25">
        <v>18813.59776414</v>
      </c>
      <c r="Q26" s="25">
        <v>12188.17211041</v>
      </c>
      <c r="R26" s="25">
        <v>22425.09721557</v>
      </c>
      <c r="S26" s="25">
        <v>25560.359244119998</v>
      </c>
      <c r="T26" s="38">
        <f t="shared" si="4"/>
        <v>0.46459601283625007</v>
      </c>
      <c r="U26" s="38">
        <f t="shared" si="5"/>
        <v>-0.3884234707594083</v>
      </c>
      <c r="V26" s="38">
        <f t="shared" si="6"/>
        <v>0.0092058623923148</v>
      </c>
      <c r="W26" s="38">
        <f t="shared" si="7"/>
        <v>0.37027615984378803</v>
      </c>
      <c r="X26" s="38">
        <f t="shared" si="8"/>
        <v>0.2721138907935061</v>
      </c>
      <c r="Y26" s="38">
        <f t="shared" si="9"/>
        <v>0.028870106625642045</v>
      </c>
      <c r="Z26" s="38">
        <f t="shared" si="10"/>
        <v>0.023690002853681502</v>
      </c>
      <c r="AA26" s="38">
        <f t="shared" si="11"/>
        <v>0.08884514939126409</v>
      </c>
      <c r="AB26" s="38">
        <f t="shared" si="12"/>
        <v>0.2475322735146963</v>
      </c>
      <c r="AC26" s="38">
        <f t="shared" si="13"/>
        <v>0.047062077754044696</v>
      </c>
      <c r="AD26" s="38">
        <f t="shared" si="14"/>
        <v>-0.02155344983825125</v>
      </c>
      <c r="AE26" s="38">
        <f t="shared" si="15"/>
        <v>-0.04667742358489746</v>
      </c>
      <c r="AF26" s="38">
        <f t="shared" si="16"/>
        <v>-0.15761464341489884</v>
      </c>
      <c r="AG26" s="38">
        <f t="shared" si="17"/>
        <v>-0.3521615448991108</v>
      </c>
      <c r="AH26" s="38">
        <f t="shared" si="18"/>
        <v>0.8399065103795649</v>
      </c>
      <c r="AI26" s="38">
        <f t="shared" si="18"/>
        <v>0.13981040966784075</v>
      </c>
    </row>
    <row r="27" spans="2:35" ht="12.75">
      <c r="B27" s="31" t="s">
        <v>32</v>
      </c>
      <c r="C27" s="25">
        <v>28920.417493230005</v>
      </c>
      <c r="D27" s="25">
        <v>29361.354155659996</v>
      </c>
      <c r="E27" s="25">
        <v>36171.23841767</v>
      </c>
      <c r="F27" s="25">
        <v>37033.692506700005</v>
      </c>
      <c r="G27" s="25">
        <f>42749.1661879+500.3</f>
        <v>43249.466187900005</v>
      </c>
      <c r="H27" s="25">
        <v>49704.048419800005</v>
      </c>
      <c r="I27" s="25">
        <v>52354.91134826999</v>
      </c>
      <c r="J27" s="25">
        <v>51134.155517600004</v>
      </c>
      <c r="K27" s="25">
        <v>56008.01912422998</v>
      </c>
      <c r="L27" s="25">
        <v>61333.566376760005</v>
      </c>
      <c r="M27" s="25">
        <v>76982.56600659</v>
      </c>
      <c r="N27" s="25">
        <v>81737.85571988</v>
      </c>
      <c r="O27" s="25">
        <v>61995.442925669995</v>
      </c>
      <c r="P27" s="25">
        <v>84296.75795256</v>
      </c>
      <c r="Q27" s="25">
        <v>68098.18194957</v>
      </c>
      <c r="R27" s="25">
        <v>93881.72305460999</v>
      </c>
      <c r="S27" s="25">
        <v>95085.64392949999</v>
      </c>
      <c r="T27" s="38">
        <f t="shared" si="4"/>
        <v>0.01524655245842177</v>
      </c>
      <c r="U27" s="38">
        <f t="shared" si="5"/>
        <v>0.23193358950364562</v>
      </c>
      <c r="V27" s="38">
        <f t="shared" si="6"/>
        <v>0.023843642815632338</v>
      </c>
      <c r="W27" s="38">
        <f t="shared" si="7"/>
        <v>0.16784104582807835</v>
      </c>
      <c r="X27" s="38">
        <f t="shared" si="8"/>
        <v>0.14924073753552625</v>
      </c>
      <c r="Y27" s="38">
        <f t="shared" si="9"/>
        <v>0.053332937914449596</v>
      </c>
      <c r="Z27" s="38">
        <f t="shared" si="10"/>
        <v>-0.023316930527289004</v>
      </c>
      <c r="AA27" s="38">
        <f t="shared" si="11"/>
        <v>0.09531522633540757</v>
      </c>
      <c r="AB27" s="38">
        <f t="shared" si="12"/>
        <v>0.09508544197425661</v>
      </c>
      <c r="AC27" s="38">
        <f t="shared" si="13"/>
        <v>0.2551457636378305</v>
      </c>
      <c r="AD27" s="38">
        <f t="shared" si="14"/>
        <v>0.061770995174192045</v>
      </c>
      <c r="AE27" s="38">
        <f t="shared" si="15"/>
        <v>-0.2415332849184142</v>
      </c>
      <c r="AF27" s="38">
        <f t="shared" si="16"/>
        <v>0.35972506968985396</v>
      </c>
      <c r="AG27" s="38">
        <f t="shared" si="17"/>
        <v>-0.19216131671524228</v>
      </c>
      <c r="AH27" s="38">
        <f t="shared" si="18"/>
        <v>0.3786230464145717</v>
      </c>
      <c r="AI27" s="38">
        <f t="shared" si="18"/>
        <v>0.012823804631170832</v>
      </c>
    </row>
    <row r="28" spans="2:35" ht="12.75">
      <c r="B28" s="31" t="s">
        <v>137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2:35" ht="12.75">
      <c r="B29" s="31" t="s">
        <v>138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375.75747048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2:35" ht="12.75">
      <c r="B30" s="30" t="s">
        <v>33</v>
      </c>
      <c r="C30" s="25">
        <v>2885.45375337</v>
      </c>
      <c r="D30" s="25">
        <v>2760.86569527</v>
      </c>
      <c r="E30" s="25">
        <v>3926.23526474</v>
      </c>
      <c r="F30" s="25">
        <v>4598.37086903</v>
      </c>
      <c r="G30" s="25">
        <v>5390.8</v>
      </c>
      <c r="H30" s="25">
        <v>5173.19549362</v>
      </c>
      <c r="I30" s="25">
        <v>6676.457027560001</v>
      </c>
      <c r="J30" s="25">
        <v>4344.76313225</v>
      </c>
      <c r="K30" s="25">
        <v>4905.82269195</v>
      </c>
      <c r="L30" s="25">
        <v>5344.57233867</v>
      </c>
      <c r="M30" s="25">
        <v>5504.640303720001</v>
      </c>
      <c r="N30" s="25">
        <v>5581.54796</v>
      </c>
      <c r="O30" s="25">
        <v>6035.5372878</v>
      </c>
      <c r="P30" s="25">
        <v>6251.1229755</v>
      </c>
      <c r="Q30" s="25">
        <v>7177.323005390001</v>
      </c>
      <c r="R30" s="25">
        <v>38937.29121339</v>
      </c>
      <c r="S30" s="25">
        <v>43173.01142389</v>
      </c>
      <c r="T30" s="38">
        <f t="shared" si="4"/>
        <v>-0.043177977797942635</v>
      </c>
      <c r="U30" s="38">
        <f t="shared" si="5"/>
        <v>0.42210295541233567</v>
      </c>
      <c r="V30" s="38">
        <f t="shared" si="6"/>
        <v>0.1711908632491257</v>
      </c>
      <c r="W30" s="38">
        <f t="shared" si="7"/>
        <v>0.17232823396368602</v>
      </c>
      <c r="X30" s="38">
        <f t="shared" si="8"/>
        <v>-0.040365902348445504</v>
      </c>
      <c r="Y30" s="38">
        <f t="shared" si="9"/>
        <v>0.2905866472268337</v>
      </c>
      <c r="Z30" s="38">
        <f t="shared" si="10"/>
        <v>-0.3492412046816018</v>
      </c>
      <c r="AA30" s="38">
        <f t="shared" si="11"/>
        <v>0.12913467147044377</v>
      </c>
      <c r="AB30" s="38">
        <f t="shared" si="12"/>
        <v>0.08943446884860862</v>
      </c>
      <c r="AC30" s="38">
        <f t="shared" si="13"/>
        <v>0.0299496301868436</v>
      </c>
      <c r="AD30" s="38">
        <f t="shared" si="14"/>
        <v>0.013971422660991273</v>
      </c>
      <c r="AE30" s="38">
        <f t="shared" si="15"/>
        <v>0.08133753056562476</v>
      </c>
      <c r="AF30" s="38">
        <f t="shared" si="16"/>
        <v>0.03571938626504334</v>
      </c>
      <c r="AG30" s="38">
        <f t="shared" si="17"/>
        <v>0.14816538300718962</v>
      </c>
      <c r="AH30" s="38">
        <f t="shared" si="18"/>
        <v>4.425043736243864</v>
      </c>
      <c r="AI30" s="38">
        <f t="shared" si="18"/>
        <v>0.1087831248272193</v>
      </c>
    </row>
    <row r="31" spans="2:35" ht="12.75">
      <c r="B31" s="30" t="s">
        <v>12</v>
      </c>
      <c r="C31" s="25">
        <v>1334.62331468</v>
      </c>
      <c r="D31" s="25">
        <v>1267.20084123</v>
      </c>
      <c r="E31" s="25">
        <v>589.02327111</v>
      </c>
      <c r="F31" s="25">
        <v>1064.06535473</v>
      </c>
      <c r="G31" s="25">
        <v>1206.9</v>
      </c>
      <c r="H31" s="25">
        <v>1572.54745673</v>
      </c>
      <c r="I31" s="25">
        <v>1499.0852003900002</v>
      </c>
      <c r="J31" s="25">
        <v>2655.15180873</v>
      </c>
      <c r="K31" s="25">
        <v>2370.33077767</v>
      </c>
      <c r="L31" s="25">
        <v>1403.84900658</v>
      </c>
      <c r="M31" s="25">
        <v>4259.16195486</v>
      </c>
      <c r="N31" s="25">
        <v>6482.12358523</v>
      </c>
      <c r="O31" s="25">
        <v>2890.10173011</v>
      </c>
      <c r="P31" s="25">
        <v>4862.9789402100005</v>
      </c>
      <c r="Q31" s="25">
        <v>3367.8086558600003</v>
      </c>
      <c r="R31" s="25">
        <v>10689.06318719</v>
      </c>
      <c r="S31" s="25">
        <v>12282.26763015</v>
      </c>
      <c r="T31" s="38">
        <f t="shared" si="4"/>
        <v>-0.05051797964893623</v>
      </c>
      <c r="U31" s="38">
        <f t="shared" si="5"/>
        <v>-0.535177651446105</v>
      </c>
      <c r="V31" s="38">
        <f t="shared" si="6"/>
        <v>0.8064911980893299</v>
      </c>
      <c r="W31" s="38">
        <f t="shared" si="7"/>
        <v>0.1342348424700317</v>
      </c>
      <c r="X31" s="38">
        <f t="shared" si="8"/>
        <v>0.3029641699643715</v>
      </c>
      <c r="Y31" s="38">
        <f t="shared" si="9"/>
        <v>-0.04671544634510383</v>
      </c>
      <c r="Z31" s="38">
        <f t="shared" si="10"/>
        <v>0.7711813898497824</v>
      </c>
      <c r="AA31" s="38">
        <f t="shared" si="11"/>
        <v>-0.1072710909122121</v>
      </c>
      <c r="AB31" s="38">
        <f t="shared" si="12"/>
        <v>-0.40774130775116424</v>
      </c>
      <c r="AC31" s="38">
        <f t="shared" si="13"/>
        <v>2.0339174191076275</v>
      </c>
      <c r="AD31" s="38">
        <f t="shared" si="14"/>
        <v>0.5219246541760276</v>
      </c>
      <c r="AE31" s="38">
        <f t="shared" si="15"/>
        <v>-0.5541427601449451</v>
      </c>
      <c r="AF31" s="38">
        <f t="shared" si="16"/>
        <v>0.6826324449225913</v>
      </c>
      <c r="AG31" s="38">
        <f t="shared" si="17"/>
        <v>-0.3074597490001537</v>
      </c>
      <c r="AH31" s="38">
        <f t="shared" si="18"/>
        <v>2.17389266417823</v>
      </c>
      <c r="AI31" s="38">
        <f t="shared" si="18"/>
        <v>0.14904996023125094</v>
      </c>
    </row>
    <row r="32" spans="2:35" ht="12.75">
      <c r="B32" s="30" t="s">
        <v>34</v>
      </c>
      <c r="C32" s="25">
        <v>2624.65397514</v>
      </c>
      <c r="D32" s="25">
        <v>976.99024043</v>
      </c>
      <c r="E32" s="25">
        <v>375.58230833</v>
      </c>
      <c r="F32" s="25">
        <v>2566.52550809</v>
      </c>
      <c r="G32" s="25">
        <v>15477</v>
      </c>
      <c r="H32" s="25">
        <v>26855.274351430002</v>
      </c>
      <c r="I32" s="25">
        <v>6582.06529763</v>
      </c>
      <c r="J32" s="25">
        <v>20172.59116045</v>
      </c>
      <c r="K32" s="25">
        <v>8497.869892640001</v>
      </c>
      <c r="L32" s="25">
        <v>9822.95225267</v>
      </c>
      <c r="M32" s="25">
        <v>22126.17449243</v>
      </c>
      <c r="N32" s="25">
        <v>28327.52130519</v>
      </c>
      <c r="O32" s="25">
        <v>19527.66104037</v>
      </c>
      <c r="P32" s="25">
        <v>25222.28488738</v>
      </c>
      <c r="Q32" s="25">
        <v>27627.94010357</v>
      </c>
      <c r="R32" s="25">
        <v>1772.7311028</v>
      </c>
      <c r="S32" s="25">
        <v>915.16621227</v>
      </c>
      <c r="T32" s="38">
        <f t="shared" si="4"/>
        <v>-0.6277641739887305</v>
      </c>
      <c r="U32" s="38">
        <f t="shared" si="5"/>
        <v>-0.6155720980746993</v>
      </c>
      <c r="V32" s="38">
        <f t="shared" si="6"/>
        <v>5.8334568779394145</v>
      </c>
      <c r="W32" s="38">
        <f t="shared" si="7"/>
        <v>5.030331649233416</v>
      </c>
      <c r="X32" s="38">
        <f t="shared" si="8"/>
        <v>0.7351731182677523</v>
      </c>
      <c r="Y32" s="38">
        <f t="shared" si="9"/>
        <v>-0.7549060489385946</v>
      </c>
      <c r="Z32" s="38">
        <f t="shared" si="10"/>
        <v>2.0647813791384797</v>
      </c>
      <c r="AA32" s="38">
        <f t="shared" si="11"/>
        <v>-0.5787417776403081</v>
      </c>
      <c r="AB32" s="38">
        <f t="shared" si="12"/>
        <v>0.15593111882986732</v>
      </c>
      <c r="AC32" s="38">
        <f t="shared" si="13"/>
        <v>1.2524974084462062</v>
      </c>
      <c r="AD32" s="38">
        <f t="shared" si="14"/>
        <v>0.28027198352257665</v>
      </c>
      <c r="AE32" s="38">
        <f t="shared" si="15"/>
        <v>-0.31064702661463506</v>
      </c>
      <c r="AF32" s="38">
        <f t="shared" si="16"/>
        <v>0.29161832721478365</v>
      </c>
      <c r="AG32" s="38">
        <f t="shared" si="17"/>
        <v>0.09537816367277929</v>
      </c>
      <c r="AH32" s="38">
        <f t="shared" si="18"/>
        <v>-0.9358355673222655</v>
      </c>
      <c r="AI32" s="38">
        <f t="shared" si="18"/>
        <v>-0.4837535084568044</v>
      </c>
    </row>
    <row r="33" spans="2:35" ht="12.75">
      <c r="B33" s="12"/>
      <c r="C33" s="6"/>
      <c r="D33" s="6"/>
      <c r="E33" s="6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2:35" ht="15">
      <c r="B34" s="18" t="s">
        <v>11</v>
      </c>
      <c r="C34" s="5">
        <v>308</v>
      </c>
      <c r="D34" s="5">
        <v>50</v>
      </c>
      <c r="E34" s="5">
        <v>0</v>
      </c>
      <c r="F34" s="28">
        <v>1481.74</v>
      </c>
      <c r="G34" s="28">
        <v>318.9</v>
      </c>
      <c r="H34" s="28">
        <v>56.3</v>
      </c>
      <c r="I34" s="28">
        <v>1.7</v>
      </c>
      <c r="J34" s="28">
        <v>0</v>
      </c>
      <c r="K34" s="28">
        <v>0</v>
      </c>
      <c r="L34" s="28">
        <v>48.70550422000004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38">
        <f aca="true" t="shared" si="29" ref="T34:AI34">+D34/C34-1</f>
        <v>-0.8376623376623377</v>
      </c>
      <c r="U34" s="38">
        <f t="shared" si="29"/>
        <v>-1</v>
      </c>
      <c r="V34" s="59" t="e">
        <f t="shared" si="29"/>
        <v>#DIV/0!</v>
      </c>
      <c r="W34" s="38">
        <f t="shared" si="29"/>
        <v>-0.7847800558802489</v>
      </c>
      <c r="X34" s="38">
        <f t="shared" si="29"/>
        <v>-0.8234556287237378</v>
      </c>
      <c r="Y34" s="38">
        <f t="shared" si="29"/>
        <v>-0.9698046181172292</v>
      </c>
      <c r="Z34" s="38">
        <f t="shared" si="29"/>
        <v>-1</v>
      </c>
      <c r="AA34" s="59" t="e">
        <f t="shared" si="29"/>
        <v>#DIV/0!</v>
      </c>
      <c r="AB34" s="59" t="e">
        <f t="shared" si="29"/>
        <v>#DIV/0!</v>
      </c>
      <c r="AC34" s="38">
        <f t="shared" si="29"/>
        <v>-1</v>
      </c>
      <c r="AD34" s="59" t="e">
        <f t="shared" si="29"/>
        <v>#DIV/0!</v>
      </c>
      <c r="AE34" s="59" t="e">
        <f t="shared" si="29"/>
        <v>#DIV/0!</v>
      </c>
      <c r="AF34" s="59" t="e">
        <f t="shared" si="29"/>
        <v>#DIV/0!</v>
      </c>
      <c r="AG34" s="59" t="e">
        <f t="shared" si="29"/>
        <v>#DIV/0!</v>
      </c>
      <c r="AH34" s="59" t="e">
        <f t="shared" si="29"/>
        <v>#DIV/0!</v>
      </c>
      <c r="AI34" s="59" t="e">
        <f t="shared" si="29"/>
        <v>#DIV/0!</v>
      </c>
    </row>
    <row r="35" spans="2:35" ht="12.75">
      <c r="B35" s="1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2"/>
      <c r="N35" s="12"/>
      <c r="O35" s="12"/>
      <c r="P35" s="12"/>
      <c r="Q35" s="12"/>
      <c r="R35" s="12"/>
      <c r="S35" s="1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ht="12.75">
      <c r="A36" s="19">
        <v>2</v>
      </c>
      <c r="B36" s="74" t="s">
        <v>55</v>
      </c>
      <c r="C36" s="27">
        <f>+C40+C56</f>
        <v>135909.7000000001</v>
      </c>
      <c r="D36" s="27">
        <f aca="true" t="shared" si="30" ref="D36:M36">+D40+D56</f>
        <v>161081.4000000002</v>
      </c>
      <c r="E36" s="46">
        <f t="shared" si="30"/>
        <v>200507.73051523</v>
      </c>
      <c r="F36" s="27">
        <f t="shared" si="30"/>
        <v>258802.8223886501</v>
      </c>
      <c r="G36" s="27">
        <f t="shared" si="30"/>
        <v>323817.5175918004</v>
      </c>
      <c r="H36" s="27">
        <f t="shared" si="30"/>
        <v>292387.36658815015</v>
      </c>
      <c r="I36" s="27">
        <f t="shared" si="30"/>
        <v>355833.8377191797</v>
      </c>
      <c r="J36" s="27">
        <f t="shared" si="30"/>
        <v>379382.49490254966</v>
      </c>
      <c r="K36" s="27">
        <f t="shared" si="30"/>
        <v>424983.23557674</v>
      </c>
      <c r="L36" s="27">
        <f t="shared" si="30"/>
        <v>414285.6450967696</v>
      </c>
      <c r="M36" s="27">
        <f t="shared" si="30"/>
        <v>476642.3986299001</v>
      </c>
      <c r="N36" s="27">
        <f>+N40+N56</f>
        <v>497754.9344667092</v>
      </c>
      <c r="O36" s="27">
        <f>+O40+O56</f>
        <v>535579.5818237509</v>
      </c>
      <c r="P36" s="27">
        <f>+P40+P56</f>
        <v>570426.1552508897</v>
      </c>
      <c r="Q36" s="27">
        <f>+Q40+Q56</f>
        <v>567022.33509008</v>
      </c>
      <c r="R36" s="27">
        <f>+R40+R56+R65</f>
        <v>611692.3825229509</v>
      </c>
      <c r="S36" s="27">
        <f>+S40+S56+S65</f>
        <v>601273.4973661398</v>
      </c>
      <c r="T36" s="52">
        <f aca="true" t="shared" si="31" ref="T36:AI36">+D36/C36-1</f>
        <v>0.1852090027422626</v>
      </c>
      <c r="U36" s="52">
        <f t="shared" si="31"/>
        <v>0.24476029209598238</v>
      </c>
      <c r="V36" s="52">
        <f t="shared" si="31"/>
        <v>0.29073737817301826</v>
      </c>
      <c r="W36" s="52">
        <f t="shared" si="31"/>
        <v>0.25121323872394363</v>
      </c>
      <c r="X36" s="52">
        <f t="shared" si="31"/>
        <v>-0.09706130550747616</v>
      </c>
      <c r="Y36" s="52">
        <f t="shared" si="31"/>
        <v>0.2169945708372507</v>
      </c>
      <c r="Z36" s="52">
        <f t="shared" si="31"/>
        <v>0.06617880225869444</v>
      </c>
      <c r="AA36" s="52">
        <f t="shared" si="31"/>
        <v>0.1201972713208701</v>
      </c>
      <c r="AB36" s="52">
        <f t="shared" si="31"/>
        <v>-0.025171794048423624</v>
      </c>
      <c r="AC36" s="52">
        <f t="shared" si="31"/>
        <v>0.15051632676909454</v>
      </c>
      <c r="AD36" s="52">
        <f t="shared" si="31"/>
        <v>0.04429428833334326</v>
      </c>
      <c r="AE36" s="52">
        <f t="shared" si="31"/>
        <v>0.07599050202800428</v>
      </c>
      <c r="AF36" s="52">
        <f t="shared" si="31"/>
        <v>0.06506329705191449</v>
      </c>
      <c r="AG36" s="52">
        <f t="shared" si="31"/>
        <v>-0.005967153030198236</v>
      </c>
      <c r="AH36" s="52">
        <f t="shared" si="31"/>
        <v>0.07878004915939396</v>
      </c>
      <c r="AI36" s="52">
        <f t="shared" si="31"/>
        <v>-0.017032883610284544</v>
      </c>
    </row>
    <row r="37" spans="1:35" ht="12.75">
      <c r="A37" s="19"/>
      <c r="B37" s="20"/>
      <c r="C37" s="33"/>
      <c r="D37" s="33"/>
      <c r="E37" s="4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ht="12.75">
      <c r="A38" s="19">
        <v>3</v>
      </c>
      <c r="B38" s="3" t="s">
        <v>16</v>
      </c>
      <c r="C38" s="28">
        <f aca="true" t="shared" si="32" ref="C38:O38">+C36-C46</f>
        <v>112103.90000000001</v>
      </c>
      <c r="D38" s="28">
        <f t="shared" si="32"/>
        <v>144346.2000000002</v>
      </c>
      <c r="E38" s="48">
        <f t="shared" si="32"/>
        <v>183513.23051523004</v>
      </c>
      <c r="F38" s="28">
        <f t="shared" si="32"/>
        <v>247084.22238865</v>
      </c>
      <c r="G38" s="28">
        <f t="shared" si="32"/>
        <v>305988.59576643043</v>
      </c>
      <c r="H38" s="28">
        <f t="shared" si="32"/>
        <v>274693.01367055014</v>
      </c>
      <c r="I38" s="28">
        <f t="shared" si="32"/>
        <v>333161.11206941976</v>
      </c>
      <c r="J38" s="28">
        <f t="shared" si="32"/>
        <v>349621.8786465897</v>
      </c>
      <c r="K38" s="28">
        <f t="shared" si="32"/>
        <v>400348.53414848994</v>
      </c>
      <c r="L38" s="28">
        <f t="shared" si="32"/>
        <v>374245.9577112896</v>
      </c>
      <c r="M38" s="28">
        <f t="shared" si="32"/>
        <v>436555.77415628027</v>
      </c>
      <c r="N38" s="28">
        <f t="shared" si="32"/>
        <v>437447.1140168094</v>
      </c>
      <c r="O38" s="28">
        <f t="shared" si="32"/>
        <v>444039.25873311097</v>
      </c>
      <c r="P38" s="28">
        <f>+P36-P46</f>
        <v>492417.0099881595</v>
      </c>
      <c r="Q38" s="28">
        <f>+Q36-Q46</f>
        <v>498602.6690003304</v>
      </c>
      <c r="R38" s="28">
        <f>+R36-R46</f>
        <v>537171.6041680507</v>
      </c>
      <c r="S38" s="28">
        <f>+S36-S46</f>
        <v>532840.98136518</v>
      </c>
      <c r="T38" s="40">
        <f aca="true" t="shared" si="33" ref="T38:AI38">+D38/C38-1</f>
        <v>0.28761086813215386</v>
      </c>
      <c r="U38" s="40">
        <f t="shared" si="33"/>
        <v>0.27134091867489274</v>
      </c>
      <c r="V38" s="40">
        <f t="shared" si="33"/>
        <v>0.3464109464747509</v>
      </c>
      <c r="W38" s="40">
        <f t="shared" si="33"/>
        <v>0.2383979551924893</v>
      </c>
      <c r="X38" s="40">
        <f t="shared" si="33"/>
        <v>-0.10227695583716812</v>
      </c>
      <c r="Y38" s="40">
        <f t="shared" si="33"/>
        <v>0.21284887306596256</v>
      </c>
      <c r="Z38" s="40">
        <f t="shared" si="33"/>
        <v>0.04940782696673218</v>
      </c>
      <c r="AA38" s="40">
        <f t="shared" si="33"/>
        <v>0.14509004899311972</v>
      </c>
      <c r="AB38" s="40">
        <f t="shared" si="33"/>
        <v>-0.0651996303488871</v>
      </c>
      <c r="AC38" s="40">
        <f t="shared" si="33"/>
        <v>0.16649429382229775</v>
      </c>
      <c r="AD38" s="40">
        <f t="shared" si="33"/>
        <v>0.0020417548301858712</v>
      </c>
      <c r="AE38" s="40">
        <f t="shared" si="33"/>
        <v>0.015069580996363019</v>
      </c>
      <c r="AF38" s="40">
        <f t="shared" si="33"/>
        <v>0.1089492658668858</v>
      </c>
      <c r="AG38" s="40">
        <f t="shared" si="33"/>
        <v>0.012561830494685067</v>
      </c>
      <c r="AH38" s="40">
        <f t="shared" si="33"/>
        <v>0.07735404875599405</v>
      </c>
      <c r="AI38" s="40">
        <f t="shared" si="33"/>
        <v>-0.008061898226317754</v>
      </c>
    </row>
    <row r="39" spans="2:35" ht="6.75" customHeight="1">
      <c r="B39" s="12"/>
      <c r="C39" s="25"/>
      <c r="D39" s="25"/>
      <c r="E39" s="4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2:35" ht="12.75">
      <c r="B40" s="20" t="s">
        <v>1</v>
      </c>
      <c r="C40" s="26">
        <f>+C43+C44+C45+C46+C50</f>
        <v>117365.2000000001</v>
      </c>
      <c r="D40" s="26">
        <f aca="true" t="shared" si="34" ref="D40:O40">+D43+D44+D45+D46+D50</f>
        <v>140155.3000000002</v>
      </c>
      <c r="E40" s="49">
        <f t="shared" si="34"/>
        <v>187805.03051523003</v>
      </c>
      <c r="F40" s="26">
        <f t="shared" si="34"/>
        <v>217601.32238865012</v>
      </c>
      <c r="G40" s="26">
        <f t="shared" si="34"/>
        <v>264142.53419890045</v>
      </c>
      <c r="H40" s="26">
        <f t="shared" si="34"/>
        <v>265476.50937865017</v>
      </c>
      <c r="I40" s="26">
        <f t="shared" si="34"/>
        <v>305573.8316925197</v>
      </c>
      <c r="J40" s="26">
        <f t="shared" si="34"/>
        <v>345499.2973937597</v>
      </c>
      <c r="K40" s="26">
        <f t="shared" si="34"/>
        <v>373669.90313796</v>
      </c>
      <c r="L40" s="26">
        <f t="shared" si="34"/>
        <v>386532.59897589963</v>
      </c>
      <c r="M40" s="26">
        <f t="shared" si="34"/>
        <v>415010.8812905102</v>
      </c>
      <c r="N40" s="26">
        <f t="shared" si="34"/>
        <v>432745.3787844392</v>
      </c>
      <c r="O40" s="26">
        <f t="shared" si="34"/>
        <v>487753.4419661609</v>
      </c>
      <c r="P40" s="26">
        <f>+P43+P44+P45+P46+P50</f>
        <v>516853.1852505397</v>
      </c>
      <c r="Q40" s="26">
        <f>+Q43+Q44+Q45+Q46+Q50</f>
        <v>502066.6926597301</v>
      </c>
      <c r="R40" s="26">
        <f>+R43+R44+R45+R46+R50</f>
        <v>550688.8754859811</v>
      </c>
      <c r="S40" s="26">
        <f>+S43+S44+S45+S46+S50</f>
        <v>543951.2229518996</v>
      </c>
      <c r="T40" s="37">
        <f aca="true" t="shared" si="35" ref="T40:AI40">+D40/C40-1</f>
        <v>0.1941810690051231</v>
      </c>
      <c r="U40" s="37">
        <f t="shared" si="35"/>
        <v>0.33997808513291883</v>
      </c>
      <c r="V40" s="37">
        <f t="shared" si="35"/>
        <v>0.15865545130328007</v>
      </c>
      <c r="W40" s="37">
        <f t="shared" si="35"/>
        <v>0.21388294565197863</v>
      </c>
      <c r="X40" s="37">
        <f t="shared" si="35"/>
        <v>0.005050209667274652</v>
      </c>
      <c r="Y40" s="37">
        <f t="shared" si="35"/>
        <v>0.15103905956770958</v>
      </c>
      <c r="Z40" s="37">
        <f t="shared" si="35"/>
        <v>0.13065734549355845</v>
      </c>
      <c r="AA40" s="37">
        <f t="shared" si="35"/>
        <v>0.08153592773329077</v>
      </c>
      <c r="AB40" s="37">
        <f t="shared" si="35"/>
        <v>0.03442261667295865</v>
      </c>
      <c r="AC40" s="37">
        <f t="shared" si="35"/>
        <v>0.07367627566229196</v>
      </c>
      <c r="AD40" s="37">
        <f t="shared" si="35"/>
        <v>0.042732608453017296</v>
      </c>
      <c r="AE40" s="37">
        <f t="shared" si="35"/>
        <v>0.12711415506327706</v>
      </c>
      <c r="AF40" s="37">
        <f t="shared" si="35"/>
        <v>0.0596607646008116</v>
      </c>
      <c r="AG40" s="37">
        <f t="shared" si="35"/>
        <v>-0.02860869007442024</v>
      </c>
      <c r="AH40" s="37">
        <f t="shared" si="35"/>
        <v>0.09684407178789711</v>
      </c>
      <c r="AI40" s="37">
        <f t="shared" si="35"/>
        <v>-0.01223495304519362</v>
      </c>
    </row>
    <row r="41" spans="2:35" ht="12.75">
      <c r="B41" s="12"/>
      <c r="C41" s="58"/>
      <c r="D41" s="25"/>
      <c r="E41" s="47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2:35" ht="12.75">
      <c r="B42" s="42" t="s">
        <v>41</v>
      </c>
      <c r="C42" s="5">
        <f>SUM(C43:C44)</f>
        <v>45354.3</v>
      </c>
      <c r="D42" s="5">
        <f aca="true" t="shared" si="36" ref="D42:L42">SUM(D43:D44)</f>
        <v>51997.60000000007</v>
      </c>
      <c r="E42" s="50">
        <f t="shared" si="36"/>
        <v>76727.8</v>
      </c>
      <c r="F42" s="5">
        <f t="shared" si="36"/>
        <v>87739.40000000005</v>
      </c>
      <c r="G42" s="5">
        <f t="shared" si="36"/>
        <v>104967.07929534049</v>
      </c>
      <c r="H42" s="5">
        <f t="shared" si="36"/>
        <v>117683.19397650023</v>
      </c>
      <c r="I42" s="5">
        <f t="shared" si="36"/>
        <v>119853.38163969976</v>
      </c>
      <c r="J42" s="5">
        <f t="shared" si="36"/>
        <v>137426.89210339988</v>
      </c>
      <c r="K42" s="5">
        <f t="shared" si="36"/>
        <v>155337.25284626996</v>
      </c>
      <c r="L42" s="5">
        <f t="shared" si="36"/>
        <v>155874.20172140957</v>
      </c>
      <c r="M42" s="5">
        <f aca="true" t="shared" si="37" ref="M42:S42">SUM(M43:M44)</f>
        <v>156453.3005893204</v>
      </c>
      <c r="N42" s="5">
        <f t="shared" si="37"/>
        <v>166222.03610909986</v>
      </c>
      <c r="O42" s="5">
        <f t="shared" si="37"/>
        <v>178106.28133380075</v>
      </c>
      <c r="P42" s="5">
        <f t="shared" si="37"/>
        <v>184054.34303760985</v>
      </c>
      <c r="Q42" s="5">
        <f t="shared" si="37"/>
        <v>182442.59599584047</v>
      </c>
      <c r="R42" s="5">
        <f t="shared" si="37"/>
        <v>190851.26008411136</v>
      </c>
      <c r="S42" s="5">
        <f t="shared" si="37"/>
        <v>191010.11834395953</v>
      </c>
      <c r="T42" s="40">
        <f aca="true" t="shared" si="38" ref="T42:AI48">+D42/C42-1</f>
        <v>0.14647563737065883</v>
      </c>
      <c r="U42" s="40">
        <f t="shared" si="38"/>
        <v>0.4756027201255424</v>
      </c>
      <c r="V42" s="40">
        <f t="shared" si="38"/>
        <v>0.14351512750267892</v>
      </c>
      <c r="W42" s="40">
        <f t="shared" si="38"/>
        <v>0.19635054827523812</v>
      </c>
      <c r="X42" s="40">
        <f t="shared" si="38"/>
        <v>0.12114383639637216</v>
      </c>
      <c r="Y42" s="40">
        <f t="shared" si="38"/>
        <v>0.018440931027355445</v>
      </c>
      <c r="Z42" s="40">
        <f t="shared" si="38"/>
        <v>0.14662506992526225</v>
      </c>
      <c r="AA42" s="40">
        <f t="shared" si="38"/>
        <v>0.13032646281045435</v>
      </c>
      <c r="AB42" s="40">
        <f t="shared" si="38"/>
        <v>0.0034566651933196635</v>
      </c>
      <c r="AC42" s="40">
        <f t="shared" si="38"/>
        <v>0.0037151681388933877</v>
      </c>
      <c r="AD42" s="40">
        <f t="shared" si="38"/>
        <v>0.06243866689282407</v>
      </c>
      <c r="AE42" s="40">
        <f t="shared" si="38"/>
        <v>0.0714962077404746</v>
      </c>
      <c r="AF42" s="40">
        <f t="shared" si="38"/>
        <v>0.03339613661722263</v>
      </c>
      <c r="AG42" s="40">
        <f t="shared" si="38"/>
        <v>-0.008756908504136907</v>
      </c>
      <c r="AH42" s="40">
        <f t="shared" si="38"/>
        <v>0.046089368781304874</v>
      </c>
      <c r="AI42" s="40">
        <f t="shared" si="38"/>
        <v>0.0008323668378094062</v>
      </c>
    </row>
    <row r="43" spans="2:35" ht="12.75">
      <c r="B43" s="34" t="s">
        <v>2</v>
      </c>
      <c r="C43" s="6">
        <v>37420.5</v>
      </c>
      <c r="D43" s="6">
        <v>43065.600000000064</v>
      </c>
      <c r="E43" s="51">
        <v>65731.3</v>
      </c>
      <c r="F43" s="35">
        <v>71680.60000000005</v>
      </c>
      <c r="G43" s="35">
        <v>85303.74529455049</v>
      </c>
      <c r="H43" s="35">
        <v>94926.49074862021</v>
      </c>
      <c r="I43" s="35">
        <v>101851.07139388975</v>
      </c>
      <c r="J43" s="35">
        <v>113329.39740850986</v>
      </c>
      <c r="K43" s="35">
        <v>121141.05414023995</v>
      </c>
      <c r="L43" s="35">
        <v>124753.4336413196</v>
      </c>
      <c r="M43" s="35">
        <v>129607.39510991029</v>
      </c>
      <c r="N43" s="35">
        <v>136901.28914677992</v>
      </c>
      <c r="O43" s="35">
        <v>144699.06582880073</v>
      </c>
      <c r="P43" s="35">
        <v>148417.8182468798</v>
      </c>
      <c r="Q43" s="35">
        <v>148407.75491291052</v>
      </c>
      <c r="R43" s="35">
        <v>156971.02843437134</v>
      </c>
      <c r="S43" s="35">
        <v>156608.79991319962</v>
      </c>
      <c r="T43" s="38">
        <f t="shared" si="38"/>
        <v>0.15085581432637363</v>
      </c>
      <c r="U43" s="38">
        <f t="shared" si="38"/>
        <v>0.5263063791053626</v>
      </c>
      <c r="V43" s="38">
        <f t="shared" si="38"/>
        <v>0.09050939202480479</v>
      </c>
      <c r="W43" s="38">
        <f t="shared" si="38"/>
        <v>0.19005344953237602</v>
      </c>
      <c r="X43" s="38">
        <f t="shared" si="38"/>
        <v>0.11280566194183805</v>
      </c>
      <c r="Y43" s="38">
        <f t="shared" si="38"/>
        <v>0.07294676744773887</v>
      </c>
      <c r="Z43" s="38">
        <f t="shared" si="38"/>
        <v>0.11269715534193891</v>
      </c>
      <c r="AA43" s="38">
        <f t="shared" si="38"/>
        <v>0.06892877673717801</v>
      </c>
      <c r="AB43" s="38">
        <f t="shared" si="38"/>
        <v>0.02981961422341395</v>
      </c>
      <c r="AC43" s="38">
        <f t="shared" si="38"/>
        <v>0.03890843984740644</v>
      </c>
      <c r="AD43" s="38">
        <f t="shared" si="38"/>
        <v>0.056276835366409594</v>
      </c>
      <c r="AE43" s="38">
        <f t="shared" si="38"/>
        <v>0.05695911799384401</v>
      </c>
      <c r="AF43" s="38">
        <f t="shared" si="38"/>
        <v>0.02569990619344331</v>
      </c>
      <c r="AG43" s="38">
        <f t="shared" si="38"/>
        <v>-6.780408234097202E-05</v>
      </c>
      <c r="AH43" s="38">
        <f t="shared" si="38"/>
        <v>0.05770098420049519</v>
      </c>
      <c r="AI43" s="38">
        <f t="shared" si="38"/>
        <v>-0.0023076138621539455</v>
      </c>
    </row>
    <row r="44" spans="2:35" ht="14.25">
      <c r="B44" s="34" t="s">
        <v>56</v>
      </c>
      <c r="C44" s="6">
        <v>7933.8</v>
      </c>
      <c r="D44" s="6">
        <v>8932.00000000001</v>
      </c>
      <c r="E44" s="47">
        <v>10996.5</v>
      </c>
      <c r="F44" s="6">
        <v>16058.799999999996</v>
      </c>
      <c r="G44" s="6">
        <v>19663.334000789997</v>
      </c>
      <c r="H44" s="6">
        <v>22756.703227880018</v>
      </c>
      <c r="I44" s="6">
        <v>18002.310245810004</v>
      </c>
      <c r="J44" s="6">
        <v>24097.494694890025</v>
      </c>
      <c r="K44" s="6">
        <v>34196.19870603001</v>
      </c>
      <c r="L44" s="6">
        <v>31120.76808008997</v>
      </c>
      <c r="M44" s="6">
        <v>26845.90547941011</v>
      </c>
      <c r="N44" s="6">
        <v>29320.74696231995</v>
      </c>
      <c r="O44" s="6">
        <v>33407.21550500003</v>
      </c>
      <c r="P44" s="6">
        <v>35636.524790730065</v>
      </c>
      <c r="Q44" s="6">
        <v>34034.84108292995</v>
      </c>
      <c r="R44" s="6">
        <v>33880.23164974003</v>
      </c>
      <c r="S44" s="6">
        <v>34401.318430759915</v>
      </c>
      <c r="T44" s="38">
        <f t="shared" si="38"/>
        <v>0.1258161284630328</v>
      </c>
      <c r="U44" s="38">
        <f t="shared" si="38"/>
        <v>0.23113524406627728</v>
      </c>
      <c r="V44" s="38">
        <f t="shared" si="38"/>
        <v>0.46035556768062524</v>
      </c>
      <c r="W44" s="38">
        <f t="shared" si="38"/>
        <v>0.22445849009826402</v>
      </c>
      <c r="X44" s="38">
        <f t="shared" si="38"/>
        <v>0.15731661919416817</v>
      </c>
      <c r="Y44" s="38">
        <f t="shared" si="38"/>
        <v>-0.20892274836388625</v>
      </c>
      <c r="Z44" s="38">
        <f t="shared" si="38"/>
        <v>0.33857790282770295</v>
      </c>
      <c r="AA44" s="38">
        <f t="shared" si="38"/>
        <v>0.4190769264193035</v>
      </c>
      <c r="AB44" s="38">
        <f t="shared" si="38"/>
        <v>-0.08993486826937092</v>
      </c>
      <c r="AC44" s="38">
        <f t="shared" si="38"/>
        <v>-0.13736365984536136</v>
      </c>
      <c r="AD44" s="38">
        <f t="shared" si="38"/>
        <v>0.0921869252951053</v>
      </c>
      <c r="AE44" s="38">
        <f t="shared" si="38"/>
        <v>0.139371229114033</v>
      </c>
      <c r="AF44" s="38">
        <f t="shared" si="38"/>
        <v>0.06673137081407998</v>
      </c>
      <c r="AG44" s="38">
        <f t="shared" si="38"/>
        <v>-0.04494500283643699</v>
      </c>
      <c r="AH44" s="38">
        <f t="shared" si="38"/>
        <v>-0.004542681213442146</v>
      </c>
      <c r="AI44" s="38">
        <f t="shared" si="38"/>
        <v>0.01538026027705408</v>
      </c>
    </row>
    <row r="45" spans="2:35" ht="14.25">
      <c r="B45" s="12" t="s">
        <v>57</v>
      </c>
      <c r="C45" s="25">
        <v>5985.4</v>
      </c>
      <c r="D45" s="25">
        <v>9951.3</v>
      </c>
      <c r="E45" s="47">
        <v>8700.199999999993</v>
      </c>
      <c r="F45" s="6">
        <v>10804.099999999988</v>
      </c>
      <c r="G45" s="6">
        <v>12993.455163860028</v>
      </c>
      <c r="H45" s="6">
        <v>14728.171738889981</v>
      </c>
      <c r="I45" s="6">
        <v>15452.642465580017</v>
      </c>
      <c r="J45" s="6">
        <v>16018.022914709965</v>
      </c>
      <c r="K45" s="6">
        <v>19285.842586549985</v>
      </c>
      <c r="L45" s="6">
        <v>17364.467558899996</v>
      </c>
      <c r="M45" s="6">
        <v>21409.565427399975</v>
      </c>
      <c r="N45" s="6">
        <v>17878.609699100012</v>
      </c>
      <c r="O45" s="6">
        <v>18278.749838100004</v>
      </c>
      <c r="P45" s="6">
        <v>22880.99962203999</v>
      </c>
      <c r="Q45" s="6">
        <v>22191.496799749966</v>
      </c>
      <c r="R45" s="6">
        <v>32227.101952929857</v>
      </c>
      <c r="S45" s="6">
        <v>33816.48375263002</v>
      </c>
      <c r="T45" s="38">
        <f t="shared" si="38"/>
        <v>0.662595649413573</v>
      </c>
      <c r="U45" s="38">
        <f t="shared" si="38"/>
        <v>-0.1257222674424453</v>
      </c>
      <c r="V45" s="38">
        <f t="shared" si="38"/>
        <v>0.2418220270798368</v>
      </c>
      <c r="W45" s="38">
        <f t="shared" si="38"/>
        <v>0.202641142146041</v>
      </c>
      <c r="X45" s="38">
        <f t="shared" si="38"/>
        <v>0.13350695047264183</v>
      </c>
      <c r="Y45" s="38">
        <f t="shared" si="38"/>
        <v>0.049189454029590074</v>
      </c>
      <c r="Z45" s="38">
        <f t="shared" si="38"/>
        <v>0.036587946067431876</v>
      </c>
      <c r="AA45" s="38">
        <f t="shared" si="38"/>
        <v>0.20400892727148334</v>
      </c>
      <c r="AB45" s="38">
        <f t="shared" si="38"/>
        <v>-0.09962619050878085</v>
      </c>
      <c r="AC45" s="38">
        <f t="shared" si="38"/>
        <v>0.23295260017498798</v>
      </c>
      <c r="AD45" s="38">
        <f t="shared" si="38"/>
        <v>-0.16492421297730053</v>
      </c>
      <c r="AE45" s="38">
        <f t="shared" si="38"/>
        <v>0.022380942687066696</v>
      </c>
      <c r="AF45" s="38">
        <f t="shared" si="38"/>
        <v>0.2517814306067647</v>
      </c>
      <c r="AG45" s="38">
        <f t="shared" si="38"/>
        <v>-0.030134296301716934</v>
      </c>
      <c r="AH45" s="38">
        <f t="shared" si="38"/>
        <v>0.4522275015398223</v>
      </c>
      <c r="AI45" s="38">
        <f t="shared" si="38"/>
        <v>0.04931817331951138</v>
      </c>
    </row>
    <row r="46" spans="2:35" ht="12.75">
      <c r="B46" s="12" t="s">
        <v>17</v>
      </c>
      <c r="C46" s="5">
        <f>+C47+C48</f>
        <v>23805.80000000009</v>
      </c>
      <c r="D46" s="5">
        <f aca="true" t="shared" si="39" ref="D46:L46">+D47+D48</f>
        <v>16735.20000000002</v>
      </c>
      <c r="E46" s="50">
        <f t="shared" si="39"/>
        <v>16994.499999999978</v>
      </c>
      <c r="F46" s="5">
        <f t="shared" si="39"/>
        <v>11718.600000000079</v>
      </c>
      <c r="G46" s="5">
        <f t="shared" si="39"/>
        <v>17828.921825370006</v>
      </c>
      <c r="H46" s="5">
        <f t="shared" si="39"/>
        <v>17694.35291759999</v>
      </c>
      <c r="I46" s="5">
        <f t="shared" si="39"/>
        <v>22672.725649759952</v>
      </c>
      <c r="J46" s="5">
        <f t="shared" si="39"/>
        <v>29760.616255959983</v>
      </c>
      <c r="K46" s="5">
        <f t="shared" si="39"/>
        <v>24634.701428250082</v>
      </c>
      <c r="L46" s="5">
        <f t="shared" si="39"/>
        <v>40039.68738548002</v>
      </c>
      <c r="M46" s="5">
        <f aca="true" t="shared" si="40" ref="M46:S46">+M47+M48</f>
        <v>40086.62447361985</v>
      </c>
      <c r="N46" s="5">
        <f t="shared" si="40"/>
        <v>60307.82044989981</v>
      </c>
      <c r="O46" s="5">
        <f t="shared" si="40"/>
        <v>91540.32309063991</v>
      </c>
      <c r="P46" s="5">
        <f t="shared" si="40"/>
        <v>78009.14526273019</v>
      </c>
      <c r="Q46" s="5">
        <f t="shared" si="40"/>
        <v>68419.66608974968</v>
      </c>
      <c r="R46" s="5">
        <f t="shared" si="40"/>
        <v>74520.77835490019</v>
      </c>
      <c r="S46" s="5">
        <f t="shared" si="40"/>
        <v>68432.51600095979</v>
      </c>
      <c r="T46" s="40">
        <f t="shared" si="38"/>
        <v>-0.297011652622472</v>
      </c>
      <c r="U46" s="40">
        <f t="shared" si="38"/>
        <v>0.015494287489839387</v>
      </c>
      <c r="V46" s="40">
        <f t="shared" si="38"/>
        <v>-0.31044749771984503</v>
      </c>
      <c r="W46" s="40">
        <f t="shared" si="38"/>
        <v>0.5214208032845122</v>
      </c>
      <c r="X46" s="40">
        <f t="shared" si="38"/>
        <v>-0.007547787190279154</v>
      </c>
      <c r="Y46" s="40">
        <f t="shared" si="38"/>
        <v>0.2813537604536043</v>
      </c>
      <c r="Z46" s="40">
        <f t="shared" si="38"/>
        <v>0.312617490975333</v>
      </c>
      <c r="AA46" s="40">
        <f t="shared" si="38"/>
        <v>-0.1722381950569778</v>
      </c>
      <c r="AB46" s="40">
        <f t="shared" si="38"/>
        <v>0.6253368242394901</v>
      </c>
      <c r="AC46" s="40">
        <f t="shared" si="38"/>
        <v>0.00117226410106408</v>
      </c>
      <c r="AD46" s="40">
        <f t="shared" si="38"/>
        <v>0.5044374836196821</v>
      </c>
      <c r="AE46" s="40">
        <f t="shared" si="38"/>
        <v>0.5178847852192938</v>
      </c>
      <c r="AF46" s="40">
        <f t="shared" si="38"/>
        <v>-0.14781658367659067</v>
      </c>
      <c r="AG46" s="40">
        <f t="shared" si="38"/>
        <v>-0.12292762778881516</v>
      </c>
      <c r="AH46" s="40">
        <f t="shared" si="38"/>
        <v>0.08917190939148067</v>
      </c>
      <c r="AI46" s="40">
        <f t="shared" si="38"/>
        <v>-0.08169885618941686</v>
      </c>
    </row>
    <row r="47" spans="2:35" ht="12.75">
      <c r="B47" s="12" t="s">
        <v>3</v>
      </c>
      <c r="C47" s="25">
        <v>15073.900000000081</v>
      </c>
      <c r="D47" s="36">
        <v>7889.200000000012</v>
      </c>
      <c r="E47" s="47">
        <v>10310.9</v>
      </c>
      <c r="F47" s="6">
        <v>10230.000000000073</v>
      </c>
      <c r="G47" s="6">
        <v>16603.094443240003</v>
      </c>
      <c r="H47" s="6">
        <v>16664.89298546999</v>
      </c>
      <c r="I47" s="6">
        <v>21733.76136051995</v>
      </c>
      <c r="J47" s="6">
        <v>18684.58704415999</v>
      </c>
      <c r="K47" s="6">
        <v>24466.851376450068</v>
      </c>
      <c r="L47" s="6">
        <v>28854.552060950038</v>
      </c>
      <c r="M47" s="6">
        <v>39298.22277916984</v>
      </c>
      <c r="N47" s="6">
        <v>59651.007507879825</v>
      </c>
      <c r="O47" s="6">
        <v>90901.68115921992</v>
      </c>
      <c r="P47" s="6">
        <v>77946.26573720017</v>
      </c>
      <c r="Q47" s="6">
        <v>66708.61872699967</v>
      </c>
      <c r="R47" s="6">
        <v>71228.3380102602</v>
      </c>
      <c r="S47" s="6">
        <v>60990.277624429815</v>
      </c>
      <c r="T47" s="38">
        <f t="shared" si="38"/>
        <v>-0.4766317940280903</v>
      </c>
      <c r="U47" s="38">
        <f t="shared" si="38"/>
        <v>0.30696395071743443</v>
      </c>
      <c r="V47" s="38">
        <f t="shared" si="38"/>
        <v>-0.007846065813840397</v>
      </c>
      <c r="W47" s="38">
        <f t="shared" si="38"/>
        <v>0.6229808839921687</v>
      </c>
      <c r="X47" s="38">
        <f t="shared" si="38"/>
        <v>0.0037221099019375536</v>
      </c>
      <c r="Y47" s="38">
        <f t="shared" si="38"/>
        <v>0.3041644719512735</v>
      </c>
      <c r="Z47" s="38">
        <f t="shared" si="38"/>
        <v>-0.1402966686612691</v>
      </c>
      <c r="AA47" s="38">
        <f t="shared" si="38"/>
        <v>0.3094670660167127</v>
      </c>
      <c r="AB47" s="38">
        <f t="shared" si="38"/>
        <v>0.17933246158200955</v>
      </c>
      <c r="AC47" s="38">
        <f t="shared" si="38"/>
        <v>0.3619418764900397</v>
      </c>
      <c r="AD47" s="38">
        <f t="shared" si="38"/>
        <v>0.5179059837662188</v>
      </c>
      <c r="AE47" s="38">
        <f t="shared" si="38"/>
        <v>0.5238917992661216</v>
      </c>
      <c r="AF47" s="38">
        <f t="shared" si="38"/>
        <v>-0.14252118615196496</v>
      </c>
      <c r="AG47" s="38">
        <f t="shared" si="38"/>
        <v>-0.1441717175789896</v>
      </c>
      <c r="AH47" s="38">
        <f t="shared" si="38"/>
        <v>0.06775315348316768</v>
      </c>
      <c r="AI47" s="38">
        <f t="shared" si="38"/>
        <v>-0.14373577528027714</v>
      </c>
    </row>
    <row r="48" spans="2:35" ht="12.75">
      <c r="B48" s="12" t="s">
        <v>4</v>
      </c>
      <c r="C48" s="25">
        <v>8731.900000000009</v>
      </c>
      <c r="D48" s="36">
        <v>8846.00000000001</v>
      </c>
      <c r="E48" s="47">
        <v>6683.59999999998</v>
      </c>
      <c r="F48" s="6">
        <v>1488.6000000000058</v>
      </c>
      <c r="G48" s="6">
        <v>1225.8273821300027</v>
      </c>
      <c r="H48" s="6">
        <v>1029.459932130001</v>
      </c>
      <c r="I48" s="6">
        <v>938.9642892400007</v>
      </c>
      <c r="J48" s="6">
        <v>11076.02921179999</v>
      </c>
      <c r="K48" s="6">
        <v>167.85005180001463</v>
      </c>
      <c r="L48" s="6">
        <v>11185.135324529987</v>
      </c>
      <c r="M48" s="6">
        <v>788.4016944500108</v>
      </c>
      <c r="N48" s="6">
        <v>656.8129420199875</v>
      </c>
      <c r="O48" s="6">
        <v>638.641931419992</v>
      </c>
      <c r="P48" s="6">
        <v>62.879525530024694</v>
      </c>
      <c r="Q48" s="6">
        <v>1711.0473627500032</v>
      </c>
      <c r="R48" s="6">
        <v>3292.440344640003</v>
      </c>
      <c r="S48" s="6">
        <v>7442.238376529982</v>
      </c>
      <c r="T48" s="38">
        <f t="shared" si="38"/>
        <v>0.013067030085090359</v>
      </c>
      <c r="U48" s="38">
        <f t="shared" si="38"/>
        <v>-0.24444946868641493</v>
      </c>
      <c r="V48" s="38">
        <f t="shared" si="38"/>
        <v>-0.7772757196720315</v>
      </c>
      <c r="W48" s="38">
        <f t="shared" si="38"/>
        <v>-0.17652332249765024</v>
      </c>
      <c r="X48" s="38">
        <f t="shared" si="38"/>
        <v>-0.1601917634265868</v>
      </c>
      <c r="Y48" s="38">
        <f t="shared" si="38"/>
        <v>-0.08790593986767481</v>
      </c>
      <c r="Z48" s="38">
        <f t="shared" si="38"/>
        <v>10.796006875580911</v>
      </c>
      <c r="AA48" s="38">
        <f t="shared" si="38"/>
        <v>-0.984845647425596</v>
      </c>
      <c r="AB48" s="38">
        <f t="shared" si="38"/>
        <v>65.63766382304455</v>
      </c>
      <c r="AC48" s="38">
        <f t="shared" si="38"/>
        <v>-0.9295134415834043</v>
      </c>
      <c r="AD48" s="38">
        <f t="shared" si="38"/>
        <v>-0.1669057199602033</v>
      </c>
      <c r="AE48" s="38">
        <f t="shared" si="38"/>
        <v>-0.027665427152077204</v>
      </c>
      <c r="AF48" s="38">
        <f t="shared" si="38"/>
        <v>-0.9015418148473044</v>
      </c>
      <c r="AG48" s="38">
        <f t="shared" si="38"/>
        <v>26.21151834921187</v>
      </c>
      <c r="AH48" s="38">
        <f t="shared" si="38"/>
        <v>0.924225136204516</v>
      </c>
      <c r="AI48" s="38">
        <f t="shared" si="38"/>
        <v>1.260401889633545</v>
      </c>
    </row>
    <row r="49" spans="2:35" ht="12.75">
      <c r="B49" s="12"/>
      <c r="C49" s="25"/>
      <c r="D49" s="25"/>
      <c r="E49" s="4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2:35" ht="14.25">
      <c r="B50" s="12" t="s">
        <v>54</v>
      </c>
      <c r="C50" s="5">
        <f>+C51+C52+C53+C54</f>
        <v>42219.700000000004</v>
      </c>
      <c r="D50" s="5">
        <f aca="true" t="shared" si="41" ref="D50:O50">+D51+D52+D53+D54</f>
        <v>61471.200000000106</v>
      </c>
      <c r="E50" s="50">
        <f t="shared" si="41"/>
        <v>85382.53051523004</v>
      </c>
      <c r="F50" s="5">
        <f t="shared" si="41"/>
        <v>107339.22238865</v>
      </c>
      <c r="G50" s="5">
        <f t="shared" si="41"/>
        <v>128353.07791432996</v>
      </c>
      <c r="H50" s="5">
        <f t="shared" si="41"/>
        <v>115370.79074565998</v>
      </c>
      <c r="I50" s="5">
        <f t="shared" si="41"/>
        <v>147595.08193747996</v>
      </c>
      <c r="J50" s="5">
        <f t="shared" si="41"/>
        <v>162293.7661196899</v>
      </c>
      <c r="K50" s="5">
        <f t="shared" si="41"/>
        <v>174412.10627689</v>
      </c>
      <c r="L50" s="5">
        <f t="shared" si="41"/>
        <v>173254.24231010998</v>
      </c>
      <c r="M50" s="5">
        <f t="shared" si="41"/>
        <v>197061.39080017</v>
      </c>
      <c r="N50" s="5">
        <f t="shared" si="41"/>
        <v>188336.91252633947</v>
      </c>
      <c r="O50" s="5">
        <f t="shared" si="41"/>
        <v>199828.08770362023</v>
      </c>
      <c r="P50" s="5">
        <f>+P51+P52+P53+P54</f>
        <v>231908.69732815961</v>
      </c>
      <c r="Q50" s="5">
        <f>+Q51+Q52+Q53+Q54</f>
        <v>229012.93377438997</v>
      </c>
      <c r="R50" s="5">
        <f>+R51+R52+R53+R54</f>
        <v>253089.73509403973</v>
      </c>
      <c r="S50" s="5">
        <f>+S51+S52+S53+S54</f>
        <v>250692.10485435033</v>
      </c>
      <c r="T50" s="38">
        <f aca="true" t="shared" si="42" ref="T50:AI54">+D50/C50-1</f>
        <v>0.4559838179807081</v>
      </c>
      <c r="U50" s="38">
        <f t="shared" si="42"/>
        <v>0.3889842806912813</v>
      </c>
      <c r="V50" s="38">
        <f t="shared" si="42"/>
        <v>0.25715672446020377</v>
      </c>
      <c r="W50" s="38">
        <f t="shared" si="42"/>
        <v>0.19577052132531514</v>
      </c>
      <c r="X50" s="38">
        <f t="shared" si="42"/>
        <v>-0.10114511766780598</v>
      </c>
      <c r="Y50" s="38">
        <f t="shared" si="42"/>
        <v>0.2793106555268383</v>
      </c>
      <c r="Z50" s="38">
        <f t="shared" si="42"/>
        <v>0.09958789946968682</v>
      </c>
      <c r="AA50" s="38">
        <f t="shared" si="42"/>
        <v>0.07466916596329987</v>
      </c>
      <c r="AB50" s="38">
        <f t="shared" si="42"/>
        <v>-0.006638667415333144</v>
      </c>
      <c r="AC50" s="38">
        <f t="shared" si="42"/>
        <v>0.13741163375063148</v>
      </c>
      <c r="AD50" s="38">
        <f t="shared" si="42"/>
        <v>-0.044272895052677175</v>
      </c>
      <c r="AE50" s="38">
        <f t="shared" si="42"/>
        <v>0.06101392989371468</v>
      </c>
      <c r="AF50" s="38">
        <f t="shared" si="42"/>
        <v>0.16054104301954042</v>
      </c>
      <c r="AG50" s="38">
        <f t="shared" si="42"/>
        <v>-0.01248665352844458</v>
      </c>
      <c r="AH50" s="38">
        <f t="shared" si="42"/>
        <v>0.1051329325503021</v>
      </c>
      <c r="AI50" s="38">
        <f t="shared" si="42"/>
        <v>-0.009473439287446928</v>
      </c>
    </row>
    <row r="51" spans="2:35" ht="12.75">
      <c r="B51" s="12" t="s">
        <v>6</v>
      </c>
      <c r="C51" s="6">
        <v>21337.100000000002</v>
      </c>
      <c r="D51" s="6">
        <f>29812.6-563.6-2065.3</f>
        <v>27183.7</v>
      </c>
      <c r="E51" s="47">
        <v>33488.71494014</v>
      </c>
      <c r="F51" s="6">
        <v>35478.93975055001</v>
      </c>
      <c r="G51" s="6">
        <v>41149.37791160998</v>
      </c>
      <c r="H51" s="6">
        <v>43762.48143009999</v>
      </c>
      <c r="I51" s="6">
        <v>48767.57056974997</v>
      </c>
      <c r="J51" s="6">
        <v>50868.338324859986</v>
      </c>
      <c r="K51" s="6">
        <v>58954.4</v>
      </c>
      <c r="L51" s="6">
        <v>63795.600290239985</v>
      </c>
      <c r="M51" s="6">
        <v>64843.64951481995</v>
      </c>
      <c r="N51" s="6">
        <v>66020.81932543986</v>
      </c>
      <c r="O51" s="6">
        <v>66319.59525199022</v>
      </c>
      <c r="P51" s="6">
        <v>73405.35988824995</v>
      </c>
      <c r="Q51" s="6">
        <v>81352.27381357002</v>
      </c>
      <c r="R51" s="6">
        <v>77606.21006947993</v>
      </c>
      <c r="S51" s="6">
        <v>84023.7137577101</v>
      </c>
      <c r="T51" s="38">
        <f t="shared" si="42"/>
        <v>0.27401099493370684</v>
      </c>
      <c r="U51" s="38">
        <f t="shared" si="42"/>
        <v>0.23194101392157807</v>
      </c>
      <c r="V51" s="38">
        <f t="shared" si="42"/>
        <v>0.05942971577044598</v>
      </c>
      <c r="W51" s="38">
        <f t="shared" si="42"/>
        <v>0.15982546831806244</v>
      </c>
      <c r="X51" s="38">
        <f t="shared" si="42"/>
        <v>0.06350286811390027</v>
      </c>
      <c r="Y51" s="38">
        <f t="shared" si="42"/>
        <v>0.11436940904835113</v>
      </c>
      <c r="Z51" s="38">
        <f t="shared" si="42"/>
        <v>0.04307714595102463</v>
      </c>
      <c r="AA51" s="38">
        <f t="shared" si="42"/>
        <v>0.15896060184824745</v>
      </c>
      <c r="AB51" s="38">
        <f t="shared" si="42"/>
        <v>0.08211770945408636</v>
      </c>
      <c r="AC51" s="38">
        <f t="shared" si="42"/>
        <v>0.016428236740650304</v>
      </c>
      <c r="AD51" s="38">
        <f t="shared" si="42"/>
        <v>0.018153972199712154</v>
      </c>
      <c r="AE51" s="38">
        <f t="shared" si="42"/>
        <v>0.0045254804409133875</v>
      </c>
      <c r="AF51" s="38">
        <f t="shared" si="42"/>
        <v>0.10684270025075415</v>
      </c>
      <c r="AG51" s="38">
        <f t="shared" si="42"/>
        <v>0.10826067656937055</v>
      </c>
      <c r="AH51" s="38">
        <f t="shared" si="42"/>
        <v>-0.04604743750217377</v>
      </c>
      <c r="AI51" s="38">
        <f t="shared" si="42"/>
        <v>0.082693172137702</v>
      </c>
    </row>
    <row r="52" spans="2:35" ht="14.25">
      <c r="B52" s="12" t="s">
        <v>67</v>
      </c>
      <c r="C52" s="6">
        <v>20655.9</v>
      </c>
      <c r="D52" s="6">
        <f>30639.7000000001+875+563.6+2065.3</f>
        <v>34143.6000000001</v>
      </c>
      <c r="E52" s="47">
        <v>50955.51557509003</v>
      </c>
      <c r="F52" s="6">
        <v>71022.6826381</v>
      </c>
      <c r="G52" s="6">
        <v>86681.50918885999</v>
      </c>
      <c r="H52" s="6">
        <v>71012.95300772999</v>
      </c>
      <c r="I52" s="6">
        <v>98105.64855402999</v>
      </c>
      <c r="J52" s="6">
        <v>111163.83771318995</v>
      </c>
      <c r="K52" s="6">
        <v>115268.6</v>
      </c>
      <c r="L52" s="6">
        <v>108717.50843496999</v>
      </c>
      <c r="M52" s="6">
        <v>131866.33341611005</v>
      </c>
      <c r="N52" s="6">
        <v>119417.83252213961</v>
      </c>
      <c r="O52" s="6">
        <v>133193.25828213</v>
      </c>
      <c r="P52" s="6">
        <v>157576.73332826968</v>
      </c>
      <c r="Q52" s="6">
        <v>147137.04192539994</v>
      </c>
      <c r="R52" s="6">
        <v>175009.5360840598</v>
      </c>
      <c r="S52" s="6">
        <v>165798.95197388023</v>
      </c>
      <c r="T52" s="38">
        <f t="shared" si="42"/>
        <v>0.652970821895928</v>
      </c>
      <c r="U52" s="38">
        <f t="shared" si="42"/>
        <v>0.4923884878890885</v>
      </c>
      <c r="V52" s="38">
        <f t="shared" si="42"/>
        <v>0.3938173686700943</v>
      </c>
      <c r="W52" s="38">
        <f t="shared" si="42"/>
        <v>0.22047641639432847</v>
      </c>
      <c r="X52" s="38">
        <f t="shared" si="42"/>
        <v>-0.1807600759118263</v>
      </c>
      <c r="Y52" s="38">
        <f t="shared" si="42"/>
        <v>0.3815176583819979</v>
      </c>
      <c r="Z52" s="38">
        <f t="shared" si="42"/>
        <v>0.13310333657259688</v>
      </c>
      <c r="AA52" s="38">
        <f t="shared" si="42"/>
        <v>0.03692533805283538</v>
      </c>
      <c r="AB52" s="38">
        <f t="shared" si="42"/>
        <v>-0.0568332708563305</v>
      </c>
      <c r="AC52" s="38">
        <f t="shared" si="42"/>
        <v>0.21292637510163925</v>
      </c>
      <c r="AD52" s="38">
        <f t="shared" si="42"/>
        <v>-0.0944024192641244</v>
      </c>
      <c r="AE52" s="38">
        <f t="shared" si="42"/>
        <v>0.11535484666778295</v>
      </c>
      <c r="AF52" s="38">
        <f t="shared" si="42"/>
        <v>0.1830683876994028</v>
      </c>
      <c r="AG52" s="38">
        <f t="shared" si="42"/>
        <v>-0.06625147750157623</v>
      </c>
      <c r="AH52" s="38">
        <f t="shared" si="42"/>
        <v>0.18943220411343797</v>
      </c>
      <c r="AI52" s="38">
        <f t="shared" si="42"/>
        <v>-0.05262904134409896</v>
      </c>
    </row>
    <row r="53" spans="2:35" ht="12.75">
      <c r="B53" s="12" t="s">
        <v>8</v>
      </c>
      <c r="C53" s="6">
        <v>140.3</v>
      </c>
      <c r="D53" s="25">
        <v>132</v>
      </c>
      <c r="E53" s="47">
        <v>270.7</v>
      </c>
      <c r="F53" s="6">
        <v>225.40000000000077</v>
      </c>
      <c r="G53" s="6">
        <v>191.37700271000017</v>
      </c>
      <c r="H53" s="6">
        <v>265.1625708700001</v>
      </c>
      <c r="I53" s="6">
        <v>258.41558865999946</v>
      </c>
      <c r="J53" s="6">
        <v>261.5900816400008</v>
      </c>
      <c r="K53" s="6">
        <v>189.10627689</v>
      </c>
      <c r="L53" s="6">
        <v>220.70912489999978</v>
      </c>
      <c r="M53" s="6">
        <v>351.40786924000463</v>
      </c>
      <c r="N53" s="6">
        <v>321.74067875999776</v>
      </c>
      <c r="O53" s="6">
        <v>315.2341694999999</v>
      </c>
      <c r="P53" s="6">
        <v>388.8354753400015</v>
      </c>
      <c r="Q53" s="6">
        <v>478.41227441999683</v>
      </c>
      <c r="R53" s="6">
        <v>471.09363619000044</v>
      </c>
      <c r="S53" s="6">
        <v>868.7728654199966</v>
      </c>
      <c r="T53" s="38">
        <f t="shared" si="42"/>
        <v>-0.05915894511760522</v>
      </c>
      <c r="U53" s="38">
        <f t="shared" si="42"/>
        <v>1.0507575757575758</v>
      </c>
      <c r="V53" s="38">
        <f t="shared" si="42"/>
        <v>-0.16734392316216928</v>
      </c>
      <c r="W53" s="38">
        <f t="shared" si="42"/>
        <v>-0.1509449746672603</v>
      </c>
      <c r="X53" s="38">
        <f t="shared" si="42"/>
        <v>0.3855508609454481</v>
      </c>
      <c r="Y53" s="38">
        <f t="shared" si="42"/>
        <v>-0.0254447005392342</v>
      </c>
      <c r="Z53" s="38">
        <f t="shared" si="42"/>
        <v>0.012284448459408015</v>
      </c>
      <c r="AA53" s="38">
        <f t="shared" si="42"/>
        <v>-0.2770892699584563</v>
      </c>
      <c r="AB53" s="38">
        <f t="shared" si="42"/>
        <v>0.16711686428252537</v>
      </c>
      <c r="AC53" s="38">
        <f t="shared" si="42"/>
        <v>0.5921764421802798</v>
      </c>
      <c r="AD53" s="38">
        <f t="shared" si="42"/>
        <v>-0.08442380799316918</v>
      </c>
      <c r="AE53" s="38">
        <f t="shared" si="42"/>
        <v>-0.0202228368668651</v>
      </c>
      <c r="AF53" s="38">
        <f t="shared" si="42"/>
        <v>0.23348137023579119</v>
      </c>
      <c r="AG53" s="38">
        <f t="shared" si="42"/>
        <v>0.23037198188171626</v>
      </c>
      <c r="AH53" s="38">
        <f t="shared" si="42"/>
        <v>-0.015297764336981379</v>
      </c>
      <c r="AI53" s="38">
        <f t="shared" si="42"/>
        <v>0.8441617518891829</v>
      </c>
    </row>
    <row r="54" spans="2:35" ht="12.75">
      <c r="B54" s="23" t="s">
        <v>14</v>
      </c>
      <c r="C54" s="6">
        <v>86.40000000000009</v>
      </c>
      <c r="D54" s="25">
        <v>11.900000000000091</v>
      </c>
      <c r="E54" s="47">
        <v>667.6</v>
      </c>
      <c r="F54" s="6">
        <v>612.1999999999998</v>
      </c>
      <c r="G54" s="6">
        <v>330.8138111499993</v>
      </c>
      <c r="H54" s="6">
        <v>330.19373696</v>
      </c>
      <c r="I54" s="6">
        <v>463.4472250399998</v>
      </c>
      <c r="J54" s="6">
        <v>0</v>
      </c>
      <c r="K54" s="6">
        <v>9.094947017729282E-13</v>
      </c>
      <c r="L54" s="6">
        <v>520.4244600000002</v>
      </c>
      <c r="M54" s="6">
        <v>0</v>
      </c>
      <c r="N54" s="6">
        <v>2576.520000000004</v>
      </c>
      <c r="O54" s="6">
        <v>0</v>
      </c>
      <c r="P54" s="6">
        <v>537.7686362999991</v>
      </c>
      <c r="Q54" s="6">
        <v>45.20576100000471</v>
      </c>
      <c r="R54" s="6">
        <v>2.895304310000938</v>
      </c>
      <c r="S54" s="6">
        <v>0.6662573399999998</v>
      </c>
      <c r="T54" s="38">
        <f t="shared" si="42"/>
        <v>-0.8622685185185176</v>
      </c>
      <c r="U54" s="38">
        <f t="shared" si="42"/>
        <v>55.10084033613403</v>
      </c>
      <c r="V54" s="38">
        <f t="shared" si="42"/>
        <v>-0.08298382264829274</v>
      </c>
      <c r="W54" s="38">
        <f t="shared" si="42"/>
        <v>-0.45963114807252625</v>
      </c>
      <c r="X54" s="38">
        <f t="shared" si="42"/>
        <v>-0.0018743902736216844</v>
      </c>
      <c r="Y54" s="38">
        <f t="shared" si="42"/>
        <v>0.40356152514225974</v>
      </c>
      <c r="Z54" s="38">
        <f t="shared" si="42"/>
        <v>-1</v>
      </c>
      <c r="AA54" s="59" t="e">
        <f t="shared" si="42"/>
        <v>#DIV/0!</v>
      </c>
      <c r="AB54" s="59">
        <f t="shared" si="42"/>
        <v>572212745149045</v>
      </c>
      <c r="AC54" s="38">
        <f t="shared" si="42"/>
        <v>-1</v>
      </c>
      <c r="AD54" s="59" t="e">
        <f t="shared" si="42"/>
        <v>#DIV/0!</v>
      </c>
      <c r="AE54" s="38">
        <f t="shared" si="42"/>
        <v>-1</v>
      </c>
      <c r="AF54" s="59" t="e">
        <f t="shared" si="42"/>
        <v>#DIV/0!</v>
      </c>
      <c r="AG54" s="38">
        <f t="shared" si="42"/>
        <v>-0.915938271686811</v>
      </c>
      <c r="AH54" s="38">
        <f t="shared" si="42"/>
        <v>-0.9359527581008837</v>
      </c>
      <c r="AI54" s="38">
        <f t="shared" si="42"/>
        <v>-0.7698834841993573</v>
      </c>
    </row>
    <row r="55" spans="2:35" ht="12.75">
      <c r="B55" s="12"/>
      <c r="C55" s="6"/>
      <c r="D55" s="25"/>
      <c r="E55" s="4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2.75">
      <c r="A56" s="19"/>
      <c r="B56" s="20" t="s">
        <v>9</v>
      </c>
      <c r="C56" s="27">
        <f>+C58+C59</f>
        <v>18544.5</v>
      </c>
      <c r="D56" s="26">
        <f aca="true" t="shared" si="43" ref="D56:L56">+D58+D59</f>
        <v>20926.099999999995</v>
      </c>
      <c r="E56" s="49">
        <f t="shared" si="43"/>
        <v>12702.699999999972</v>
      </c>
      <c r="F56" s="26">
        <f t="shared" si="43"/>
        <v>41201.499999999956</v>
      </c>
      <c r="G56" s="26">
        <f t="shared" si="43"/>
        <v>59674.98339289997</v>
      </c>
      <c r="H56" s="26">
        <f t="shared" si="43"/>
        <v>26910.85720949999</v>
      </c>
      <c r="I56" s="26">
        <f t="shared" si="43"/>
        <v>50260.00602665996</v>
      </c>
      <c r="J56" s="26">
        <f t="shared" si="43"/>
        <v>33883.19750878998</v>
      </c>
      <c r="K56" s="26">
        <f t="shared" si="43"/>
        <v>51313.33243877997</v>
      </c>
      <c r="L56" s="26">
        <f t="shared" si="43"/>
        <v>27753.04612086996</v>
      </c>
      <c r="M56" s="26">
        <f aca="true" t="shared" si="44" ref="M56:S56">+M58+M59</f>
        <v>61631.517339389946</v>
      </c>
      <c r="N56" s="26">
        <f t="shared" si="44"/>
        <v>65009.55568227001</v>
      </c>
      <c r="O56" s="26">
        <f t="shared" si="44"/>
        <v>47826.139857589995</v>
      </c>
      <c r="P56" s="26">
        <f t="shared" si="44"/>
        <v>53572.97000035003</v>
      </c>
      <c r="Q56" s="26">
        <f t="shared" si="44"/>
        <v>64955.64243035001</v>
      </c>
      <c r="R56" s="26">
        <f t="shared" si="44"/>
        <v>60548.068985719845</v>
      </c>
      <c r="S56" s="26">
        <f t="shared" si="44"/>
        <v>57322.274414240135</v>
      </c>
      <c r="T56" s="37">
        <f aca="true" t="shared" si="45" ref="T56:AI56">+D56/C56-1</f>
        <v>0.12842621801612308</v>
      </c>
      <c r="U56" s="37">
        <f t="shared" si="45"/>
        <v>-0.3929733681861419</v>
      </c>
      <c r="V56" s="37">
        <f t="shared" si="45"/>
        <v>2.243523030536819</v>
      </c>
      <c r="W56" s="37">
        <f t="shared" si="45"/>
        <v>0.4483691951239648</v>
      </c>
      <c r="X56" s="37">
        <f t="shared" si="45"/>
        <v>-0.549042904087313</v>
      </c>
      <c r="Y56" s="37">
        <f t="shared" si="45"/>
        <v>0.8676479026806074</v>
      </c>
      <c r="Z56" s="37">
        <f t="shared" si="45"/>
        <v>-0.32584175396204795</v>
      </c>
      <c r="AA56" s="37">
        <f t="shared" si="45"/>
        <v>0.5144182430087441</v>
      </c>
      <c r="AB56" s="37">
        <f t="shared" si="45"/>
        <v>-0.4591455124458914</v>
      </c>
      <c r="AC56" s="37">
        <f t="shared" si="45"/>
        <v>1.2207118119925502</v>
      </c>
      <c r="AD56" s="37">
        <f t="shared" si="45"/>
        <v>0.05481024139448043</v>
      </c>
      <c r="AE56" s="37">
        <f t="shared" si="45"/>
        <v>-0.2643213854385168</v>
      </c>
      <c r="AF56" s="37">
        <f t="shared" si="45"/>
        <v>0.12016086098255352</v>
      </c>
      <c r="AG56" s="37">
        <f t="shared" si="45"/>
        <v>0.21247043854252623</v>
      </c>
      <c r="AH56" s="37">
        <f t="shared" si="45"/>
        <v>-0.0678551282031622</v>
      </c>
      <c r="AI56" s="37">
        <f t="shared" si="45"/>
        <v>-0.05327658875860286</v>
      </c>
    </row>
    <row r="57" spans="2:35" ht="12.75">
      <c r="B57" s="12"/>
      <c r="C57" s="25"/>
      <c r="D57" s="25"/>
      <c r="E57" s="47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6" ht="12.75">
      <c r="B58" s="12" t="s">
        <v>13</v>
      </c>
      <c r="C58" s="25">
        <v>1925</v>
      </c>
      <c r="D58" s="25">
        <v>4233.099999999995</v>
      </c>
      <c r="E58" s="47">
        <v>4599.499999999991</v>
      </c>
      <c r="F58" s="6">
        <v>6482.499999999989</v>
      </c>
      <c r="G58" s="6">
        <v>4958.615201029981</v>
      </c>
      <c r="H58" s="6">
        <v>9278.918398979995</v>
      </c>
      <c r="I58" s="6">
        <v>4721.900496609997</v>
      </c>
      <c r="J58" s="6">
        <v>10934.31687527999</v>
      </c>
      <c r="K58" s="6">
        <v>11731.298383669991</v>
      </c>
      <c r="L58" s="6">
        <v>9708.343611639983</v>
      </c>
      <c r="M58" s="6">
        <v>7696.683403339993</v>
      </c>
      <c r="N58" s="6">
        <v>13291.394723159998</v>
      </c>
      <c r="O58" s="6">
        <v>3787.2979019900004</v>
      </c>
      <c r="P58" s="6">
        <v>7568.291718929995</v>
      </c>
      <c r="Q58" s="6">
        <v>9656.674792910002</v>
      </c>
      <c r="R58" s="6">
        <v>29346.423864619974</v>
      </c>
      <c r="S58" s="6">
        <v>23509.682094890024</v>
      </c>
      <c r="T58" s="38">
        <f aca="true" t="shared" si="46" ref="T58:AI63">+D58/C58-1</f>
        <v>1.1990129870129844</v>
      </c>
      <c r="U58" s="38">
        <f t="shared" si="46"/>
        <v>0.08655595190286003</v>
      </c>
      <c r="V58" s="38">
        <f t="shared" si="46"/>
        <v>0.4093923252527454</v>
      </c>
      <c r="W58" s="38">
        <f t="shared" si="46"/>
        <v>-0.23507671407173325</v>
      </c>
      <c r="X58" s="38">
        <f t="shared" si="46"/>
        <v>0.8712721239294028</v>
      </c>
      <c r="Y58" s="38">
        <f t="shared" si="46"/>
        <v>-0.49111520399521325</v>
      </c>
      <c r="Z58" s="38">
        <f t="shared" si="46"/>
        <v>1.3156601633452643</v>
      </c>
      <c r="AA58" s="38">
        <f t="shared" si="46"/>
        <v>0.07288809328288215</v>
      </c>
      <c r="AB58" s="38">
        <f t="shared" si="46"/>
        <v>-0.1724408250365509</v>
      </c>
      <c r="AC58" s="38">
        <f t="shared" si="46"/>
        <v>-0.20720941581508057</v>
      </c>
      <c r="AD58" s="38">
        <f t="shared" si="46"/>
        <v>0.7268989805910644</v>
      </c>
      <c r="AE58" s="38">
        <f t="shared" si="46"/>
        <v>-0.7150563969490193</v>
      </c>
      <c r="AF58" s="38">
        <f t="shared" si="46"/>
        <v>0.9983354662841037</v>
      </c>
      <c r="AG58" s="38">
        <f t="shared" si="46"/>
        <v>0.2759385012547142</v>
      </c>
      <c r="AH58" s="38">
        <f t="shared" si="46"/>
        <v>2.0389781673259124</v>
      </c>
      <c r="AI58" s="38">
        <f t="shared" si="46"/>
        <v>-0.19889107431473863</v>
      </c>
      <c r="AJ58" s="57"/>
    </row>
    <row r="59" spans="2:35" ht="12.75">
      <c r="B59" s="12" t="s">
        <v>5</v>
      </c>
      <c r="C59" s="5">
        <f>+C60+C61+C62+C63</f>
        <v>16619.5</v>
      </c>
      <c r="D59" s="5">
        <f aca="true" t="shared" si="47" ref="D59:L59">+D60+D61+D62+D63</f>
        <v>16693</v>
      </c>
      <c r="E59" s="50">
        <f t="shared" si="47"/>
        <v>8103.19999999998</v>
      </c>
      <c r="F59" s="5">
        <f t="shared" si="47"/>
        <v>34718.99999999997</v>
      </c>
      <c r="G59" s="5">
        <f t="shared" si="47"/>
        <v>54716.368191869995</v>
      </c>
      <c r="H59" s="5">
        <f t="shared" si="47"/>
        <v>17631.938810519994</v>
      </c>
      <c r="I59" s="5">
        <f t="shared" si="47"/>
        <v>45538.105530049965</v>
      </c>
      <c r="J59" s="5">
        <f t="shared" si="47"/>
        <v>22948.880633509987</v>
      </c>
      <c r="K59" s="5">
        <f t="shared" si="47"/>
        <v>39582.03405510998</v>
      </c>
      <c r="L59" s="5">
        <f t="shared" si="47"/>
        <v>18044.702509229977</v>
      </c>
      <c r="M59" s="5">
        <f aca="true" t="shared" si="48" ref="M59:S59">+M60+M61+M62+M63</f>
        <v>53934.83393604995</v>
      </c>
      <c r="N59" s="5">
        <f t="shared" si="48"/>
        <v>51718.16095911001</v>
      </c>
      <c r="O59" s="5">
        <f t="shared" si="48"/>
        <v>44038.84195559999</v>
      </c>
      <c r="P59" s="5">
        <f t="shared" si="48"/>
        <v>46004.678281420034</v>
      </c>
      <c r="Q59" s="5">
        <f t="shared" si="48"/>
        <v>55298.96763744001</v>
      </c>
      <c r="R59" s="5">
        <f t="shared" si="48"/>
        <v>31201.645121099875</v>
      </c>
      <c r="S59" s="5">
        <f t="shared" si="48"/>
        <v>33812.592319350115</v>
      </c>
      <c r="T59" s="38">
        <f t="shared" si="46"/>
        <v>0.004422515719486153</v>
      </c>
      <c r="U59" s="38">
        <f t="shared" si="46"/>
        <v>-0.5145749715449601</v>
      </c>
      <c r="V59" s="38">
        <f t="shared" si="46"/>
        <v>3.2846036133873104</v>
      </c>
      <c r="W59" s="38">
        <f t="shared" si="46"/>
        <v>0.5759776546522088</v>
      </c>
      <c r="X59" s="38">
        <f t="shared" si="46"/>
        <v>-0.6777575085266747</v>
      </c>
      <c r="Y59" s="38">
        <f t="shared" si="46"/>
        <v>1.5827055106883603</v>
      </c>
      <c r="Z59" s="38">
        <f t="shared" si="46"/>
        <v>-0.496051046340381</v>
      </c>
      <c r="AA59" s="38">
        <f t="shared" si="46"/>
        <v>0.7247914914556766</v>
      </c>
      <c r="AB59" s="38">
        <f t="shared" si="46"/>
        <v>-0.5441188675623294</v>
      </c>
      <c r="AC59" s="38">
        <f t="shared" si="46"/>
        <v>1.9889566707160702</v>
      </c>
      <c r="AD59" s="38">
        <f t="shared" si="46"/>
        <v>-0.0410990970986993</v>
      </c>
      <c r="AE59" s="38">
        <f t="shared" si="46"/>
        <v>-0.1484839921044665</v>
      </c>
      <c r="AF59" s="38">
        <f t="shared" si="46"/>
        <v>0.044638692538782054</v>
      </c>
      <c r="AG59" s="38">
        <f t="shared" si="46"/>
        <v>0.20202922187967287</v>
      </c>
      <c r="AH59" s="38">
        <f t="shared" si="46"/>
        <v>-0.4357644192262481</v>
      </c>
      <c r="AI59" s="38">
        <f t="shared" si="46"/>
        <v>0.08367979278389415</v>
      </c>
    </row>
    <row r="60" spans="2:35" ht="12.75">
      <c r="B60" s="12" t="s">
        <v>6</v>
      </c>
      <c r="C60" s="25">
        <v>122.1</v>
      </c>
      <c r="D60" s="25">
        <v>217.4</v>
      </c>
      <c r="E60" s="47">
        <v>70.90000000000006</v>
      </c>
      <c r="F60" s="6">
        <v>10315.099999999997</v>
      </c>
      <c r="G60" s="6">
        <v>717.8854565599997</v>
      </c>
      <c r="H60" s="6">
        <v>494.19314679</v>
      </c>
      <c r="I60" s="6">
        <v>633.1436082699993</v>
      </c>
      <c r="J60" s="6">
        <v>1152.0541422800002</v>
      </c>
      <c r="K60" s="6">
        <v>2446.6884280000027</v>
      </c>
      <c r="L60" s="6">
        <v>1651.730933339998</v>
      </c>
      <c r="M60" s="6">
        <v>3538.4819072300015</v>
      </c>
      <c r="N60" s="6">
        <v>406.5441163100003</v>
      </c>
      <c r="O60" s="6">
        <v>1679.7904933900002</v>
      </c>
      <c r="P60" s="6">
        <v>1504.8795604499992</v>
      </c>
      <c r="Q60" s="6">
        <v>2984.8512771099995</v>
      </c>
      <c r="R60" s="6">
        <v>2307.8060377599977</v>
      </c>
      <c r="S60" s="6">
        <v>1408.95431224</v>
      </c>
      <c r="T60" s="38">
        <f t="shared" si="46"/>
        <v>0.7805077805077807</v>
      </c>
      <c r="U60" s="38">
        <f t="shared" si="46"/>
        <v>-0.6738730450781967</v>
      </c>
      <c r="V60" s="38">
        <f t="shared" si="46"/>
        <v>144.4880112834977</v>
      </c>
      <c r="W60" s="38">
        <f t="shared" si="46"/>
        <v>-0.9304044113425949</v>
      </c>
      <c r="X60" s="38">
        <f t="shared" si="46"/>
        <v>-0.3115988877137865</v>
      </c>
      <c r="Y60" s="38">
        <f t="shared" si="46"/>
        <v>0.2811663058918221</v>
      </c>
      <c r="Z60" s="38">
        <f t="shared" si="46"/>
        <v>0.8195779397155589</v>
      </c>
      <c r="AA60" s="38">
        <f t="shared" si="46"/>
        <v>1.1237616690113414</v>
      </c>
      <c r="AB60" s="38">
        <f t="shared" si="46"/>
        <v>-0.32491161749999653</v>
      </c>
      <c r="AC60" s="38">
        <f t="shared" si="46"/>
        <v>1.142287121834527</v>
      </c>
      <c r="AD60" s="38">
        <f t="shared" si="46"/>
        <v>-0.8851077589292377</v>
      </c>
      <c r="AE60" s="38">
        <f t="shared" si="46"/>
        <v>3.131877515868701</v>
      </c>
      <c r="AF60" s="38">
        <f t="shared" si="46"/>
        <v>-0.10412663580861903</v>
      </c>
      <c r="AG60" s="38">
        <f t="shared" si="46"/>
        <v>0.9834486131351596</v>
      </c>
      <c r="AH60" s="38">
        <f t="shared" si="46"/>
        <v>-0.226827126879679</v>
      </c>
      <c r="AI60" s="38">
        <f t="shared" si="46"/>
        <v>-0.38948321947906894</v>
      </c>
    </row>
    <row r="61" spans="2:35" ht="12.75">
      <c r="B61" s="12" t="s">
        <v>7</v>
      </c>
      <c r="C61" s="25">
        <f>11164.5-1000</f>
        <v>10164.5</v>
      </c>
      <c r="D61" s="25">
        <f>17245.5-875</f>
        <v>16370.5</v>
      </c>
      <c r="E61" s="47">
        <v>7841.69999999998</v>
      </c>
      <c r="F61" s="6">
        <v>22376.999999999975</v>
      </c>
      <c r="G61" s="6">
        <f>53062.70251617-1125</f>
        <v>51937.70251617</v>
      </c>
      <c r="H61" s="6">
        <v>16158.117794089992</v>
      </c>
      <c r="I61" s="6">
        <v>44903.261921779966</v>
      </c>
      <c r="J61" s="6">
        <v>18614.35978489999</v>
      </c>
      <c r="K61" s="6">
        <v>25978.675718919978</v>
      </c>
      <c r="L61" s="6">
        <v>14675.529585889972</v>
      </c>
      <c r="M61" s="6">
        <v>22817.018512429953</v>
      </c>
      <c r="N61" s="6">
        <v>43325.97236818002</v>
      </c>
      <c r="O61" s="6">
        <v>38901.99742218</v>
      </c>
      <c r="P61" s="6">
        <v>35547.76380731004</v>
      </c>
      <c r="Q61" s="6">
        <v>49465.0277661</v>
      </c>
      <c r="R61" s="6">
        <v>28683.80030015987</v>
      </c>
      <c r="S61" s="6">
        <v>32381.776478270112</v>
      </c>
      <c r="T61" s="38">
        <f t="shared" si="46"/>
        <v>0.6105563480741798</v>
      </c>
      <c r="U61" s="38">
        <f t="shared" si="46"/>
        <v>-0.520985919794754</v>
      </c>
      <c r="V61" s="38">
        <f t="shared" si="46"/>
        <v>1.8535904204445504</v>
      </c>
      <c r="W61" s="38">
        <f t="shared" si="46"/>
        <v>1.3210306348558816</v>
      </c>
      <c r="X61" s="38">
        <f t="shared" si="46"/>
        <v>-0.6888942519346247</v>
      </c>
      <c r="Y61" s="38">
        <f t="shared" si="46"/>
        <v>1.7789908759177275</v>
      </c>
      <c r="Z61" s="38">
        <f t="shared" si="46"/>
        <v>-0.5854564014230057</v>
      </c>
      <c r="AA61" s="38">
        <f t="shared" si="46"/>
        <v>0.3956255288454207</v>
      </c>
      <c r="AB61" s="38">
        <f t="shared" si="46"/>
        <v>-0.43509323782805653</v>
      </c>
      <c r="AC61" s="38">
        <f t="shared" si="46"/>
        <v>0.5547662780338605</v>
      </c>
      <c r="AD61" s="38">
        <f t="shared" si="46"/>
        <v>0.8988445990249545</v>
      </c>
      <c r="AE61" s="38">
        <f t="shared" si="46"/>
        <v>-0.102109074630928</v>
      </c>
      <c r="AF61" s="38">
        <f t="shared" si="46"/>
        <v>-0.086222657887421</v>
      </c>
      <c r="AG61" s="38">
        <f t="shared" si="46"/>
        <v>0.3915088452322848</v>
      </c>
      <c r="AH61" s="38">
        <f t="shared" si="46"/>
        <v>-0.4201195956910426</v>
      </c>
      <c r="AI61" s="38">
        <f t="shared" si="46"/>
        <v>0.12892211420428934</v>
      </c>
    </row>
    <row r="62" spans="2:35" ht="12.75">
      <c r="B62" s="12" t="s">
        <v>8</v>
      </c>
      <c r="C62" s="25">
        <v>2.5</v>
      </c>
      <c r="D62" s="25">
        <v>14.1</v>
      </c>
      <c r="E62" s="47">
        <v>7.1</v>
      </c>
      <c r="F62" s="6">
        <v>8.400000000000006</v>
      </c>
      <c r="G62" s="6"/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835.14883196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59">
        <f t="shared" si="46"/>
        <v>4.64</v>
      </c>
      <c r="U62" s="59">
        <f t="shared" si="46"/>
        <v>-0.4964539007092199</v>
      </c>
      <c r="V62" s="59">
        <f t="shared" si="46"/>
        <v>0.18309859154929664</v>
      </c>
      <c r="W62" s="59">
        <f t="shared" si="46"/>
        <v>-1</v>
      </c>
      <c r="X62" s="59" t="e">
        <f t="shared" si="46"/>
        <v>#DIV/0!</v>
      </c>
      <c r="Y62" s="59" t="e">
        <f t="shared" si="46"/>
        <v>#DIV/0!</v>
      </c>
      <c r="Z62" s="59" t="e">
        <f t="shared" si="46"/>
        <v>#DIV/0!</v>
      </c>
      <c r="AA62" s="59" t="e">
        <f t="shared" si="46"/>
        <v>#DIV/0!</v>
      </c>
      <c r="AB62" s="59" t="e">
        <f t="shared" si="46"/>
        <v>#DIV/0!</v>
      </c>
      <c r="AC62" s="59" t="e">
        <f t="shared" si="46"/>
        <v>#DIV/0!</v>
      </c>
      <c r="AD62" s="59" t="e">
        <f t="shared" si="46"/>
        <v>#DIV/0!</v>
      </c>
      <c r="AE62" s="59">
        <f t="shared" si="46"/>
        <v>-1</v>
      </c>
      <c r="AF62" s="59" t="e">
        <f t="shared" si="46"/>
        <v>#DIV/0!</v>
      </c>
      <c r="AG62" s="59" t="e">
        <f t="shared" si="46"/>
        <v>#DIV/0!</v>
      </c>
      <c r="AH62" s="59" t="e">
        <f t="shared" si="46"/>
        <v>#DIV/0!</v>
      </c>
      <c r="AI62" s="59" t="e">
        <f t="shared" si="46"/>
        <v>#DIV/0!</v>
      </c>
    </row>
    <row r="63" spans="2:35" ht="12.75">
      <c r="B63" s="23" t="s">
        <v>15</v>
      </c>
      <c r="C63" s="25">
        <v>6330.4</v>
      </c>
      <c r="D63" s="25">
        <v>91</v>
      </c>
      <c r="E63" s="47">
        <v>183.5</v>
      </c>
      <c r="F63" s="6">
        <v>2018.5000000000018</v>
      </c>
      <c r="G63" s="6">
        <v>2060.7802191399987</v>
      </c>
      <c r="H63" s="6">
        <v>979.6278696400004</v>
      </c>
      <c r="I63" s="6">
        <v>1.699999999999818</v>
      </c>
      <c r="J63" s="6">
        <v>3182.4667063299985</v>
      </c>
      <c r="K63" s="6">
        <v>11156.66990819</v>
      </c>
      <c r="L63" s="6">
        <v>1717.4419900000066</v>
      </c>
      <c r="M63" s="6">
        <v>27579.333516389997</v>
      </c>
      <c r="N63" s="6">
        <v>7150.495642659996</v>
      </c>
      <c r="O63" s="6">
        <v>3457.0540400299974</v>
      </c>
      <c r="P63" s="6">
        <v>8952.034913659998</v>
      </c>
      <c r="Q63" s="6">
        <v>2849.088594230005</v>
      </c>
      <c r="R63" s="6">
        <v>210.03878318000832</v>
      </c>
      <c r="S63" s="6">
        <v>21.861528840004432</v>
      </c>
      <c r="T63" s="38">
        <f t="shared" si="46"/>
        <v>-0.9856249210160495</v>
      </c>
      <c r="U63" s="38">
        <f t="shared" si="46"/>
        <v>1.0164835164835164</v>
      </c>
      <c r="V63" s="38">
        <f t="shared" si="46"/>
        <v>10.00000000000001</v>
      </c>
      <c r="W63" s="38">
        <f t="shared" si="46"/>
        <v>0.020946355779042358</v>
      </c>
      <c r="X63" s="38">
        <f t="shared" si="46"/>
        <v>-0.5246325345413025</v>
      </c>
      <c r="Y63" s="38">
        <f t="shared" si="46"/>
        <v>-0.9982646471658422</v>
      </c>
      <c r="Z63" s="38">
        <f t="shared" si="46"/>
        <v>1871.0392390178465</v>
      </c>
      <c r="AA63" s="38">
        <f t="shared" si="46"/>
        <v>2.5056674390337315</v>
      </c>
      <c r="AB63" s="38">
        <f t="shared" si="46"/>
        <v>-0.8460614140121463</v>
      </c>
      <c r="AC63" s="38">
        <f t="shared" si="46"/>
        <v>15.058378493697997</v>
      </c>
      <c r="AD63" s="38">
        <f t="shared" si="46"/>
        <v>-0.7407299332157334</v>
      </c>
      <c r="AE63" s="38">
        <f t="shared" si="46"/>
        <v>-0.5165294529507652</v>
      </c>
      <c r="AF63" s="38">
        <f t="shared" si="46"/>
        <v>1.589498113134014</v>
      </c>
      <c r="AG63" s="38">
        <f t="shared" si="46"/>
        <v>-0.6817384402866266</v>
      </c>
      <c r="AH63" s="38">
        <f t="shared" si="46"/>
        <v>-0.926278605865265</v>
      </c>
      <c r="AI63" s="38">
        <f t="shared" si="46"/>
        <v>-0.8959167040057141</v>
      </c>
    </row>
    <row r="64" spans="2:35" ht="12.75">
      <c r="B64" s="12"/>
      <c r="C64" s="14"/>
      <c r="D64" s="14"/>
      <c r="E64" s="1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.75">
      <c r="B65" s="66" t="s">
        <v>51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f aca="true" t="shared" si="49" ref="H65:S65">+H66-H67</f>
        <v>0</v>
      </c>
      <c r="I65" s="6">
        <f t="shared" si="49"/>
        <v>0</v>
      </c>
      <c r="J65" s="6">
        <f t="shared" si="49"/>
        <v>0</v>
      </c>
      <c r="K65" s="6">
        <f t="shared" si="49"/>
        <v>0</v>
      </c>
      <c r="L65" s="6">
        <f t="shared" si="49"/>
        <v>0</v>
      </c>
      <c r="M65" s="6">
        <f t="shared" si="49"/>
        <v>0</v>
      </c>
      <c r="N65" s="6">
        <f t="shared" si="49"/>
        <v>0</v>
      </c>
      <c r="O65" s="6">
        <f t="shared" si="49"/>
        <v>0</v>
      </c>
      <c r="P65" s="6">
        <f t="shared" si="49"/>
        <v>0</v>
      </c>
      <c r="Q65" s="6">
        <f t="shared" si="49"/>
        <v>0</v>
      </c>
      <c r="R65" s="6">
        <f t="shared" si="49"/>
        <v>455.43805125000017</v>
      </c>
      <c r="S65" s="6">
        <f t="shared" si="49"/>
        <v>0</v>
      </c>
      <c r="T65" s="130" t="e">
        <f aca="true" t="shared" si="50" ref="T65:AI69">+D65/C65-1</f>
        <v>#DIV/0!</v>
      </c>
      <c r="U65" s="130" t="e">
        <f t="shared" si="50"/>
        <v>#DIV/0!</v>
      </c>
      <c r="V65" s="130" t="e">
        <f t="shared" si="50"/>
        <v>#DIV/0!</v>
      </c>
      <c r="W65" s="130" t="e">
        <f t="shared" si="50"/>
        <v>#DIV/0!</v>
      </c>
      <c r="X65" s="130" t="e">
        <f t="shared" si="50"/>
        <v>#DIV/0!</v>
      </c>
      <c r="Y65" s="130" t="e">
        <f t="shared" si="50"/>
        <v>#DIV/0!</v>
      </c>
      <c r="Z65" s="130" t="e">
        <f t="shared" si="50"/>
        <v>#DIV/0!</v>
      </c>
      <c r="AA65" s="130" t="e">
        <f t="shared" si="50"/>
        <v>#DIV/0!</v>
      </c>
      <c r="AB65" s="130" t="e">
        <f t="shared" si="50"/>
        <v>#DIV/0!</v>
      </c>
      <c r="AC65" s="130" t="e">
        <f t="shared" si="50"/>
        <v>#DIV/0!</v>
      </c>
      <c r="AD65" s="130" t="e">
        <f t="shared" si="50"/>
        <v>#DIV/0!</v>
      </c>
      <c r="AE65" s="130" t="e">
        <f t="shared" si="50"/>
        <v>#DIV/0!</v>
      </c>
      <c r="AF65" s="130" t="e">
        <f t="shared" si="50"/>
        <v>#DIV/0!</v>
      </c>
      <c r="AG65" s="130" t="e">
        <f t="shared" si="50"/>
        <v>#DIV/0!</v>
      </c>
      <c r="AH65" s="130" t="e">
        <f t="shared" si="50"/>
        <v>#DIV/0!</v>
      </c>
      <c r="AI65" s="130">
        <f t="shared" si="50"/>
        <v>-1</v>
      </c>
    </row>
    <row r="66" spans="2:35" ht="12.75">
      <c r="B66" s="67" t="s">
        <v>52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455.43805125000017</v>
      </c>
      <c r="S66" s="6">
        <v>0</v>
      </c>
      <c r="T66" s="130" t="e">
        <f t="shared" si="50"/>
        <v>#DIV/0!</v>
      </c>
      <c r="U66" s="130" t="e">
        <f t="shared" si="50"/>
        <v>#DIV/0!</v>
      </c>
      <c r="V66" s="130" t="e">
        <f t="shared" si="50"/>
        <v>#DIV/0!</v>
      </c>
      <c r="W66" s="130" t="e">
        <f t="shared" si="50"/>
        <v>#DIV/0!</v>
      </c>
      <c r="X66" s="130" t="e">
        <f t="shared" si="50"/>
        <v>#DIV/0!</v>
      </c>
      <c r="Y66" s="130" t="e">
        <f t="shared" si="50"/>
        <v>#DIV/0!</v>
      </c>
      <c r="Z66" s="130" t="e">
        <f t="shared" si="50"/>
        <v>#DIV/0!</v>
      </c>
      <c r="AA66" s="130" t="e">
        <f t="shared" si="50"/>
        <v>#DIV/0!</v>
      </c>
      <c r="AB66" s="130" t="e">
        <f t="shared" si="50"/>
        <v>#DIV/0!</v>
      </c>
      <c r="AC66" s="130" t="e">
        <f t="shared" si="50"/>
        <v>#DIV/0!</v>
      </c>
      <c r="AD66" s="130" t="e">
        <f t="shared" si="50"/>
        <v>#DIV/0!</v>
      </c>
      <c r="AE66" s="130" t="e">
        <f t="shared" si="50"/>
        <v>#DIV/0!</v>
      </c>
      <c r="AF66" s="130" t="e">
        <f t="shared" si="50"/>
        <v>#DIV/0!</v>
      </c>
      <c r="AG66" s="130" t="e">
        <f t="shared" si="50"/>
        <v>#DIV/0!</v>
      </c>
      <c r="AH66" s="130" t="e">
        <f t="shared" si="50"/>
        <v>#DIV/0!</v>
      </c>
      <c r="AI66" s="130">
        <f t="shared" si="50"/>
        <v>-1</v>
      </c>
    </row>
    <row r="67" spans="2:35" ht="12.75">
      <c r="B67" s="12" t="s">
        <v>53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130" t="e">
        <f t="shared" si="50"/>
        <v>#DIV/0!</v>
      </c>
      <c r="U67" s="130" t="e">
        <f t="shared" si="50"/>
        <v>#DIV/0!</v>
      </c>
      <c r="V67" s="130" t="e">
        <f t="shared" si="50"/>
        <v>#DIV/0!</v>
      </c>
      <c r="W67" s="130" t="e">
        <f t="shared" si="50"/>
        <v>#DIV/0!</v>
      </c>
      <c r="X67" s="130" t="e">
        <f t="shared" si="50"/>
        <v>#DIV/0!</v>
      </c>
      <c r="Y67" s="130" t="e">
        <f t="shared" si="50"/>
        <v>#DIV/0!</v>
      </c>
      <c r="Z67" s="130" t="e">
        <f t="shared" si="50"/>
        <v>#DIV/0!</v>
      </c>
      <c r="AA67" s="130" t="e">
        <f t="shared" si="50"/>
        <v>#DIV/0!</v>
      </c>
      <c r="AB67" s="130" t="e">
        <f t="shared" si="50"/>
        <v>#DIV/0!</v>
      </c>
      <c r="AC67" s="130" t="e">
        <f t="shared" si="50"/>
        <v>#DIV/0!</v>
      </c>
      <c r="AD67" s="130" t="e">
        <f t="shared" si="50"/>
        <v>#DIV/0!</v>
      </c>
      <c r="AE67" s="130" t="e">
        <f t="shared" si="50"/>
        <v>#DIV/0!</v>
      </c>
      <c r="AF67" s="130" t="e">
        <f t="shared" si="50"/>
        <v>#DIV/0!</v>
      </c>
      <c r="AG67" s="130" t="e">
        <f t="shared" si="50"/>
        <v>#DIV/0!</v>
      </c>
      <c r="AH67" s="130" t="e">
        <f t="shared" si="50"/>
        <v>#DIV/0!</v>
      </c>
      <c r="AI67" s="130" t="e">
        <f t="shared" si="50"/>
        <v>#DIV/0!</v>
      </c>
    </row>
    <row r="68" spans="2:35" ht="12.75">
      <c r="B68" s="12"/>
      <c r="C68" s="14"/>
      <c r="D68" s="14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30" t="e">
        <f t="shared" si="50"/>
        <v>#DIV/0!</v>
      </c>
      <c r="U68" s="130" t="e">
        <f t="shared" si="50"/>
        <v>#DIV/0!</v>
      </c>
      <c r="V68" s="130" t="e">
        <f t="shared" si="50"/>
        <v>#DIV/0!</v>
      </c>
      <c r="W68" s="130" t="e">
        <f t="shared" si="50"/>
        <v>#DIV/0!</v>
      </c>
      <c r="X68" s="130" t="e">
        <f t="shared" si="50"/>
        <v>#DIV/0!</v>
      </c>
      <c r="Y68" s="130" t="e">
        <f t="shared" si="50"/>
        <v>#DIV/0!</v>
      </c>
      <c r="Z68" s="130" t="e">
        <f t="shared" si="50"/>
        <v>#DIV/0!</v>
      </c>
      <c r="AA68" s="130" t="e">
        <f t="shared" si="50"/>
        <v>#DIV/0!</v>
      </c>
      <c r="AB68" s="130" t="e">
        <f t="shared" si="50"/>
        <v>#DIV/0!</v>
      </c>
      <c r="AC68" s="130" t="e">
        <f t="shared" si="50"/>
        <v>#DIV/0!</v>
      </c>
      <c r="AD68" s="130" t="e">
        <f t="shared" si="50"/>
        <v>#DIV/0!</v>
      </c>
      <c r="AE68" s="130" t="e">
        <f t="shared" si="50"/>
        <v>#DIV/0!</v>
      </c>
      <c r="AF68" s="130" t="e">
        <f t="shared" si="50"/>
        <v>#DIV/0!</v>
      </c>
      <c r="AG68" s="130" t="e">
        <f t="shared" si="50"/>
        <v>#DIV/0!</v>
      </c>
      <c r="AH68" s="130" t="e">
        <f t="shared" si="50"/>
        <v>#DIV/0!</v>
      </c>
      <c r="AI68" s="130" t="e">
        <f t="shared" si="50"/>
        <v>#DIV/0!</v>
      </c>
    </row>
    <row r="69" spans="1:35" ht="12.75">
      <c r="A69" s="4" t="s">
        <v>18</v>
      </c>
      <c r="B69" s="3" t="s">
        <v>22</v>
      </c>
      <c r="C69" s="29">
        <f aca="true" t="shared" si="51" ref="C69:O69">+C9-C38</f>
        <v>28836.4844383</v>
      </c>
      <c r="D69" s="29">
        <f t="shared" si="51"/>
        <v>23501.26451266979</v>
      </c>
      <c r="E69" s="29">
        <f t="shared" si="51"/>
        <v>-21031.54454418004</v>
      </c>
      <c r="F69" s="29">
        <f t="shared" si="51"/>
        <v>-75214.03035369999</v>
      </c>
      <c r="G69" s="29">
        <f t="shared" si="51"/>
        <v>-98175.81423527043</v>
      </c>
      <c r="H69" s="29">
        <f t="shared" si="51"/>
        <v>-28278.569264860154</v>
      </c>
      <c r="I69" s="29">
        <f t="shared" si="51"/>
        <v>-89142.31810423973</v>
      </c>
      <c r="J69" s="29">
        <f t="shared" si="51"/>
        <v>-85725.43150745967</v>
      </c>
      <c r="K69" s="29">
        <f t="shared" si="51"/>
        <v>-127748.60647007998</v>
      </c>
      <c r="L69" s="29">
        <f t="shared" si="51"/>
        <v>-58452.86814518954</v>
      </c>
      <c r="M69" s="29">
        <f t="shared" si="51"/>
        <v>-88989.23768685019</v>
      </c>
      <c r="N69" s="29">
        <f t="shared" si="51"/>
        <v>-64601.50601019949</v>
      </c>
      <c r="O69" s="29">
        <f t="shared" si="51"/>
        <v>-74242.01721252094</v>
      </c>
      <c r="P69" s="29">
        <f>+P9-P38</f>
        <v>-88510.37280534947</v>
      </c>
      <c r="Q69" s="29">
        <f>+Q9-Q38</f>
        <v>-120364.79440705036</v>
      </c>
      <c r="R69" s="29">
        <f>+R9-R38</f>
        <v>-53727.34741580073</v>
      </c>
      <c r="S69" s="29">
        <f>+S9-S38</f>
        <v>-5041.46647390991</v>
      </c>
      <c r="T69" s="52">
        <f t="shared" si="50"/>
        <v>-0.18501630935788027</v>
      </c>
      <c r="U69" s="52">
        <f t="shared" si="50"/>
        <v>-1.8949111879848721</v>
      </c>
      <c r="V69" s="52">
        <f t="shared" si="50"/>
        <v>2.5762485344669375</v>
      </c>
      <c r="W69" s="52">
        <f t="shared" si="50"/>
        <v>0.305285912396807</v>
      </c>
      <c r="X69" s="52">
        <f t="shared" si="50"/>
        <v>-0.7119599212379044</v>
      </c>
      <c r="Y69" s="52">
        <f t="shared" si="50"/>
        <v>2.152292369154998</v>
      </c>
      <c r="Z69" s="52">
        <f t="shared" si="50"/>
        <v>-0.03833069039986692</v>
      </c>
      <c r="AA69" s="52">
        <f t="shared" si="50"/>
        <v>0.4902066309104962</v>
      </c>
      <c r="AB69" s="52">
        <f t="shared" si="50"/>
        <v>-0.5424383109894839</v>
      </c>
      <c r="AC69" s="52">
        <f t="shared" si="50"/>
        <v>0.5224101145184556</v>
      </c>
      <c r="AD69" s="52">
        <f t="shared" si="50"/>
        <v>-0.2740525968147993</v>
      </c>
      <c r="AE69" s="52">
        <f t="shared" si="50"/>
        <v>0.14923044055349677</v>
      </c>
      <c r="AF69" s="52">
        <f t="shared" si="50"/>
        <v>0.19218706776224526</v>
      </c>
      <c r="AG69" s="52">
        <f t="shared" si="50"/>
        <v>0.35989478512032247</v>
      </c>
      <c r="AH69" s="52">
        <f t="shared" si="50"/>
        <v>-0.5536290517465989</v>
      </c>
      <c r="AI69" s="52">
        <f t="shared" si="50"/>
        <v>-0.9061657290672932</v>
      </c>
    </row>
    <row r="70" spans="1:35" ht="18">
      <c r="A70" s="2"/>
      <c r="B70" s="62" t="s">
        <v>50</v>
      </c>
      <c r="C70" s="63">
        <f aca="true" t="shared" si="52" ref="C70:O70">+C69/C76</f>
        <v>0.0024830526015213565</v>
      </c>
      <c r="D70" s="63">
        <f t="shared" si="52"/>
        <v>0.0016920710635834491</v>
      </c>
      <c r="E70" s="63">
        <f t="shared" si="52"/>
        <v>-0.0012975246697238686</v>
      </c>
      <c r="F70" s="63">
        <f t="shared" si="52"/>
        <v>-0.004267184845710784</v>
      </c>
      <c r="G70" s="63">
        <f t="shared" si="52"/>
        <v>-0.004957871007061799</v>
      </c>
      <c r="H70" s="63">
        <f t="shared" si="52"/>
        <v>-0.0013077687281776512</v>
      </c>
      <c r="I70" s="63">
        <f t="shared" si="52"/>
        <v>-0.0037529074742677494</v>
      </c>
      <c r="J70" s="63">
        <f t="shared" si="52"/>
        <v>-0.0033666725976670303</v>
      </c>
      <c r="K70" s="63">
        <f t="shared" si="52"/>
        <v>-0.004562233916011895</v>
      </c>
      <c r="L70" s="63">
        <f t="shared" si="52"/>
        <v>-0.0019226713459567077</v>
      </c>
      <c r="M70" s="63">
        <f t="shared" si="52"/>
        <v>-0.0027760306224989015</v>
      </c>
      <c r="N70" s="63">
        <f t="shared" si="52"/>
        <v>-0.0018810321766259536</v>
      </c>
      <c r="O70" s="63">
        <f t="shared" si="52"/>
        <v>-0.0020614354323006535</v>
      </c>
      <c r="P70" s="63">
        <f>+P69/P76</f>
        <v>-0.002339554407382619</v>
      </c>
      <c r="Q70" s="63">
        <f>+Q69/Q76</f>
        <v>-0.0032980951567566042</v>
      </c>
      <c r="R70" s="63">
        <f>+R69/R76</f>
        <v>-0.0013394023917149202</v>
      </c>
      <c r="S70" s="63">
        <f>+S69/S76</f>
        <v>-0.00011274244757964977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>
      <c r="A71" s="4" t="s">
        <v>19</v>
      </c>
      <c r="B71" s="3" t="s">
        <v>21</v>
      </c>
      <c r="C71" s="29">
        <f aca="true" t="shared" si="53" ref="C71:O71">+C9-C36</f>
        <v>5030.684438299912</v>
      </c>
      <c r="D71" s="29">
        <f t="shared" si="53"/>
        <v>6766.064512669778</v>
      </c>
      <c r="E71" s="29">
        <f t="shared" si="53"/>
        <v>-38026.04454418001</v>
      </c>
      <c r="F71" s="29">
        <f t="shared" si="53"/>
        <v>-86932.63035370008</v>
      </c>
      <c r="G71" s="29">
        <f t="shared" si="53"/>
        <v>-116004.73606064043</v>
      </c>
      <c r="H71" s="29">
        <f t="shared" si="53"/>
        <v>-45972.92218246017</v>
      </c>
      <c r="I71" s="29">
        <f t="shared" si="53"/>
        <v>-111815.04375399966</v>
      </c>
      <c r="J71" s="29">
        <f t="shared" si="53"/>
        <v>-115486.04776341963</v>
      </c>
      <c r="K71" s="29">
        <f t="shared" si="53"/>
        <v>-152383.30789833004</v>
      </c>
      <c r="L71" s="29">
        <f t="shared" si="53"/>
        <v>-98492.55553066958</v>
      </c>
      <c r="M71" s="29">
        <f t="shared" si="53"/>
        <v>-129075.86216047005</v>
      </c>
      <c r="N71" s="29">
        <f t="shared" si="53"/>
        <v>-124909.32646009931</v>
      </c>
      <c r="O71" s="29">
        <f t="shared" si="53"/>
        <v>-165782.34030316083</v>
      </c>
      <c r="P71" s="29">
        <f>+P9-P36</f>
        <v>-166519.51806807966</v>
      </c>
      <c r="Q71" s="29">
        <f>+Q9-Q36</f>
        <v>-188784.46049680002</v>
      </c>
      <c r="R71" s="29">
        <f>+R9-R36</f>
        <v>-128248.12577070092</v>
      </c>
      <c r="S71" s="29">
        <f>+S9-S36</f>
        <v>-73473.9824748697</v>
      </c>
      <c r="T71" s="52">
        <f aca="true" t="shared" si="54" ref="T71:AI71">+D71/C71-1</f>
        <v>0.344959039998209</v>
      </c>
      <c r="U71" s="52">
        <f t="shared" si="54"/>
        <v>-6.620112618343267</v>
      </c>
      <c r="V71" s="52">
        <f t="shared" si="54"/>
        <v>1.2861339220464716</v>
      </c>
      <c r="W71" s="52">
        <f t="shared" si="54"/>
        <v>0.3344210981383582</v>
      </c>
      <c r="X71" s="52">
        <f t="shared" si="54"/>
        <v>-0.6036978855895311</v>
      </c>
      <c r="Y71" s="52">
        <f t="shared" si="54"/>
        <v>1.4321935270988697</v>
      </c>
      <c r="Z71" s="52">
        <f t="shared" si="54"/>
        <v>0.03283103852730607</v>
      </c>
      <c r="AA71" s="52">
        <f t="shared" si="54"/>
        <v>0.31949539229619095</v>
      </c>
      <c r="AB71" s="52">
        <f t="shared" si="54"/>
        <v>-0.3536525956216695</v>
      </c>
      <c r="AC71" s="52">
        <f t="shared" si="54"/>
        <v>0.31051389077093394</v>
      </c>
      <c r="AD71" s="52">
        <f t="shared" si="54"/>
        <v>-0.03227974332792605</v>
      </c>
      <c r="AE71" s="52">
        <f t="shared" si="54"/>
        <v>0.3272214733790746</v>
      </c>
      <c r="AF71" s="52">
        <f t="shared" si="54"/>
        <v>0.004446660383553347</v>
      </c>
      <c r="AG71" s="52">
        <f t="shared" si="54"/>
        <v>0.13370770397988774</v>
      </c>
      <c r="AH71" s="52">
        <f t="shared" si="54"/>
        <v>-0.3206637589068154</v>
      </c>
      <c r="AI71" s="52">
        <f t="shared" si="54"/>
        <v>-0.42709507812818825</v>
      </c>
    </row>
    <row r="72" spans="2:32" ht="18">
      <c r="B72" s="62" t="s">
        <v>50</v>
      </c>
      <c r="C72" s="63">
        <f aca="true" t="shared" si="55" ref="C72:O72">+C71/C76</f>
        <v>0.0004331822802006585</v>
      </c>
      <c r="D72" s="63">
        <f t="shared" si="55"/>
        <v>0.0004871508922447677</v>
      </c>
      <c r="E72" s="63">
        <f t="shared" si="55"/>
        <v>-0.002345987037920419</v>
      </c>
      <c r="F72" s="63">
        <f t="shared" si="55"/>
        <v>-0.00493202665910374</v>
      </c>
      <c r="G72" s="63">
        <f t="shared" si="55"/>
        <v>-0.00585823017692155</v>
      </c>
      <c r="H72" s="63">
        <f t="shared" si="55"/>
        <v>-0.0021260605305048266</v>
      </c>
      <c r="I72" s="63">
        <f t="shared" si="55"/>
        <v>-0.004707433263618511</v>
      </c>
      <c r="J72" s="63">
        <f t="shared" si="55"/>
        <v>-0.004535453547225805</v>
      </c>
      <c r="K72" s="63">
        <f t="shared" si="55"/>
        <v>-0.005442002967685362</v>
      </c>
      <c r="L72" s="63">
        <f t="shared" si="55"/>
        <v>-0.0032396838738263456</v>
      </c>
      <c r="M72" s="63">
        <f t="shared" si="55"/>
        <v>-0.004026537987029641</v>
      </c>
      <c r="N72" s="63">
        <f t="shared" si="55"/>
        <v>-0.0036370431084845984</v>
      </c>
      <c r="O72" s="63">
        <f t="shared" si="55"/>
        <v>-0.004603182984271395</v>
      </c>
      <c r="P72" s="63">
        <f>+P71/P76</f>
        <v>-0.004401534645754645</v>
      </c>
      <c r="Q72" s="63">
        <f>+Q71/Q76</f>
        <v>-0.005172850731832714</v>
      </c>
      <c r="R72" s="63">
        <f>+R71/R76</f>
        <v>-0.003197177129569493</v>
      </c>
      <c r="S72" s="63">
        <f>+S71/S76</f>
        <v>-0.0016431006058474744</v>
      </c>
      <c r="T72" s="14"/>
      <c r="U72" s="14"/>
      <c r="V72" s="14"/>
      <c r="W72" s="14"/>
      <c r="X72" s="14"/>
      <c r="Y72" s="14"/>
      <c r="Z72" s="41"/>
      <c r="AA72" s="41"/>
      <c r="AB72" s="14"/>
      <c r="AC72" s="14"/>
      <c r="AD72" s="12"/>
      <c r="AE72" s="12"/>
      <c r="AF72" s="12"/>
    </row>
    <row r="73" spans="2:32" ht="12.75">
      <c r="B73" s="43" t="s">
        <v>40</v>
      </c>
      <c r="C73" s="43"/>
      <c r="D73" s="25"/>
      <c r="E73" s="12"/>
      <c r="F73" s="54">
        <f aca="true" t="shared" si="56" ref="F73:O73">F74+F75</f>
        <v>73789.03451616963</v>
      </c>
      <c r="G73" s="54">
        <f t="shared" si="56"/>
        <v>82087.13732517854</v>
      </c>
      <c r="H73" s="54">
        <f t="shared" si="56"/>
        <v>21540.761757076525</v>
      </c>
      <c r="I73" s="54">
        <f t="shared" si="56"/>
        <v>111814.72167608846</v>
      </c>
      <c r="J73" s="54">
        <f t="shared" si="56"/>
        <v>115486.38298427081</v>
      </c>
      <c r="K73" s="65">
        <f t="shared" si="56"/>
        <v>152383.30002963843</v>
      </c>
      <c r="L73" s="65">
        <f t="shared" si="56"/>
        <v>98492.55553066992</v>
      </c>
      <c r="M73" s="65">
        <f t="shared" si="56"/>
        <v>129075.88573853459</v>
      </c>
      <c r="N73" s="65">
        <f t="shared" si="56"/>
        <v>124909.277554795</v>
      </c>
      <c r="O73" s="65">
        <f t="shared" si="56"/>
        <v>165782.25170348838</v>
      </c>
      <c r="P73" s="65">
        <f>P74+P75</f>
        <v>166519.5412205779</v>
      </c>
      <c r="Q73" s="65">
        <f>Q74+Q75</f>
        <v>188784.46337099903</v>
      </c>
      <c r="R73" s="65">
        <f>R74+R75</f>
        <v>128248.1391464997</v>
      </c>
      <c r="S73" s="65">
        <f>S74+S75</f>
        <v>73474.01034045916</v>
      </c>
      <c r="T73" s="25"/>
      <c r="U73" s="25"/>
      <c r="V73" s="25"/>
      <c r="W73" s="25"/>
      <c r="X73" s="25"/>
      <c r="Y73" s="25"/>
      <c r="Z73" s="25"/>
      <c r="AA73" s="25"/>
      <c r="AB73" s="12"/>
      <c r="AC73" s="12"/>
      <c r="AD73" s="12"/>
      <c r="AE73" s="12"/>
      <c r="AF73" s="12"/>
    </row>
    <row r="74" spans="2:32" ht="12.75">
      <c r="B74" s="44" t="s">
        <v>42</v>
      </c>
      <c r="C74" s="44"/>
      <c r="D74" s="24"/>
      <c r="E74" s="12"/>
      <c r="F74" s="56">
        <v>74268.130212926</v>
      </c>
      <c r="G74" s="56">
        <v>83316.50928024855</v>
      </c>
      <c r="H74" s="56">
        <v>22077.910788791298</v>
      </c>
      <c r="I74" s="56">
        <f>-384809.047303431-2312</f>
        <v>-387121.047303431</v>
      </c>
      <c r="J74" s="56">
        <f>107839.109598294+7574</f>
        <v>115413.109598294</v>
      </c>
      <c r="K74" s="56">
        <v>150902.67133567302</v>
      </c>
      <c r="L74" s="56">
        <v>95675.96861345792</v>
      </c>
      <c r="M74" s="56">
        <v>129839.635576155</v>
      </c>
      <c r="N74" s="56">
        <v>104827.2</v>
      </c>
      <c r="O74" s="56">
        <v>139790.84366698598</v>
      </c>
      <c r="P74" s="56">
        <v>-703580.999229026</v>
      </c>
      <c r="Q74" s="56">
        <v>176628.84461659502</v>
      </c>
      <c r="R74" s="56">
        <v>124111.5252421347</v>
      </c>
      <c r="S74" s="56">
        <v>-103876.83119162101</v>
      </c>
      <c r="T74" s="24"/>
      <c r="U74" s="24"/>
      <c r="V74" s="24"/>
      <c r="W74" s="24"/>
      <c r="X74" s="24"/>
      <c r="Y74" s="24"/>
      <c r="Z74" s="24"/>
      <c r="AA74" s="24"/>
      <c r="AB74" s="14"/>
      <c r="AC74" s="14"/>
      <c r="AD74" s="12"/>
      <c r="AE74" s="12"/>
      <c r="AF74" s="12"/>
    </row>
    <row r="75" spans="2:34" ht="13.5" thickBot="1">
      <c r="B75" s="76" t="s">
        <v>43</v>
      </c>
      <c r="C75" s="76"/>
      <c r="D75" s="10"/>
      <c r="E75" s="9"/>
      <c r="F75" s="77">
        <v>-479.09569675636976</v>
      </c>
      <c r="G75" s="77">
        <v>-1229.3719550700093</v>
      </c>
      <c r="H75" s="77">
        <v>-537.149031714772</v>
      </c>
      <c r="I75" s="77">
        <v>498935.7689795195</v>
      </c>
      <c r="J75" s="77">
        <v>73.27338597680023</v>
      </c>
      <c r="K75" s="77">
        <v>1480.6286939654</v>
      </c>
      <c r="L75" s="77">
        <v>2816.5869172120006</v>
      </c>
      <c r="M75" s="77">
        <v>-763.7498376204001</v>
      </c>
      <c r="N75" s="77">
        <v>20082.077554795003</v>
      </c>
      <c r="O75" s="77">
        <v>25991.4080365024</v>
      </c>
      <c r="P75" s="77">
        <v>870100.5404496039</v>
      </c>
      <c r="Q75" s="77">
        <v>12155.618754404</v>
      </c>
      <c r="R75" s="77">
        <v>4136.613904365</v>
      </c>
      <c r="S75" s="77">
        <v>177350.84153208017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9"/>
      <c r="AE75" s="9"/>
      <c r="AF75" s="9"/>
      <c r="AG75" s="9"/>
      <c r="AH75" s="9"/>
    </row>
    <row r="76" spans="2:19" ht="15" thickTop="1">
      <c r="B76" s="1" t="s">
        <v>64</v>
      </c>
      <c r="C76" s="61">
        <v>11613320</v>
      </c>
      <c r="D76" s="61">
        <v>13889052.9</v>
      </c>
      <c r="E76" s="61">
        <v>16208974.7</v>
      </c>
      <c r="F76" s="60">
        <v>17626147.7</v>
      </c>
      <c r="G76" s="60">
        <v>19802010.6</v>
      </c>
      <c r="H76" s="60">
        <v>21623524.6</v>
      </c>
      <c r="I76" s="60">
        <v>23752868.6</v>
      </c>
      <c r="J76" s="60">
        <v>25462954.6</v>
      </c>
      <c r="K76" s="60">
        <v>28001327.6</v>
      </c>
      <c r="L76" s="60">
        <v>30401903.2</v>
      </c>
      <c r="M76" s="60">
        <v>32056288.2</v>
      </c>
      <c r="N76" s="60">
        <v>34343647.5</v>
      </c>
      <c r="O76" s="60">
        <v>36014718.7</v>
      </c>
      <c r="P76" s="60">
        <v>37832149.8</v>
      </c>
      <c r="Q76" s="60">
        <v>36495246.1</v>
      </c>
      <c r="R76" s="60">
        <v>40112924.8</v>
      </c>
      <c r="S76" s="60">
        <v>44716666.9</v>
      </c>
    </row>
    <row r="78" ht="14.25">
      <c r="B78" s="1" t="s">
        <v>58</v>
      </c>
    </row>
    <row r="79" ht="14.25">
      <c r="B79" s="1" t="s">
        <v>59</v>
      </c>
    </row>
    <row r="80" ht="14.25">
      <c r="B80" s="1" t="s">
        <v>60</v>
      </c>
    </row>
    <row r="81" ht="14.25">
      <c r="B81" s="1" t="s">
        <v>86</v>
      </c>
    </row>
    <row r="82" ht="14.25">
      <c r="B82" s="1" t="s">
        <v>61</v>
      </c>
    </row>
    <row r="83" ht="14.25">
      <c r="B83" s="1" t="s">
        <v>62</v>
      </c>
    </row>
    <row r="84" ht="14.25">
      <c r="B84" s="1" t="s">
        <v>68</v>
      </c>
    </row>
    <row r="86" spans="1:31" ht="12.75">
      <c r="A86" s="213" t="s">
        <v>46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</row>
    <row r="88" spans="17:19" ht="12.75">
      <c r="Q88" s="57"/>
      <c r="R88" s="57"/>
      <c r="S88" s="57"/>
    </row>
    <row r="89" spans="16:19" ht="12.75">
      <c r="P89" s="57"/>
      <c r="R89" s="57"/>
      <c r="S89" s="57"/>
    </row>
    <row r="91" spans="17:19" ht="12.75">
      <c r="Q91" s="57"/>
      <c r="R91" s="57"/>
      <c r="S91" s="57"/>
    </row>
  </sheetData>
  <sheetProtection/>
  <mergeCells count="6">
    <mergeCell ref="A86:AE86"/>
    <mergeCell ref="A2:AF2"/>
    <mergeCell ref="A3:AF3"/>
    <mergeCell ref="A4:AF4"/>
    <mergeCell ref="T6:AI6"/>
    <mergeCell ref="C6:S6"/>
  </mergeCells>
  <printOptions/>
  <pageMargins left="0.2362204724409449" right="0.2755905511811024" top="0.7874015748031497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PageLayoutView="0" workbookViewId="0" topLeftCell="A1">
      <pane xSplit="2" ySplit="7" topLeftCell="C2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K36" sqref="AK36:AM36"/>
    </sheetView>
  </sheetViews>
  <sheetFormatPr defaultColWidth="11.421875" defaultRowHeight="12.75"/>
  <cols>
    <col min="1" max="1" width="3.8515625" style="1" customWidth="1"/>
    <col min="2" max="2" width="35.00390625" style="1" customWidth="1"/>
    <col min="3" max="9" width="10.7109375" style="1" hidden="1" customWidth="1"/>
    <col min="10" max="11" width="12.421875" style="1" hidden="1" customWidth="1"/>
    <col min="12" max="12" width="11.28125" style="1" hidden="1" customWidth="1"/>
    <col min="13" max="16" width="11.28125" style="1" bestFit="1" customWidth="1"/>
    <col min="17" max="17" width="11.421875" style="1" customWidth="1"/>
    <col min="18" max="19" width="11.28125" style="1" customWidth="1"/>
    <col min="20" max="28" width="7.421875" style="7" hidden="1" customWidth="1"/>
    <col min="29" max="30" width="7.421875" style="7" bestFit="1" customWidth="1"/>
    <col min="31" max="35" width="7.421875" style="1" bestFit="1" customWidth="1"/>
    <col min="36" max="16384" width="11.421875" style="1" customWidth="1"/>
  </cols>
  <sheetData>
    <row r="1" ht="12.75">
      <c r="AC1" s="7" t="s">
        <v>139</v>
      </c>
    </row>
    <row r="2" spans="1:32" ht="12.75">
      <c r="A2" s="214" t="s">
        <v>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2" ht="12.75">
      <c r="A3" s="218" t="s">
        <v>141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</row>
    <row r="4" spans="1:32" ht="12.75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</row>
    <row r="5" spans="2:35" ht="13.5" thickBo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9"/>
      <c r="AF5" s="9"/>
      <c r="AG5" s="9"/>
      <c r="AH5" s="9"/>
      <c r="AI5" s="9"/>
    </row>
    <row r="6" spans="2:35" ht="13.5" thickTop="1">
      <c r="B6" s="12"/>
      <c r="C6" s="217" t="s">
        <v>47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 t="s">
        <v>20</v>
      </c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</row>
    <row r="7" spans="2:35" ht="12.75">
      <c r="B7" s="15" t="s">
        <v>0</v>
      </c>
      <c r="C7" s="16">
        <v>2006</v>
      </c>
      <c r="D7" s="16">
        <v>2007</v>
      </c>
      <c r="E7" s="16">
        <v>2008</v>
      </c>
      <c r="F7" s="16">
        <v>2009</v>
      </c>
      <c r="G7" s="16">
        <v>2010</v>
      </c>
      <c r="H7" s="16">
        <v>2011</v>
      </c>
      <c r="I7" s="16">
        <v>2012</v>
      </c>
      <c r="J7" s="16">
        <v>2013</v>
      </c>
      <c r="K7" s="16">
        <v>2014</v>
      </c>
      <c r="L7" s="16">
        <v>2015</v>
      </c>
      <c r="M7" s="16">
        <v>2016</v>
      </c>
      <c r="N7" s="16">
        <v>2017</v>
      </c>
      <c r="O7" s="16">
        <v>2018</v>
      </c>
      <c r="P7" s="16">
        <v>2019</v>
      </c>
      <c r="Q7" s="16">
        <v>2020</v>
      </c>
      <c r="R7" s="16">
        <v>2021</v>
      </c>
      <c r="S7" s="16">
        <v>2022</v>
      </c>
      <c r="T7" s="17" t="s">
        <v>69</v>
      </c>
      <c r="U7" s="132" t="s">
        <v>70</v>
      </c>
      <c r="V7" s="16" t="s">
        <v>71</v>
      </c>
      <c r="W7" s="16" t="s">
        <v>72</v>
      </c>
      <c r="X7" s="16" t="s">
        <v>73</v>
      </c>
      <c r="Y7" s="16" t="s">
        <v>74</v>
      </c>
      <c r="Z7" s="17" t="s">
        <v>75</v>
      </c>
      <c r="AA7" s="17" t="s">
        <v>76</v>
      </c>
      <c r="AB7" s="17" t="s">
        <v>77</v>
      </c>
      <c r="AC7" s="17" t="s">
        <v>78</v>
      </c>
      <c r="AD7" s="17" t="s">
        <v>79</v>
      </c>
      <c r="AE7" s="17" t="s">
        <v>80</v>
      </c>
      <c r="AF7" s="17" t="s">
        <v>81</v>
      </c>
      <c r="AG7" s="17" t="s">
        <v>82</v>
      </c>
      <c r="AH7" s="17" t="s">
        <v>83</v>
      </c>
      <c r="AI7" s="17" t="s">
        <v>84</v>
      </c>
    </row>
    <row r="8" spans="2:31" ht="12.75">
      <c r="B8" s="12"/>
      <c r="C8" s="14"/>
      <c r="D8" s="14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2"/>
    </row>
    <row r="9" spans="1:35" ht="12.75">
      <c r="A9" s="1">
        <v>1</v>
      </c>
      <c r="B9" s="3" t="s">
        <v>10</v>
      </c>
      <c r="C9" s="29">
        <f>+C11+C34</f>
        <v>1431027.4611869995</v>
      </c>
      <c r="D9" s="29">
        <f aca="true" t="shared" si="0" ref="D9:O9">+D11+D34</f>
        <v>1813374.0152103496</v>
      </c>
      <c r="E9" s="29">
        <f t="shared" si="0"/>
        <v>2199703.53597294</v>
      </c>
      <c r="F9" s="29">
        <f t="shared" si="0"/>
        <v>2056158.00662806</v>
      </c>
      <c r="G9" s="29">
        <f t="shared" si="0"/>
        <v>2366517.5290624104</v>
      </c>
      <c r="H9" s="29">
        <f t="shared" si="0"/>
        <v>2572830.31252733</v>
      </c>
      <c r="I9" s="29">
        <f t="shared" si="0"/>
        <v>2808445.04392943</v>
      </c>
      <c r="J9" s="29">
        <f t="shared" si="0"/>
        <v>3035777.41626985</v>
      </c>
      <c r="K9" s="29">
        <f t="shared" si="0"/>
        <v>3260953.0966890603</v>
      </c>
      <c r="L9" s="29">
        <f t="shared" si="0"/>
        <v>3557119.2763652303</v>
      </c>
      <c r="M9" s="29">
        <f t="shared" si="0"/>
        <v>3876892.7451268705</v>
      </c>
      <c r="N9" s="29">
        <f t="shared" si="0"/>
        <v>4087432.0705833603</v>
      </c>
      <c r="O9" s="29">
        <f t="shared" si="0"/>
        <v>4156951.8799483897</v>
      </c>
      <c r="P9" s="29">
        <f>+P11+P34</f>
        <v>4641531.219217599</v>
      </c>
      <c r="Q9" s="29">
        <f>+Q11+Q34</f>
        <v>4114594.8577804505</v>
      </c>
      <c r="R9" s="29">
        <f>+R11+R34</f>
        <v>5525828.96758372</v>
      </c>
      <c r="S9" s="29">
        <f>+S11+S34</f>
        <v>6517468.0019568</v>
      </c>
      <c r="T9" s="52">
        <f>+D9/C9-1</f>
        <v>0.2671832402896055</v>
      </c>
      <c r="U9" s="52">
        <f aca="true" t="shared" si="1" ref="U9:AI9">+E9/D9-1</f>
        <v>0.21304458844237728</v>
      </c>
      <c r="V9" s="52">
        <f t="shared" si="1"/>
        <v>-0.06525676164874139</v>
      </c>
      <c r="W9" s="52">
        <f t="shared" si="1"/>
        <v>0.15094147503932143</v>
      </c>
      <c r="X9" s="52">
        <f t="shared" si="1"/>
        <v>0.08717990926805386</v>
      </c>
      <c r="Y9" s="52">
        <f t="shared" si="1"/>
        <v>0.09157802994424924</v>
      </c>
      <c r="Z9" s="52">
        <f t="shared" si="1"/>
        <v>0.08094599281257375</v>
      </c>
      <c r="AA9" s="52">
        <f t="shared" si="1"/>
        <v>0.07417397573761852</v>
      </c>
      <c r="AB9" s="52">
        <f t="shared" si="1"/>
        <v>0.09082196857626568</v>
      </c>
      <c r="AC9" s="52">
        <f t="shared" si="1"/>
        <v>0.08989675181440471</v>
      </c>
      <c r="AD9" s="52">
        <f t="shared" si="1"/>
        <v>0.05430620326578062</v>
      </c>
      <c r="AE9" s="52">
        <f t="shared" si="1"/>
        <v>0.01700818708776919</v>
      </c>
      <c r="AF9" s="52">
        <f t="shared" si="1"/>
        <v>0.1165708320095411</v>
      </c>
      <c r="AG9" s="52">
        <f t="shared" si="1"/>
        <v>-0.11352640681494153</v>
      </c>
      <c r="AH9" s="52">
        <f t="shared" si="1"/>
        <v>0.34298251919863043</v>
      </c>
      <c r="AI9" s="52">
        <f t="shared" si="1"/>
        <v>0.17945525281190422</v>
      </c>
    </row>
    <row r="10" spans="2:35" ht="12.75">
      <c r="B10" s="3"/>
      <c r="C10" s="25"/>
      <c r="D10" s="25"/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2:35" ht="12.75">
      <c r="B11" s="3" t="s">
        <v>31</v>
      </c>
      <c r="C11" s="33">
        <f>+C12+C30+C31+C32</f>
        <v>1430546.5177701996</v>
      </c>
      <c r="D11" s="33">
        <f aca="true" t="shared" si="2" ref="D11:O11">+D12+D30+D31+D32</f>
        <v>1813165.0152103496</v>
      </c>
      <c r="E11" s="33">
        <f t="shared" si="2"/>
        <v>2199391.73597294</v>
      </c>
      <c r="F11" s="33">
        <f t="shared" si="2"/>
        <v>2054676.26662806</v>
      </c>
      <c r="G11" s="33">
        <f t="shared" si="2"/>
        <v>2365228.1290624104</v>
      </c>
      <c r="H11" s="33">
        <f t="shared" si="2"/>
        <v>2572534.96580736</v>
      </c>
      <c r="I11" s="33">
        <f t="shared" si="2"/>
        <v>2804511.79392943</v>
      </c>
      <c r="J11" s="33">
        <f t="shared" si="2"/>
        <v>3035485.23337318</v>
      </c>
      <c r="K11" s="33">
        <f t="shared" si="2"/>
        <v>3259551.8638309203</v>
      </c>
      <c r="L11" s="33">
        <f t="shared" si="2"/>
        <v>3556151.10944868</v>
      </c>
      <c r="M11" s="33">
        <f t="shared" si="2"/>
        <v>3872413.2577288803</v>
      </c>
      <c r="N11" s="33">
        <f t="shared" si="2"/>
        <v>4080618.1405365304</v>
      </c>
      <c r="O11" s="33">
        <f t="shared" si="2"/>
        <v>4155481.7117268997</v>
      </c>
      <c r="P11" s="33">
        <f>+P12+P30+P31+P32</f>
        <v>4541155.5442176</v>
      </c>
      <c r="Q11" s="33">
        <f>+Q12+Q30+Q31+Q32</f>
        <v>4039594.8577804505</v>
      </c>
      <c r="R11" s="33">
        <f>+R12+R30+R31+R32</f>
        <v>5519294.01863872</v>
      </c>
      <c r="S11" s="33">
        <f>+S12+S30+S31+S32</f>
        <v>6509857.8668668</v>
      </c>
      <c r="T11" s="37">
        <f aca="true" t="shared" si="3" ref="T11:T71">+D11/C11-1</f>
        <v>0.2674631636841418</v>
      </c>
      <c r="U11" s="37">
        <f aca="true" t="shared" si="4" ref="U11:U32">+E11/D11-1</f>
        <v>0.21301244923798812</v>
      </c>
      <c r="V11" s="37">
        <f aca="true" t="shared" si="5" ref="V11:V32">+F11/E11-1</f>
        <v>-0.06579795085065299</v>
      </c>
      <c r="W11" s="37">
        <f aca="true" t="shared" si="6" ref="W11:W32">+G11/F11-1</f>
        <v>0.15114393808811477</v>
      </c>
      <c r="X11" s="37">
        <f aca="true" t="shared" si="7" ref="X11:X32">+H11/G11-1</f>
        <v>0.0876477132153537</v>
      </c>
      <c r="Y11" s="37">
        <f aca="true" t="shared" si="8" ref="Y11:Y32">+I11/H11-1</f>
        <v>0.09017441208977583</v>
      </c>
      <c r="Z11" s="37">
        <f aca="true" t="shared" si="9" ref="Z11:Z32">+J11/I11-1</f>
        <v>0.0823578064259558</v>
      </c>
      <c r="AA11" s="37">
        <f aca="true" t="shared" si="10" ref="AA11:AA32">+K11/J11-1</f>
        <v>0.07381575373659333</v>
      </c>
      <c r="AB11" s="37">
        <f aca="true" t="shared" si="11" ref="AB11:AB32">+L11/K11-1</f>
        <v>0.0909938721665775</v>
      </c>
      <c r="AC11" s="37">
        <f aca="true" t="shared" si="12" ref="AC11:AC32">+M11/L11-1</f>
        <v>0.08893383282838929</v>
      </c>
      <c r="AD11" s="37">
        <f aca="true" t="shared" si="13" ref="AD11:AD32">+N11/M11-1</f>
        <v>0.053766183759467845</v>
      </c>
      <c r="AE11" s="37">
        <f aca="true" t="shared" si="14" ref="AE11:AE32">+O11/N11-1</f>
        <v>0.018346134975649964</v>
      </c>
      <c r="AF11" s="37">
        <f aca="true" t="shared" si="15" ref="AF11:AF32">+P11/O11-1</f>
        <v>0.09281086026737073</v>
      </c>
      <c r="AG11" s="37">
        <f aca="true" t="shared" si="16" ref="AG11:AI32">+Q11/P11-1</f>
        <v>-0.11044781037632645</v>
      </c>
      <c r="AH11" s="37">
        <f t="shared" si="16"/>
        <v>0.36629890198228643</v>
      </c>
      <c r="AI11" s="37">
        <f t="shared" si="16"/>
        <v>0.17947292622624111</v>
      </c>
    </row>
    <row r="12" spans="2:35" ht="12.75">
      <c r="B12" s="30" t="s">
        <v>30</v>
      </c>
      <c r="C12" s="25">
        <f aca="true" t="shared" si="17" ref="C12:O12">+C13+C14+C17+C21+C24+C27</f>
        <v>1376715.8130814198</v>
      </c>
      <c r="D12" s="25">
        <f t="shared" si="17"/>
        <v>1744953.4012669097</v>
      </c>
      <c r="E12" s="25">
        <f t="shared" si="17"/>
        <v>2125744.70521633</v>
      </c>
      <c r="F12" s="25">
        <f t="shared" si="17"/>
        <v>1970015.25382713</v>
      </c>
      <c r="G12" s="25">
        <f t="shared" si="17"/>
        <v>2146150.35895123</v>
      </c>
      <c r="H12" s="25">
        <f t="shared" si="17"/>
        <v>2345559.18089277</v>
      </c>
      <c r="I12" s="25">
        <f t="shared" si="17"/>
        <v>2575670.66408828</v>
      </c>
      <c r="J12" s="25">
        <f t="shared" si="17"/>
        <v>2809866.7594891298</v>
      </c>
      <c r="K12" s="25">
        <f t="shared" si="17"/>
        <v>3016989.88273533</v>
      </c>
      <c r="L12" s="25">
        <f t="shared" si="17"/>
        <v>3289099.25044948</v>
      </c>
      <c r="M12" s="25">
        <f t="shared" si="17"/>
        <v>3569559.6310819</v>
      </c>
      <c r="N12" s="25">
        <f t="shared" si="17"/>
        <v>3763394.7360700904</v>
      </c>
      <c r="O12" s="25">
        <f t="shared" si="17"/>
        <v>3837232.9105626396</v>
      </c>
      <c r="P12" s="25">
        <f>+P13+P14+P17+P21+P24+P27</f>
        <v>4204748.576982969</v>
      </c>
      <c r="Q12" s="25">
        <f>+Q13+Q14+Q17+Q21+Q24+Q27</f>
        <v>3717163.5760693904</v>
      </c>
      <c r="R12" s="25">
        <f>+R13+R14+R17+R21+R24+R27+R28+R29</f>
        <v>4836608.92244936</v>
      </c>
      <c r="S12" s="25">
        <f>+S13+S14+S17+S21+S24+S27+S28+S29</f>
        <v>5542721.18890288</v>
      </c>
      <c r="T12" s="38">
        <f t="shared" si="3"/>
        <v>0.26747538212791055</v>
      </c>
      <c r="U12" s="38">
        <f t="shared" si="4"/>
        <v>0.2182243397863517</v>
      </c>
      <c r="V12" s="38">
        <f t="shared" si="5"/>
        <v>-0.07325877421077809</v>
      </c>
      <c r="W12" s="38">
        <f t="shared" si="6"/>
        <v>0.08940799051272519</v>
      </c>
      <c r="X12" s="38">
        <f t="shared" si="7"/>
        <v>0.09291465582075342</v>
      </c>
      <c r="Y12" s="38">
        <f t="shared" si="8"/>
        <v>0.0981051704301592</v>
      </c>
      <c r="Z12" s="38">
        <f t="shared" si="9"/>
        <v>0.0909262580290906</v>
      </c>
      <c r="AA12" s="38">
        <f t="shared" si="10"/>
        <v>0.07371279173531287</v>
      </c>
      <c r="AB12" s="38">
        <f t="shared" si="11"/>
        <v>0.0901923368292652</v>
      </c>
      <c r="AC12" s="38">
        <f t="shared" si="12"/>
        <v>0.08526966177566497</v>
      </c>
      <c r="AD12" s="38">
        <f t="shared" si="13"/>
        <v>0.0543022459410325</v>
      </c>
      <c r="AE12" s="38">
        <f t="shared" si="14"/>
        <v>0.019620098254602425</v>
      </c>
      <c r="AF12" s="38">
        <f t="shared" si="15"/>
        <v>0.0957762207784365</v>
      </c>
      <c r="AG12" s="38">
        <f t="shared" si="16"/>
        <v>-0.11596056030142843</v>
      </c>
      <c r="AH12" s="38">
        <f t="shared" si="16"/>
        <v>0.3011557935160054</v>
      </c>
      <c r="AI12" s="38">
        <f t="shared" si="16"/>
        <v>0.14599325225077964</v>
      </c>
    </row>
    <row r="13" spans="2:35" ht="12.75">
      <c r="B13" s="31" t="s">
        <v>23</v>
      </c>
      <c r="C13" s="25">
        <v>311169.61998544</v>
      </c>
      <c r="D13" s="25">
        <v>416618.03835901996</v>
      </c>
      <c r="E13" s="25">
        <v>569979.80572374</v>
      </c>
      <c r="F13" s="45">
        <v>570851.4090618399</v>
      </c>
      <c r="G13" s="45">
        <v>608049.6350516101</v>
      </c>
      <c r="H13" s="45">
        <v>642433.3645341902</v>
      </c>
      <c r="I13" s="45">
        <v>716725.3325892001</v>
      </c>
      <c r="J13" s="45">
        <v>827071.61086166</v>
      </c>
      <c r="K13" s="45">
        <v>886964.09812335</v>
      </c>
      <c r="L13" s="45">
        <v>1026783.48381169</v>
      </c>
      <c r="M13" s="45">
        <v>1153851.04364846</v>
      </c>
      <c r="N13" s="45">
        <v>1287104.4226593298</v>
      </c>
      <c r="O13" s="45">
        <v>1351765.29177772</v>
      </c>
      <c r="P13" s="45">
        <v>1562206.9510355098</v>
      </c>
      <c r="Q13" s="45">
        <v>1430107.9050572703</v>
      </c>
      <c r="R13" s="45">
        <v>1800575.95050087</v>
      </c>
      <c r="S13" s="45">
        <v>2138326.97437302</v>
      </c>
      <c r="T13" s="38">
        <f t="shared" si="3"/>
        <v>0.33887761401165717</v>
      </c>
      <c r="U13" s="38">
        <f t="shared" si="4"/>
        <v>0.36811120317493495</v>
      </c>
      <c r="V13" s="38">
        <f t="shared" si="5"/>
        <v>0.001529182840071197</v>
      </c>
      <c r="W13" s="38">
        <f t="shared" si="6"/>
        <v>0.06516271204603519</v>
      </c>
      <c r="X13" s="38">
        <f t="shared" si="7"/>
        <v>0.05654757029771362</v>
      </c>
      <c r="Y13" s="38">
        <f t="shared" si="8"/>
        <v>0.11564151576852932</v>
      </c>
      <c r="Z13" s="38">
        <f t="shared" si="9"/>
        <v>0.15395894808661126</v>
      </c>
      <c r="AA13" s="38">
        <f t="shared" si="10"/>
        <v>0.0724151167506435</v>
      </c>
      <c r="AB13" s="38">
        <f t="shared" si="11"/>
        <v>0.15763815692672534</v>
      </c>
      <c r="AC13" s="38">
        <f t="shared" si="12"/>
        <v>0.12375302275515931</v>
      </c>
      <c r="AD13" s="38">
        <f t="shared" si="13"/>
        <v>0.11548577240050384</v>
      </c>
      <c r="AE13" s="38">
        <f t="shared" si="14"/>
        <v>0.0502374694547254</v>
      </c>
      <c r="AF13" s="38">
        <f t="shared" si="15"/>
        <v>0.15567914085220802</v>
      </c>
      <c r="AG13" s="38">
        <f t="shared" si="16"/>
        <v>-0.08455924862623199</v>
      </c>
      <c r="AH13" s="38">
        <f t="shared" si="16"/>
        <v>0.2590490159053864</v>
      </c>
      <c r="AI13" s="38">
        <f t="shared" si="16"/>
        <v>0.18757943744511163</v>
      </c>
    </row>
    <row r="14" spans="2:35" ht="12.75">
      <c r="B14" s="31" t="s">
        <v>24</v>
      </c>
      <c r="C14" s="45">
        <f aca="true" t="shared" si="18" ref="C14:O14">+C15+C16</f>
        <v>94751.78532510999</v>
      </c>
      <c r="D14" s="45">
        <f t="shared" si="18"/>
        <v>121387.90240767</v>
      </c>
      <c r="E14" s="45">
        <f t="shared" si="18"/>
        <v>143203.46230329998</v>
      </c>
      <c r="F14" s="45">
        <f t="shared" si="18"/>
        <v>106409.60041428</v>
      </c>
      <c r="G14" s="45">
        <f t="shared" si="18"/>
        <v>113354.10325536999</v>
      </c>
      <c r="H14" s="45">
        <f t="shared" si="18"/>
        <v>133664.99155897</v>
      </c>
      <c r="I14" s="45">
        <f t="shared" si="18"/>
        <v>138816.24986972997</v>
      </c>
      <c r="J14" s="45">
        <f t="shared" si="18"/>
        <v>139962.57845856</v>
      </c>
      <c r="K14" s="45">
        <f t="shared" si="18"/>
        <v>154016.40839524003</v>
      </c>
      <c r="L14" s="45">
        <f t="shared" si="18"/>
        <v>157557.15027108</v>
      </c>
      <c r="M14" s="45">
        <f t="shared" si="18"/>
        <v>168122.92752976</v>
      </c>
      <c r="N14" s="45">
        <f t="shared" si="18"/>
        <v>163723.20450955</v>
      </c>
      <c r="O14" s="45">
        <f t="shared" si="18"/>
        <v>159522.35071997</v>
      </c>
      <c r="P14" s="45">
        <f>+P15+P16</f>
        <v>150983.11122859002</v>
      </c>
      <c r="Q14" s="45">
        <f>+Q15+Q16</f>
        <v>114100.86223997</v>
      </c>
      <c r="R14" s="45">
        <f>+R15+R16</f>
        <v>163269.56760288</v>
      </c>
      <c r="S14" s="45">
        <f>+S15+S16</f>
        <v>146501.18217731</v>
      </c>
      <c r="T14" s="38">
        <f t="shared" si="3"/>
        <v>0.2811146723111002</v>
      </c>
      <c r="U14" s="38">
        <f t="shared" si="4"/>
        <v>0.1797177433906425</v>
      </c>
      <c r="V14" s="38">
        <f t="shared" si="5"/>
        <v>-0.25693416414117043</v>
      </c>
      <c r="W14" s="38">
        <f t="shared" si="6"/>
        <v>0.06526199529039922</v>
      </c>
      <c r="X14" s="38">
        <f t="shared" si="7"/>
        <v>0.17918088291733558</v>
      </c>
      <c r="Y14" s="38">
        <f t="shared" si="8"/>
        <v>0.038538575065015124</v>
      </c>
      <c r="Z14" s="38">
        <f t="shared" si="9"/>
        <v>0.008257884721030617</v>
      </c>
      <c r="AA14" s="38">
        <f t="shared" si="10"/>
        <v>0.10041133916978451</v>
      </c>
      <c r="AB14" s="38">
        <f t="shared" si="11"/>
        <v>0.022989380889558486</v>
      </c>
      <c r="AC14" s="38">
        <f t="shared" si="12"/>
        <v>0.06705996675175574</v>
      </c>
      <c r="AD14" s="38">
        <f t="shared" si="13"/>
        <v>-0.026169678846635458</v>
      </c>
      <c r="AE14" s="38">
        <f t="shared" si="14"/>
        <v>-0.025658267575229154</v>
      </c>
      <c r="AF14" s="38">
        <f t="shared" si="15"/>
        <v>-0.053530050509160376</v>
      </c>
      <c r="AG14" s="38">
        <f t="shared" si="16"/>
        <v>-0.2442806264124463</v>
      </c>
      <c r="AH14" s="38">
        <f t="shared" si="16"/>
        <v>0.43092317093539023</v>
      </c>
      <c r="AI14" s="38">
        <f t="shared" si="16"/>
        <v>-0.10270368000456576</v>
      </c>
    </row>
    <row r="15" spans="2:35" ht="12.75">
      <c r="B15" s="32" t="s">
        <v>35</v>
      </c>
      <c r="C15" s="25">
        <v>75869.63269982999</v>
      </c>
      <c r="D15" s="25">
        <v>96683.35906082</v>
      </c>
      <c r="E15" s="25">
        <v>113312.74810419999</v>
      </c>
      <c r="F15" s="45">
        <v>88104.40537377</v>
      </c>
      <c r="G15" s="45">
        <v>92957.30466078999</v>
      </c>
      <c r="H15" s="45">
        <v>111478.55810074</v>
      </c>
      <c r="I15" s="45">
        <v>117054.78966935</v>
      </c>
      <c r="J15" s="45">
        <v>118284.77192356001</v>
      </c>
      <c r="K15" s="45">
        <v>129379.32310008002</v>
      </c>
      <c r="L15" s="45">
        <v>133919.82809927</v>
      </c>
      <c r="M15" s="45">
        <v>143517.1721657</v>
      </c>
      <c r="N15" s="45">
        <v>139375.12968531</v>
      </c>
      <c r="O15" s="45">
        <v>135303.51746793</v>
      </c>
      <c r="P15" s="45">
        <v>129409.30725318</v>
      </c>
      <c r="Q15" s="45">
        <v>97708.40930272</v>
      </c>
      <c r="R15" s="45">
        <v>136475.50645309</v>
      </c>
      <c r="S15" s="45">
        <v>117714.80597776001</v>
      </c>
      <c r="T15" s="38">
        <f t="shared" si="3"/>
        <v>0.2743354043024997</v>
      </c>
      <c r="U15" s="38">
        <f t="shared" si="4"/>
        <v>0.17199846183373735</v>
      </c>
      <c r="V15" s="38">
        <f t="shared" si="5"/>
        <v>-0.22246696115117537</v>
      </c>
      <c r="W15" s="38">
        <f t="shared" si="6"/>
        <v>0.05508123307151647</v>
      </c>
      <c r="X15" s="38">
        <f t="shared" si="7"/>
        <v>0.1992447339941259</v>
      </c>
      <c r="Y15" s="38">
        <f t="shared" si="8"/>
        <v>0.050020664633739775</v>
      </c>
      <c r="Z15" s="38">
        <f t="shared" si="9"/>
        <v>0.010507748189411137</v>
      </c>
      <c r="AA15" s="38">
        <f t="shared" si="10"/>
        <v>0.0937952620282323</v>
      </c>
      <c r="AB15" s="38">
        <f t="shared" si="11"/>
        <v>0.03509451812232567</v>
      </c>
      <c r="AC15" s="38">
        <f t="shared" si="12"/>
        <v>0.07166484756324376</v>
      </c>
      <c r="AD15" s="38">
        <f t="shared" si="13"/>
        <v>-0.02886095383490228</v>
      </c>
      <c r="AE15" s="38">
        <f t="shared" si="14"/>
        <v>-0.02921333401858095</v>
      </c>
      <c r="AF15" s="38">
        <f t="shared" si="15"/>
        <v>-0.04356287497216815</v>
      </c>
      <c r="AG15" s="38">
        <f t="shared" si="16"/>
        <v>-0.2449661359243619</v>
      </c>
      <c r="AH15" s="38">
        <f t="shared" si="16"/>
        <v>0.39676315914899263</v>
      </c>
      <c r="AI15" s="38">
        <f t="shared" si="16"/>
        <v>-0.13746569595459612</v>
      </c>
    </row>
    <row r="16" spans="2:35" ht="12.75">
      <c r="B16" s="32" t="s">
        <v>36</v>
      </c>
      <c r="C16" s="25">
        <v>18882.15262528</v>
      </c>
      <c r="D16" s="25">
        <v>24704.543346849998</v>
      </c>
      <c r="E16" s="25">
        <v>29890.7141991</v>
      </c>
      <c r="F16" s="45">
        <v>18305.195040509996</v>
      </c>
      <c r="G16" s="45">
        <v>20396.79859458</v>
      </c>
      <c r="H16" s="45">
        <v>22186.43345823</v>
      </c>
      <c r="I16" s="45">
        <v>21761.460200379996</v>
      </c>
      <c r="J16" s="45">
        <v>21677.806534999996</v>
      </c>
      <c r="K16" s="45">
        <v>24637.085295159995</v>
      </c>
      <c r="L16" s="45">
        <v>23637.322171810003</v>
      </c>
      <c r="M16" s="45">
        <v>24605.755364059998</v>
      </c>
      <c r="N16" s="45">
        <v>24348.074824239997</v>
      </c>
      <c r="O16" s="45">
        <v>24218.833252040004</v>
      </c>
      <c r="P16" s="45">
        <v>21573.803975410003</v>
      </c>
      <c r="Q16" s="45">
        <v>16392.45293725</v>
      </c>
      <c r="R16" s="45">
        <v>26794.061149790003</v>
      </c>
      <c r="S16" s="45">
        <v>28786.376199549995</v>
      </c>
      <c r="T16" s="38">
        <f t="shared" si="3"/>
        <v>0.3083541817035631</v>
      </c>
      <c r="U16" s="38">
        <f t="shared" si="4"/>
        <v>0.20992781689734308</v>
      </c>
      <c r="V16" s="38">
        <f t="shared" si="5"/>
        <v>-0.3875959296729966</v>
      </c>
      <c r="W16" s="38">
        <f t="shared" si="6"/>
        <v>0.11426283901598522</v>
      </c>
      <c r="X16" s="38">
        <f t="shared" si="7"/>
        <v>0.0877409685324615</v>
      </c>
      <c r="Y16" s="38">
        <f t="shared" si="8"/>
        <v>-0.019154645051449704</v>
      </c>
      <c r="Z16" s="38">
        <f t="shared" si="9"/>
        <v>-0.003844120045700783</v>
      </c>
      <c r="AA16" s="38">
        <f t="shared" si="10"/>
        <v>0.13651190932911428</v>
      </c>
      <c r="AB16" s="38">
        <f t="shared" si="11"/>
        <v>-0.04057960230979096</v>
      </c>
      <c r="AC16" s="38">
        <f t="shared" si="12"/>
        <v>0.04097051202377533</v>
      </c>
      <c r="AD16" s="38">
        <f t="shared" si="13"/>
        <v>-0.010472368598623771</v>
      </c>
      <c r="AE16" s="38">
        <f t="shared" si="14"/>
        <v>-0.00530808177373121</v>
      </c>
      <c r="AF16" s="38">
        <f t="shared" si="15"/>
        <v>-0.1092137366446918</v>
      </c>
      <c r="AG16" s="38">
        <f t="shared" si="16"/>
        <v>-0.2401686343338314</v>
      </c>
      <c r="AH16" s="38">
        <f t="shared" si="16"/>
        <v>0.634536408453156</v>
      </c>
      <c r="AI16" s="38">
        <f t="shared" si="16"/>
        <v>0.07435659113495774</v>
      </c>
    </row>
    <row r="17" spans="2:35" ht="12.75">
      <c r="B17" s="31" t="s">
        <v>25</v>
      </c>
      <c r="C17" s="45">
        <f aca="true" t="shared" si="19" ref="C17:I17">+C18+C19</f>
        <v>1227.61225577</v>
      </c>
      <c r="D17" s="45">
        <f t="shared" si="19"/>
        <v>3335.94423472</v>
      </c>
      <c r="E17" s="45">
        <f t="shared" si="19"/>
        <v>4505.596600429999</v>
      </c>
      <c r="F17" s="45">
        <f t="shared" si="19"/>
        <v>4074.13841475</v>
      </c>
      <c r="G17" s="45">
        <f t="shared" si="19"/>
        <v>3696.2694011599997</v>
      </c>
      <c r="H17" s="45">
        <f t="shared" si="19"/>
        <v>3659.3512881000006</v>
      </c>
      <c r="I17" s="45">
        <f t="shared" si="19"/>
        <v>3571.9516512500004</v>
      </c>
      <c r="J17" s="45">
        <f aca="true" t="shared" si="20" ref="J17:O17">+J18+J19+J20</f>
        <v>4487.19060666</v>
      </c>
      <c r="K17" s="45">
        <f t="shared" si="20"/>
        <v>4489.08244544</v>
      </c>
      <c r="L17" s="45">
        <f t="shared" si="20"/>
        <v>4099.1887978800005</v>
      </c>
      <c r="M17" s="45">
        <f t="shared" si="20"/>
        <v>4637.162276690001</v>
      </c>
      <c r="N17" s="45">
        <f t="shared" si="20"/>
        <v>5225.21915379</v>
      </c>
      <c r="O17" s="45">
        <f t="shared" si="20"/>
        <v>5048.13292589</v>
      </c>
      <c r="P17" s="45">
        <f>+P18+P19+P20</f>
        <v>5034.19739349</v>
      </c>
      <c r="Q17" s="45">
        <f>+Q18+Q19+Q20</f>
        <v>4959.162926540001</v>
      </c>
      <c r="R17" s="45">
        <f>+R18+R19+R20</f>
        <v>5796.81618237</v>
      </c>
      <c r="S17" s="45">
        <f>+S18+S19+S20</f>
        <v>4380.718687299999</v>
      </c>
      <c r="T17" s="38">
        <f t="shared" si="3"/>
        <v>1.7174250004758895</v>
      </c>
      <c r="U17" s="38">
        <f t="shared" si="4"/>
        <v>0.3506210785949102</v>
      </c>
      <c r="V17" s="38">
        <f t="shared" si="5"/>
        <v>-0.09576050053811347</v>
      </c>
      <c r="W17" s="38">
        <f t="shared" si="6"/>
        <v>-0.0927482022265037</v>
      </c>
      <c r="X17" s="38">
        <f t="shared" si="7"/>
        <v>-0.009987938933350815</v>
      </c>
      <c r="Y17" s="38">
        <f t="shared" si="8"/>
        <v>-0.02388391547272839</v>
      </c>
      <c r="Z17" s="38">
        <f t="shared" si="9"/>
        <v>0.25622937955773084</v>
      </c>
      <c r="AA17" s="38">
        <f t="shared" si="10"/>
        <v>0.0004216087404871338</v>
      </c>
      <c r="AB17" s="38">
        <f t="shared" si="11"/>
        <v>-0.08685375069376422</v>
      </c>
      <c r="AC17" s="38">
        <f t="shared" si="12"/>
        <v>0.13123900979828673</v>
      </c>
      <c r="AD17" s="38">
        <f t="shared" si="13"/>
        <v>0.1268139525882095</v>
      </c>
      <c r="AE17" s="38">
        <f t="shared" si="14"/>
        <v>-0.03389067954624536</v>
      </c>
      <c r="AF17" s="38">
        <f t="shared" si="15"/>
        <v>-0.0027605319837220588</v>
      </c>
      <c r="AG17" s="38">
        <f t="shared" si="16"/>
        <v>-0.014904951293135738</v>
      </c>
      <c r="AH17" s="38">
        <f t="shared" si="16"/>
        <v>0.16891021090416736</v>
      </c>
      <c r="AI17" s="38">
        <f t="shared" si="16"/>
        <v>-0.24428883899696752</v>
      </c>
    </row>
    <row r="18" spans="2:35" ht="12.75">
      <c r="B18" s="32" t="s">
        <v>37</v>
      </c>
      <c r="C18" s="25">
        <v>1227.61225577</v>
      </c>
      <c r="D18" s="25">
        <v>159.84548358</v>
      </c>
      <c r="E18" s="25">
        <v>144.20637008</v>
      </c>
      <c r="F18" s="45">
        <v>131.05832221</v>
      </c>
      <c r="G18" s="45">
        <v>145.97710827</v>
      </c>
      <c r="H18" s="45">
        <v>149.8601595</v>
      </c>
      <c r="I18" s="45">
        <v>149.64788072</v>
      </c>
      <c r="J18" s="45">
        <v>150.05005597000002</v>
      </c>
      <c r="K18" s="45">
        <v>162.6649905</v>
      </c>
      <c r="L18" s="45">
        <v>142.87788</v>
      </c>
      <c r="M18" s="45">
        <v>168.01961792999998</v>
      </c>
      <c r="N18" s="45">
        <v>184.94476799999998</v>
      </c>
      <c r="O18" s="45">
        <v>178.5404625</v>
      </c>
      <c r="P18" s="45">
        <v>170.9963055</v>
      </c>
      <c r="Q18" s="45">
        <v>181.646208</v>
      </c>
      <c r="R18" s="45">
        <v>188.44083000000003</v>
      </c>
      <c r="S18" s="45">
        <v>133.9859085</v>
      </c>
      <c r="T18" s="38">
        <f t="shared" si="3"/>
        <v>-0.8697915544352891</v>
      </c>
      <c r="U18" s="38">
        <f t="shared" si="4"/>
        <v>-0.09783894514712954</v>
      </c>
      <c r="V18" s="38">
        <f t="shared" si="5"/>
        <v>-0.09117522244479204</v>
      </c>
      <c r="W18" s="38">
        <f t="shared" si="6"/>
        <v>0.11383318364243245</v>
      </c>
      <c r="X18" s="38">
        <f t="shared" si="7"/>
        <v>0.026600412051031253</v>
      </c>
      <c r="Y18" s="38">
        <f t="shared" si="8"/>
        <v>-0.0014165124387179873</v>
      </c>
      <c r="Z18" s="38">
        <f t="shared" si="9"/>
        <v>0.0026874770833040795</v>
      </c>
      <c r="AA18" s="38">
        <f t="shared" si="10"/>
        <v>0.08407150832734178</v>
      </c>
      <c r="AB18" s="38">
        <f t="shared" si="11"/>
        <v>-0.12164332619562646</v>
      </c>
      <c r="AC18" s="38">
        <f t="shared" si="12"/>
        <v>0.17596662219512194</v>
      </c>
      <c r="AD18" s="38">
        <f t="shared" si="13"/>
        <v>0.10073317793789616</v>
      </c>
      <c r="AE18" s="38">
        <f t="shared" si="14"/>
        <v>-0.034628205865223416</v>
      </c>
      <c r="AF18" s="38">
        <f t="shared" si="15"/>
        <v>-0.042254606571325404</v>
      </c>
      <c r="AG18" s="38">
        <f t="shared" si="16"/>
        <v>0.06228147718665178</v>
      </c>
      <c r="AH18" s="38">
        <f t="shared" si="16"/>
        <v>0.03740580150178552</v>
      </c>
      <c r="AI18" s="38">
        <f t="shared" si="16"/>
        <v>-0.2889762346090283</v>
      </c>
    </row>
    <row r="19" spans="2:35" ht="12.75">
      <c r="B19" s="32" t="s">
        <v>38</v>
      </c>
      <c r="C19" s="25">
        <v>0</v>
      </c>
      <c r="D19" s="25">
        <v>3176.0987511400003</v>
      </c>
      <c r="E19" s="25">
        <v>4361.390230349999</v>
      </c>
      <c r="F19" s="45">
        <v>3943.08009254</v>
      </c>
      <c r="G19" s="45">
        <v>3550.2922928899998</v>
      </c>
      <c r="H19" s="45">
        <v>3509.4911286000006</v>
      </c>
      <c r="I19" s="45">
        <v>3422.3037705300003</v>
      </c>
      <c r="J19" s="45">
        <v>3839.55458347</v>
      </c>
      <c r="K19" s="45">
        <v>2836.46926753</v>
      </c>
      <c r="L19" s="45">
        <v>2468.97425563</v>
      </c>
      <c r="M19" s="45">
        <v>2958.7263877600003</v>
      </c>
      <c r="N19" s="45">
        <v>3404.11105079</v>
      </c>
      <c r="O19" s="45">
        <v>3317.9476528899995</v>
      </c>
      <c r="P19" s="45">
        <v>3257.1673707400005</v>
      </c>
      <c r="Q19" s="45">
        <v>3426.74235629</v>
      </c>
      <c r="R19" s="45">
        <v>3761.26696462</v>
      </c>
      <c r="S19" s="45">
        <v>2794.86547205</v>
      </c>
      <c r="T19" s="59" t="e">
        <f t="shared" si="3"/>
        <v>#DIV/0!</v>
      </c>
      <c r="U19" s="38">
        <f t="shared" si="4"/>
        <v>0.37319100320308385</v>
      </c>
      <c r="V19" s="38">
        <f t="shared" si="5"/>
        <v>-0.09591210960648888</v>
      </c>
      <c r="W19" s="38">
        <f t="shared" si="6"/>
        <v>-0.09961446139354968</v>
      </c>
      <c r="X19" s="38">
        <f t="shared" si="7"/>
        <v>-0.011492339481937841</v>
      </c>
      <c r="Y19" s="38">
        <f t="shared" si="8"/>
        <v>-0.024843304876733252</v>
      </c>
      <c r="Z19" s="38">
        <f t="shared" si="9"/>
        <v>0.12192103358357986</v>
      </c>
      <c r="AA19" s="38">
        <f t="shared" si="10"/>
        <v>-0.2612504378134042</v>
      </c>
      <c r="AB19" s="38">
        <f t="shared" si="11"/>
        <v>-0.12956072399825969</v>
      </c>
      <c r="AC19" s="38">
        <f t="shared" si="12"/>
        <v>0.19836259167677395</v>
      </c>
      <c r="AD19" s="38">
        <f t="shared" si="13"/>
        <v>0.1505325618727429</v>
      </c>
      <c r="AE19" s="38">
        <f t="shared" si="14"/>
        <v>-0.02531157080789248</v>
      </c>
      <c r="AF19" s="38">
        <f t="shared" si="15"/>
        <v>-0.01831863805839684</v>
      </c>
      <c r="AG19" s="38">
        <f t="shared" si="16"/>
        <v>0.05206210373876896</v>
      </c>
      <c r="AH19" s="38">
        <f t="shared" si="16"/>
        <v>0.09762175662724082</v>
      </c>
      <c r="AI19" s="38">
        <f t="shared" si="16"/>
        <v>-0.25693509704585293</v>
      </c>
    </row>
    <row r="20" spans="2:35" ht="12.75">
      <c r="B20" s="32" t="s">
        <v>49</v>
      </c>
      <c r="C20" s="25"/>
      <c r="D20" s="25"/>
      <c r="E20" s="25"/>
      <c r="F20" s="45"/>
      <c r="G20" s="45">
        <v>0</v>
      </c>
      <c r="H20" s="45">
        <v>0</v>
      </c>
      <c r="I20" s="45">
        <v>0</v>
      </c>
      <c r="J20" s="45">
        <v>497.58596722000004</v>
      </c>
      <c r="K20" s="45">
        <v>1489.9481874100002</v>
      </c>
      <c r="L20" s="45">
        <v>1487.3366622500002</v>
      </c>
      <c r="M20" s="45">
        <v>1510.4162710000003</v>
      </c>
      <c r="N20" s="45">
        <v>1636.163335</v>
      </c>
      <c r="O20" s="45">
        <v>1551.6448105000002</v>
      </c>
      <c r="P20" s="45">
        <v>1606.0337172499999</v>
      </c>
      <c r="Q20" s="45">
        <v>1350.7743622500002</v>
      </c>
      <c r="R20" s="45">
        <v>1847.10838775</v>
      </c>
      <c r="S20" s="45">
        <v>1451.8673067499997</v>
      </c>
      <c r="T20" s="59" t="e">
        <f t="shared" si="3"/>
        <v>#DIV/0!</v>
      </c>
      <c r="U20" s="59" t="e">
        <f t="shared" si="4"/>
        <v>#DIV/0!</v>
      </c>
      <c r="V20" s="59" t="e">
        <f t="shared" si="5"/>
        <v>#DIV/0!</v>
      </c>
      <c r="W20" s="59" t="e">
        <f t="shared" si="6"/>
        <v>#DIV/0!</v>
      </c>
      <c r="X20" s="59" t="e">
        <f t="shared" si="7"/>
        <v>#DIV/0!</v>
      </c>
      <c r="Y20" s="59" t="e">
        <f t="shared" si="8"/>
        <v>#DIV/0!</v>
      </c>
      <c r="Z20" s="59" t="e">
        <f t="shared" si="9"/>
        <v>#DIV/0!</v>
      </c>
      <c r="AA20" s="38">
        <f t="shared" si="10"/>
        <v>1.9943533089051972</v>
      </c>
      <c r="AB20" s="38">
        <f t="shared" si="11"/>
        <v>-0.001752762399435892</v>
      </c>
      <c r="AC20" s="38">
        <f t="shared" si="12"/>
        <v>0.0155174072795905</v>
      </c>
      <c r="AD20" s="38">
        <f t="shared" si="13"/>
        <v>0.08325325038821685</v>
      </c>
      <c r="AE20" s="38">
        <f t="shared" si="14"/>
        <v>-0.05165653250627311</v>
      </c>
      <c r="AF20" s="38">
        <f t="shared" si="15"/>
        <v>0.035052420748581836</v>
      </c>
      <c r="AG20" s="38">
        <f t="shared" si="16"/>
        <v>-0.15893773104407705</v>
      </c>
      <c r="AH20" s="38">
        <f t="shared" si="16"/>
        <v>0.3674440671743655</v>
      </c>
      <c r="AI20" s="38">
        <f t="shared" si="16"/>
        <v>-0.21397828282370124</v>
      </c>
    </row>
    <row r="21" spans="2:35" ht="12.75">
      <c r="B21" s="31" t="s">
        <v>26</v>
      </c>
      <c r="C21" s="45">
        <f aca="true" t="shared" si="21" ref="C21:O21">+C22+C23</f>
        <v>573189.69576259</v>
      </c>
      <c r="D21" s="45">
        <f t="shared" si="21"/>
        <v>710103.81941274</v>
      </c>
      <c r="E21" s="45">
        <f t="shared" si="21"/>
        <v>864930.92727027</v>
      </c>
      <c r="F21" s="45">
        <f t="shared" si="21"/>
        <v>755330.18454976</v>
      </c>
      <c r="G21" s="45">
        <f t="shared" si="21"/>
        <v>837899.8160485501</v>
      </c>
      <c r="H21" s="45">
        <f t="shared" si="21"/>
        <v>935509.87080624</v>
      </c>
      <c r="I21" s="45">
        <f t="shared" si="21"/>
        <v>1024725.4227979102</v>
      </c>
      <c r="J21" s="45">
        <f t="shared" si="21"/>
        <v>1063180.04238764</v>
      </c>
      <c r="K21" s="45">
        <f t="shared" si="21"/>
        <v>1151274.5283517</v>
      </c>
      <c r="L21" s="45">
        <f t="shared" si="21"/>
        <v>1205435.63516379</v>
      </c>
      <c r="M21" s="45">
        <f t="shared" si="21"/>
        <v>1290894.08795614</v>
      </c>
      <c r="N21" s="45">
        <f t="shared" si="21"/>
        <v>1331240.2810963201</v>
      </c>
      <c r="O21" s="45">
        <f t="shared" si="21"/>
        <v>1358016.11853045</v>
      </c>
      <c r="P21" s="45">
        <f>+P22+P23</f>
        <v>1478854.3726460699</v>
      </c>
      <c r="Q21" s="45">
        <f>+Q22+Q23</f>
        <v>1400185.54592295</v>
      </c>
      <c r="R21" s="45">
        <f>+R22+R23</f>
        <v>1830892.8056562098</v>
      </c>
      <c r="S21" s="45">
        <f>+S22+S23</f>
        <v>1944555.9561386202</v>
      </c>
      <c r="T21" s="38">
        <f t="shared" si="3"/>
        <v>0.23886354667976883</v>
      </c>
      <c r="U21" s="38">
        <f t="shared" si="4"/>
        <v>0.2180344671087291</v>
      </c>
      <c r="V21" s="38">
        <f t="shared" si="5"/>
        <v>-0.1267161795987698</v>
      </c>
      <c r="W21" s="38">
        <f t="shared" si="6"/>
        <v>0.1093159431302333</v>
      </c>
      <c r="X21" s="38">
        <f t="shared" si="7"/>
        <v>0.11649370591583241</v>
      </c>
      <c r="Y21" s="38">
        <f t="shared" si="8"/>
        <v>0.0953656981884996</v>
      </c>
      <c r="Z21" s="38">
        <f t="shared" si="9"/>
        <v>0.03752675471321232</v>
      </c>
      <c r="AA21" s="38">
        <f t="shared" si="10"/>
        <v>0.08285942404093793</v>
      </c>
      <c r="AB21" s="38">
        <f t="shared" si="11"/>
        <v>0.04704447590761296</v>
      </c>
      <c r="AC21" s="38">
        <f t="shared" si="12"/>
        <v>0.07089424793779076</v>
      </c>
      <c r="AD21" s="38">
        <f t="shared" si="13"/>
        <v>0.031254456517079365</v>
      </c>
      <c r="AE21" s="38">
        <f t="shared" si="14"/>
        <v>0.020113451954803407</v>
      </c>
      <c r="AF21" s="38">
        <f t="shared" si="15"/>
        <v>0.08898145792730539</v>
      </c>
      <c r="AG21" s="38">
        <f t="shared" si="16"/>
        <v>-0.05319579005088926</v>
      </c>
      <c r="AH21" s="38">
        <f t="shared" si="16"/>
        <v>0.3076072746125613</v>
      </c>
      <c r="AI21" s="38">
        <f t="shared" si="16"/>
        <v>0.06208072374923801</v>
      </c>
    </row>
    <row r="22" spans="2:35" ht="12.75">
      <c r="B22" s="32" t="s">
        <v>27</v>
      </c>
      <c r="C22" s="25">
        <v>282978.57384758</v>
      </c>
      <c r="D22" s="25">
        <v>336943.38574894</v>
      </c>
      <c r="E22" s="25">
        <v>404492.50891062</v>
      </c>
      <c r="F22" s="45">
        <v>412571.81234000996</v>
      </c>
      <c r="G22" s="45">
        <v>443485.96312182007</v>
      </c>
      <c r="H22" s="45">
        <v>475517.0949744</v>
      </c>
      <c r="I22" s="45">
        <v>530108.2992092001</v>
      </c>
      <c r="J22" s="45">
        <v>563772.21354792</v>
      </c>
      <c r="K22" s="45">
        <v>585816.3387002699</v>
      </c>
      <c r="L22" s="45">
        <v>624435.79062392</v>
      </c>
      <c r="M22" s="45">
        <v>674961.7194113501</v>
      </c>
      <c r="N22" s="45">
        <v>688452.9503690802</v>
      </c>
      <c r="O22" s="45">
        <v>706909.07164654</v>
      </c>
      <c r="P22" s="45">
        <v>856725.5702510498</v>
      </c>
      <c r="Q22" s="45">
        <v>886365.8603270699</v>
      </c>
      <c r="R22" s="45">
        <v>1077294.7007736298</v>
      </c>
      <c r="S22" s="45">
        <v>1223111.35049515</v>
      </c>
      <c r="T22" s="38">
        <f t="shared" si="3"/>
        <v>0.19070281953723778</v>
      </c>
      <c r="U22" s="38">
        <f t="shared" si="4"/>
        <v>0.20047618092141906</v>
      </c>
      <c r="V22" s="38">
        <f t="shared" si="5"/>
        <v>0.019973925972446738</v>
      </c>
      <c r="W22" s="38">
        <f t="shared" si="6"/>
        <v>0.07493035117079949</v>
      </c>
      <c r="X22" s="38">
        <f t="shared" si="7"/>
        <v>0.07222580761542918</v>
      </c>
      <c r="Y22" s="38">
        <f t="shared" si="8"/>
        <v>0.11480387311362383</v>
      </c>
      <c r="Z22" s="38">
        <f t="shared" si="9"/>
        <v>0.06350384325040515</v>
      </c>
      <c r="AA22" s="38">
        <f t="shared" si="10"/>
        <v>0.03910112031528179</v>
      </c>
      <c r="AB22" s="38">
        <f t="shared" si="11"/>
        <v>0.06592416321015171</v>
      </c>
      <c r="AC22" s="38">
        <f t="shared" si="12"/>
        <v>0.08091453043866337</v>
      </c>
      <c r="AD22" s="38">
        <f t="shared" si="13"/>
        <v>0.019988142393462027</v>
      </c>
      <c r="AE22" s="38">
        <f t="shared" si="14"/>
        <v>0.026808108335602876</v>
      </c>
      <c r="AF22" s="38">
        <f t="shared" si="15"/>
        <v>0.21193178106422605</v>
      </c>
      <c r="AG22" s="38">
        <f t="shared" si="16"/>
        <v>0.034597181530760635</v>
      </c>
      <c r="AH22" s="38">
        <f t="shared" si="16"/>
        <v>0.21540635644078954</v>
      </c>
      <c r="AI22" s="38">
        <f t="shared" si="16"/>
        <v>0.13535446671816542</v>
      </c>
    </row>
    <row r="23" spans="2:35" ht="12.75">
      <c r="B23" s="32" t="s">
        <v>28</v>
      </c>
      <c r="C23" s="25">
        <v>290211.12191501004</v>
      </c>
      <c r="D23" s="25">
        <v>373160.4336638</v>
      </c>
      <c r="E23" s="25">
        <v>460438.41835964995</v>
      </c>
      <c r="F23" s="45">
        <v>342758.37220975</v>
      </c>
      <c r="G23" s="45">
        <v>394413.85292673</v>
      </c>
      <c r="H23" s="45">
        <v>459992.77583183994</v>
      </c>
      <c r="I23" s="45">
        <v>494617.12358871003</v>
      </c>
      <c r="J23" s="45">
        <v>499407.82883972</v>
      </c>
      <c r="K23" s="45">
        <v>565458.1896514299</v>
      </c>
      <c r="L23" s="45">
        <v>580999.84453987</v>
      </c>
      <c r="M23" s="45">
        <v>615932.36854479</v>
      </c>
      <c r="N23" s="45">
        <v>642787.33072724</v>
      </c>
      <c r="O23" s="45">
        <v>651107.04688391</v>
      </c>
      <c r="P23" s="45">
        <v>622128.80239502</v>
      </c>
      <c r="Q23" s="45">
        <v>513819.68559588003</v>
      </c>
      <c r="R23" s="45">
        <v>753598.10488258</v>
      </c>
      <c r="S23" s="45">
        <v>721444.6056434701</v>
      </c>
      <c r="T23" s="38">
        <f t="shared" si="3"/>
        <v>0.2858240276989872</v>
      </c>
      <c r="U23" s="38">
        <f t="shared" si="4"/>
        <v>0.23388863561693496</v>
      </c>
      <c r="V23" s="38">
        <f t="shared" si="5"/>
        <v>-0.2555825957554647</v>
      </c>
      <c r="W23" s="38">
        <f t="shared" si="6"/>
        <v>0.1507052340806707</v>
      </c>
      <c r="X23" s="38">
        <f t="shared" si="7"/>
        <v>0.16626931944323076</v>
      </c>
      <c r="Y23" s="38">
        <f t="shared" si="8"/>
        <v>0.07527150332797339</v>
      </c>
      <c r="Z23" s="38">
        <f t="shared" si="9"/>
        <v>0.009685684183860843</v>
      </c>
      <c r="AA23" s="38">
        <f t="shared" si="10"/>
        <v>0.13225735961161345</v>
      </c>
      <c r="AB23" s="38">
        <f t="shared" si="11"/>
        <v>0.027485064630544453</v>
      </c>
      <c r="AC23" s="38">
        <f t="shared" si="12"/>
        <v>0.060124842258064914</v>
      </c>
      <c r="AD23" s="38">
        <f t="shared" si="13"/>
        <v>0.04360050478577371</v>
      </c>
      <c r="AE23" s="38">
        <f t="shared" si="14"/>
        <v>0.012943186274777974</v>
      </c>
      <c r="AF23" s="38">
        <f t="shared" si="15"/>
        <v>-0.044506114052328294</v>
      </c>
      <c r="AG23" s="38">
        <f t="shared" si="16"/>
        <v>-0.17409436178196624</v>
      </c>
      <c r="AH23" s="38">
        <f t="shared" si="16"/>
        <v>0.4666586859330377</v>
      </c>
      <c r="AI23" s="38">
        <f t="shared" si="16"/>
        <v>-0.04266664025663902</v>
      </c>
    </row>
    <row r="24" spans="2:35" ht="12.75">
      <c r="B24" s="31" t="s">
        <v>29</v>
      </c>
      <c r="C24" s="45">
        <f aca="true" t="shared" si="22" ref="C24:O24">+C25+C26</f>
        <v>101583.62198383</v>
      </c>
      <c r="D24" s="45">
        <f t="shared" si="22"/>
        <v>136476.33102009998</v>
      </c>
      <c r="E24" s="45">
        <f t="shared" si="22"/>
        <v>153800.87990442</v>
      </c>
      <c r="F24" s="45">
        <f t="shared" si="22"/>
        <v>106061.70454395</v>
      </c>
      <c r="G24" s="45">
        <f t="shared" si="22"/>
        <v>132810.24748874</v>
      </c>
      <c r="H24" s="45">
        <f t="shared" si="22"/>
        <v>159395.32590176002</v>
      </c>
      <c r="I24" s="45">
        <f t="shared" si="22"/>
        <v>172189.42169080998</v>
      </c>
      <c r="J24" s="45">
        <f t="shared" si="22"/>
        <v>161692.64894469</v>
      </c>
      <c r="K24" s="45">
        <f t="shared" si="22"/>
        <v>178643.21459543</v>
      </c>
      <c r="L24" s="45">
        <f t="shared" si="22"/>
        <v>205106.15826846</v>
      </c>
      <c r="M24" s="45">
        <f t="shared" si="22"/>
        <v>235943.20112757</v>
      </c>
      <c r="N24" s="45">
        <f t="shared" si="22"/>
        <v>225957.73684435</v>
      </c>
      <c r="O24" s="45">
        <f t="shared" si="22"/>
        <v>205185.1591908</v>
      </c>
      <c r="P24" s="45">
        <f>+P25+P26</f>
        <v>182735.56196345997</v>
      </c>
      <c r="Q24" s="45">
        <f>+Q25+Q26</f>
        <v>118318.40509665</v>
      </c>
      <c r="R24" s="45">
        <f>+R25+R26</f>
        <v>189040.14722897997</v>
      </c>
      <c r="S24" s="45">
        <f>+S25+S26</f>
        <v>184797.54114929</v>
      </c>
      <c r="T24" s="38">
        <f t="shared" si="3"/>
        <v>0.3434875460713951</v>
      </c>
      <c r="U24" s="38">
        <f t="shared" si="4"/>
        <v>0.1269417836398934</v>
      </c>
      <c r="V24" s="38">
        <f t="shared" si="5"/>
        <v>-0.3103959833658796</v>
      </c>
      <c r="W24" s="38">
        <f t="shared" si="6"/>
        <v>0.25219793571869165</v>
      </c>
      <c r="X24" s="38">
        <f t="shared" si="7"/>
        <v>0.2001733971264077</v>
      </c>
      <c r="Y24" s="38">
        <f t="shared" si="8"/>
        <v>0.08026644267433114</v>
      </c>
      <c r="Z24" s="38">
        <f t="shared" si="9"/>
        <v>-0.06096061327721036</v>
      </c>
      <c r="AA24" s="38">
        <f t="shared" si="10"/>
        <v>0.10483201160578592</v>
      </c>
      <c r="AB24" s="38">
        <f t="shared" si="11"/>
        <v>0.14813293487222645</v>
      </c>
      <c r="AC24" s="38">
        <f t="shared" si="12"/>
        <v>0.150346742971744</v>
      </c>
      <c r="AD24" s="38">
        <f t="shared" si="13"/>
        <v>-0.04232147497999339</v>
      </c>
      <c r="AE24" s="38">
        <f t="shared" si="14"/>
        <v>-0.09193125202815733</v>
      </c>
      <c r="AF24" s="38">
        <f t="shared" si="15"/>
        <v>-0.10941140829032547</v>
      </c>
      <c r="AG24" s="38">
        <f t="shared" si="16"/>
        <v>-0.35251571273078686</v>
      </c>
      <c r="AH24" s="38">
        <f t="shared" si="16"/>
        <v>0.5977239303940916</v>
      </c>
      <c r="AI24" s="38">
        <f t="shared" si="16"/>
        <v>-0.022442883915822498</v>
      </c>
    </row>
    <row r="25" spans="2:35" ht="12.75">
      <c r="B25" s="32" t="s">
        <v>27</v>
      </c>
      <c r="C25" s="25">
        <v>15807.67806796</v>
      </c>
      <c r="D25" s="25">
        <v>18426.031619440004</v>
      </c>
      <c r="E25" s="25">
        <v>21312.602333529998</v>
      </c>
      <c r="F25" s="45">
        <v>22742.30779267</v>
      </c>
      <c r="G25" s="45">
        <v>22926.05698879</v>
      </c>
      <c r="H25" s="45">
        <v>24331.389069850004</v>
      </c>
      <c r="I25" s="45">
        <v>23647.29991142</v>
      </c>
      <c r="J25" s="45">
        <v>20164.41650761</v>
      </c>
      <c r="K25" s="45">
        <v>19397.13549667</v>
      </c>
      <c r="L25" s="45">
        <v>19827.354819780005</v>
      </c>
      <c r="M25" s="45">
        <v>20452.932024199996</v>
      </c>
      <c r="N25" s="45">
        <v>20585.65650425</v>
      </c>
      <c r="O25" s="45">
        <v>17820.766867110004</v>
      </c>
      <c r="P25" s="45">
        <v>9177.50804937</v>
      </c>
      <c r="Q25" s="45">
        <v>6999.344131</v>
      </c>
      <c r="R25" s="45">
        <v>9260.743846</v>
      </c>
      <c r="S25" s="45">
        <v>10476.727571000001</v>
      </c>
      <c r="T25" s="38">
        <f t="shared" si="3"/>
        <v>0.16563808677170933</v>
      </c>
      <c r="U25" s="38">
        <f t="shared" si="4"/>
        <v>0.1566572105002022</v>
      </c>
      <c r="V25" s="38">
        <f t="shared" si="5"/>
        <v>0.06708263199237385</v>
      </c>
      <c r="W25" s="38">
        <f t="shared" si="6"/>
        <v>0.008079619614471234</v>
      </c>
      <c r="X25" s="38">
        <f t="shared" si="7"/>
        <v>0.06129846409032136</v>
      </c>
      <c r="Y25" s="38">
        <f t="shared" si="8"/>
        <v>-0.028115499549414835</v>
      </c>
      <c r="Z25" s="38">
        <f t="shared" si="9"/>
        <v>-0.14728461248668856</v>
      </c>
      <c r="AA25" s="38">
        <f t="shared" si="10"/>
        <v>-0.03805123796418464</v>
      </c>
      <c r="AB25" s="38">
        <f t="shared" si="11"/>
        <v>0.022179528682668925</v>
      </c>
      <c r="AC25" s="38">
        <f t="shared" si="12"/>
        <v>0.031551218511301826</v>
      </c>
      <c r="AD25" s="38">
        <f t="shared" si="13"/>
        <v>0.006489264223484614</v>
      </c>
      <c r="AE25" s="38">
        <f t="shared" si="14"/>
        <v>-0.13431146276870853</v>
      </c>
      <c r="AF25" s="38">
        <f t="shared" si="15"/>
        <v>-0.4850104870454254</v>
      </c>
      <c r="AG25" s="38">
        <f t="shared" si="16"/>
        <v>-0.2373371841956078</v>
      </c>
      <c r="AH25" s="38">
        <f t="shared" si="16"/>
        <v>0.32308737399898524</v>
      </c>
      <c r="AI25" s="38">
        <f t="shared" si="16"/>
        <v>0.13130518943413194</v>
      </c>
    </row>
    <row r="26" spans="2:35" ht="12.75">
      <c r="B26" s="32" t="s">
        <v>28</v>
      </c>
      <c r="C26" s="25">
        <v>85775.94391587</v>
      </c>
      <c r="D26" s="25">
        <v>118050.29940065999</v>
      </c>
      <c r="E26" s="25">
        <v>132488.27757089</v>
      </c>
      <c r="F26" s="45">
        <v>83319.39675128</v>
      </c>
      <c r="G26" s="45">
        <v>109884.19049995</v>
      </c>
      <c r="H26" s="45">
        <v>135063.93683191002</v>
      </c>
      <c r="I26" s="45">
        <v>148542.12177938997</v>
      </c>
      <c r="J26" s="45">
        <v>141528.23243708</v>
      </c>
      <c r="K26" s="45">
        <v>159246.07909876</v>
      </c>
      <c r="L26" s="45">
        <v>185278.80344868</v>
      </c>
      <c r="M26" s="45">
        <v>215490.26910337</v>
      </c>
      <c r="N26" s="45">
        <v>205372.08034010002</v>
      </c>
      <c r="O26" s="45">
        <v>187364.39232369</v>
      </c>
      <c r="P26" s="45">
        <v>173558.05391408998</v>
      </c>
      <c r="Q26" s="45">
        <v>111319.06096565</v>
      </c>
      <c r="R26" s="45">
        <v>179779.40338297997</v>
      </c>
      <c r="S26" s="45">
        <v>174320.81357829</v>
      </c>
      <c r="T26" s="38">
        <f t="shared" si="3"/>
        <v>0.37626348380899244</v>
      </c>
      <c r="U26" s="38">
        <f t="shared" si="4"/>
        <v>0.1223036133201818</v>
      </c>
      <c r="V26" s="38">
        <f t="shared" si="5"/>
        <v>-0.371118726283549</v>
      </c>
      <c r="W26" s="38">
        <f t="shared" si="6"/>
        <v>0.31883084593098543</v>
      </c>
      <c r="X26" s="38">
        <f t="shared" si="7"/>
        <v>0.22914803501211112</v>
      </c>
      <c r="Y26" s="38">
        <f t="shared" si="8"/>
        <v>0.09979114531700528</v>
      </c>
      <c r="Z26" s="38">
        <f t="shared" si="9"/>
        <v>-0.04721818470269845</v>
      </c>
      <c r="AA26" s="38">
        <f t="shared" si="10"/>
        <v>0.12518948591799117</v>
      </c>
      <c r="AB26" s="38">
        <f t="shared" si="11"/>
        <v>0.16347482146656334</v>
      </c>
      <c r="AC26" s="38">
        <f t="shared" si="12"/>
        <v>0.16305948166951656</v>
      </c>
      <c r="AD26" s="38">
        <f t="shared" si="13"/>
        <v>-0.046954272252619944</v>
      </c>
      <c r="AE26" s="38">
        <f t="shared" si="14"/>
        <v>-0.08768323321548355</v>
      </c>
      <c r="AF26" s="38">
        <f t="shared" si="15"/>
        <v>-0.07368709837752008</v>
      </c>
      <c r="AG26" s="38">
        <f t="shared" si="16"/>
        <v>-0.35860619282610673</v>
      </c>
      <c r="AH26" s="38">
        <f t="shared" si="16"/>
        <v>0.6149920941073601</v>
      </c>
      <c r="AI26" s="38">
        <f t="shared" si="16"/>
        <v>-0.03036270953164566</v>
      </c>
    </row>
    <row r="27" spans="2:35" ht="12.75">
      <c r="B27" s="31" t="s">
        <v>32</v>
      </c>
      <c r="C27" s="25">
        <v>294793.4777686799</v>
      </c>
      <c r="D27" s="25">
        <v>357031.36583266</v>
      </c>
      <c r="E27" s="25">
        <v>389324.03341417003</v>
      </c>
      <c r="F27" s="45">
        <v>427288.21684255</v>
      </c>
      <c r="G27" s="45">
        <f>416790.6877058+33549.6</f>
        <v>450340.2877058</v>
      </c>
      <c r="H27" s="45">
        <v>470896.27680351</v>
      </c>
      <c r="I27" s="45">
        <v>519642.2854893799</v>
      </c>
      <c r="J27" s="45">
        <v>613472.68822992</v>
      </c>
      <c r="K27" s="45">
        <v>641602.55082417</v>
      </c>
      <c r="L27" s="45">
        <v>690117.6341365799</v>
      </c>
      <c r="M27" s="45">
        <v>716111.20854328</v>
      </c>
      <c r="N27" s="45">
        <v>750143.8718067501</v>
      </c>
      <c r="O27" s="45">
        <v>757695.8574178099</v>
      </c>
      <c r="P27" s="45">
        <v>824934.3827158501</v>
      </c>
      <c r="Q27" s="45">
        <v>649491.6948260099</v>
      </c>
      <c r="R27" s="45">
        <v>847033.6352780499</v>
      </c>
      <c r="S27" s="45">
        <v>890892.49831392</v>
      </c>
      <c r="T27" s="38">
        <f t="shared" si="3"/>
        <v>0.21112369423864008</v>
      </c>
      <c r="U27" s="38">
        <f t="shared" si="4"/>
        <v>0.09044770480094333</v>
      </c>
      <c r="V27" s="38">
        <f t="shared" si="5"/>
        <v>0.09751307438036583</v>
      </c>
      <c r="W27" s="38">
        <f t="shared" si="6"/>
        <v>0.05394969941739425</v>
      </c>
      <c r="X27" s="38">
        <f t="shared" si="7"/>
        <v>0.045645458909372216</v>
      </c>
      <c r="Y27" s="38">
        <f t="shared" si="8"/>
        <v>0.10351750711804852</v>
      </c>
      <c r="Z27" s="38">
        <f t="shared" si="9"/>
        <v>0.18056729669752358</v>
      </c>
      <c r="AA27" s="38">
        <f t="shared" si="10"/>
        <v>0.045853488075262794</v>
      </c>
      <c r="AB27" s="38">
        <f t="shared" si="11"/>
        <v>0.07561547760383736</v>
      </c>
      <c r="AC27" s="38">
        <f t="shared" si="12"/>
        <v>0.037665425604174185</v>
      </c>
      <c r="AD27" s="38">
        <f t="shared" si="13"/>
        <v>0.047524271171093035</v>
      </c>
      <c r="AE27" s="38">
        <f t="shared" si="14"/>
        <v>0.010067382931317592</v>
      </c>
      <c r="AF27" s="38">
        <f t="shared" si="15"/>
        <v>0.08874078515776218</v>
      </c>
      <c r="AG27" s="38">
        <f t="shared" si="16"/>
        <v>-0.21267471882096556</v>
      </c>
      <c r="AH27" s="38">
        <f t="shared" si="16"/>
        <v>0.3041485241854536</v>
      </c>
      <c r="AI27" s="38">
        <f t="shared" si="16"/>
        <v>0.05177936413525397</v>
      </c>
    </row>
    <row r="28" spans="2:35" ht="12.75">
      <c r="B28" s="31" t="s">
        <v>137</v>
      </c>
      <c r="C28" s="25"/>
      <c r="D28" s="25"/>
      <c r="E28" s="25"/>
      <c r="F28" s="45"/>
      <c r="G28" s="45"/>
      <c r="H28" s="45"/>
      <c r="I28" s="45"/>
      <c r="J28" s="45"/>
      <c r="K28" s="45"/>
      <c r="L28" s="45"/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14121.391179709997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2:35" ht="12.75">
      <c r="B29" s="31" t="s">
        <v>138</v>
      </c>
      <c r="C29" s="25"/>
      <c r="D29" s="25"/>
      <c r="E29" s="25"/>
      <c r="F29" s="45"/>
      <c r="G29" s="45"/>
      <c r="H29" s="45"/>
      <c r="I29" s="45"/>
      <c r="J29" s="45"/>
      <c r="K29" s="45"/>
      <c r="L29" s="45"/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219144.92688371002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2:35" ht="12.75">
      <c r="B30" s="30" t="s">
        <v>33</v>
      </c>
      <c r="C30" s="25">
        <v>29718.5146078</v>
      </c>
      <c r="D30" s="25">
        <v>34567.52656428</v>
      </c>
      <c r="E30" s="25">
        <v>39624.27822486</v>
      </c>
      <c r="F30" s="45">
        <v>49033.642660339996</v>
      </c>
      <c r="G30" s="45">
        <v>55475.534045889995</v>
      </c>
      <c r="H30" s="45">
        <v>60524.10649965</v>
      </c>
      <c r="I30" s="45">
        <v>66914.79861355</v>
      </c>
      <c r="J30" s="45">
        <v>51460.52826889</v>
      </c>
      <c r="K30" s="45">
        <v>54882.18879504</v>
      </c>
      <c r="L30" s="45">
        <v>58206.483341900006</v>
      </c>
      <c r="M30" s="45">
        <v>86247.65361118001</v>
      </c>
      <c r="N30" s="45">
        <v>64500.987864220006</v>
      </c>
      <c r="O30" s="45">
        <v>69769.37554475</v>
      </c>
      <c r="P30" s="45">
        <v>70495.42154891</v>
      </c>
      <c r="Q30" s="45">
        <v>71363.14134113</v>
      </c>
      <c r="R30" s="45">
        <v>429061.49760423</v>
      </c>
      <c r="S30" s="45">
        <v>470281.07953615</v>
      </c>
      <c r="T30" s="38">
        <f t="shared" si="3"/>
        <v>0.16316468102370485</v>
      </c>
      <c r="U30" s="38">
        <f t="shared" si="4"/>
        <v>0.1462861871582486</v>
      </c>
      <c r="V30" s="38">
        <f t="shared" si="5"/>
        <v>0.23746462666357493</v>
      </c>
      <c r="W30" s="38">
        <f t="shared" si="6"/>
        <v>0.13137696968943358</v>
      </c>
      <c r="X30" s="38">
        <f t="shared" si="7"/>
        <v>0.09100538716010864</v>
      </c>
      <c r="Y30" s="38">
        <f t="shared" si="8"/>
        <v>0.10558920211299538</v>
      </c>
      <c r="Z30" s="38">
        <f t="shared" si="9"/>
        <v>-0.23095444751933492</v>
      </c>
      <c r="AA30" s="38">
        <f t="shared" si="10"/>
        <v>0.06649097164862439</v>
      </c>
      <c r="AB30" s="38">
        <f t="shared" si="11"/>
        <v>0.06057146443766559</v>
      </c>
      <c r="AC30" s="38">
        <f t="shared" si="12"/>
        <v>0.4817533831165941</v>
      </c>
      <c r="AD30" s="38">
        <f t="shared" si="13"/>
        <v>-0.2521421144394014</v>
      </c>
      <c r="AE30" s="38">
        <f t="shared" si="14"/>
        <v>0.08167917817972636</v>
      </c>
      <c r="AF30" s="38">
        <f t="shared" si="15"/>
        <v>0.010406370968510714</v>
      </c>
      <c r="AG30" s="38">
        <f t="shared" si="16"/>
        <v>0.01230888152953269</v>
      </c>
      <c r="AH30" s="38">
        <f t="shared" si="16"/>
        <v>5.012368423542775</v>
      </c>
      <c r="AI30" s="38">
        <f t="shared" si="16"/>
        <v>0.09606916994901571</v>
      </c>
    </row>
    <row r="31" spans="2:35" ht="12.75">
      <c r="B31" s="30" t="s">
        <v>12</v>
      </c>
      <c r="C31" s="25">
        <v>9240.509536560001</v>
      </c>
      <c r="D31" s="25">
        <v>15835.853009150002</v>
      </c>
      <c r="E31" s="25">
        <v>9474.22991754</v>
      </c>
      <c r="F31" s="45">
        <v>11049.619521480003</v>
      </c>
      <c r="G31" s="45">
        <v>20215.425734700002</v>
      </c>
      <c r="H31" s="45">
        <v>17510.90628029</v>
      </c>
      <c r="I31" s="45">
        <v>17084.08124394</v>
      </c>
      <c r="J31" s="45">
        <v>13943.60210017</v>
      </c>
      <c r="K31" s="45">
        <v>18812.125377599998</v>
      </c>
      <c r="L31" s="45">
        <v>29058.91747485</v>
      </c>
      <c r="M31" s="45">
        <v>36138.78098826</v>
      </c>
      <c r="N31" s="45">
        <v>68327.86605255</v>
      </c>
      <c r="O31" s="45">
        <v>50839.76544422999</v>
      </c>
      <c r="P31" s="45">
        <v>73393.73708663999</v>
      </c>
      <c r="Q31" s="45">
        <v>48653.30516277</v>
      </c>
      <c r="R31" s="45">
        <v>130107.62115459</v>
      </c>
      <c r="S31" s="45">
        <v>281905.40841173</v>
      </c>
      <c r="T31" s="38">
        <f t="shared" si="3"/>
        <v>0.7137424020283274</v>
      </c>
      <c r="U31" s="38">
        <f t="shared" si="4"/>
        <v>-0.40172279244662334</v>
      </c>
      <c r="V31" s="38">
        <f t="shared" si="5"/>
        <v>0.1662815466430072</v>
      </c>
      <c r="W31" s="38">
        <f t="shared" si="6"/>
        <v>0.8295132873491302</v>
      </c>
      <c r="X31" s="38">
        <f t="shared" si="7"/>
        <v>-0.13378493680534587</v>
      </c>
      <c r="Y31" s="38">
        <f t="shared" si="8"/>
        <v>-0.024374811304337163</v>
      </c>
      <c r="Z31" s="38">
        <f t="shared" si="9"/>
        <v>-0.18382487761137167</v>
      </c>
      <c r="AA31" s="38">
        <f t="shared" si="10"/>
        <v>0.34915821912120126</v>
      </c>
      <c r="AB31" s="38">
        <f t="shared" si="11"/>
        <v>0.5446908252828826</v>
      </c>
      <c r="AC31" s="38">
        <f t="shared" si="12"/>
        <v>0.24363824012155644</v>
      </c>
      <c r="AD31" s="38">
        <f t="shared" si="13"/>
        <v>0.8907075497302168</v>
      </c>
      <c r="AE31" s="38">
        <f t="shared" si="14"/>
        <v>-0.25594390134868483</v>
      </c>
      <c r="AF31" s="38">
        <f t="shared" si="15"/>
        <v>0.4436285542495504</v>
      </c>
      <c r="AG31" s="38">
        <f t="shared" si="16"/>
        <v>-0.33709186786148193</v>
      </c>
      <c r="AH31" s="38">
        <f t="shared" si="16"/>
        <v>1.6741784698760749</v>
      </c>
      <c r="AI31" s="38">
        <f t="shared" si="16"/>
        <v>1.1667094203250277</v>
      </c>
    </row>
    <row r="32" spans="2:35" ht="12.75">
      <c r="B32" s="30" t="s">
        <v>34</v>
      </c>
      <c r="C32" s="25">
        <v>14871.68054442</v>
      </c>
      <c r="D32" s="25">
        <v>17808.234370010003</v>
      </c>
      <c r="E32" s="25">
        <v>24548.522614210007</v>
      </c>
      <c r="F32" s="45">
        <v>24577.750619109996</v>
      </c>
      <c r="G32" s="45">
        <v>143386.81033059</v>
      </c>
      <c r="H32" s="45">
        <v>148940.77213465</v>
      </c>
      <c r="I32" s="45">
        <v>144842.24998365997</v>
      </c>
      <c r="J32" s="45">
        <v>160214.34351499</v>
      </c>
      <c r="K32" s="45">
        <v>168867.66692295</v>
      </c>
      <c r="L32" s="45">
        <v>179786.45818244998</v>
      </c>
      <c r="M32" s="45">
        <v>180467.19204754</v>
      </c>
      <c r="N32" s="45">
        <v>184394.55054967</v>
      </c>
      <c r="O32" s="45">
        <v>197639.66017528</v>
      </c>
      <c r="P32" s="45">
        <v>192517.80859908</v>
      </c>
      <c r="Q32" s="45">
        <v>202414.83520715998</v>
      </c>
      <c r="R32" s="45">
        <v>123515.97743053998</v>
      </c>
      <c r="S32" s="45">
        <v>214950.19001604</v>
      </c>
      <c r="T32" s="38">
        <f t="shared" si="3"/>
        <v>0.197459447627244</v>
      </c>
      <c r="U32" s="38">
        <f t="shared" si="4"/>
        <v>0.3784927862107994</v>
      </c>
      <c r="V32" s="38">
        <f t="shared" si="5"/>
        <v>0.001190621747765297</v>
      </c>
      <c r="W32" s="38">
        <f t="shared" si="6"/>
        <v>4.834008675273242</v>
      </c>
      <c r="X32" s="38">
        <f t="shared" si="7"/>
        <v>0.038734119207023854</v>
      </c>
      <c r="Y32" s="38">
        <f t="shared" si="8"/>
        <v>-0.0275177984661229</v>
      </c>
      <c r="Z32" s="38">
        <f t="shared" si="9"/>
        <v>0.10612990017114621</v>
      </c>
      <c r="AA32" s="38">
        <f t="shared" si="10"/>
        <v>0.05401091574020267</v>
      </c>
      <c r="AB32" s="38">
        <f t="shared" si="11"/>
        <v>0.06465886251914599</v>
      </c>
      <c r="AC32" s="38">
        <f t="shared" si="12"/>
        <v>0.0037863467136063367</v>
      </c>
      <c r="AD32" s="38">
        <f t="shared" si="13"/>
        <v>0.021762174374029275</v>
      </c>
      <c r="AE32" s="38">
        <f t="shared" si="14"/>
        <v>0.07183026605790177</v>
      </c>
      <c r="AF32" s="38">
        <f t="shared" si="15"/>
        <v>-0.025915100095080246</v>
      </c>
      <c r="AG32" s="38">
        <f t="shared" si="16"/>
        <v>0.0514083693352787</v>
      </c>
      <c r="AH32" s="38">
        <f t="shared" si="16"/>
        <v>-0.3897879209094114</v>
      </c>
      <c r="AI32" s="38">
        <f t="shared" si="16"/>
        <v>0.7402622275075195</v>
      </c>
    </row>
    <row r="33" spans="2:35" ht="12.75">
      <c r="B33" s="12"/>
      <c r="C33" s="6"/>
      <c r="D33" s="6"/>
      <c r="E33" s="6"/>
      <c r="F33" s="4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2:35" ht="15">
      <c r="B34" s="18" t="s">
        <v>11</v>
      </c>
      <c r="C34" s="5">
        <v>480.9434168</v>
      </c>
      <c r="D34" s="5">
        <v>209</v>
      </c>
      <c r="E34" s="5">
        <v>311.8</v>
      </c>
      <c r="F34" s="55">
        <v>1481.74</v>
      </c>
      <c r="G34" s="5">
        <v>1289.4</v>
      </c>
      <c r="H34" s="5">
        <v>295.34671997000004</v>
      </c>
      <c r="I34" s="5">
        <v>3933.25</v>
      </c>
      <c r="J34" s="5">
        <v>292.18289667</v>
      </c>
      <c r="K34" s="5">
        <v>1401.23285814</v>
      </c>
      <c r="L34" s="5">
        <v>968.1669165499998</v>
      </c>
      <c r="M34" s="5">
        <v>4479.48739799</v>
      </c>
      <c r="N34" s="5">
        <v>6813.930046830001</v>
      </c>
      <c r="O34" s="5">
        <v>1470.1682214900002</v>
      </c>
      <c r="P34" s="5">
        <v>100375.675</v>
      </c>
      <c r="Q34" s="5">
        <v>75000</v>
      </c>
      <c r="R34" s="5">
        <v>6534.948945</v>
      </c>
      <c r="S34" s="5">
        <v>7610.13509</v>
      </c>
      <c r="T34" s="40">
        <f t="shared" si="3"/>
        <v>-0.5654374450312676</v>
      </c>
      <c r="U34" s="40">
        <f aca="true" t="shared" si="23" ref="U34:AI34">+E34/D34-1</f>
        <v>0.491866028708134</v>
      </c>
      <c r="V34" s="40">
        <f t="shared" si="23"/>
        <v>3.7522129570237333</v>
      </c>
      <c r="W34" s="40">
        <f t="shared" si="23"/>
        <v>-0.1298068487049009</v>
      </c>
      <c r="X34" s="40">
        <f t="shared" si="23"/>
        <v>-0.7709425159221344</v>
      </c>
      <c r="Y34" s="40">
        <f t="shared" si="23"/>
        <v>12.317398616783425</v>
      </c>
      <c r="Z34" s="40">
        <f t="shared" si="23"/>
        <v>-0.9257146388686202</v>
      </c>
      <c r="AA34" s="40">
        <f t="shared" si="23"/>
        <v>3.7957388132906145</v>
      </c>
      <c r="AB34" s="40">
        <f t="shared" si="23"/>
        <v>-0.30906065260620064</v>
      </c>
      <c r="AC34" s="40">
        <f t="shared" si="23"/>
        <v>3.626771811158725</v>
      </c>
      <c r="AD34" s="40">
        <f t="shared" si="23"/>
        <v>0.5211405773543403</v>
      </c>
      <c r="AE34" s="40">
        <f t="shared" si="23"/>
        <v>-0.7842407815480941</v>
      </c>
      <c r="AF34" s="40">
        <f t="shared" si="23"/>
        <v>67.27495896916497</v>
      </c>
      <c r="AG34" s="40">
        <f t="shared" si="23"/>
        <v>-0.25280701723799115</v>
      </c>
      <c r="AH34" s="40">
        <f t="shared" si="23"/>
        <v>-0.9128673474</v>
      </c>
      <c r="AI34" s="40">
        <f t="shared" si="23"/>
        <v>0.1645286220365414</v>
      </c>
    </row>
    <row r="35" spans="2:35" ht="12.75">
      <c r="B35" s="1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2"/>
      <c r="N35" s="12"/>
      <c r="O35" s="12"/>
      <c r="P35" s="12"/>
      <c r="Q35" s="12"/>
      <c r="R35" s="12"/>
      <c r="S35" s="12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8" ht="12.75">
      <c r="A36" s="19">
        <v>2</v>
      </c>
      <c r="B36" s="74" t="s">
        <v>55</v>
      </c>
      <c r="C36" s="27">
        <f>+C40+C56</f>
        <v>1518620.81</v>
      </c>
      <c r="D36" s="27">
        <f aca="true" t="shared" si="24" ref="D36:J36">+D40+D56</f>
        <v>1785579.0000000002</v>
      </c>
      <c r="E36" s="46">
        <f t="shared" si="24"/>
        <v>2078995.3069308</v>
      </c>
      <c r="F36" s="27">
        <f t="shared" si="24"/>
        <v>2527642.87349714</v>
      </c>
      <c r="G36" s="27">
        <f t="shared" si="24"/>
        <v>3127593.4175918</v>
      </c>
      <c r="H36" s="27">
        <f t="shared" si="24"/>
        <v>3362551.3162389696</v>
      </c>
      <c r="I36" s="27">
        <f t="shared" si="24"/>
        <v>3716163.74422877</v>
      </c>
      <c r="J36" s="27">
        <f t="shared" si="24"/>
        <v>4173148.198994159</v>
      </c>
      <c r="K36" s="27">
        <f aca="true" t="shared" si="25" ref="K36:Q36">+K40+K56+K65</f>
        <v>4613877.589017904</v>
      </c>
      <c r="L36" s="27">
        <f t="shared" si="25"/>
        <v>5003474.61897492</v>
      </c>
      <c r="M36" s="27">
        <f t="shared" si="25"/>
        <v>5229162.52276001</v>
      </c>
      <c r="N36" s="27">
        <f t="shared" si="25"/>
        <v>5740312.8143082</v>
      </c>
      <c r="O36" s="27">
        <f t="shared" si="25"/>
        <v>6081993.188811901</v>
      </c>
      <c r="P36" s="27">
        <f t="shared" si="25"/>
        <v>6802063.499272539</v>
      </c>
      <c r="Q36" s="27">
        <f t="shared" si="25"/>
        <v>6802045.136359381</v>
      </c>
      <c r="R36" s="27">
        <f>+R40+R56+R65</f>
        <v>7189836.625098701</v>
      </c>
      <c r="S36" s="27">
        <f>+S40+S56+S65</f>
        <v>7392693.05488858</v>
      </c>
      <c r="T36" s="52">
        <f t="shared" si="3"/>
        <v>0.17578989319921168</v>
      </c>
      <c r="U36" s="52">
        <f aca="true" t="shared" si="26" ref="U36:AI36">+E36/D36-1</f>
        <v>0.16432558118727858</v>
      </c>
      <c r="V36" s="52">
        <f t="shared" si="26"/>
        <v>0.2158001824586484</v>
      </c>
      <c r="W36" s="52">
        <f t="shared" si="26"/>
        <v>0.23735573976263247</v>
      </c>
      <c r="X36" s="52">
        <f t="shared" si="26"/>
        <v>0.07512418248663644</v>
      </c>
      <c r="Y36" s="52">
        <f t="shared" si="26"/>
        <v>0.10516194244592758</v>
      </c>
      <c r="Z36" s="52">
        <f t="shared" si="26"/>
        <v>0.12297209870665404</v>
      </c>
      <c r="AA36" s="52">
        <f t="shared" si="26"/>
        <v>0.1056107688986394</v>
      </c>
      <c r="AB36" s="52">
        <f t="shared" si="26"/>
        <v>0.08444026145911354</v>
      </c>
      <c r="AC36" s="52">
        <f t="shared" si="26"/>
        <v>0.045106235360763636</v>
      </c>
      <c r="AD36" s="52">
        <f t="shared" si="26"/>
        <v>0.09774993401398402</v>
      </c>
      <c r="AE36" s="52">
        <f t="shared" si="26"/>
        <v>0.05952295381046735</v>
      </c>
      <c r="AF36" s="52">
        <f t="shared" si="26"/>
        <v>0.11839380415375</v>
      </c>
      <c r="AG36" s="52">
        <f t="shared" si="26"/>
        <v>-2.6996091937459E-06</v>
      </c>
      <c r="AH36" s="52">
        <f t="shared" si="26"/>
        <v>0.057011013741504746</v>
      </c>
      <c r="AI36" s="52">
        <f t="shared" si="26"/>
        <v>0.02821433091841552</v>
      </c>
      <c r="AJ36" s="57"/>
      <c r="AL36" s="57"/>
    </row>
    <row r="37" spans="1:35" ht="12.75">
      <c r="A37" s="19"/>
      <c r="B37" s="20"/>
      <c r="C37" s="33"/>
      <c r="D37" s="33"/>
      <c r="E37" s="4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2.75">
      <c r="A38" s="19">
        <v>3</v>
      </c>
      <c r="B38" s="3" t="s">
        <v>16</v>
      </c>
      <c r="C38" s="33">
        <f>+C36-C46</f>
        <v>1095659.61</v>
      </c>
      <c r="D38" s="33">
        <f aca="true" t="shared" si="27" ref="D38:O38">+D36-D46</f>
        <v>1376941.3000000003</v>
      </c>
      <c r="E38" s="53">
        <f t="shared" si="27"/>
        <v>1750435.3069308</v>
      </c>
      <c r="F38" s="33">
        <f t="shared" si="27"/>
        <v>2190972.97349714</v>
      </c>
      <c r="G38" s="33">
        <f t="shared" si="27"/>
        <v>2750538.99576643</v>
      </c>
      <c r="H38" s="33">
        <f t="shared" si="27"/>
        <v>2958735.6668984494</v>
      </c>
      <c r="I38" s="33">
        <f t="shared" si="27"/>
        <v>3292674.68451805</v>
      </c>
      <c r="J38" s="33">
        <f t="shared" si="27"/>
        <v>3635844.564274499</v>
      </c>
      <c r="K38" s="33">
        <f t="shared" si="27"/>
        <v>4023244.8601329043</v>
      </c>
      <c r="L38" s="33">
        <f t="shared" si="27"/>
        <v>4317724.4793792</v>
      </c>
      <c r="M38" s="33">
        <f t="shared" si="27"/>
        <v>4485114.69842597</v>
      </c>
      <c r="N38" s="33">
        <f t="shared" si="27"/>
        <v>4821148.74590619</v>
      </c>
      <c r="O38" s="33">
        <f t="shared" si="27"/>
        <v>4961582.141941121</v>
      </c>
      <c r="P38" s="33">
        <f>+P36-P46</f>
        <v>5429180.746541209</v>
      </c>
      <c r="Q38" s="33">
        <f>+Q36-Q46</f>
        <v>5263285.47532648</v>
      </c>
      <c r="R38" s="33">
        <f>+R36-R46</f>
        <v>5464487.192744191</v>
      </c>
      <c r="S38" s="33">
        <f>+S36-S46</f>
        <v>5505724.89962668</v>
      </c>
      <c r="T38" s="37">
        <f t="shared" si="3"/>
        <v>0.2567236096254384</v>
      </c>
      <c r="U38" s="37">
        <f aca="true" t="shared" si="28" ref="U38:AI38">+E38/D38-1</f>
        <v>0.27124904084930823</v>
      </c>
      <c r="V38" s="37">
        <f t="shared" si="28"/>
        <v>0.25167320655727377</v>
      </c>
      <c r="W38" s="37">
        <f t="shared" si="28"/>
        <v>0.2553961317816411</v>
      </c>
      <c r="X38" s="37">
        <f t="shared" si="28"/>
        <v>0.07569304469141169</v>
      </c>
      <c r="Y38" s="37">
        <f t="shared" si="28"/>
        <v>0.11286544497895568</v>
      </c>
      <c r="Z38" s="37">
        <f t="shared" si="28"/>
        <v>0.10422222437279105</v>
      </c>
      <c r="AA38" s="37">
        <f t="shared" si="28"/>
        <v>0.10655029086363244</v>
      </c>
      <c r="AB38" s="37">
        <f t="shared" si="28"/>
        <v>0.07319455551024268</v>
      </c>
      <c r="AC38" s="37">
        <f t="shared" si="28"/>
        <v>0.03876815666358513</v>
      </c>
      <c r="AD38" s="37">
        <f t="shared" si="28"/>
        <v>0.07492206333054297</v>
      </c>
      <c r="AE38" s="37">
        <f t="shared" si="28"/>
        <v>0.02912861714838777</v>
      </c>
      <c r="AF38" s="37">
        <f t="shared" si="28"/>
        <v>0.09424385029271098</v>
      </c>
      <c r="AG38" s="37">
        <f t="shared" si="28"/>
        <v>-0.03055622550794901</v>
      </c>
      <c r="AH38" s="37">
        <f t="shared" si="28"/>
        <v>0.03822739966526889</v>
      </c>
      <c r="AI38" s="37">
        <f t="shared" si="28"/>
        <v>0.007546491633697139</v>
      </c>
    </row>
    <row r="39" spans="2:35" ht="9" customHeight="1">
      <c r="B39" s="12"/>
      <c r="C39" s="25"/>
      <c r="D39" s="25"/>
      <c r="E39" s="4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2:35" ht="12.75">
      <c r="B40" s="20" t="s">
        <v>1</v>
      </c>
      <c r="C40" s="26">
        <f>+C43+C44+C45+C46+C50</f>
        <v>1440477.11</v>
      </c>
      <c r="D40" s="26">
        <f aca="true" t="shared" si="29" ref="D40:O40">+D43+D44+D45+D46+D50</f>
        <v>1647618.5000000002</v>
      </c>
      <c r="E40" s="49">
        <f t="shared" si="29"/>
        <v>1860440.6069308</v>
      </c>
      <c r="F40" s="26">
        <f t="shared" si="29"/>
        <v>2281476.97349714</v>
      </c>
      <c r="G40" s="26">
        <f t="shared" si="29"/>
        <v>2839864.4341989</v>
      </c>
      <c r="H40" s="26">
        <f t="shared" si="29"/>
        <v>3119579.0176944295</v>
      </c>
      <c r="I40" s="26">
        <f t="shared" si="29"/>
        <v>3434416.83948048</v>
      </c>
      <c r="J40" s="26">
        <f t="shared" si="29"/>
        <v>3884053.7192292293</v>
      </c>
      <c r="K40" s="26">
        <f t="shared" si="29"/>
        <v>4244158.193025215</v>
      </c>
      <c r="L40" s="26">
        <f t="shared" si="29"/>
        <v>4604528.12184751</v>
      </c>
      <c r="M40" s="26">
        <f t="shared" si="29"/>
        <v>4868778.05578937</v>
      </c>
      <c r="N40" s="26">
        <f t="shared" si="29"/>
        <v>5304640.00212414</v>
      </c>
      <c r="O40" s="26">
        <f t="shared" si="29"/>
        <v>5706224.03384703</v>
      </c>
      <c r="P40" s="26">
        <f>+P43+P44+P45+P46+P50</f>
        <v>6210983.673113169</v>
      </c>
      <c r="Q40" s="26">
        <f>+Q43+Q44+Q45+Q46+Q50</f>
        <v>6431137.67950277</v>
      </c>
      <c r="R40" s="26">
        <f>+R43+R44+R45+R46+R50</f>
        <v>6704550.626282901</v>
      </c>
      <c r="S40" s="26">
        <f>+S43+S44+S45+S46+S50</f>
        <v>6915950.30808444</v>
      </c>
      <c r="T40" s="37">
        <f t="shared" si="3"/>
        <v>0.1438005425855049</v>
      </c>
      <c r="U40" s="37">
        <f aca="true" t="shared" si="30" ref="U40:AI40">+E40/D40-1</f>
        <v>0.12916952979758345</v>
      </c>
      <c r="V40" s="37">
        <f t="shared" si="30"/>
        <v>0.22631002838673298</v>
      </c>
      <c r="W40" s="37">
        <f t="shared" si="30"/>
        <v>0.24474823423084602</v>
      </c>
      <c r="X40" s="37">
        <f t="shared" si="30"/>
        <v>0.09849575216587203</v>
      </c>
      <c r="Y40" s="37">
        <f t="shared" si="30"/>
        <v>0.10092317585170063</v>
      </c>
      <c r="Z40" s="37">
        <f t="shared" si="30"/>
        <v>0.13092088140843305</v>
      </c>
      <c r="AA40" s="37">
        <f t="shared" si="30"/>
        <v>0.092713566759691</v>
      </c>
      <c r="AB40" s="37">
        <f t="shared" si="30"/>
        <v>0.08490963635957827</v>
      </c>
      <c r="AC40" s="37">
        <f t="shared" si="30"/>
        <v>0.05738914541276219</v>
      </c>
      <c r="AD40" s="37">
        <f t="shared" si="30"/>
        <v>0.08952183511764211</v>
      </c>
      <c r="AE40" s="37">
        <f t="shared" si="30"/>
        <v>0.07570429502512588</v>
      </c>
      <c r="AF40" s="37">
        <f t="shared" si="30"/>
        <v>0.08845773251665334</v>
      </c>
      <c r="AG40" s="37">
        <f t="shared" si="30"/>
        <v>0.03544591613444892</v>
      </c>
      <c r="AH40" s="37">
        <f t="shared" si="30"/>
        <v>0.04251393150103877</v>
      </c>
      <c r="AI40" s="37">
        <f t="shared" si="30"/>
        <v>0.031530775675377765</v>
      </c>
    </row>
    <row r="41" spans="2:35" ht="12.75">
      <c r="B41" s="12"/>
      <c r="C41" s="58"/>
      <c r="D41" s="25"/>
      <c r="E41" s="47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2:35" ht="12.75">
      <c r="B42" s="42" t="s">
        <v>41</v>
      </c>
      <c r="C42" s="5">
        <f>SUM(C43:C44)</f>
        <v>548781.51</v>
      </c>
      <c r="D42" s="5">
        <f aca="true" t="shared" si="31" ref="D42:O42">SUM(D43:D44)</f>
        <v>619246.3</v>
      </c>
      <c r="E42" s="50">
        <f t="shared" si="31"/>
        <v>732948</v>
      </c>
      <c r="F42" s="5">
        <f t="shared" si="31"/>
        <v>959114</v>
      </c>
      <c r="G42" s="5">
        <f t="shared" si="31"/>
        <v>1160531.07929534</v>
      </c>
      <c r="H42" s="5">
        <f t="shared" si="31"/>
        <v>1302637.69540955</v>
      </c>
      <c r="I42" s="5">
        <f t="shared" si="31"/>
        <v>1415066.69426104</v>
      </c>
      <c r="J42" s="5">
        <f t="shared" si="31"/>
        <v>1565741.3797589699</v>
      </c>
      <c r="K42" s="5">
        <f t="shared" si="31"/>
        <v>1696267.59712416</v>
      </c>
      <c r="L42" s="5">
        <f t="shared" si="31"/>
        <v>1812970.3186596697</v>
      </c>
      <c r="M42" s="5">
        <f t="shared" si="31"/>
        <v>1866303.80950227</v>
      </c>
      <c r="N42" s="5">
        <f t="shared" si="31"/>
        <v>1961986.5729491701</v>
      </c>
      <c r="O42" s="5">
        <f t="shared" si="31"/>
        <v>2054597.9793067302</v>
      </c>
      <c r="P42" s="5">
        <f>SUM(P43:P44)</f>
        <v>2128250.7911696797</v>
      </c>
      <c r="Q42" s="5">
        <f>SUM(Q43:Q44)</f>
        <v>2137982.4776024604</v>
      </c>
      <c r="R42" s="5">
        <f>SUM(R43:R44)</f>
        <v>2244999.1391666103</v>
      </c>
      <c r="S42" s="5">
        <f>SUM(S43:S44)</f>
        <v>2254858.85558453</v>
      </c>
      <c r="T42" s="40">
        <f t="shared" si="3"/>
        <v>0.12840226705159963</v>
      </c>
      <c r="U42" s="40">
        <f aca="true" t="shared" si="32" ref="U42:AI48">+E42/D42-1</f>
        <v>0.18361304702183912</v>
      </c>
      <c r="V42" s="40">
        <f t="shared" si="32"/>
        <v>0.30857032149620434</v>
      </c>
      <c r="W42" s="40">
        <f t="shared" si="32"/>
        <v>0.21000327312012956</v>
      </c>
      <c r="X42" s="40">
        <f t="shared" si="32"/>
        <v>0.12244964279672321</v>
      </c>
      <c r="Y42" s="40">
        <f t="shared" si="32"/>
        <v>0.08630872517176935</v>
      </c>
      <c r="Z42" s="40">
        <f t="shared" si="32"/>
        <v>0.10647885792875189</v>
      </c>
      <c r="AA42" s="40">
        <f t="shared" si="32"/>
        <v>0.0833638422363745</v>
      </c>
      <c r="AB42" s="40">
        <f t="shared" si="32"/>
        <v>0.06879971163356924</v>
      </c>
      <c r="AC42" s="40">
        <f t="shared" si="32"/>
        <v>0.029417740761486844</v>
      </c>
      <c r="AD42" s="40">
        <f t="shared" si="32"/>
        <v>0.05126858926169042</v>
      </c>
      <c r="AE42" s="40">
        <f t="shared" si="32"/>
        <v>0.04720287469569717</v>
      </c>
      <c r="AF42" s="40">
        <f t="shared" si="32"/>
        <v>0.03584779728431431</v>
      </c>
      <c r="AG42" s="40">
        <f t="shared" si="32"/>
        <v>0.00457262202046782</v>
      </c>
      <c r="AH42" s="40">
        <f t="shared" si="32"/>
        <v>0.05005497598098119</v>
      </c>
      <c r="AI42" s="40">
        <f t="shared" si="32"/>
        <v>0.004391857549477685</v>
      </c>
    </row>
    <row r="43" spans="2:35" ht="12.75">
      <c r="B43" s="34" t="s">
        <v>2</v>
      </c>
      <c r="C43" s="6">
        <v>456537.31</v>
      </c>
      <c r="D43" s="6">
        <v>516093.7</v>
      </c>
      <c r="E43" s="51">
        <v>612814.1</v>
      </c>
      <c r="F43" s="35">
        <v>797684.8</v>
      </c>
      <c r="G43" s="35">
        <v>965697.3452945501</v>
      </c>
      <c r="H43" s="35">
        <v>1080697.7528974002</v>
      </c>
      <c r="I43" s="35">
        <v>1176594.9338194001</v>
      </c>
      <c r="J43" s="35">
        <v>1299235.5027307398</v>
      </c>
      <c r="K43" s="35">
        <v>1404432.27826018</v>
      </c>
      <c r="L43" s="35">
        <v>1496812.2958818998</v>
      </c>
      <c r="M43" s="35">
        <v>1548177.75121924</v>
      </c>
      <c r="N43" s="35">
        <v>1614003.1820593802</v>
      </c>
      <c r="O43" s="35">
        <v>1697883.1424786001</v>
      </c>
      <c r="P43" s="35">
        <v>1748242.9856226495</v>
      </c>
      <c r="Q43" s="35">
        <v>1756796.3320778902</v>
      </c>
      <c r="R43" s="35">
        <v>1844126.6326173106</v>
      </c>
      <c r="S43" s="35">
        <v>1840723.12662466</v>
      </c>
      <c r="T43" s="38">
        <f t="shared" si="3"/>
        <v>0.13045240486478527</v>
      </c>
      <c r="U43" s="38">
        <f t="shared" si="32"/>
        <v>0.1874086042902674</v>
      </c>
      <c r="V43" s="38">
        <f t="shared" si="32"/>
        <v>0.30167501041506717</v>
      </c>
      <c r="W43" s="38">
        <f t="shared" si="32"/>
        <v>0.21062523103680797</v>
      </c>
      <c r="X43" s="38">
        <f t="shared" si="32"/>
        <v>0.11908535128857944</v>
      </c>
      <c r="Y43" s="38">
        <f t="shared" si="32"/>
        <v>0.08873635636318777</v>
      </c>
      <c r="Z43" s="38">
        <f t="shared" si="32"/>
        <v>0.10423346674902834</v>
      </c>
      <c r="AA43" s="38">
        <f t="shared" si="32"/>
        <v>0.08096821192796622</v>
      </c>
      <c r="AB43" s="38">
        <f t="shared" si="32"/>
        <v>0.06577748108734771</v>
      </c>
      <c r="AC43" s="38">
        <f t="shared" si="32"/>
        <v>0.034316564260368</v>
      </c>
      <c r="AD43" s="38">
        <f t="shared" si="32"/>
        <v>0.04251800595138411</v>
      </c>
      <c r="AE43" s="38">
        <f t="shared" si="32"/>
        <v>0.05197013323864308</v>
      </c>
      <c r="AF43" s="38">
        <f t="shared" si="32"/>
        <v>0.029660370542658798</v>
      </c>
      <c r="AG43" s="38">
        <f t="shared" si="32"/>
        <v>0.004892538694896809</v>
      </c>
      <c r="AH43" s="38">
        <f t="shared" si="32"/>
        <v>0.049709974312234895</v>
      </c>
      <c r="AI43" s="38">
        <f t="shared" si="32"/>
        <v>-0.0018455923429835375</v>
      </c>
    </row>
    <row r="44" spans="2:35" ht="14.25">
      <c r="B44" s="34" t="s">
        <v>56</v>
      </c>
      <c r="C44" s="6">
        <v>92244.2</v>
      </c>
      <c r="D44" s="6">
        <v>103152.6</v>
      </c>
      <c r="E44" s="47">
        <v>120133.9</v>
      </c>
      <c r="F44" s="6">
        <v>161429.2</v>
      </c>
      <c r="G44" s="6">
        <v>194833.73400079</v>
      </c>
      <c r="H44" s="6">
        <v>221939.94251214998</v>
      </c>
      <c r="I44" s="6">
        <v>238471.76044163998</v>
      </c>
      <c r="J44" s="6">
        <v>266505.87702823</v>
      </c>
      <c r="K44" s="6">
        <v>291835.31886398</v>
      </c>
      <c r="L44" s="6">
        <v>316158.02277776995</v>
      </c>
      <c r="M44" s="6">
        <v>318126.05828303006</v>
      </c>
      <c r="N44" s="6">
        <v>347983.39088978997</v>
      </c>
      <c r="O44" s="6">
        <v>356714.83682813006</v>
      </c>
      <c r="P44" s="6">
        <v>380007.80554703006</v>
      </c>
      <c r="Q44" s="6">
        <v>381186.14552457</v>
      </c>
      <c r="R44" s="6">
        <v>400872.5065492999</v>
      </c>
      <c r="S44" s="6">
        <v>414135.72895986994</v>
      </c>
      <c r="T44" s="38">
        <f t="shared" si="3"/>
        <v>0.11825567352744137</v>
      </c>
      <c r="U44" s="38">
        <f t="shared" si="32"/>
        <v>0.1646230923893337</v>
      </c>
      <c r="V44" s="38">
        <f t="shared" si="32"/>
        <v>0.3437439390546717</v>
      </c>
      <c r="W44" s="38">
        <f t="shared" si="32"/>
        <v>0.20692993585293107</v>
      </c>
      <c r="X44" s="38">
        <f t="shared" si="32"/>
        <v>0.13912482173774943</v>
      </c>
      <c r="Y44" s="38">
        <f t="shared" si="32"/>
        <v>0.07448779945766182</v>
      </c>
      <c r="Z44" s="38">
        <f t="shared" si="32"/>
        <v>0.11755738513722536</v>
      </c>
      <c r="AA44" s="38">
        <f t="shared" si="32"/>
        <v>0.09504271394760622</v>
      </c>
      <c r="AB44" s="38">
        <f t="shared" si="32"/>
        <v>0.08334393523193251</v>
      </c>
      <c r="AC44" s="38">
        <f t="shared" si="32"/>
        <v>0.006224847587193549</v>
      </c>
      <c r="AD44" s="38">
        <f t="shared" si="32"/>
        <v>0.09385377849241272</v>
      </c>
      <c r="AE44" s="38">
        <f t="shared" si="32"/>
        <v>0.0250915594448744</v>
      </c>
      <c r="AF44" s="38">
        <f t="shared" si="32"/>
        <v>0.06529856993339145</v>
      </c>
      <c r="AG44" s="38">
        <f t="shared" si="32"/>
        <v>0.003100830983836511</v>
      </c>
      <c r="AH44" s="38">
        <f t="shared" si="32"/>
        <v>0.0516450066610854</v>
      </c>
      <c r="AI44" s="38">
        <f t="shared" si="32"/>
        <v>0.03308588689391412</v>
      </c>
    </row>
    <row r="45" spans="2:35" ht="14.25">
      <c r="B45" s="12" t="s">
        <v>57</v>
      </c>
      <c r="C45" s="25">
        <v>42316.8</v>
      </c>
      <c r="D45" s="25">
        <v>56923.4</v>
      </c>
      <c r="E45" s="47">
        <v>67341.9</v>
      </c>
      <c r="F45" s="6">
        <v>84671.2</v>
      </c>
      <c r="G45" s="6">
        <v>96645.05516386002</v>
      </c>
      <c r="H45" s="6">
        <v>106509.04895551999</v>
      </c>
      <c r="I45" s="6">
        <v>114346.51310636003</v>
      </c>
      <c r="J45" s="6">
        <v>126602.37456024998</v>
      </c>
      <c r="K45" s="6">
        <v>144488.24029806998</v>
      </c>
      <c r="L45" s="6">
        <v>152829.38731607</v>
      </c>
      <c r="M45" s="6">
        <v>156777.43815905994</v>
      </c>
      <c r="N45" s="6">
        <v>171502.50016273</v>
      </c>
      <c r="O45" s="6">
        <v>173868.07382324</v>
      </c>
      <c r="P45" s="6">
        <v>185192.28345326998</v>
      </c>
      <c r="Q45" s="6">
        <v>194133.02851302002</v>
      </c>
      <c r="R45" s="6">
        <v>257469.99501645993</v>
      </c>
      <c r="S45" s="6">
        <v>275720.86761472</v>
      </c>
      <c r="T45" s="38">
        <f t="shared" si="3"/>
        <v>0.3451726028433151</v>
      </c>
      <c r="U45" s="38">
        <f t="shared" si="32"/>
        <v>0.18302666390271827</v>
      </c>
      <c r="V45" s="38">
        <f t="shared" si="32"/>
        <v>0.25733310167963785</v>
      </c>
      <c r="W45" s="38">
        <f t="shared" si="32"/>
        <v>0.14141591431159606</v>
      </c>
      <c r="X45" s="38">
        <f t="shared" si="32"/>
        <v>0.10206413328582342</v>
      </c>
      <c r="Y45" s="38">
        <f t="shared" si="32"/>
        <v>0.073584960411327</v>
      </c>
      <c r="Z45" s="38">
        <f t="shared" si="32"/>
        <v>0.1071817681269398</v>
      </c>
      <c r="AA45" s="38">
        <f t="shared" si="32"/>
        <v>0.14127591050283295</v>
      </c>
      <c r="AB45" s="38">
        <f t="shared" si="32"/>
        <v>0.057728898911030946</v>
      </c>
      <c r="AC45" s="38">
        <f t="shared" si="32"/>
        <v>0.025833060724276047</v>
      </c>
      <c r="AD45" s="38">
        <f t="shared" si="32"/>
        <v>0.09392334877120923</v>
      </c>
      <c r="AE45" s="38">
        <f t="shared" si="32"/>
        <v>0.013793231342198675</v>
      </c>
      <c r="AF45" s="38">
        <f t="shared" si="32"/>
        <v>0.06513104666669589</v>
      </c>
      <c r="AG45" s="38">
        <f t="shared" si="32"/>
        <v>0.04827817278901958</v>
      </c>
      <c r="AH45" s="38">
        <f t="shared" si="32"/>
        <v>0.326255490827992</v>
      </c>
      <c r="AI45" s="38">
        <f t="shared" si="32"/>
        <v>0.07088543500804168</v>
      </c>
    </row>
    <row r="46" spans="2:35" ht="12.75">
      <c r="B46" s="12" t="s">
        <v>17</v>
      </c>
      <c r="C46" s="5">
        <f>+C47+C48</f>
        <v>422961.2</v>
      </c>
      <c r="D46" s="5">
        <f aca="true" t="shared" si="33" ref="D46:O46">+D47+D48</f>
        <v>408637.7</v>
      </c>
      <c r="E46" s="50">
        <f t="shared" si="33"/>
        <v>328560</v>
      </c>
      <c r="F46" s="5">
        <f t="shared" si="33"/>
        <v>336669.9</v>
      </c>
      <c r="G46" s="5">
        <f t="shared" si="33"/>
        <v>377054.42182537</v>
      </c>
      <c r="H46" s="5">
        <f t="shared" si="33"/>
        <v>403815.64934052</v>
      </c>
      <c r="I46" s="5">
        <f t="shared" si="33"/>
        <v>423489.0597107199</v>
      </c>
      <c r="J46" s="5">
        <f t="shared" si="33"/>
        <v>537303.63471966</v>
      </c>
      <c r="K46" s="5">
        <f t="shared" si="33"/>
        <v>590632.728885</v>
      </c>
      <c r="L46" s="5">
        <f t="shared" si="33"/>
        <v>685750.13959572</v>
      </c>
      <c r="M46" s="5">
        <f t="shared" si="33"/>
        <v>744047.8243340399</v>
      </c>
      <c r="N46" s="5">
        <f t="shared" si="33"/>
        <v>919164.0684020099</v>
      </c>
      <c r="O46" s="5">
        <f t="shared" si="33"/>
        <v>1120411.04687078</v>
      </c>
      <c r="P46" s="5">
        <f>+P47+P48</f>
        <v>1372882.7527313305</v>
      </c>
      <c r="Q46" s="5">
        <f>+Q47+Q48</f>
        <v>1538759.6610329</v>
      </c>
      <c r="R46" s="5">
        <f>+R47+R48</f>
        <v>1725349.43235451</v>
      </c>
      <c r="S46" s="5">
        <f>+S47+S48</f>
        <v>1886968.1552619</v>
      </c>
      <c r="T46" s="40">
        <f t="shared" si="3"/>
        <v>-0.033864808403229474</v>
      </c>
      <c r="U46" s="40">
        <f t="shared" si="32"/>
        <v>-0.19596258494994467</v>
      </c>
      <c r="V46" s="40">
        <f t="shared" si="32"/>
        <v>0.024683162892622512</v>
      </c>
      <c r="W46" s="40">
        <f t="shared" si="32"/>
        <v>0.1199528732012276</v>
      </c>
      <c r="X46" s="40">
        <f t="shared" si="32"/>
        <v>0.0709744428552126</v>
      </c>
      <c r="Y46" s="40">
        <f t="shared" si="32"/>
        <v>0.048718791365141456</v>
      </c>
      <c r="Z46" s="40">
        <f t="shared" si="32"/>
        <v>0.2687544634250656</v>
      </c>
      <c r="AA46" s="40">
        <f t="shared" si="32"/>
        <v>0.09925317961633473</v>
      </c>
      <c r="AB46" s="40">
        <f t="shared" si="32"/>
        <v>0.16104324406519632</v>
      </c>
      <c r="AC46" s="40">
        <f t="shared" si="32"/>
        <v>0.08501301184231469</v>
      </c>
      <c r="AD46" s="40">
        <f t="shared" si="32"/>
        <v>0.23535616709142015</v>
      </c>
      <c r="AE46" s="40">
        <f t="shared" si="32"/>
        <v>0.21894565441253921</v>
      </c>
      <c r="AF46" s="40">
        <f t="shared" si="32"/>
        <v>0.22533846534777058</v>
      </c>
      <c r="AG46" s="40">
        <f t="shared" si="32"/>
        <v>0.12082379793289699</v>
      </c>
      <c r="AH46" s="40">
        <f t="shared" si="32"/>
        <v>0.12125985366445136</v>
      </c>
      <c r="AI46" s="40">
        <f t="shared" si="32"/>
        <v>0.09367303798097049</v>
      </c>
    </row>
    <row r="47" spans="2:35" ht="12.75">
      <c r="B47" s="12" t="s">
        <v>3</v>
      </c>
      <c r="C47" s="25">
        <v>336194.4</v>
      </c>
      <c r="D47" s="25">
        <v>321093.9</v>
      </c>
      <c r="E47" s="47">
        <v>245872.6</v>
      </c>
      <c r="F47" s="6">
        <v>257638.90000000002</v>
      </c>
      <c r="G47" s="6">
        <v>312482.49444324</v>
      </c>
      <c r="H47" s="6">
        <v>345627.16557818</v>
      </c>
      <c r="I47" s="6">
        <v>376787.49341848993</v>
      </c>
      <c r="J47" s="6">
        <v>475115.68968686</v>
      </c>
      <c r="K47" s="6">
        <v>495060.0565869</v>
      </c>
      <c r="L47" s="6">
        <v>545385.96528429</v>
      </c>
      <c r="M47" s="6">
        <v>563822.45435431</v>
      </c>
      <c r="N47" s="6">
        <v>725652.0527525899</v>
      </c>
      <c r="O47" s="6">
        <v>916556.85654808</v>
      </c>
      <c r="P47" s="6">
        <v>1166935.6546190204</v>
      </c>
      <c r="Q47" s="6">
        <v>1300796.71460273</v>
      </c>
      <c r="R47" s="6">
        <v>1474758.54818149</v>
      </c>
      <c r="S47" s="6">
        <v>1591772.11446949</v>
      </c>
      <c r="T47" s="38">
        <f t="shared" si="3"/>
        <v>-0.04491597718462892</v>
      </c>
      <c r="U47" s="38">
        <f t="shared" si="32"/>
        <v>-0.23426573971040876</v>
      </c>
      <c r="V47" s="38">
        <f t="shared" si="32"/>
        <v>0.04785527138851586</v>
      </c>
      <c r="W47" s="38">
        <f t="shared" si="32"/>
        <v>0.21287000698745406</v>
      </c>
      <c r="X47" s="38">
        <f t="shared" si="32"/>
        <v>0.10606888937569092</v>
      </c>
      <c r="Y47" s="38">
        <f t="shared" si="32"/>
        <v>0.09015589902542409</v>
      </c>
      <c r="Z47" s="38">
        <f t="shared" si="32"/>
        <v>0.2609645967180738</v>
      </c>
      <c r="AA47" s="38">
        <f t="shared" si="32"/>
        <v>0.04197791681681773</v>
      </c>
      <c r="AB47" s="38">
        <f t="shared" si="32"/>
        <v>0.10165616883808526</v>
      </c>
      <c r="AC47" s="38">
        <f t="shared" si="32"/>
        <v>0.0338044802095514</v>
      </c>
      <c r="AD47" s="38">
        <f t="shared" si="32"/>
        <v>0.28702226587198876</v>
      </c>
      <c r="AE47" s="38">
        <f t="shared" si="32"/>
        <v>0.2630803607201795</v>
      </c>
      <c r="AF47" s="38">
        <f t="shared" si="32"/>
        <v>0.273173231188202</v>
      </c>
      <c r="AG47" s="38">
        <f t="shared" si="32"/>
        <v>0.11471160338091857</v>
      </c>
      <c r="AH47" s="38">
        <f t="shared" si="32"/>
        <v>0.13373483467929037</v>
      </c>
      <c r="AI47" s="38">
        <f t="shared" si="32"/>
        <v>0.07934421972484129</v>
      </c>
    </row>
    <row r="48" spans="2:35" ht="12.75">
      <c r="B48" s="12" t="s">
        <v>4</v>
      </c>
      <c r="C48" s="25">
        <v>86766.8</v>
      </c>
      <c r="D48" s="25">
        <v>87543.8</v>
      </c>
      <c r="E48" s="47">
        <v>82687.4</v>
      </c>
      <c r="F48" s="6">
        <v>79031</v>
      </c>
      <c r="G48" s="6">
        <v>64571.92738213</v>
      </c>
      <c r="H48" s="6">
        <v>58188.48376234</v>
      </c>
      <c r="I48" s="6">
        <v>46701.56629223</v>
      </c>
      <c r="J48" s="6">
        <v>62187.945032799995</v>
      </c>
      <c r="K48" s="6">
        <v>95572.6722981</v>
      </c>
      <c r="L48" s="6">
        <v>140364.17431143</v>
      </c>
      <c r="M48" s="6">
        <v>180225.36997973</v>
      </c>
      <c r="N48" s="6">
        <v>193512.01564941998</v>
      </c>
      <c r="O48" s="6">
        <v>203854.1903227</v>
      </c>
      <c r="P48" s="6">
        <v>205947.09811231002</v>
      </c>
      <c r="Q48" s="6">
        <v>237962.94643016998</v>
      </c>
      <c r="R48" s="6">
        <v>250590.88417302</v>
      </c>
      <c r="S48" s="6">
        <v>295196.04079241</v>
      </c>
      <c r="T48" s="38">
        <f t="shared" si="3"/>
        <v>0.008955038102131274</v>
      </c>
      <c r="U48" s="38">
        <f t="shared" si="32"/>
        <v>-0.055473945613510156</v>
      </c>
      <c r="V48" s="38">
        <f t="shared" si="32"/>
        <v>-0.044219554611706235</v>
      </c>
      <c r="W48" s="38">
        <f t="shared" si="32"/>
        <v>-0.18295444341929112</v>
      </c>
      <c r="X48" s="38">
        <f t="shared" si="32"/>
        <v>-0.09885787645788302</v>
      </c>
      <c r="Y48" s="38">
        <f t="shared" si="32"/>
        <v>-0.19740877794695888</v>
      </c>
      <c r="Z48" s="38">
        <f t="shared" si="32"/>
        <v>0.3316029840126913</v>
      </c>
      <c r="AA48" s="38">
        <f t="shared" si="32"/>
        <v>0.5368359936590892</v>
      </c>
      <c r="AB48" s="38">
        <f t="shared" si="32"/>
        <v>0.46866432565180505</v>
      </c>
      <c r="AC48" s="38">
        <f t="shared" si="32"/>
        <v>0.2839841139225372</v>
      </c>
      <c r="AD48" s="38">
        <f t="shared" si="32"/>
        <v>0.07372239364071964</v>
      </c>
      <c r="AE48" s="38">
        <f t="shared" si="32"/>
        <v>0.05344461241113119</v>
      </c>
      <c r="AF48" s="38">
        <f t="shared" si="32"/>
        <v>0.0102666900606605</v>
      </c>
      <c r="AG48" s="38">
        <f t="shared" si="32"/>
        <v>0.15545666149857862</v>
      </c>
      <c r="AH48" s="38">
        <f t="shared" si="32"/>
        <v>0.05306682377357297</v>
      </c>
      <c r="AI48" s="38">
        <f t="shared" si="32"/>
        <v>0.1779999171422073</v>
      </c>
    </row>
    <row r="49" spans="2:35" ht="12.75">
      <c r="B49" s="12"/>
      <c r="C49" s="25"/>
      <c r="D49" s="25"/>
      <c r="E49" s="4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2:35" ht="14.25">
      <c r="B50" s="12" t="s">
        <v>54</v>
      </c>
      <c r="C50" s="5">
        <f>+C51+C52+C53+C54</f>
        <v>426417.6000000001</v>
      </c>
      <c r="D50" s="5">
        <f aca="true" t="shared" si="34" ref="D50:M50">+D51+D52+D53+D54</f>
        <v>562811.1000000001</v>
      </c>
      <c r="E50" s="50">
        <f t="shared" si="34"/>
        <v>731590.7069308001</v>
      </c>
      <c r="F50" s="5">
        <f t="shared" si="34"/>
        <v>901021.8734971404</v>
      </c>
      <c r="G50" s="5">
        <f t="shared" si="34"/>
        <v>1205633.8779143302</v>
      </c>
      <c r="H50" s="5">
        <f t="shared" si="34"/>
        <v>1306616.6239888398</v>
      </c>
      <c r="I50" s="5">
        <f t="shared" si="34"/>
        <v>1481514.5724023602</v>
      </c>
      <c r="J50" s="5">
        <f t="shared" si="34"/>
        <v>1654406.3301903494</v>
      </c>
      <c r="K50" s="5">
        <f t="shared" si="34"/>
        <v>1812769.6267179844</v>
      </c>
      <c r="L50" s="5">
        <f t="shared" si="34"/>
        <v>1952978.2762760501</v>
      </c>
      <c r="M50" s="5">
        <f t="shared" si="34"/>
        <v>2101648.983794</v>
      </c>
      <c r="N50" s="5">
        <f aca="true" t="shared" si="35" ref="N50:S50">+N51+N52+N53+N54</f>
        <v>2251986.8606102304</v>
      </c>
      <c r="O50" s="5">
        <f t="shared" si="35"/>
        <v>2357346.93384628</v>
      </c>
      <c r="P50" s="5">
        <f t="shared" si="35"/>
        <v>2524657.8457588893</v>
      </c>
      <c r="Q50" s="5">
        <f t="shared" si="35"/>
        <v>2560262.5123543893</v>
      </c>
      <c r="R50" s="5">
        <f t="shared" si="35"/>
        <v>2476732.0597453197</v>
      </c>
      <c r="S50" s="5">
        <f t="shared" si="35"/>
        <v>2498402.42962329</v>
      </c>
      <c r="T50" s="40">
        <f t="shared" si="3"/>
        <v>0.3198589833065051</v>
      </c>
      <c r="U50" s="40">
        <f aca="true" t="shared" si="36" ref="U50:AI54">+E50/D50-1</f>
        <v>0.29988677716342127</v>
      </c>
      <c r="V50" s="40">
        <f t="shared" si="36"/>
        <v>0.23159283594121227</v>
      </c>
      <c r="W50" s="40">
        <f t="shared" si="36"/>
        <v>0.33807392847733864</v>
      </c>
      <c r="X50" s="40">
        <f t="shared" si="36"/>
        <v>0.08375904818567581</v>
      </c>
      <c r="Y50" s="40">
        <f t="shared" si="36"/>
        <v>0.13385559712197126</v>
      </c>
      <c r="Z50" s="40">
        <f t="shared" si="36"/>
        <v>0.11669932986729603</v>
      </c>
      <c r="AA50" s="40">
        <f t="shared" si="36"/>
        <v>0.09572212922409107</v>
      </c>
      <c r="AB50" s="40">
        <f t="shared" si="36"/>
        <v>0.07734499050048238</v>
      </c>
      <c r="AC50" s="40">
        <f t="shared" si="36"/>
        <v>0.07612512096214208</v>
      </c>
      <c r="AD50" s="40">
        <f t="shared" si="36"/>
        <v>0.07153329503427974</v>
      </c>
      <c r="AE50" s="40">
        <f t="shared" si="36"/>
        <v>0.04678538542072119</v>
      </c>
      <c r="AF50" s="40">
        <f t="shared" si="36"/>
        <v>0.07097424206441372</v>
      </c>
      <c r="AG50" s="40">
        <f t="shared" si="36"/>
        <v>0.014102769076336896</v>
      </c>
      <c r="AH50" s="40">
        <f t="shared" si="36"/>
        <v>-0.032625737480433625</v>
      </c>
      <c r="AI50" s="40">
        <f t="shared" si="36"/>
        <v>0.008749581850286514</v>
      </c>
    </row>
    <row r="51" spans="2:35" ht="12.75">
      <c r="B51" s="12" t="s">
        <v>6</v>
      </c>
      <c r="C51" s="6">
        <v>226948.40000000002</v>
      </c>
      <c r="D51" s="6">
        <v>274157.10000000003</v>
      </c>
      <c r="E51" s="47">
        <v>318804.07158746</v>
      </c>
      <c r="F51" s="6">
        <v>362271.39048535</v>
      </c>
      <c r="G51" s="6">
        <v>414960.67791160994</v>
      </c>
      <c r="H51" s="6">
        <v>448289.04956082994</v>
      </c>
      <c r="I51" s="6">
        <v>483541.77067045006</v>
      </c>
      <c r="J51" s="6">
        <v>527366.7743118299</v>
      </c>
      <c r="K51" s="6">
        <v>575845.00719867</v>
      </c>
      <c r="L51" s="6">
        <v>630063.4207855501</v>
      </c>
      <c r="M51" s="6">
        <v>654387.3667729798</v>
      </c>
      <c r="N51" s="6">
        <v>680129.4979636901</v>
      </c>
      <c r="O51" s="6">
        <v>716948.99717542</v>
      </c>
      <c r="P51" s="6">
        <v>740995.73201192</v>
      </c>
      <c r="Q51" s="6">
        <v>885996.4770022598</v>
      </c>
      <c r="R51" s="6">
        <v>825386.40877049</v>
      </c>
      <c r="S51" s="6">
        <v>848489.2517940401</v>
      </c>
      <c r="T51" s="38">
        <f t="shared" si="3"/>
        <v>0.20801512590527182</v>
      </c>
      <c r="U51" s="38">
        <f t="shared" si="36"/>
        <v>0.16285177946316165</v>
      </c>
      <c r="V51" s="38">
        <f t="shared" si="36"/>
        <v>0.13634493023080863</v>
      </c>
      <c r="W51" s="38">
        <f t="shared" si="36"/>
        <v>0.14544148064154316</v>
      </c>
      <c r="X51" s="38">
        <f t="shared" si="36"/>
        <v>0.08031693946750118</v>
      </c>
      <c r="Y51" s="38">
        <f t="shared" si="36"/>
        <v>0.07863837214885283</v>
      </c>
      <c r="Z51" s="38">
        <f t="shared" si="36"/>
        <v>0.09063333573150212</v>
      </c>
      <c r="AA51" s="38">
        <f t="shared" si="36"/>
        <v>0.09192507994099564</v>
      </c>
      <c r="AB51" s="38">
        <f t="shared" si="36"/>
        <v>0.09415452579963857</v>
      </c>
      <c r="AC51" s="38">
        <f t="shared" si="36"/>
        <v>0.038605551734939736</v>
      </c>
      <c r="AD51" s="38">
        <f t="shared" si="36"/>
        <v>0.039337756958319536</v>
      </c>
      <c r="AE51" s="38">
        <f t="shared" si="36"/>
        <v>0.054136012806337064</v>
      </c>
      <c r="AF51" s="38">
        <f t="shared" si="36"/>
        <v>0.03354037027910972</v>
      </c>
      <c r="AG51" s="38">
        <f t="shared" si="36"/>
        <v>0.1956836439484475</v>
      </c>
      <c r="AH51" s="38">
        <f t="shared" si="36"/>
        <v>-0.0684089269032333</v>
      </c>
      <c r="AI51" s="38">
        <f t="shared" si="36"/>
        <v>0.02799033613597368</v>
      </c>
    </row>
    <row r="52" spans="2:35" ht="14.25">
      <c r="B52" s="12" t="s">
        <v>67</v>
      </c>
      <c r="C52" s="6">
        <v>196324.70000000004</v>
      </c>
      <c r="D52" s="6">
        <v>283344.69999999995</v>
      </c>
      <c r="E52" s="47">
        <v>407188.7353433401</v>
      </c>
      <c r="F52" s="6">
        <v>529648.9830117903</v>
      </c>
      <c r="G52" s="6">
        <v>780867.7091888604</v>
      </c>
      <c r="H52" s="6">
        <v>851088.6662534298</v>
      </c>
      <c r="I52" s="6">
        <v>991488.91255329</v>
      </c>
      <c r="J52" s="6">
        <v>1118624.2609165497</v>
      </c>
      <c r="K52" s="6">
        <v>1222293.2909393345</v>
      </c>
      <c r="L52" s="6">
        <v>1312039.1396198901</v>
      </c>
      <c r="M52" s="6">
        <v>1424010.07192563</v>
      </c>
      <c r="N52" s="6">
        <v>1529195.71704581</v>
      </c>
      <c r="O52" s="6">
        <v>1617641.4824704698</v>
      </c>
      <c r="P52" s="6">
        <v>1762583.2404570198</v>
      </c>
      <c r="Q52" s="6">
        <v>1593352.1904168096</v>
      </c>
      <c r="R52" s="6">
        <v>1626253.9747239398</v>
      </c>
      <c r="S52" s="6">
        <v>1641817.6776608399</v>
      </c>
      <c r="T52" s="38">
        <f t="shared" si="3"/>
        <v>0.44324529720407013</v>
      </c>
      <c r="U52" s="38">
        <f t="shared" si="36"/>
        <v>0.43707906074594005</v>
      </c>
      <c r="V52" s="38">
        <f t="shared" si="36"/>
        <v>0.3007456666628858</v>
      </c>
      <c r="W52" s="38">
        <f t="shared" si="36"/>
        <v>0.47431173141982175</v>
      </c>
      <c r="X52" s="38">
        <f t="shared" si="36"/>
        <v>0.08992682913923122</v>
      </c>
      <c r="Y52" s="38">
        <f t="shared" si="36"/>
        <v>0.16496547523998273</v>
      </c>
      <c r="Z52" s="38">
        <f t="shared" si="36"/>
        <v>0.12822669699438172</v>
      </c>
      <c r="AA52" s="38">
        <f t="shared" si="36"/>
        <v>0.09267547079467331</v>
      </c>
      <c r="AB52" s="38">
        <f t="shared" si="36"/>
        <v>0.07342415224384147</v>
      </c>
      <c r="AC52" s="38">
        <f t="shared" si="36"/>
        <v>0.08534115250416918</v>
      </c>
      <c r="AD52" s="38">
        <f t="shared" si="36"/>
        <v>0.07386580136890597</v>
      </c>
      <c r="AE52" s="38">
        <f t="shared" si="36"/>
        <v>0.05783809386775185</v>
      </c>
      <c r="AF52" s="38">
        <f t="shared" si="36"/>
        <v>0.08960066835402514</v>
      </c>
      <c r="AG52" s="38">
        <f t="shared" si="36"/>
        <v>-0.09601308247792617</v>
      </c>
      <c r="AH52" s="38">
        <f t="shared" si="36"/>
        <v>0.020649411037319654</v>
      </c>
      <c r="AI52" s="38">
        <f t="shared" si="36"/>
        <v>0.00957027818458811</v>
      </c>
    </row>
    <row r="53" spans="2:35" ht="12.75">
      <c r="B53" s="12" t="s">
        <v>8</v>
      </c>
      <c r="C53" s="6">
        <v>1999.6</v>
      </c>
      <c r="D53" s="25">
        <v>2370</v>
      </c>
      <c r="E53" s="47">
        <v>2976.9</v>
      </c>
      <c r="F53" s="6">
        <v>3050.8</v>
      </c>
      <c r="G53" s="6">
        <v>3803.1770027099997</v>
      </c>
      <c r="H53" s="6">
        <v>3503.2449161199997</v>
      </c>
      <c r="I53" s="6">
        <v>3239.26973608</v>
      </c>
      <c r="J53" s="6">
        <v>5619.82813509</v>
      </c>
      <c r="K53" s="6">
        <v>5160.5487944</v>
      </c>
      <c r="L53" s="6">
        <v>5277.79337047</v>
      </c>
      <c r="M53" s="6">
        <v>4737.842823940002</v>
      </c>
      <c r="N53" s="6">
        <v>5396.455465019996</v>
      </c>
      <c r="O53" s="6">
        <v>5151.25970039</v>
      </c>
      <c r="P53" s="6">
        <v>5420.3646746800005</v>
      </c>
      <c r="Q53" s="6">
        <v>6362.504220929997</v>
      </c>
      <c r="R53" s="6">
        <v>7349.765531580003</v>
      </c>
      <c r="S53" s="6">
        <v>8094.4377078</v>
      </c>
      <c r="T53" s="38">
        <f t="shared" si="3"/>
        <v>0.185237047409482</v>
      </c>
      <c r="U53" s="38">
        <f t="shared" si="36"/>
        <v>0.25607594936708855</v>
      </c>
      <c r="V53" s="38">
        <f t="shared" si="36"/>
        <v>0.02482448184352859</v>
      </c>
      <c r="W53" s="38">
        <f t="shared" si="36"/>
        <v>0.24661629825291698</v>
      </c>
      <c r="X53" s="38">
        <f t="shared" si="36"/>
        <v>-0.07886356232599212</v>
      </c>
      <c r="Y53" s="38">
        <f t="shared" si="36"/>
        <v>-0.07535162010093321</v>
      </c>
      <c r="Z53" s="38">
        <f t="shared" si="36"/>
        <v>0.7349058871185057</v>
      </c>
      <c r="AA53" s="38">
        <f t="shared" si="36"/>
        <v>-0.08172480183553599</v>
      </c>
      <c r="AB53" s="38">
        <f t="shared" si="36"/>
        <v>0.022719400734516615</v>
      </c>
      <c r="AC53" s="38">
        <f t="shared" si="36"/>
        <v>-0.1023061170888383</v>
      </c>
      <c r="AD53" s="38">
        <f t="shared" si="36"/>
        <v>0.1390110785761125</v>
      </c>
      <c r="AE53" s="38">
        <f t="shared" si="36"/>
        <v>-0.045436447353149334</v>
      </c>
      <c r="AF53" s="38">
        <f t="shared" si="36"/>
        <v>0.05224061490621934</v>
      </c>
      <c r="AG53" s="38">
        <f t="shared" si="36"/>
        <v>0.17381478974117504</v>
      </c>
      <c r="AH53" s="38">
        <f t="shared" si="36"/>
        <v>0.1551686688713425</v>
      </c>
      <c r="AI53" s="38">
        <f t="shared" si="36"/>
        <v>0.10131917447166683</v>
      </c>
    </row>
    <row r="54" spans="2:35" ht="12.75">
      <c r="B54" s="23" t="s">
        <v>39</v>
      </c>
      <c r="C54" s="6">
        <v>1144.9</v>
      </c>
      <c r="D54" s="25">
        <v>2939.3</v>
      </c>
      <c r="E54" s="47">
        <v>2621</v>
      </c>
      <c r="F54" s="6">
        <v>6050.7</v>
      </c>
      <c r="G54" s="6">
        <v>6002.313811149999</v>
      </c>
      <c r="H54" s="6">
        <v>3735.66325846</v>
      </c>
      <c r="I54" s="6">
        <v>3244.61944254</v>
      </c>
      <c r="J54" s="6">
        <v>2795.46682688</v>
      </c>
      <c r="K54" s="6">
        <v>9470.77978558</v>
      </c>
      <c r="L54" s="6">
        <v>5597.92250014</v>
      </c>
      <c r="M54" s="6">
        <v>18513.702271449998</v>
      </c>
      <c r="N54" s="6">
        <v>37265.19013571</v>
      </c>
      <c r="O54" s="6">
        <v>17605.1945</v>
      </c>
      <c r="P54" s="6">
        <v>15658.50861527</v>
      </c>
      <c r="Q54" s="6">
        <v>74551.34071439</v>
      </c>
      <c r="R54" s="6">
        <v>17741.910719310003</v>
      </c>
      <c r="S54" s="6">
        <v>1.06246061</v>
      </c>
      <c r="T54" s="38">
        <f t="shared" si="3"/>
        <v>1.567298454013451</v>
      </c>
      <c r="U54" s="38">
        <f t="shared" si="36"/>
        <v>-0.10829108971523838</v>
      </c>
      <c r="V54" s="38">
        <f t="shared" si="36"/>
        <v>1.308546356352537</v>
      </c>
      <c r="W54" s="38">
        <f t="shared" si="36"/>
        <v>-0.007996791916637824</v>
      </c>
      <c r="X54" s="38">
        <f t="shared" si="36"/>
        <v>-0.3776294649039227</v>
      </c>
      <c r="Y54" s="38">
        <f t="shared" si="36"/>
        <v>-0.13144755882585346</v>
      </c>
      <c r="Z54" s="38">
        <f t="shared" si="36"/>
        <v>-0.1384299834276983</v>
      </c>
      <c r="AA54" s="38">
        <f t="shared" si="36"/>
        <v>2.387906339833146</v>
      </c>
      <c r="AB54" s="38">
        <f t="shared" si="36"/>
        <v>-0.4089269704419405</v>
      </c>
      <c r="AC54" s="38">
        <f t="shared" si="36"/>
        <v>2.307245191584375</v>
      </c>
      <c r="AD54" s="38">
        <f t="shared" si="36"/>
        <v>1.0128437623833184</v>
      </c>
      <c r="AE54" s="38">
        <f t="shared" si="36"/>
        <v>-0.5275699805666756</v>
      </c>
      <c r="AF54" s="38">
        <f t="shared" si="36"/>
        <v>-0.11057451735225077</v>
      </c>
      <c r="AG54" s="38">
        <f t="shared" si="36"/>
        <v>3.7610754348398396</v>
      </c>
      <c r="AH54" s="38">
        <f t="shared" si="36"/>
        <v>-0.7620175499287106</v>
      </c>
      <c r="AI54" s="38">
        <f>+S54/R54-1</f>
        <v>-0.9999401157729396</v>
      </c>
    </row>
    <row r="55" spans="2:35" ht="9.75" customHeight="1">
      <c r="B55" s="12"/>
      <c r="C55" s="6"/>
      <c r="D55" s="25"/>
      <c r="E55" s="4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2.75">
      <c r="A56" s="19"/>
      <c r="B56" s="20" t="s">
        <v>9</v>
      </c>
      <c r="C56" s="26">
        <f>+C58+C59</f>
        <v>78143.7</v>
      </c>
      <c r="D56" s="26">
        <f aca="true" t="shared" si="37" ref="D56:O56">+D58+D59</f>
        <v>137960.5</v>
      </c>
      <c r="E56" s="49">
        <f t="shared" si="37"/>
        <v>218554.7</v>
      </c>
      <c r="F56" s="26">
        <f t="shared" si="37"/>
        <v>246165.9</v>
      </c>
      <c r="G56" s="26">
        <f t="shared" si="37"/>
        <v>287728.9833929</v>
      </c>
      <c r="H56" s="26">
        <f t="shared" si="37"/>
        <v>242972.29854454</v>
      </c>
      <c r="I56" s="26">
        <f t="shared" si="37"/>
        <v>281746.90474829</v>
      </c>
      <c r="J56" s="26">
        <f t="shared" si="37"/>
        <v>289094.47976493</v>
      </c>
      <c r="K56" s="26">
        <f t="shared" si="37"/>
        <v>368519.90128671</v>
      </c>
      <c r="L56" s="26">
        <f t="shared" si="37"/>
        <v>395069.38001900003</v>
      </c>
      <c r="M56" s="26">
        <f t="shared" si="37"/>
        <v>356422.23294765</v>
      </c>
      <c r="N56" s="26">
        <f t="shared" si="37"/>
        <v>435012.65478405997</v>
      </c>
      <c r="O56" s="26">
        <f t="shared" si="37"/>
        <v>375096.0149143799</v>
      </c>
      <c r="P56" s="26">
        <f>+P58+P59</f>
        <v>559173.2654468401</v>
      </c>
      <c r="Q56" s="26">
        <f>+Q58+Q59</f>
        <v>370045.28560085</v>
      </c>
      <c r="R56" s="26">
        <f>+R58+R59</f>
        <v>480780.81662382995</v>
      </c>
      <c r="S56" s="26">
        <f>+S58+S59</f>
        <v>472463.1238024301</v>
      </c>
      <c r="T56" s="37">
        <f t="shared" si="3"/>
        <v>0.7654718166659629</v>
      </c>
      <c r="U56" s="37">
        <f aca="true" t="shared" si="38" ref="U56:AI56">+E56/D56-1</f>
        <v>0.5841831538737539</v>
      </c>
      <c r="V56" s="37">
        <f t="shared" si="38"/>
        <v>0.12633542083515015</v>
      </c>
      <c r="W56" s="37">
        <f t="shared" si="38"/>
        <v>0.16884175831380377</v>
      </c>
      <c r="X56" s="37">
        <f t="shared" si="38"/>
        <v>-0.15555153436608704</v>
      </c>
      <c r="Y56" s="37">
        <f t="shared" si="38"/>
        <v>0.1595844729461704</v>
      </c>
      <c r="Z56" s="37">
        <f t="shared" si="38"/>
        <v>0.026078636154687196</v>
      </c>
      <c r="AA56" s="37">
        <f t="shared" si="38"/>
        <v>0.27473863072848315</v>
      </c>
      <c r="AB56" s="37">
        <f t="shared" si="38"/>
        <v>0.07204354131104163</v>
      </c>
      <c r="AC56" s="37">
        <f t="shared" si="38"/>
        <v>-0.09782369635807098</v>
      </c>
      <c r="AD56" s="37">
        <f t="shared" si="38"/>
        <v>0.22049809066751735</v>
      </c>
      <c r="AE56" s="37">
        <f t="shared" si="38"/>
        <v>-0.1377353950758573</v>
      </c>
      <c r="AF56" s="37">
        <f t="shared" si="38"/>
        <v>0.4907470173322901</v>
      </c>
      <c r="AG56" s="37">
        <f t="shared" si="38"/>
        <v>-0.33822786519462145</v>
      </c>
      <c r="AH56" s="37">
        <f t="shared" si="38"/>
        <v>0.29924859289364125</v>
      </c>
      <c r="AI56" s="37">
        <f t="shared" si="38"/>
        <v>-0.017300384153862147</v>
      </c>
    </row>
    <row r="57" spans="2:35" ht="12.75">
      <c r="B57" s="12"/>
      <c r="C57" s="25"/>
      <c r="D57" s="25"/>
      <c r="E57" s="47"/>
      <c r="F57" s="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5" ht="12.75">
      <c r="B58" s="12" t="s">
        <v>13</v>
      </c>
      <c r="C58" s="25">
        <v>16771.8</v>
      </c>
      <c r="D58" s="25">
        <v>27407.5</v>
      </c>
      <c r="E58" s="47">
        <v>38057.6</v>
      </c>
      <c r="F58" s="6">
        <v>56312.19999999999</v>
      </c>
      <c r="G58" s="6">
        <v>46313.71520103</v>
      </c>
      <c r="H58" s="6">
        <v>47660.01277374999</v>
      </c>
      <c r="I58" s="6">
        <v>37051.77615107</v>
      </c>
      <c r="J58" s="6">
        <v>53069.70907668999</v>
      </c>
      <c r="K58" s="6">
        <v>57485.937022699996</v>
      </c>
      <c r="L58" s="6">
        <v>61062.48858439</v>
      </c>
      <c r="M58" s="6">
        <v>55536.175567549995</v>
      </c>
      <c r="N58" s="6">
        <v>63455.66912114999</v>
      </c>
      <c r="O58" s="6">
        <v>43857.1047171</v>
      </c>
      <c r="P58" s="6">
        <v>43332.414659739996</v>
      </c>
      <c r="Q58" s="6">
        <v>52251.70100239</v>
      </c>
      <c r="R58" s="6">
        <v>211105.52031066</v>
      </c>
      <c r="S58" s="6">
        <v>174656.97061957003</v>
      </c>
      <c r="T58" s="38">
        <f t="shared" si="3"/>
        <v>0.6341418333154463</v>
      </c>
      <c r="U58" s="38">
        <f aca="true" t="shared" si="39" ref="U58:AI63">+E58/D58-1</f>
        <v>0.38858341694791565</v>
      </c>
      <c r="V58" s="38">
        <f t="shared" si="39"/>
        <v>0.47965715126544994</v>
      </c>
      <c r="W58" s="38">
        <f t="shared" si="39"/>
        <v>-0.17755450504455506</v>
      </c>
      <c r="X58" s="38">
        <f t="shared" si="39"/>
        <v>0.0290690903736881</v>
      </c>
      <c r="Y58" s="38">
        <f t="shared" si="39"/>
        <v>-0.2225814892882857</v>
      </c>
      <c r="Z58" s="38">
        <f t="shared" si="39"/>
        <v>0.43231214774456683</v>
      </c>
      <c r="AA58" s="38">
        <f t="shared" si="39"/>
        <v>0.08321560496267644</v>
      </c>
      <c r="AB58" s="38">
        <f t="shared" si="39"/>
        <v>0.06221611313872644</v>
      </c>
      <c r="AC58" s="38">
        <f t="shared" si="39"/>
        <v>-0.09050258423717028</v>
      </c>
      <c r="AD58" s="38">
        <f t="shared" si="39"/>
        <v>0.14260062873734114</v>
      </c>
      <c r="AE58" s="38">
        <f t="shared" si="39"/>
        <v>-0.30885442822503817</v>
      </c>
      <c r="AF58" s="38">
        <f t="shared" si="39"/>
        <v>-0.011963627347142847</v>
      </c>
      <c r="AG58" s="38">
        <f t="shared" si="39"/>
        <v>0.20583404854511578</v>
      </c>
      <c r="AH58" s="38">
        <f t="shared" si="39"/>
        <v>3.040165511568781</v>
      </c>
      <c r="AI58" s="38">
        <f t="shared" si="39"/>
        <v>-0.1726555972456466</v>
      </c>
    </row>
    <row r="59" spans="2:35" ht="12.75">
      <c r="B59" s="12" t="s">
        <v>5</v>
      </c>
      <c r="C59" s="5">
        <f>+C60+C61+C62+C63</f>
        <v>61371.9</v>
      </c>
      <c r="D59" s="5">
        <f aca="true" t="shared" si="40" ref="D59:O59">+D60+D61+D62+D63</f>
        <v>110553</v>
      </c>
      <c r="E59" s="50">
        <f t="shared" si="40"/>
        <v>180497.1</v>
      </c>
      <c r="F59" s="5">
        <f t="shared" si="40"/>
        <v>189853.7</v>
      </c>
      <c r="G59" s="5">
        <f t="shared" si="40"/>
        <v>241415.26819186998</v>
      </c>
      <c r="H59" s="5">
        <f t="shared" si="40"/>
        <v>195312.28577079</v>
      </c>
      <c r="I59" s="5">
        <f t="shared" si="40"/>
        <v>244695.12859722003</v>
      </c>
      <c r="J59" s="5">
        <f t="shared" si="40"/>
        <v>236024.77068823998</v>
      </c>
      <c r="K59" s="5">
        <f t="shared" si="40"/>
        <v>311033.96426401</v>
      </c>
      <c r="L59" s="5">
        <f t="shared" si="40"/>
        <v>334006.89143461</v>
      </c>
      <c r="M59" s="5">
        <f t="shared" si="40"/>
        <v>300886.0573801</v>
      </c>
      <c r="N59" s="5">
        <f t="shared" si="40"/>
        <v>371556.98566291</v>
      </c>
      <c r="O59" s="5">
        <f t="shared" si="40"/>
        <v>331238.91019727994</v>
      </c>
      <c r="P59" s="5">
        <f>+P60+P61+P62+P63</f>
        <v>515840.85078710003</v>
      </c>
      <c r="Q59" s="5">
        <f>+Q60+Q61+Q62+Q63</f>
        <v>317793.58459846</v>
      </c>
      <c r="R59" s="5">
        <f>+R60+R61+R62+R63</f>
        <v>269675.29631316994</v>
      </c>
      <c r="S59" s="5">
        <f>+S60+S61+S62+S63</f>
        <v>297806.15318286006</v>
      </c>
      <c r="T59" s="40">
        <f t="shared" si="3"/>
        <v>0.8013618610471567</v>
      </c>
      <c r="U59" s="40">
        <f t="shared" si="39"/>
        <v>0.6326748256492363</v>
      </c>
      <c r="V59" s="40">
        <f t="shared" si="39"/>
        <v>0.051837951967095286</v>
      </c>
      <c r="W59" s="40">
        <f t="shared" si="39"/>
        <v>0.2715857957567851</v>
      </c>
      <c r="X59" s="40">
        <f t="shared" si="39"/>
        <v>-0.19096962162491993</v>
      </c>
      <c r="Y59" s="40">
        <f t="shared" si="39"/>
        <v>0.25284043260024913</v>
      </c>
      <c r="Z59" s="40">
        <f t="shared" si="39"/>
        <v>-0.035433308209628755</v>
      </c>
      <c r="AA59" s="40">
        <f t="shared" si="39"/>
        <v>0.3178022093064463</v>
      </c>
      <c r="AB59" s="40">
        <f t="shared" si="39"/>
        <v>0.07385986679930623</v>
      </c>
      <c r="AC59" s="40">
        <f t="shared" si="39"/>
        <v>-0.09916212779997147</v>
      </c>
      <c r="AD59" s="40">
        <f t="shared" si="39"/>
        <v>0.23487604875467394</v>
      </c>
      <c r="AE59" s="40">
        <f t="shared" si="39"/>
        <v>-0.108511149087123</v>
      </c>
      <c r="AF59" s="40">
        <f t="shared" si="39"/>
        <v>0.5573075351560435</v>
      </c>
      <c r="AG59" s="40">
        <f t="shared" si="39"/>
        <v>-0.3839309466988665</v>
      </c>
      <c r="AH59" s="40">
        <f t="shared" si="39"/>
        <v>-0.15141365533256035</v>
      </c>
      <c r="AI59" s="40">
        <f t="shared" si="39"/>
        <v>0.10431380721288686</v>
      </c>
    </row>
    <row r="60" spans="2:36" ht="12.75">
      <c r="B60" s="12" t="s">
        <v>6</v>
      </c>
      <c r="C60" s="25">
        <v>594.6</v>
      </c>
      <c r="D60" s="25">
        <v>335.4</v>
      </c>
      <c r="E60" s="47">
        <v>703.7</v>
      </c>
      <c r="F60" s="6">
        <v>16268</v>
      </c>
      <c r="G60" s="6">
        <v>13468.58545656</v>
      </c>
      <c r="H60" s="6">
        <v>7329.5985003</v>
      </c>
      <c r="I60" s="6">
        <v>9661.17293366</v>
      </c>
      <c r="J60" s="6">
        <v>11304.4547373</v>
      </c>
      <c r="K60" s="6">
        <v>9440.323619530001</v>
      </c>
      <c r="L60" s="6">
        <v>10684.045792339999</v>
      </c>
      <c r="M60" s="6">
        <v>13232.19964328</v>
      </c>
      <c r="N60" s="6">
        <v>10660.07721295</v>
      </c>
      <c r="O60" s="6">
        <v>12865.49442932</v>
      </c>
      <c r="P60" s="6">
        <v>14682.051106590001</v>
      </c>
      <c r="Q60" s="6">
        <v>11663.2392161</v>
      </c>
      <c r="R60" s="6">
        <v>13735.862776399998</v>
      </c>
      <c r="S60" s="6">
        <v>11546.1594765</v>
      </c>
      <c r="T60" s="38">
        <f t="shared" si="3"/>
        <v>-0.4359233097880929</v>
      </c>
      <c r="U60" s="38">
        <f t="shared" si="39"/>
        <v>1.0980918306499703</v>
      </c>
      <c r="V60" s="38">
        <f t="shared" si="39"/>
        <v>22.117805883188858</v>
      </c>
      <c r="W60" s="38">
        <f t="shared" si="39"/>
        <v>-0.172081051354807</v>
      </c>
      <c r="X60" s="38">
        <f t="shared" si="39"/>
        <v>-0.4558004235901365</v>
      </c>
      <c r="Y60" s="38">
        <f t="shared" si="39"/>
        <v>0.31810397708204197</v>
      </c>
      <c r="Z60" s="38">
        <f t="shared" si="39"/>
        <v>0.1700913351747102</v>
      </c>
      <c r="AA60" s="38">
        <f t="shared" si="39"/>
        <v>-0.1649023470030042</v>
      </c>
      <c r="AB60" s="38">
        <f t="shared" si="39"/>
        <v>0.13174571369958166</v>
      </c>
      <c r="AC60" s="38">
        <f t="shared" si="39"/>
        <v>0.2385008357757994</v>
      </c>
      <c r="AD60" s="38">
        <f t="shared" si="39"/>
        <v>-0.1943835869825512</v>
      </c>
      <c r="AE60" s="38">
        <f t="shared" si="39"/>
        <v>0.2068856699922239</v>
      </c>
      <c r="AF60" s="38">
        <f t="shared" si="39"/>
        <v>0.1411960253257063</v>
      </c>
      <c r="AG60" s="38">
        <f t="shared" si="39"/>
        <v>-0.20561240855066998</v>
      </c>
      <c r="AH60" s="38">
        <f t="shared" si="39"/>
        <v>0.17770565465543542</v>
      </c>
      <c r="AI60" s="38">
        <f t="shared" si="39"/>
        <v>-0.15941505353869667</v>
      </c>
      <c r="AJ60" s="57"/>
    </row>
    <row r="61" spans="2:36" ht="12.75">
      <c r="B61" s="12" t="s">
        <v>66</v>
      </c>
      <c r="C61" s="25">
        <f>50916.4-3000</f>
        <v>47916.4</v>
      </c>
      <c r="D61" s="25">
        <f>112745.6-3500</f>
        <v>109245.6</v>
      </c>
      <c r="E61" s="47">
        <f>179289.5-3500</f>
        <v>175789.5</v>
      </c>
      <c r="F61" s="6">
        <f>160426.7-2659.2</f>
        <v>157767.5</v>
      </c>
      <c r="G61" s="6">
        <f>218166.70251617-4500</f>
        <v>213666.70251617</v>
      </c>
      <c r="H61" s="6">
        <f>169577.20571755-4500</f>
        <v>165077.20571755</v>
      </c>
      <c r="I61" s="6">
        <v>230927.46895212002</v>
      </c>
      <c r="J61" s="6">
        <v>184142.18724633998</v>
      </c>
      <c r="K61" s="6">
        <v>239629.19348934002</v>
      </c>
      <c r="L61" s="6">
        <v>234506.98824341</v>
      </c>
      <c r="M61" s="6">
        <v>206975.23713112998</v>
      </c>
      <c r="N61" s="6">
        <v>329948.42963635</v>
      </c>
      <c r="O61" s="6">
        <v>289793.19264076</v>
      </c>
      <c r="P61" s="6">
        <v>372774.49602214</v>
      </c>
      <c r="Q61" s="6">
        <v>286245.09106019</v>
      </c>
      <c r="R61" s="6">
        <v>220505.18514659992</v>
      </c>
      <c r="S61" s="6">
        <v>226249.81458440007</v>
      </c>
      <c r="T61" s="38">
        <f t="shared" si="3"/>
        <v>1.2799208621682765</v>
      </c>
      <c r="U61" s="38">
        <f t="shared" si="39"/>
        <v>0.6091220149827543</v>
      </c>
      <c r="V61" s="38">
        <f t="shared" si="39"/>
        <v>-0.10252034393408027</v>
      </c>
      <c r="W61" s="38">
        <f t="shared" si="39"/>
        <v>0.3543138004732913</v>
      </c>
      <c r="X61" s="38">
        <f t="shared" si="39"/>
        <v>-0.22740790318015414</v>
      </c>
      <c r="Y61" s="38">
        <f t="shared" si="39"/>
        <v>0.39890585104306253</v>
      </c>
      <c r="Z61" s="38">
        <f t="shared" si="39"/>
        <v>-0.20259730000106824</v>
      </c>
      <c r="AA61" s="38">
        <f t="shared" si="39"/>
        <v>0.3013269640854823</v>
      </c>
      <c r="AB61" s="38">
        <f t="shared" si="39"/>
        <v>-0.02137554765904537</v>
      </c>
      <c r="AC61" s="38">
        <f t="shared" si="39"/>
        <v>-0.11740268944012466</v>
      </c>
      <c r="AD61" s="38">
        <f t="shared" si="39"/>
        <v>0.5941444696947484</v>
      </c>
      <c r="AE61" s="38">
        <f t="shared" si="39"/>
        <v>-0.12170155511831593</v>
      </c>
      <c r="AF61" s="38">
        <f t="shared" si="39"/>
        <v>0.2863466274870272</v>
      </c>
      <c r="AG61" s="38">
        <f t="shared" si="39"/>
        <v>-0.23212265293173606</v>
      </c>
      <c r="AH61" s="38">
        <f t="shared" si="39"/>
        <v>-0.22966299848183824</v>
      </c>
      <c r="AI61" s="38">
        <f t="shared" si="39"/>
        <v>0.02605212858818229</v>
      </c>
      <c r="AJ61" s="138"/>
    </row>
    <row r="62" spans="2:35" ht="12.75">
      <c r="B62" s="12" t="s">
        <v>8</v>
      </c>
      <c r="C62" s="25">
        <v>27.5</v>
      </c>
      <c r="D62" s="25">
        <v>84.5</v>
      </c>
      <c r="E62" s="47">
        <v>77.9</v>
      </c>
      <c r="F62" s="6">
        <v>91.7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949.14883196</v>
      </c>
      <c r="O62" s="6">
        <v>413.02341776</v>
      </c>
      <c r="P62" s="6">
        <v>0</v>
      </c>
      <c r="Q62" s="6">
        <v>0</v>
      </c>
      <c r="R62" s="6">
        <v>0</v>
      </c>
      <c r="S62" s="6">
        <v>0</v>
      </c>
      <c r="T62" s="59">
        <f t="shared" si="3"/>
        <v>2.0727272727272728</v>
      </c>
      <c r="U62" s="59">
        <f t="shared" si="39"/>
        <v>-0.07810650887573956</v>
      </c>
      <c r="V62" s="59">
        <f t="shared" si="39"/>
        <v>0.1771501925545571</v>
      </c>
      <c r="W62" s="59">
        <f t="shared" si="39"/>
        <v>-1</v>
      </c>
      <c r="X62" s="59" t="e">
        <f t="shared" si="39"/>
        <v>#DIV/0!</v>
      </c>
      <c r="Y62" s="59" t="e">
        <f t="shared" si="39"/>
        <v>#DIV/0!</v>
      </c>
      <c r="Z62" s="59" t="e">
        <f t="shared" si="39"/>
        <v>#DIV/0!</v>
      </c>
      <c r="AA62" s="59" t="e">
        <f t="shared" si="39"/>
        <v>#DIV/0!</v>
      </c>
      <c r="AB62" s="59" t="e">
        <f t="shared" si="39"/>
        <v>#DIV/0!</v>
      </c>
      <c r="AC62" s="59" t="e">
        <f t="shared" si="39"/>
        <v>#DIV/0!</v>
      </c>
      <c r="AD62" s="59" t="e">
        <f t="shared" si="39"/>
        <v>#DIV/0!</v>
      </c>
      <c r="AE62" s="59">
        <f t="shared" si="39"/>
        <v>-0.5648486266299214</v>
      </c>
      <c r="AF62" s="59">
        <f t="shared" si="39"/>
        <v>-1</v>
      </c>
      <c r="AG62" s="59" t="e">
        <f t="shared" si="39"/>
        <v>#DIV/0!</v>
      </c>
      <c r="AH62" s="59" t="e">
        <f t="shared" si="39"/>
        <v>#DIV/0!</v>
      </c>
      <c r="AI62" s="59" t="e">
        <f t="shared" si="39"/>
        <v>#DIV/0!</v>
      </c>
    </row>
    <row r="63" spans="2:35" ht="12.75">
      <c r="B63" s="23" t="s">
        <v>39</v>
      </c>
      <c r="C63" s="25">
        <v>12833.4</v>
      </c>
      <c r="D63" s="25">
        <v>887.5</v>
      </c>
      <c r="E63" s="47">
        <v>3925.9999999999995</v>
      </c>
      <c r="F63" s="6">
        <v>15726.500000000002</v>
      </c>
      <c r="G63" s="6">
        <v>14279.98021914</v>
      </c>
      <c r="H63" s="6">
        <v>22905.481552939997</v>
      </c>
      <c r="I63" s="6">
        <v>4106.486711439999</v>
      </c>
      <c r="J63" s="6">
        <v>40578.1287046</v>
      </c>
      <c r="K63" s="6">
        <v>61964.44715514</v>
      </c>
      <c r="L63" s="6">
        <v>88815.85739886001</v>
      </c>
      <c r="M63" s="6">
        <v>80678.62060569</v>
      </c>
      <c r="N63" s="6">
        <v>29999.32998165</v>
      </c>
      <c r="O63" s="6">
        <v>28167.19970944</v>
      </c>
      <c r="P63" s="6">
        <v>128384.30365836999</v>
      </c>
      <c r="Q63" s="6">
        <v>19885.254322170003</v>
      </c>
      <c r="R63" s="6">
        <v>35434.24839017</v>
      </c>
      <c r="S63" s="6">
        <v>60010.17912196</v>
      </c>
      <c r="T63" s="38">
        <f t="shared" si="3"/>
        <v>-0.9308445150934281</v>
      </c>
      <c r="U63" s="38">
        <f t="shared" si="39"/>
        <v>3.4236619718309855</v>
      </c>
      <c r="V63" s="38">
        <f t="shared" si="39"/>
        <v>3.0057310239429453</v>
      </c>
      <c r="W63" s="38">
        <f t="shared" si="39"/>
        <v>-0.09197976541887909</v>
      </c>
      <c r="X63" s="38">
        <f t="shared" si="39"/>
        <v>0.6040275407551974</v>
      </c>
      <c r="Y63" s="38">
        <f t="shared" si="39"/>
        <v>-0.8207203501943875</v>
      </c>
      <c r="Z63" s="38">
        <f t="shared" si="39"/>
        <v>8.881470842595443</v>
      </c>
      <c r="AA63" s="38">
        <f t="shared" si="39"/>
        <v>0.5270405297944558</v>
      </c>
      <c r="AB63" s="38">
        <f t="shared" si="39"/>
        <v>0.43333575100722355</v>
      </c>
      <c r="AC63" s="38">
        <f t="shared" si="39"/>
        <v>-0.09161918863910512</v>
      </c>
      <c r="AD63" s="38">
        <f t="shared" si="39"/>
        <v>-0.6281625819029653</v>
      </c>
      <c r="AE63" s="38">
        <f t="shared" si="39"/>
        <v>-0.06107237306068769</v>
      </c>
      <c r="AF63" s="38">
        <f t="shared" si="39"/>
        <v>3.5579363579881553</v>
      </c>
      <c r="AG63" s="38">
        <f t="shared" si="39"/>
        <v>-0.8451114836040661</v>
      </c>
      <c r="AH63" s="38">
        <f t="shared" si="39"/>
        <v>0.7819358915950338</v>
      </c>
      <c r="AI63" s="38">
        <f t="shared" si="39"/>
        <v>0.6935643296615748</v>
      </c>
    </row>
    <row r="64" spans="2:35" ht="12.75">
      <c r="B64" s="12"/>
      <c r="C64" s="14"/>
      <c r="D64" s="14"/>
      <c r="E64" s="1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.75">
      <c r="B65" s="68" t="s">
        <v>51</v>
      </c>
      <c r="C65" s="14"/>
      <c r="D65" s="14"/>
      <c r="E65" s="13"/>
      <c r="F65" s="12"/>
      <c r="G65" s="70">
        <f aca="true" t="shared" si="41" ref="G65:L65">+G66-G67</f>
        <v>0</v>
      </c>
      <c r="H65" s="70">
        <f t="shared" si="41"/>
        <v>0</v>
      </c>
      <c r="I65" s="70">
        <f t="shared" si="41"/>
        <v>0</v>
      </c>
      <c r="J65" s="70">
        <f t="shared" si="41"/>
        <v>0</v>
      </c>
      <c r="K65" s="70">
        <f t="shared" si="41"/>
        <v>1199.49470598</v>
      </c>
      <c r="L65" s="70">
        <f t="shared" si="41"/>
        <v>3877.1171084099997</v>
      </c>
      <c r="M65" s="70">
        <f aca="true" t="shared" si="42" ref="M65:S65">+M66-M67</f>
        <v>3962.2340229899996</v>
      </c>
      <c r="N65" s="70">
        <f t="shared" si="42"/>
        <v>660.1574</v>
      </c>
      <c r="O65" s="70">
        <f t="shared" si="42"/>
        <v>673.14005049</v>
      </c>
      <c r="P65" s="70">
        <f t="shared" si="42"/>
        <v>31906.56071253</v>
      </c>
      <c r="Q65" s="70">
        <f t="shared" si="42"/>
        <v>862.17125576</v>
      </c>
      <c r="R65" s="70">
        <f t="shared" si="42"/>
        <v>4505.1821919700005</v>
      </c>
      <c r="S65" s="70">
        <f t="shared" si="42"/>
        <v>4279.62300171</v>
      </c>
      <c r="T65" s="59" t="e">
        <f t="shared" si="3"/>
        <v>#DIV/0!</v>
      </c>
      <c r="U65" s="59" t="e">
        <f aca="true" t="shared" si="43" ref="U65:AI69">+E65/D65-1</f>
        <v>#DIV/0!</v>
      </c>
      <c r="V65" s="59" t="e">
        <f t="shared" si="43"/>
        <v>#DIV/0!</v>
      </c>
      <c r="W65" s="59" t="e">
        <f t="shared" si="43"/>
        <v>#DIV/0!</v>
      </c>
      <c r="X65" s="59" t="e">
        <f t="shared" si="43"/>
        <v>#DIV/0!</v>
      </c>
      <c r="Y65" s="59" t="e">
        <f t="shared" si="43"/>
        <v>#DIV/0!</v>
      </c>
      <c r="Z65" s="59" t="e">
        <f t="shared" si="43"/>
        <v>#DIV/0!</v>
      </c>
      <c r="AA65" s="59" t="e">
        <f t="shared" si="43"/>
        <v>#DIV/0!</v>
      </c>
      <c r="AB65" s="38">
        <f t="shared" si="43"/>
        <v>2.2322919718452225</v>
      </c>
      <c r="AC65" s="38">
        <f t="shared" si="43"/>
        <v>0.021953660980569722</v>
      </c>
      <c r="AD65" s="38">
        <f t="shared" si="43"/>
        <v>-0.833387579792213</v>
      </c>
      <c r="AE65" s="38">
        <f t="shared" si="43"/>
        <v>0.019665992519359632</v>
      </c>
      <c r="AF65" s="38">
        <f t="shared" si="43"/>
        <v>46.39958748451262</v>
      </c>
      <c r="AG65" s="38">
        <f t="shared" si="43"/>
        <v>-0.9729782453355614</v>
      </c>
      <c r="AH65" s="38">
        <f t="shared" si="43"/>
        <v>4.225391315091691</v>
      </c>
      <c r="AI65" s="38">
        <f t="shared" si="43"/>
        <v>-0.0500666078859221</v>
      </c>
    </row>
    <row r="66" spans="2:35" ht="12.75">
      <c r="B66" s="69" t="s">
        <v>52</v>
      </c>
      <c r="C66" s="14"/>
      <c r="D66" s="14"/>
      <c r="E66" s="13"/>
      <c r="F66" s="12"/>
      <c r="G66" s="35">
        <v>0</v>
      </c>
      <c r="H66" s="35">
        <v>0</v>
      </c>
      <c r="I66" s="6">
        <v>0</v>
      </c>
      <c r="J66" s="6">
        <v>0</v>
      </c>
      <c r="K66" s="35">
        <v>1199.49470598</v>
      </c>
      <c r="L66" s="35">
        <v>3877.1171084099997</v>
      </c>
      <c r="M66" s="35">
        <v>3962.2340229899996</v>
      </c>
      <c r="N66" s="35">
        <v>660.1574</v>
      </c>
      <c r="O66" s="35">
        <v>673.14005049</v>
      </c>
      <c r="P66" s="35">
        <v>31906.56071253</v>
      </c>
      <c r="Q66" s="35">
        <v>862.17125576</v>
      </c>
      <c r="R66" s="35">
        <v>4505.1821919700005</v>
      </c>
      <c r="S66" s="35">
        <v>4279.62300171</v>
      </c>
      <c r="T66" s="59" t="e">
        <f t="shared" si="3"/>
        <v>#DIV/0!</v>
      </c>
      <c r="U66" s="59" t="e">
        <f t="shared" si="43"/>
        <v>#DIV/0!</v>
      </c>
      <c r="V66" s="59" t="e">
        <f t="shared" si="43"/>
        <v>#DIV/0!</v>
      </c>
      <c r="W66" s="59" t="e">
        <f t="shared" si="43"/>
        <v>#DIV/0!</v>
      </c>
      <c r="X66" s="59" t="e">
        <f t="shared" si="43"/>
        <v>#DIV/0!</v>
      </c>
      <c r="Y66" s="59" t="e">
        <f t="shared" si="43"/>
        <v>#DIV/0!</v>
      </c>
      <c r="Z66" s="59" t="e">
        <f t="shared" si="43"/>
        <v>#DIV/0!</v>
      </c>
      <c r="AA66" s="59" t="e">
        <f t="shared" si="43"/>
        <v>#DIV/0!</v>
      </c>
      <c r="AB66" s="38">
        <f t="shared" si="43"/>
        <v>2.2322919718452225</v>
      </c>
      <c r="AC66" s="38">
        <f t="shared" si="43"/>
        <v>0.021953660980569722</v>
      </c>
      <c r="AD66" s="38">
        <f t="shared" si="43"/>
        <v>-0.833387579792213</v>
      </c>
      <c r="AE66" s="38">
        <f t="shared" si="43"/>
        <v>0.019665992519359632</v>
      </c>
      <c r="AF66" s="38">
        <f t="shared" si="43"/>
        <v>46.39958748451262</v>
      </c>
      <c r="AG66" s="38">
        <f t="shared" si="43"/>
        <v>-0.9729782453355614</v>
      </c>
      <c r="AH66" s="38">
        <f t="shared" si="43"/>
        <v>4.225391315091691</v>
      </c>
      <c r="AI66" s="38">
        <f t="shared" si="43"/>
        <v>-0.0500666078859221</v>
      </c>
    </row>
    <row r="67" spans="2:35" ht="12.75">
      <c r="B67" s="12" t="s">
        <v>53</v>
      </c>
      <c r="C67" s="14"/>
      <c r="D67" s="14"/>
      <c r="E67" s="13"/>
      <c r="F67" s="12"/>
      <c r="G67" s="12"/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130" t="e">
        <f t="shared" si="3"/>
        <v>#DIV/0!</v>
      </c>
      <c r="U67" s="130" t="e">
        <f t="shared" si="43"/>
        <v>#DIV/0!</v>
      </c>
      <c r="V67" s="130" t="e">
        <f t="shared" si="43"/>
        <v>#DIV/0!</v>
      </c>
      <c r="W67" s="130" t="e">
        <f t="shared" si="43"/>
        <v>#DIV/0!</v>
      </c>
      <c r="X67" s="130" t="e">
        <f t="shared" si="43"/>
        <v>#DIV/0!</v>
      </c>
      <c r="Y67" s="130" t="e">
        <f t="shared" si="43"/>
        <v>#DIV/0!</v>
      </c>
      <c r="Z67" s="130" t="e">
        <f t="shared" si="43"/>
        <v>#DIV/0!</v>
      </c>
      <c r="AA67" s="130" t="e">
        <f t="shared" si="43"/>
        <v>#DIV/0!</v>
      </c>
      <c r="AB67" s="130" t="e">
        <f t="shared" si="43"/>
        <v>#DIV/0!</v>
      </c>
      <c r="AC67" s="130" t="e">
        <f t="shared" si="43"/>
        <v>#DIV/0!</v>
      </c>
      <c r="AD67" s="130" t="e">
        <f t="shared" si="43"/>
        <v>#DIV/0!</v>
      </c>
      <c r="AE67" s="130" t="e">
        <f t="shared" si="43"/>
        <v>#DIV/0!</v>
      </c>
      <c r="AF67" s="130" t="e">
        <f t="shared" si="43"/>
        <v>#DIV/0!</v>
      </c>
      <c r="AG67" s="130" t="e">
        <f t="shared" si="43"/>
        <v>#DIV/0!</v>
      </c>
      <c r="AH67" s="130" t="e">
        <f t="shared" si="43"/>
        <v>#DIV/0!</v>
      </c>
      <c r="AI67" s="130" t="e">
        <f t="shared" si="43"/>
        <v>#DIV/0!</v>
      </c>
    </row>
    <row r="68" spans="2:35" ht="12.75">
      <c r="B68" s="12"/>
      <c r="C68" s="14"/>
      <c r="D68" s="14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30" t="e">
        <f t="shared" si="3"/>
        <v>#DIV/0!</v>
      </c>
      <c r="U68" s="130" t="e">
        <f t="shared" si="43"/>
        <v>#DIV/0!</v>
      </c>
      <c r="V68" s="130" t="e">
        <f t="shared" si="43"/>
        <v>#DIV/0!</v>
      </c>
      <c r="W68" s="130" t="e">
        <f t="shared" si="43"/>
        <v>#DIV/0!</v>
      </c>
      <c r="X68" s="130" t="e">
        <f t="shared" si="43"/>
        <v>#DIV/0!</v>
      </c>
      <c r="Y68" s="130" t="e">
        <f t="shared" si="43"/>
        <v>#DIV/0!</v>
      </c>
      <c r="Z68" s="130" t="e">
        <f t="shared" si="43"/>
        <v>#DIV/0!</v>
      </c>
      <c r="AA68" s="130" t="e">
        <f t="shared" si="43"/>
        <v>#DIV/0!</v>
      </c>
      <c r="AB68" s="130" t="e">
        <f t="shared" si="43"/>
        <v>#DIV/0!</v>
      </c>
      <c r="AC68" s="130" t="e">
        <f t="shared" si="43"/>
        <v>#DIV/0!</v>
      </c>
      <c r="AD68" s="130" t="e">
        <f t="shared" si="43"/>
        <v>#DIV/0!</v>
      </c>
      <c r="AE68" s="130" t="e">
        <f t="shared" si="43"/>
        <v>#DIV/0!</v>
      </c>
      <c r="AF68" s="130" t="e">
        <f t="shared" si="43"/>
        <v>#DIV/0!</v>
      </c>
      <c r="AG68" s="130" t="e">
        <f t="shared" si="43"/>
        <v>#DIV/0!</v>
      </c>
      <c r="AH68" s="130" t="e">
        <f t="shared" si="43"/>
        <v>#DIV/0!</v>
      </c>
      <c r="AI68" s="130" t="e">
        <f t="shared" si="43"/>
        <v>#DIV/0!</v>
      </c>
    </row>
    <row r="69" spans="1:35" ht="12.75">
      <c r="A69" s="4" t="s">
        <v>18</v>
      </c>
      <c r="B69" s="3" t="s">
        <v>22</v>
      </c>
      <c r="C69" s="29">
        <f aca="true" t="shared" si="44" ref="C69:O69">+C9-C38</f>
        <v>335367.85118699935</v>
      </c>
      <c r="D69" s="29">
        <f t="shared" si="44"/>
        <v>436432.7152103493</v>
      </c>
      <c r="E69" s="29">
        <f t="shared" si="44"/>
        <v>449268.22904213984</v>
      </c>
      <c r="F69" s="29">
        <f t="shared" si="44"/>
        <v>-134814.9668690802</v>
      </c>
      <c r="G69" s="29">
        <f t="shared" si="44"/>
        <v>-384021.4667040198</v>
      </c>
      <c r="H69" s="29">
        <f t="shared" si="44"/>
        <v>-385905.3543711193</v>
      </c>
      <c r="I69" s="29">
        <f t="shared" si="44"/>
        <v>-484229.64058861975</v>
      </c>
      <c r="J69" s="29">
        <f t="shared" si="44"/>
        <v>-600067.1480046492</v>
      </c>
      <c r="K69" s="29">
        <f t="shared" si="44"/>
        <v>-762291.7634438439</v>
      </c>
      <c r="L69" s="29">
        <f t="shared" si="44"/>
        <v>-760605.20301397</v>
      </c>
      <c r="M69" s="29">
        <f t="shared" si="44"/>
        <v>-608221.9532990996</v>
      </c>
      <c r="N69" s="29">
        <f t="shared" si="44"/>
        <v>-733716.6753228297</v>
      </c>
      <c r="O69" s="29">
        <f t="shared" si="44"/>
        <v>-804630.2619927311</v>
      </c>
      <c r="P69" s="29">
        <f>+P9-P38</f>
        <v>-787649.5273236092</v>
      </c>
      <c r="Q69" s="29">
        <f>+Q9-Q38</f>
        <v>-1148690.6175460299</v>
      </c>
      <c r="R69" s="29">
        <f>+R9-R38</f>
        <v>61341.774839528836</v>
      </c>
      <c r="S69" s="29">
        <f>+S9-S38</f>
        <v>1011743.1023301203</v>
      </c>
      <c r="T69" s="52">
        <f t="shared" si="3"/>
        <v>0.3013552541355453</v>
      </c>
      <c r="U69" s="52">
        <f t="shared" si="43"/>
        <v>0.029410063417459886</v>
      </c>
      <c r="V69" s="52">
        <f t="shared" si="43"/>
        <v>-1.3000767874383456</v>
      </c>
      <c r="W69" s="52">
        <f t="shared" si="43"/>
        <v>1.8485076666372349</v>
      </c>
      <c r="X69" s="52">
        <f t="shared" si="43"/>
        <v>0.0049056832246086035</v>
      </c>
      <c r="Y69" s="52">
        <f t="shared" si="43"/>
        <v>0.25478860322560726</v>
      </c>
      <c r="Z69" s="52">
        <f t="shared" si="43"/>
        <v>0.23922019163308494</v>
      </c>
      <c r="AA69" s="52">
        <f t="shared" si="43"/>
        <v>0.27034410395340935</v>
      </c>
      <c r="AB69" s="52">
        <f t="shared" si="43"/>
        <v>-0.0022124867547491656</v>
      </c>
      <c r="AC69" s="52">
        <f t="shared" si="43"/>
        <v>-0.20034473746831793</v>
      </c>
      <c r="AD69" s="52">
        <f t="shared" si="43"/>
        <v>0.20633047087995648</v>
      </c>
      <c r="AE69" s="52">
        <f t="shared" si="43"/>
        <v>0.09664982281982337</v>
      </c>
      <c r="AF69" s="52">
        <f t="shared" si="43"/>
        <v>-0.021103773336920928</v>
      </c>
      <c r="AG69" s="52">
        <f t="shared" si="43"/>
        <v>0.4583778415372366</v>
      </c>
      <c r="AH69" s="52">
        <f t="shared" si="43"/>
        <v>-1.0534014763440607</v>
      </c>
      <c r="AI69" s="52">
        <f t="shared" si="43"/>
        <v>15.493541391276306</v>
      </c>
    </row>
    <row r="70" spans="1:35" ht="18">
      <c r="A70" s="4"/>
      <c r="B70" s="62" t="s">
        <v>50</v>
      </c>
      <c r="C70" s="63">
        <f aca="true" t="shared" si="45" ref="C70:O70">+C69/C76</f>
        <v>0.02887786190228112</v>
      </c>
      <c r="D70" s="63">
        <f t="shared" si="45"/>
        <v>0.031422784429768376</v>
      </c>
      <c r="E70" s="63">
        <f t="shared" si="45"/>
        <v>0.027717251544734648</v>
      </c>
      <c r="F70" s="63">
        <f t="shared" si="45"/>
        <v>-0.00764857807637004</v>
      </c>
      <c r="G70" s="63">
        <f t="shared" si="45"/>
        <v>-0.01939305429439674</v>
      </c>
      <c r="H70" s="63">
        <f t="shared" si="45"/>
        <v>-0.01784655191555216</v>
      </c>
      <c r="I70" s="63">
        <f t="shared" si="45"/>
        <v>-0.02038615414176205</v>
      </c>
      <c r="J70" s="63">
        <f t="shared" si="45"/>
        <v>-0.023566281188933558</v>
      </c>
      <c r="K70" s="63">
        <f t="shared" si="45"/>
        <v>-0.027223415058500438</v>
      </c>
      <c r="L70" s="63">
        <f t="shared" si="45"/>
        <v>-0.025018341714013813</v>
      </c>
      <c r="M70" s="63">
        <f t="shared" si="45"/>
        <v>-0.0189735614274612</v>
      </c>
      <c r="N70" s="63">
        <f t="shared" si="45"/>
        <v>-0.021363970595226666</v>
      </c>
      <c r="O70" s="63">
        <f t="shared" si="45"/>
        <v>-0.022341706142292625</v>
      </c>
      <c r="P70" s="63">
        <f>+P69/P76</f>
        <v>-0.020819581532837167</v>
      </c>
      <c r="Q70" s="63">
        <f>+Q69/Q76</f>
        <v>-0.03147507525770678</v>
      </c>
      <c r="R70" s="63">
        <f>+R69/R76</f>
        <v>0.0015292271791542073</v>
      </c>
      <c r="S70" s="63">
        <f>+S69/S76</f>
        <v>0.022625637653018373</v>
      </c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1:35" ht="12.75">
      <c r="A71" s="4" t="s">
        <v>19</v>
      </c>
      <c r="B71" s="3" t="s">
        <v>21</v>
      </c>
      <c r="C71" s="29">
        <f aca="true" t="shared" si="46" ref="C71:O71">+C9-C36</f>
        <v>-87593.3488130006</v>
      </c>
      <c r="D71" s="29">
        <f t="shared" si="46"/>
        <v>27795.015210349346</v>
      </c>
      <c r="E71" s="29">
        <f t="shared" si="46"/>
        <v>120708.22904213984</v>
      </c>
      <c r="F71" s="29">
        <f t="shared" si="46"/>
        <v>-471484.8668690801</v>
      </c>
      <c r="G71" s="29">
        <f t="shared" si="46"/>
        <v>-761075.8885293896</v>
      </c>
      <c r="H71" s="29">
        <f t="shared" si="46"/>
        <v>-789721.0037116394</v>
      </c>
      <c r="I71" s="29">
        <f t="shared" si="46"/>
        <v>-907718.7002993398</v>
      </c>
      <c r="J71" s="29">
        <f t="shared" si="46"/>
        <v>-1137370.7827243092</v>
      </c>
      <c r="K71" s="29">
        <f t="shared" si="46"/>
        <v>-1352924.492328844</v>
      </c>
      <c r="L71" s="29">
        <f t="shared" si="46"/>
        <v>-1446355.34260969</v>
      </c>
      <c r="M71" s="29">
        <f t="shared" si="46"/>
        <v>-1352269.7776331399</v>
      </c>
      <c r="N71" s="29">
        <f t="shared" si="46"/>
        <v>-1652880.7437248398</v>
      </c>
      <c r="O71" s="29">
        <f t="shared" si="46"/>
        <v>-1925041.3088635113</v>
      </c>
      <c r="P71" s="29">
        <f>+P9-P36</f>
        <v>-2160532.28005494</v>
      </c>
      <c r="Q71" s="29">
        <f>+Q9-Q36</f>
        <v>-2687450.27857893</v>
      </c>
      <c r="R71" s="29">
        <f>+R9-R36</f>
        <v>-1664007.657514981</v>
      </c>
      <c r="S71" s="29">
        <f>+S9-S36</f>
        <v>-875225.05293178</v>
      </c>
      <c r="T71" s="52">
        <f t="shared" si="3"/>
        <v>-1.3173187871796952</v>
      </c>
      <c r="U71" s="52">
        <f aca="true" t="shared" si="47" ref="U71:AI71">+E71/D71-1</f>
        <v>3.3428013306930904</v>
      </c>
      <c r="V71" s="52">
        <f t="shared" si="47"/>
        <v>-4.905987774076964</v>
      </c>
      <c r="W71" s="52">
        <f t="shared" si="47"/>
        <v>0.6142106396401519</v>
      </c>
      <c r="X71" s="52">
        <f t="shared" si="47"/>
        <v>0.03763765954746012</v>
      </c>
      <c r="Y71" s="52">
        <f t="shared" si="47"/>
        <v>0.1494169409615782</v>
      </c>
      <c r="Z71" s="52">
        <f t="shared" si="47"/>
        <v>0.25299917512907544</v>
      </c>
      <c r="AA71" s="52">
        <f t="shared" si="47"/>
        <v>0.18951929562338998</v>
      </c>
      <c r="AB71" s="52">
        <f t="shared" si="47"/>
        <v>0.06905843660204547</v>
      </c>
      <c r="AC71" s="52">
        <f t="shared" si="47"/>
        <v>-0.06505010366732533</v>
      </c>
      <c r="AD71" s="52">
        <f t="shared" si="47"/>
        <v>0.22230103124677925</v>
      </c>
      <c r="AE71" s="52">
        <f t="shared" si="47"/>
        <v>0.1646583192235307</v>
      </c>
      <c r="AF71" s="52">
        <f t="shared" si="47"/>
        <v>0.12233034694224587</v>
      </c>
      <c r="AG71" s="52">
        <f t="shared" si="47"/>
        <v>0.24388341863172314</v>
      </c>
      <c r="AH71" s="52">
        <f t="shared" si="47"/>
        <v>-0.38082290460276913</v>
      </c>
      <c r="AI71" s="52">
        <f t="shared" si="47"/>
        <v>-0.47402582615585087</v>
      </c>
    </row>
    <row r="72" spans="1:32" ht="18">
      <c r="A72" s="4"/>
      <c r="B72" s="62" t="s">
        <v>50</v>
      </c>
      <c r="C72" s="63">
        <f aca="true" t="shared" si="48" ref="C72:O72">+C71/C76</f>
        <v>-0.007542489900648618</v>
      </c>
      <c r="D72" s="63">
        <f t="shared" si="48"/>
        <v>0.002001217463168374</v>
      </c>
      <c r="E72" s="63">
        <f t="shared" si="48"/>
        <v>0.007446999657673588</v>
      </c>
      <c r="F72" s="63">
        <f t="shared" si="48"/>
        <v>-0.02674917258687672</v>
      </c>
      <c r="G72" s="63">
        <f t="shared" si="48"/>
        <v>-0.03843427336259428</v>
      </c>
      <c r="H72" s="63">
        <f t="shared" si="48"/>
        <v>-0.036521382074393156</v>
      </c>
      <c r="I72" s="63">
        <f t="shared" si="48"/>
        <v>-0.03821511900669294</v>
      </c>
      <c r="J72" s="63">
        <f t="shared" si="48"/>
        <v>-0.04466766722838634</v>
      </c>
      <c r="K72" s="63">
        <f t="shared" si="48"/>
        <v>-0.04831644097934999</v>
      </c>
      <c r="L72" s="63">
        <f t="shared" si="48"/>
        <v>-0.047574499961229075</v>
      </c>
      <c r="M72" s="63">
        <f t="shared" si="48"/>
        <v>-0.042184228229927755</v>
      </c>
      <c r="N72" s="63">
        <f t="shared" si="48"/>
        <v>-0.04812769941587712</v>
      </c>
      <c r="O72" s="63">
        <f t="shared" si="48"/>
        <v>-0.053451515889905064</v>
      </c>
      <c r="P72" s="63">
        <f>+P71/P76</f>
        <v>-0.05710836660027552</v>
      </c>
      <c r="Q72" s="63">
        <f>+Q71/Q76</f>
        <v>-0.07363836569878426</v>
      </c>
      <c r="R72" s="63">
        <f>+R71/R76</f>
        <v>-0.041483079725838916</v>
      </c>
      <c r="S72" s="63">
        <f>+S71/S76</f>
        <v>-0.019572680917588247</v>
      </c>
      <c r="T72" s="29"/>
      <c r="U72" s="29"/>
      <c r="V72" s="29"/>
      <c r="W72" s="29"/>
      <c r="X72" s="29"/>
      <c r="Y72" s="29"/>
      <c r="Z72" s="52"/>
      <c r="AA72" s="52"/>
      <c r="AB72" s="52"/>
      <c r="AC72" s="52"/>
      <c r="AD72" s="52"/>
      <c r="AE72" s="52"/>
      <c r="AF72" s="52"/>
    </row>
    <row r="73" spans="2:32" ht="12.75">
      <c r="B73" s="43" t="s">
        <v>40</v>
      </c>
      <c r="C73" s="25"/>
      <c r="D73" s="25"/>
      <c r="E73" s="12"/>
      <c r="F73" s="54">
        <f aca="true" t="shared" si="49" ref="F73:S73">F74+F75</f>
        <v>466945.6950925141</v>
      </c>
      <c r="G73" s="54">
        <f t="shared" si="49"/>
        <v>720325.2836413325</v>
      </c>
      <c r="H73" s="65">
        <f t="shared" si="49"/>
        <v>726858.409767033</v>
      </c>
      <c r="I73" s="65">
        <f t="shared" si="49"/>
        <v>907718.6904439174</v>
      </c>
      <c r="J73" s="131">
        <f t="shared" si="49"/>
        <v>1137370.757483764</v>
      </c>
      <c r="K73" s="65">
        <f t="shared" si="49"/>
        <v>1352924.5393074274</v>
      </c>
      <c r="L73" s="65">
        <f t="shared" si="49"/>
        <v>1446355.298467711</v>
      </c>
      <c r="M73" s="65">
        <f t="shared" si="49"/>
        <v>1352269.8353221873</v>
      </c>
      <c r="N73" s="65">
        <f t="shared" si="49"/>
        <v>1652880.6726785316</v>
      </c>
      <c r="O73" s="65">
        <f t="shared" si="49"/>
        <v>1925041.2957278122</v>
      </c>
      <c r="P73" s="65">
        <f t="shared" si="49"/>
        <v>2160532.2909437614</v>
      </c>
      <c r="Q73" s="65">
        <f t="shared" si="49"/>
        <v>2687450.3259690907</v>
      </c>
      <c r="R73" s="65">
        <f t="shared" si="49"/>
        <v>1664007.7396608214</v>
      </c>
      <c r="S73" s="65">
        <f t="shared" si="49"/>
        <v>875225.0814009365</v>
      </c>
      <c r="T73" s="25"/>
      <c r="U73" s="25"/>
      <c r="V73" s="25"/>
      <c r="W73" s="25"/>
      <c r="X73" s="25"/>
      <c r="Y73" s="25"/>
      <c r="Z73" s="25"/>
      <c r="AA73" s="25"/>
      <c r="AB73" s="12"/>
      <c r="AC73" s="12"/>
      <c r="AD73" s="12"/>
      <c r="AE73" s="12"/>
      <c r="AF73" s="12"/>
    </row>
    <row r="74" spans="2:32" ht="12.75">
      <c r="B74" s="44" t="s">
        <v>42</v>
      </c>
      <c r="C74" s="24"/>
      <c r="D74" s="24"/>
      <c r="E74" s="12"/>
      <c r="F74" s="56">
        <v>655934.4234557764</v>
      </c>
      <c r="G74" s="56">
        <v>482933.7756636805</v>
      </c>
      <c r="H74" s="56">
        <v>871436.0415234595</v>
      </c>
      <c r="I74" s="56">
        <f>572489.516860768-11689+0.4</f>
        <v>560800.916860768</v>
      </c>
      <c r="J74" s="56">
        <f>773845.309454938-10664.6</f>
        <v>763180.7094549381</v>
      </c>
      <c r="K74" s="56">
        <f>903238.710353375+1199.5</f>
        <v>904438.210353375</v>
      </c>
      <c r="L74" s="56">
        <v>880146.5211117819</v>
      </c>
      <c r="M74" s="56">
        <v>1319626.66939404</v>
      </c>
      <c r="N74" s="56">
        <v>1613834.2592207799</v>
      </c>
      <c r="O74" s="56">
        <v>1906267.64314907</v>
      </c>
      <c r="P74" s="56">
        <v>1047517.431744396</v>
      </c>
      <c r="Q74" s="56">
        <v>1975854.57043421</v>
      </c>
      <c r="R74" s="56">
        <v>1253025.30647806</v>
      </c>
      <c r="S74" s="56">
        <v>-177709.32454058202</v>
      </c>
      <c r="T74" s="24"/>
      <c r="U74" s="24"/>
      <c r="V74" s="24"/>
      <c r="W74" s="24"/>
      <c r="X74" s="24"/>
      <c r="Y74" s="24"/>
      <c r="Z74" s="24"/>
      <c r="AA74" s="24"/>
      <c r="AB74" s="14"/>
      <c r="AC74" s="14"/>
      <c r="AD74" s="14"/>
      <c r="AE74" s="12"/>
      <c r="AF74" s="12"/>
    </row>
    <row r="75" spans="2:34" ht="13.5" thickBot="1">
      <c r="B75" s="76" t="s">
        <v>43</v>
      </c>
      <c r="C75" s="10"/>
      <c r="D75" s="10"/>
      <c r="E75" s="9"/>
      <c r="F75" s="77">
        <v>-188988.72836326231</v>
      </c>
      <c r="G75" s="77">
        <v>237391.50797765204</v>
      </c>
      <c r="H75" s="77">
        <v>-144577.63175642653</v>
      </c>
      <c r="I75" s="77">
        <v>346917.7735831495</v>
      </c>
      <c r="J75" s="77">
        <v>374190.0480288259</v>
      </c>
      <c r="K75" s="77">
        <v>448486.3289540524</v>
      </c>
      <c r="L75" s="77">
        <v>566208.7773559293</v>
      </c>
      <c r="M75" s="77">
        <v>32643.16592814729</v>
      </c>
      <c r="N75" s="77">
        <v>39046.41345775178</v>
      </c>
      <c r="O75" s="77">
        <v>18773.652578742316</v>
      </c>
      <c r="P75" s="77">
        <v>1113014.8591993656</v>
      </c>
      <c r="Q75" s="77">
        <v>711595.7555348806</v>
      </c>
      <c r="R75" s="77">
        <v>410982.43318276125</v>
      </c>
      <c r="S75" s="77">
        <v>1052934.4059415185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39"/>
      <c r="AF75" s="139"/>
      <c r="AG75" s="9"/>
      <c r="AH75" s="9"/>
    </row>
    <row r="76" spans="2:19" ht="15" thickTop="1">
      <c r="B76" s="1" t="s">
        <v>63</v>
      </c>
      <c r="C76" s="61">
        <v>11613320</v>
      </c>
      <c r="D76" s="61">
        <v>13889052.9</v>
      </c>
      <c r="E76" s="61">
        <v>16208974.7</v>
      </c>
      <c r="F76" s="60">
        <v>17626147.7</v>
      </c>
      <c r="G76" s="60">
        <v>19802010.6</v>
      </c>
      <c r="H76" s="60">
        <v>21623524.6</v>
      </c>
      <c r="I76" s="60">
        <v>23752868.6</v>
      </c>
      <c r="J76" s="60">
        <v>25462954.6</v>
      </c>
      <c r="K76" s="60">
        <v>28001327.6</v>
      </c>
      <c r="L76" s="60">
        <v>30401903.2</v>
      </c>
      <c r="M76" s="60">
        <v>32056288.2</v>
      </c>
      <c r="N76" s="60">
        <v>34343647.5</v>
      </c>
      <c r="O76" s="60">
        <v>36014718.7</v>
      </c>
      <c r="P76" s="60">
        <v>37832149.8</v>
      </c>
      <c r="Q76" s="60">
        <v>36495246.1</v>
      </c>
      <c r="R76" s="60">
        <v>40112924.8</v>
      </c>
      <c r="S76" s="60">
        <v>44716666.9</v>
      </c>
    </row>
    <row r="78" ht="14.25">
      <c r="B78" s="1" t="s">
        <v>58</v>
      </c>
    </row>
    <row r="79" ht="14.25">
      <c r="B79" s="1" t="s">
        <v>59</v>
      </c>
    </row>
    <row r="80" ht="14.25">
      <c r="B80" s="1" t="s">
        <v>60</v>
      </c>
    </row>
    <row r="81" ht="14.25">
      <c r="B81" s="1" t="s">
        <v>85</v>
      </c>
    </row>
    <row r="82" ht="14.25">
      <c r="B82" s="1" t="s">
        <v>61</v>
      </c>
    </row>
    <row r="83" ht="14.25">
      <c r="B83" s="1" t="s">
        <v>62</v>
      </c>
    </row>
    <row r="84" ht="14.25">
      <c r="B84" s="1" t="s">
        <v>65</v>
      </c>
    </row>
    <row r="86" spans="1:31" ht="12.75">
      <c r="A86" s="213" t="s">
        <v>46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</row>
    <row r="88" spans="16:19" ht="12.75">
      <c r="P88" s="57"/>
      <c r="Q88" s="57"/>
      <c r="R88" s="57"/>
      <c r="S88" s="57"/>
    </row>
    <row r="89" spans="17:19" ht="12.75">
      <c r="Q89" s="57"/>
      <c r="R89" s="57"/>
      <c r="S89" s="57"/>
    </row>
    <row r="90" ht="12.75">
      <c r="S90" s="57"/>
    </row>
  </sheetData>
  <sheetProtection/>
  <mergeCells count="6">
    <mergeCell ref="A86:AE86"/>
    <mergeCell ref="A2:AF2"/>
    <mergeCell ref="A3:AF3"/>
    <mergeCell ref="A4:AF4"/>
    <mergeCell ref="C6:S6"/>
    <mergeCell ref="T6:AI6"/>
  </mergeCells>
  <printOptions/>
  <pageMargins left="0.2362204724409449" right="0.2755905511811024" top="0.7874015748031497" bottom="0.1968503937007874" header="0" footer="0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L44" sqref="L44:L62"/>
    </sheetView>
  </sheetViews>
  <sheetFormatPr defaultColWidth="11.421875" defaultRowHeight="12.75"/>
  <cols>
    <col min="1" max="1" width="4.7109375" style="72" customWidth="1"/>
    <col min="2" max="2" width="36.8515625" style="72" customWidth="1"/>
    <col min="3" max="5" width="7.8515625" style="72" bestFit="1" customWidth="1"/>
    <col min="6" max="7" width="7.140625" style="72" bestFit="1" customWidth="1"/>
    <col min="8" max="8" width="4.421875" style="72" customWidth="1"/>
    <col min="9" max="9" width="38.7109375" style="72" customWidth="1"/>
    <col min="10" max="10" width="10.7109375" style="72" customWidth="1"/>
    <col min="11" max="12" width="9.140625" style="72" bestFit="1" customWidth="1"/>
    <col min="13" max="13" width="6.8515625" style="72" bestFit="1" customWidth="1"/>
    <col min="14" max="14" width="6.28125" style="72" bestFit="1" customWidth="1"/>
    <col min="15" max="15" width="11.421875" style="72" customWidth="1"/>
    <col min="16" max="26" width="11.421875" style="73" customWidth="1"/>
    <col min="27" max="16384" width="11.421875" style="72" customWidth="1"/>
  </cols>
  <sheetData>
    <row r="1" spans="1:14" ht="11.25">
      <c r="A1" s="140"/>
      <c r="B1" s="141"/>
      <c r="C1" s="142" t="s">
        <v>87</v>
      </c>
      <c r="D1" s="142" t="s">
        <v>87</v>
      </c>
      <c r="E1" s="142" t="s">
        <v>87</v>
      </c>
      <c r="F1" s="143" t="s">
        <v>87</v>
      </c>
      <c r="G1" s="143"/>
      <c r="H1" s="140"/>
      <c r="I1" s="140"/>
      <c r="J1" s="144" t="s">
        <v>87</v>
      </c>
      <c r="K1" s="144" t="s">
        <v>87</v>
      </c>
      <c r="L1" s="144" t="s">
        <v>87</v>
      </c>
      <c r="M1" s="143"/>
      <c r="N1" s="143"/>
    </row>
    <row r="2" spans="1:14" ht="11.25">
      <c r="A2" s="140"/>
      <c r="B2" s="220" t="s">
        <v>88</v>
      </c>
      <c r="C2" s="220"/>
      <c r="D2" s="220"/>
      <c r="E2" s="220"/>
      <c r="F2" s="220"/>
      <c r="G2" s="220"/>
      <c r="H2" s="140"/>
      <c r="I2" s="220" t="s">
        <v>88</v>
      </c>
      <c r="J2" s="220"/>
      <c r="K2" s="220"/>
      <c r="L2" s="220"/>
      <c r="M2" s="220"/>
      <c r="N2" s="220"/>
    </row>
    <row r="3" spans="1:14" ht="11.25">
      <c r="A3" s="140"/>
      <c r="B3" s="220" t="s">
        <v>89</v>
      </c>
      <c r="C3" s="220"/>
      <c r="D3" s="220"/>
      <c r="E3" s="220"/>
      <c r="F3" s="220"/>
      <c r="G3" s="220"/>
      <c r="H3" s="140"/>
      <c r="I3" s="220" t="s">
        <v>89</v>
      </c>
      <c r="J3" s="220"/>
      <c r="K3" s="220"/>
      <c r="L3" s="220"/>
      <c r="M3" s="220"/>
      <c r="N3" s="220"/>
    </row>
    <row r="4" spans="1:14" ht="11.25">
      <c r="A4" s="140"/>
      <c r="B4" s="220" t="s">
        <v>90</v>
      </c>
      <c r="C4" s="220"/>
      <c r="D4" s="220"/>
      <c r="E4" s="220"/>
      <c r="F4" s="220"/>
      <c r="G4" s="220"/>
      <c r="H4" s="140"/>
      <c r="I4" s="220" t="s">
        <v>91</v>
      </c>
      <c r="J4" s="220"/>
      <c r="K4" s="220"/>
      <c r="L4" s="220"/>
      <c r="M4" s="220"/>
      <c r="N4" s="220"/>
    </row>
    <row r="5" spans="1:14" ht="11.25">
      <c r="A5" s="140"/>
      <c r="B5" s="220" t="s">
        <v>92</v>
      </c>
      <c r="C5" s="220"/>
      <c r="D5" s="220"/>
      <c r="E5" s="220"/>
      <c r="F5" s="220"/>
      <c r="G5" s="220"/>
      <c r="H5" s="140"/>
      <c r="I5" s="220" t="s">
        <v>92</v>
      </c>
      <c r="J5" s="220"/>
      <c r="K5" s="220"/>
      <c r="L5" s="220"/>
      <c r="M5" s="220"/>
      <c r="N5" s="220"/>
    </row>
    <row r="6" spans="1:14" ht="11.25">
      <c r="A6" s="140"/>
      <c r="B6" s="145"/>
      <c r="C6" s="145"/>
      <c r="D6" s="145"/>
      <c r="E6" s="145"/>
      <c r="F6" s="145"/>
      <c r="G6" s="145"/>
      <c r="H6" s="140"/>
      <c r="I6" s="145"/>
      <c r="J6" s="145"/>
      <c r="K6" s="145"/>
      <c r="L6" s="145"/>
      <c r="M6" s="145"/>
      <c r="N6" s="145"/>
    </row>
    <row r="7" spans="1:14" ht="11.25" customHeight="1">
      <c r="A7" s="140"/>
      <c r="B7" s="146" t="s">
        <v>0</v>
      </c>
      <c r="C7" s="147">
        <v>2020</v>
      </c>
      <c r="D7" s="147">
        <v>2021</v>
      </c>
      <c r="E7" s="148">
        <v>2022</v>
      </c>
      <c r="F7" s="221" t="s">
        <v>93</v>
      </c>
      <c r="G7" s="222"/>
      <c r="H7" s="140"/>
      <c r="I7" s="146" t="s">
        <v>0</v>
      </c>
      <c r="J7" s="147">
        <v>2020</v>
      </c>
      <c r="K7" s="147">
        <v>2021</v>
      </c>
      <c r="L7" s="148">
        <v>2022</v>
      </c>
      <c r="M7" s="221" t="s">
        <v>93</v>
      </c>
      <c r="N7" s="222"/>
    </row>
    <row r="8" spans="1:14" ht="11.25">
      <c r="A8" s="140"/>
      <c r="B8" s="149"/>
      <c r="C8" s="149"/>
      <c r="D8" s="150"/>
      <c r="E8" s="151"/>
      <c r="F8" s="78" t="s">
        <v>83</v>
      </c>
      <c r="G8" s="79" t="s">
        <v>84</v>
      </c>
      <c r="H8" s="140"/>
      <c r="I8" s="149"/>
      <c r="J8" s="147"/>
      <c r="K8" s="147"/>
      <c r="L8" s="148"/>
      <c r="M8" s="79" t="s">
        <v>83</v>
      </c>
      <c r="N8" s="79" t="s">
        <v>84</v>
      </c>
    </row>
    <row r="9" spans="1:14" ht="11.25">
      <c r="A9" s="144"/>
      <c r="B9" s="152" t="s">
        <v>94</v>
      </c>
      <c r="C9" s="153">
        <v>378237.87459328</v>
      </c>
      <c r="D9" s="154">
        <v>483444.25675225</v>
      </c>
      <c r="E9" s="155">
        <f>E10+E62</f>
        <v>527799.5148912701</v>
      </c>
      <c r="F9" s="80">
        <f>D9/C9-1</f>
        <v>0.27814872392696954</v>
      </c>
      <c r="G9" s="81">
        <f>E9/D9-1</f>
        <v>0.09174844363028756</v>
      </c>
      <c r="H9" s="140"/>
      <c r="I9" s="152" t="s">
        <v>94</v>
      </c>
      <c r="J9" s="156">
        <v>4114594.8577804496</v>
      </c>
      <c r="K9" s="157">
        <v>5525828.96758372</v>
      </c>
      <c r="L9" s="155">
        <f>L10+L62</f>
        <v>6517468.0019568</v>
      </c>
      <c r="M9" s="81">
        <f>K9/J9-1</f>
        <v>0.34298251919863065</v>
      </c>
      <c r="N9" s="81">
        <f>L9/K9-1</f>
        <v>0.17945525281190422</v>
      </c>
    </row>
    <row r="10" spans="1:14" ht="11.25" customHeight="1">
      <c r="A10" s="144"/>
      <c r="B10" s="158" t="s">
        <v>95</v>
      </c>
      <c r="C10" s="159">
        <v>378237.87459328</v>
      </c>
      <c r="D10" s="160">
        <v>483444.25675225</v>
      </c>
      <c r="E10" s="161">
        <f>E12++E59+E60+E61</f>
        <v>527799.5148912701</v>
      </c>
      <c r="F10" s="82">
        <f aca="true" t="shared" si="0" ref="F10:G61">D10/C10-1</f>
        <v>0.27814872392696954</v>
      </c>
      <c r="G10" s="83">
        <f>E10/D10-1</f>
        <v>0.09174844363028756</v>
      </c>
      <c r="H10" s="140"/>
      <c r="I10" s="158" t="s">
        <v>95</v>
      </c>
      <c r="J10" s="159">
        <v>4039594.8577804496</v>
      </c>
      <c r="K10" s="160">
        <v>5519294.01863872</v>
      </c>
      <c r="L10" s="161">
        <f>L12++L59+L60+L61</f>
        <v>6509857.8668668</v>
      </c>
      <c r="M10" s="83">
        <f>K10/J10-1</f>
        <v>0.36629890198228665</v>
      </c>
      <c r="N10" s="83">
        <f>L10/K10-1</f>
        <v>0.17947292622624111</v>
      </c>
    </row>
    <row r="11" spans="1:14" ht="11.25">
      <c r="A11" s="144"/>
      <c r="B11" s="162"/>
      <c r="C11" s="153"/>
      <c r="D11" s="163"/>
      <c r="E11" s="155"/>
      <c r="F11" s="84"/>
      <c r="G11" s="85"/>
      <c r="H11" s="140"/>
      <c r="I11" s="162"/>
      <c r="J11" s="164"/>
      <c r="K11" s="165"/>
      <c r="L11" s="155"/>
      <c r="M11" s="86"/>
      <c r="N11" s="86"/>
    </row>
    <row r="12" spans="1:14" ht="11.25">
      <c r="A12" s="144"/>
      <c r="B12" s="209" t="s">
        <v>96</v>
      </c>
      <c r="C12" s="125">
        <v>340064.80282846</v>
      </c>
      <c r="D12" s="133">
        <v>432045.17124887</v>
      </c>
      <c r="E12" s="134">
        <f>E14+E21+E26+E30+E35+E39+E43+E56+E57</f>
        <v>471429.06962496</v>
      </c>
      <c r="F12" s="87">
        <f t="shared" si="0"/>
        <v>0.2704789429996024</v>
      </c>
      <c r="G12" s="88">
        <f>E12/D12-1</f>
        <v>0.09115689978028652</v>
      </c>
      <c r="H12" s="140"/>
      <c r="I12" s="166" t="s">
        <v>96</v>
      </c>
      <c r="J12" s="89">
        <v>3717163.5760693895</v>
      </c>
      <c r="K12" s="133">
        <v>4836608.92244936</v>
      </c>
      <c r="L12" s="134">
        <f>L14+L21+L26+L30+L35+L39+L43+L56+L57</f>
        <v>5542721.18890288</v>
      </c>
      <c r="M12" s="87">
        <f>K12/J12-1</f>
        <v>0.30115579351600563</v>
      </c>
      <c r="N12" s="88">
        <f>L12/K12-1</f>
        <v>0.14599325225077964</v>
      </c>
    </row>
    <row r="13" spans="1:14" ht="11.25">
      <c r="A13" s="144"/>
      <c r="B13" s="210"/>
      <c r="C13" s="91"/>
      <c r="D13" s="91"/>
      <c r="E13" s="90"/>
      <c r="F13" s="92"/>
      <c r="G13" s="93"/>
      <c r="H13" s="140"/>
      <c r="I13" s="167"/>
      <c r="J13" s="90"/>
      <c r="K13" s="91"/>
      <c r="L13" s="90"/>
      <c r="M13" s="92"/>
      <c r="N13" s="93"/>
    </row>
    <row r="14" spans="1:14" ht="11.25">
      <c r="A14" s="144"/>
      <c r="B14" s="211" t="s">
        <v>97</v>
      </c>
      <c r="C14" s="169">
        <v>92679.06797707001</v>
      </c>
      <c r="D14" s="169">
        <v>106856.13717013999</v>
      </c>
      <c r="E14" s="170">
        <f>SUM(E15:E19)</f>
        <v>126574.05573523001</v>
      </c>
      <c r="F14" s="94">
        <f t="shared" si="0"/>
        <v>0.15296948385991072</v>
      </c>
      <c r="G14" s="95">
        <f>E14/D14-1</f>
        <v>0.18452771256080935</v>
      </c>
      <c r="H14" s="171"/>
      <c r="I14" s="168" t="s">
        <v>97</v>
      </c>
      <c r="J14" s="172">
        <v>1430107.90505727</v>
      </c>
      <c r="K14" s="169">
        <v>1800575.95050087</v>
      </c>
      <c r="L14" s="170">
        <f>SUM(L15:L19)</f>
        <v>2138326.97437302</v>
      </c>
      <c r="M14" s="94">
        <f aca="true" t="shared" si="1" ref="M14:N18">K14/J14-1</f>
        <v>0.25904901590538665</v>
      </c>
      <c r="N14" s="95">
        <f t="shared" si="1"/>
        <v>0.18757943744511163</v>
      </c>
    </row>
    <row r="15" spans="1:14" ht="11.25">
      <c r="A15" s="144"/>
      <c r="B15" s="210" t="s">
        <v>98</v>
      </c>
      <c r="C15" s="97">
        <v>44595.90940804</v>
      </c>
      <c r="D15" s="97">
        <v>49086.872611599996</v>
      </c>
      <c r="E15" s="96">
        <v>53803.71831289</v>
      </c>
      <c r="F15" s="98">
        <f>D15/C15-1</f>
        <v>0.10070347848429195</v>
      </c>
      <c r="G15" s="99">
        <f>E15/D15-1</f>
        <v>0.09609179502251153</v>
      </c>
      <c r="H15" s="140"/>
      <c r="I15" s="167" t="s">
        <v>98</v>
      </c>
      <c r="J15" s="96">
        <v>517342.50599981</v>
      </c>
      <c r="K15" s="97">
        <v>580766.27076371</v>
      </c>
      <c r="L15" s="96">
        <v>643774.61903716</v>
      </c>
      <c r="M15" s="100">
        <f t="shared" si="1"/>
        <v>0.12259530973842558</v>
      </c>
      <c r="N15" s="101">
        <f t="shared" si="1"/>
        <v>0.10849174865233424</v>
      </c>
    </row>
    <row r="16" spans="1:14" ht="11.25">
      <c r="A16" s="144"/>
      <c r="B16" s="210" t="s">
        <v>99</v>
      </c>
      <c r="C16" s="97">
        <v>34382.48147074</v>
      </c>
      <c r="D16" s="97">
        <v>40035.65250038</v>
      </c>
      <c r="E16" s="96">
        <v>52354.23575919</v>
      </c>
      <c r="F16" s="98">
        <f aca="true" t="shared" si="2" ref="F16:G18">D16/C16-1</f>
        <v>0.16442009965019344</v>
      </c>
      <c r="G16" s="99">
        <f t="shared" si="2"/>
        <v>0.3076903332271925</v>
      </c>
      <c r="H16" s="140"/>
      <c r="I16" s="167" t="s">
        <v>99</v>
      </c>
      <c r="J16" s="96">
        <v>752627.7135481201</v>
      </c>
      <c r="K16" s="97">
        <v>1044471.5064116799</v>
      </c>
      <c r="L16" s="96">
        <v>1274237.5043207703</v>
      </c>
      <c r="M16" s="100">
        <f t="shared" si="1"/>
        <v>0.3877664715370601</v>
      </c>
      <c r="N16" s="101">
        <f t="shared" si="1"/>
        <v>0.21998302155552318</v>
      </c>
    </row>
    <row r="17" spans="1:14" ht="11.25">
      <c r="A17" s="144"/>
      <c r="B17" s="210" t="s">
        <v>100</v>
      </c>
      <c r="C17" s="97">
        <v>0</v>
      </c>
      <c r="D17" s="97">
        <v>0</v>
      </c>
      <c r="E17" s="96">
        <v>0</v>
      </c>
      <c r="F17" s="173" t="e">
        <f t="shared" si="2"/>
        <v>#DIV/0!</v>
      </c>
      <c r="G17" s="174" t="e">
        <f t="shared" si="2"/>
        <v>#DIV/0!</v>
      </c>
      <c r="H17" s="140"/>
      <c r="I17" s="167" t="s">
        <v>100</v>
      </c>
      <c r="J17" s="96">
        <v>0</v>
      </c>
      <c r="K17" s="97">
        <v>0</v>
      </c>
      <c r="L17" s="96">
        <v>0</v>
      </c>
      <c r="M17" s="175" t="e">
        <f t="shared" si="1"/>
        <v>#DIV/0!</v>
      </c>
      <c r="N17" s="176" t="e">
        <f t="shared" si="1"/>
        <v>#DIV/0!</v>
      </c>
    </row>
    <row r="18" spans="1:14" ht="11.25">
      <c r="A18" s="144"/>
      <c r="B18" s="210" t="s">
        <v>101</v>
      </c>
      <c r="C18" s="97">
        <v>13700.677098290002</v>
      </c>
      <c r="D18" s="97">
        <v>17733.61205816</v>
      </c>
      <c r="E18" s="96">
        <v>20416.101663150002</v>
      </c>
      <c r="F18" s="98">
        <f t="shared" si="2"/>
        <v>0.2943602663530662</v>
      </c>
      <c r="G18" s="99">
        <f t="shared" si="2"/>
        <v>0.15126583327707754</v>
      </c>
      <c r="H18" s="140"/>
      <c r="I18" s="167" t="s">
        <v>101</v>
      </c>
      <c r="J18" s="96">
        <v>160137.68550934</v>
      </c>
      <c r="K18" s="97">
        <v>175338.17332548</v>
      </c>
      <c r="L18" s="96">
        <v>220314.85101509004</v>
      </c>
      <c r="M18" s="100">
        <f t="shared" si="1"/>
        <v>0.09492136574718657</v>
      </c>
      <c r="N18" s="101">
        <f t="shared" si="1"/>
        <v>0.2565138944736234</v>
      </c>
    </row>
    <row r="19" spans="1:14" ht="11.25">
      <c r="A19" s="144"/>
      <c r="B19" s="210" t="s">
        <v>102</v>
      </c>
      <c r="C19" s="97">
        <v>0</v>
      </c>
      <c r="D19" s="97">
        <v>0</v>
      </c>
      <c r="E19" s="96">
        <v>0</v>
      </c>
      <c r="F19" s="98">
        <v>0</v>
      </c>
      <c r="G19" s="99">
        <v>0</v>
      </c>
      <c r="H19" s="140"/>
      <c r="I19" s="167" t="s">
        <v>102</v>
      </c>
      <c r="J19" s="96">
        <v>0</v>
      </c>
      <c r="K19" s="97">
        <v>0</v>
      </c>
      <c r="L19" s="96">
        <v>0</v>
      </c>
      <c r="M19" s="100">
        <v>0</v>
      </c>
      <c r="N19" s="101">
        <v>0</v>
      </c>
    </row>
    <row r="20" spans="1:14" ht="11.25">
      <c r="A20" s="144"/>
      <c r="B20" s="212"/>
      <c r="C20" s="177"/>
      <c r="D20" s="177"/>
      <c r="E20" s="178"/>
      <c r="F20" s="98"/>
      <c r="G20" s="99"/>
      <c r="H20" s="144"/>
      <c r="I20" s="167"/>
      <c r="J20" s="179"/>
      <c r="K20" s="177"/>
      <c r="L20" s="178"/>
      <c r="M20" s="98"/>
      <c r="N20" s="99"/>
    </row>
    <row r="21" spans="1:14" ht="11.25">
      <c r="A21" s="144"/>
      <c r="B21" s="180" t="s">
        <v>103</v>
      </c>
      <c r="C21" s="181">
        <v>12480.29882555</v>
      </c>
      <c r="D21" s="182">
        <v>17909.47037226</v>
      </c>
      <c r="E21" s="183">
        <f>SUM(E22:E24)</f>
        <v>24128.63511964</v>
      </c>
      <c r="F21" s="102">
        <f t="shared" si="0"/>
        <v>0.4350193551131367</v>
      </c>
      <c r="G21" s="103">
        <f>E21/D21-1</f>
        <v>0.3472556484424505</v>
      </c>
      <c r="H21" s="140"/>
      <c r="I21" s="180" t="s">
        <v>103</v>
      </c>
      <c r="J21" s="181">
        <v>64715.962416509996</v>
      </c>
      <c r="K21" s="182">
        <v>89371.3647489</v>
      </c>
      <c r="L21" s="183">
        <f>SUM(L22:L24)</f>
        <v>103252.73283038</v>
      </c>
      <c r="M21" s="104">
        <f aca="true" t="shared" si="3" ref="M21:N24">K21/J21-1</f>
        <v>0.3809786861193314</v>
      </c>
      <c r="N21" s="102">
        <f t="shared" si="3"/>
        <v>0.1553223241077435</v>
      </c>
    </row>
    <row r="22" spans="1:14" ht="11.25">
      <c r="A22" s="144"/>
      <c r="B22" s="167" t="s">
        <v>104</v>
      </c>
      <c r="C22" s="96">
        <v>11944.98685099</v>
      </c>
      <c r="D22" s="97">
        <v>17355.044131</v>
      </c>
      <c r="E22" s="96">
        <v>23398.46663611</v>
      </c>
      <c r="F22" s="99">
        <f t="shared" si="0"/>
        <v>0.4529144608946649</v>
      </c>
      <c r="G22" s="105">
        <f>E22/D22-1</f>
        <v>0.3482228255654558</v>
      </c>
      <c r="H22" s="140"/>
      <c r="I22" s="167" t="s">
        <v>104</v>
      </c>
      <c r="J22" s="96">
        <v>34963.99741093</v>
      </c>
      <c r="K22" s="97">
        <v>59248.510800350006</v>
      </c>
      <c r="L22" s="96">
        <v>74374.21890148999</v>
      </c>
      <c r="M22" s="71">
        <f t="shared" si="3"/>
        <v>0.6945576932753257</v>
      </c>
      <c r="N22" s="99">
        <f t="shared" si="3"/>
        <v>0.25529262924614526</v>
      </c>
    </row>
    <row r="23" spans="1:14" ht="11.25">
      <c r="A23" s="144"/>
      <c r="B23" s="167" t="s">
        <v>105</v>
      </c>
      <c r="C23" s="96">
        <v>55.794989</v>
      </c>
      <c r="D23" s="97">
        <v>91.008066</v>
      </c>
      <c r="E23" s="96">
        <v>40.8787</v>
      </c>
      <c r="F23" s="99">
        <f t="shared" si="0"/>
        <v>0.6311154035714568</v>
      </c>
      <c r="G23" s="105">
        <f>E23/D23-1</f>
        <v>-0.5508233303188752</v>
      </c>
      <c r="H23" s="140"/>
      <c r="I23" s="167" t="s">
        <v>105</v>
      </c>
      <c r="J23" s="96">
        <v>4485.247084889999</v>
      </c>
      <c r="K23" s="97">
        <v>5028.624959</v>
      </c>
      <c r="L23" s="96">
        <v>5160.699305</v>
      </c>
      <c r="M23" s="71">
        <f t="shared" si="3"/>
        <v>0.1211478127794885</v>
      </c>
      <c r="N23" s="99">
        <f t="shared" si="3"/>
        <v>0.02626450512353684</v>
      </c>
    </row>
    <row r="24" spans="1:15" ht="11.25">
      <c r="A24" s="144"/>
      <c r="B24" s="184" t="s">
        <v>106</v>
      </c>
      <c r="C24" s="96">
        <v>479.51698556</v>
      </c>
      <c r="D24" s="97">
        <v>463.41817526</v>
      </c>
      <c r="E24" s="96">
        <v>689.28978353</v>
      </c>
      <c r="F24" s="99">
        <f t="shared" si="0"/>
        <v>-0.033572971937999574</v>
      </c>
      <c r="G24" s="105">
        <f t="shared" si="0"/>
        <v>0.4874034302674364</v>
      </c>
      <c r="H24" s="140"/>
      <c r="I24" s="184" t="s">
        <v>106</v>
      </c>
      <c r="J24" s="96">
        <v>25266.71792069</v>
      </c>
      <c r="K24" s="97">
        <v>25094.228989549996</v>
      </c>
      <c r="L24" s="96">
        <v>23717.81462389</v>
      </c>
      <c r="M24" s="71">
        <f t="shared" si="3"/>
        <v>-0.0068267248513016465</v>
      </c>
      <c r="N24" s="99">
        <f t="shared" si="3"/>
        <v>-0.054849836838309574</v>
      </c>
      <c r="O24" s="75"/>
    </row>
    <row r="25" spans="1:14" ht="11.25">
      <c r="A25" s="144"/>
      <c r="B25" s="185"/>
      <c r="C25" s="106"/>
      <c r="D25" s="109"/>
      <c r="E25" s="106"/>
      <c r="F25" s="107"/>
      <c r="G25" s="108"/>
      <c r="H25" s="140"/>
      <c r="I25" s="185"/>
      <c r="J25" s="106"/>
      <c r="K25" s="109"/>
      <c r="L25" s="106"/>
      <c r="M25" s="110"/>
      <c r="N25" s="107"/>
    </row>
    <row r="26" spans="1:14" ht="11.25">
      <c r="A26" s="144"/>
      <c r="B26" s="168" t="s">
        <v>107</v>
      </c>
      <c r="C26" s="172">
        <v>11687.784921760001</v>
      </c>
      <c r="D26" s="169">
        <v>19328.52112581</v>
      </c>
      <c r="E26" s="170">
        <f>SUM(E27:E28)</f>
        <v>18726.70761701</v>
      </c>
      <c r="F26" s="111">
        <f t="shared" si="0"/>
        <v>0.6537368932777572</v>
      </c>
      <c r="G26" s="112">
        <f>E26/D26-1</f>
        <v>-0.03113603492387096</v>
      </c>
      <c r="H26" s="140"/>
      <c r="I26" s="168" t="s">
        <v>107</v>
      </c>
      <c r="J26" s="172">
        <v>114100.86223997</v>
      </c>
      <c r="K26" s="169">
        <v>163269.56760288</v>
      </c>
      <c r="L26" s="170">
        <f>SUM(L27:L28)</f>
        <v>146501.18217731</v>
      </c>
      <c r="M26" s="112">
        <f aca="true" t="shared" si="4" ref="M26:N28">K26/J26-1</f>
        <v>0.43092317093539023</v>
      </c>
      <c r="N26" s="112">
        <f t="shared" si="4"/>
        <v>-0.10270368000456576</v>
      </c>
    </row>
    <row r="27" spans="1:14" ht="11.25">
      <c r="A27" s="144"/>
      <c r="B27" s="167" t="s">
        <v>108</v>
      </c>
      <c r="C27" s="96">
        <v>9698.695571620001</v>
      </c>
      <c r="D27" s="97">
        <v>16369.6069729</v>
      </c>
      <c r="E27" s="96">
        <v>14837.00337362</v>
      </c>
      <c r="F27" s="98">
        <f t="shared" si="0"/>
        <v>0.6878153203200021</v>
      </c>
      <c r="G27" s="99">
        <f>E27/D27-1</f>
        <v>-0.09362494785716202</v>
      </c>
      <c r="H27" s="140"/>
      <c r="I27" s="167" t="s">
        <v>108</v>
      </c>
      <c r="J27" s="96">
        <v>97708.40930272</v>
      </c>
      <c r="K27" s="97">
        <v>136475.50645309</v>
      </c>
      <c r="L27" s="96">
        <v>117714.80597776001</v>
      </c>
      <c r="M27" s="99">
        <f t="shared" si="4"/>
        <v>0.39676315914899263</v>
      </c>
      <c r="N27" s="99">
        <f t="shared" si="4"/>
        <v>-0.13746569595459612</v>
      </c>
    </row>
    <row r="28" spans="1:14" ht="11.25">
      <c r="A28" s="144"/>
      <c r="B28" s="167" t="s">
        <v>109</v>
      </c>
      <c r="C28" s="96">
        <v>1989.08935014</v>
      </c>
      <c r="D28" s="97">
        <v>2958.9141529099998</v>
      </c>
      <c r="E28" s="96">
        <v>3889.7042433899996</v>
      </c>
      <c r="F28" s="98">
        <f t="shared" si="0"/>
        <v>0.48757226652575447</v>
      </c>
      <c r="G28" s="99">
        <f>E28/D28-1</f>
        <v>0.3145715091343886</v>
      </c>
      <c r="H28" s="140"/>
      <c r="I28" s="167" t="s">
        <v>109</v>
      </c>
      <c r="J28" s="96">
        <v>16392.45293725</v>
      </c>
      <c r="K28" s="97">
        <v>26794.061149790003</v>
      </c>
      <c r="L28" s="96">
        <v>28786.376199549995</v>
      </c>
      <c r="M28" s="99">
        <f t="shared" si="4"/>
        <v>0.634536408453156</v>
      </c>
      <c r="N28" s="99">
        <f t="shared" si="4"/>
        <v>0.07435659113495774</v>
      </c>
    </row>
    <row r="29" spans="1:14" ht="11.25">
      <c r="A29" s="144"/>
      <c r="B29" s="167"/>
      <c r="C29" s="179"/>
      <c r="D29" s="177"/>
      <c r="E29" s="178"/>
      <c r="F29" s="98"/>
      <c r="G29" s="99"/>
      <c r="H29" s="140"/>
      <c r="I29" s="167"/>
      <c r="J29" s="179"/>
      <c r="K29" s="177"/>
      <c r="L29" s="178"/>
      <c r="M29" s="99"/>
      <c r="N29" s="99"/>
    </row>
    <row r="30" spans="1:14" ht="11.25">
      <c r="A30" s="144"/>
      <c r="B30" s="180" t="s">
        <v>110</v>
      </c>
      <c r="C30" s="181">
        <v>489.37475548000003</v>
      </c>
      <c r="D30" s="182">
        <v>453.6157204</v>
      </c>
      <c r="E30" s="183">
        <f>SUM(E31:E33)</f>
        <v>497.54405268999994</v>
      </c>
      <c r="F30" s="102">
        <f t="shared" si="0"/>
        <v>-0.073070861705823</v>
      </c>
      <c r="G30" s="103">
        <f>E30/D30-1</f>
        <v>0.09684040987658848</v>
      </c>
      <c r="H30" s="140"/>
      <c r="I30" s="180" t="s">
        <v>110</v>
      </c>
      <c r="J30" s="181">
        <v>4959.162926540001</v>
      </c>
      <c r="K30" s="182">
        <v>5796.81618237</v>
      </c>
      <c r="L30" s="183">
        <f>SUM(L31:L33)</f>
        <v>4380.718687299999</v>
      </c>
      <c r="M30" s="104">
        <f aca="true" t="shared" si="5" ref="M30:N37">K30/J30-1</f>
        <v>0.16891021090416736</v>
      </c>
      <c r="N30" s="102">
        <f t="shared" si="5"/>
        <v>-0.24428883899696752</v>
      </c>
    </row>
    <row r="31" spans="1:14" ht="11.25">
      <c r="A31" s="144"/>
      <c r="B31" s="167" t="s">
        <v>111</v>
      </c>
      <c r="C31" s="96">
        <v>16.403235</v>
      </c>
      <c r="D31" s="97">
        <v>13.6373295</v>
      </c>
      <c r="E31" s="96">
        <v>15.8943225</v>
      </c>
      <c r="F31" s="99">
        <f t="shared" si="0"/>
        <v>-0.16861951316310464</v>
      </c>
      <c r="G31" s="105">
        <f>E31/D31-1</f>
        <v>0.16550109755725995</v>
      </c>
      <c r="H31" s="140"/>
      <c r="I31" s="167" t="s">
        <v>111</v>
      </c>
      <c r="J31" s="96">
        <v>181.646208</v>
      </c>
      <c r="K31" s="97">
        <v>188.44083000000003</v>
      </c>
      <c r="L31" s="96">
        <v>133.9859085</v>
      </c>
      <c r="M31" s="71">
        <f t="shared" si="5"/>
        <v>0.03740580150178552</v>
      </c>
      <c r="N31" s="99">
        <f t="shared" si="5"/>
        <v>-0.2889762346090283</v>
      </c>
    </row>
    <row r="32" spans="1:14" ht="11.25">
      <c r="A32" s="144"/>
      <c r="B32" s="167" t="s">
        <v>112</v>
      </c>
      <c r="C32" s="96">
        <v>326.94776023000003</v>
      </c>
      <c r="D32" s="97">
        <v>277.5709359</v>
      </c>
      <c r="E32" s="96">
        <v>320.18114369</v>
      </c>
      <c r="F32" s="99">
        <f t="shared" si="0"/>
        <v>-0.15102358950330352</v>
      </c>
      <c r="G32" s="105">
        <f>E32/D32-1</f>
        <v>0.15351105709911606</v>
      </c>
      <c r="H32" s="140"/>
      <c r="I32" s="167" t="s">
        <v>112</v>
      </c>
      <c r="J32" s="96">
        <v>3426.74235629</v>
      </c>
      <c r="K32" s="97">
        <v>3761.26696462</v>
      </c>
      <c r="L32" s="96">
        <v>2794.86547205</v>
      </c>
      <c r="M32" s="71">
        <f t="shared" si="5"/>
        <v>0.09762175662724082</v>
      </c>
      <c r="N32" s="99">
        <f t="shared" si="5"/>
        <v>-0.25693509704585293</v>
      </c>
    </row>
    <row r="33" spans="1:14" ht="11.25">
      <c r="A33" s="144"/>
      <c r="B33" s="186" t="s">
        <v>113</v>
      </c>
      <c r="C33" s="96">
        <v>146.02376025</v>
      </c>
      <c r="D33" s="97">
        <v>162.407455</v>
      </c>
      <c r="E33" s="96">
        <v>161.4685865</v>
      </c>
      <c r="F33" s="99">
        <f t="shared" si="0"/>
        <v>0.11219882793012781</v>
      </c>
      <c r="G33" s="105">
        <f t="shared" si="0"/>
        <v>-0.0057809446001109155</v>
      </c>
      <c r="H33" s="140"/>
      <c r="I33" s="186" t="s">
        <v>113</v>
      </c>
      <c r="J33" s="96">
        <v>1350.7743622500002</v>
      </c>
      <c r="K33" s="97">
        <v>1847.10838775</v>
      </c>
      <c r="L33" s="96">
        <v>1451.8673067499997</v>
      </c>
      <c r="M33" s="71">
        <f t="shared" si="5"/>
        <v>0.3674440671743655</v>
      </c>
      <c r="N33" s="99">
        <f t="shared" si="5"/>
        <v>-0.21397828282370124</v>
      </c>
    </row>
    <row r="34" spans="1:14" ht="11.25">
      <c r="A34" s="144"/>
      <c r="B34" s="187"/>
      <c r="C34" s="106"/>
      <c r="D34" s="109"/>
      <c r="E34" s="106"/>
      <c r="F34" s="107"/>
      <c r="G34" s="108"/>
      <c r="H34" s="140"/>
      <c r="I34" s="187"/>
      <c r="J34" s="106"/>
      <c r="K34" s="109"/>
      <c r="L34" s="106"/>
      <c r="M34" s="110"/>
      <c r="N34" s="107"/>
    </row>
    <row r="35" spans="1:14" ht="11.25">
      <c r="A35" s="144"/>
      <c r="B35" s="168" t="s">
        <v>114</v>
      </c>
      <c r="C35" s="172">
        <v>153969.75066117</v>
      </c>
      <c r="D35" s="169">
        <v>188389.40279334004</v>
      </c>
      <c r="E35" s="188">
        <f>SUM(E36:E37)</f>
        <v>203786.00184893003</v>
      </c>
      <c r="F35" s="113">
        <f t="shared" si="0"/>
        <v>0.22354814490746855</v>
      </c>
      <c r="G35" s="112">
        <f>E35/D35-1</f>
        <v>0.08172752196937427</v>
      </c>
      <c r="H35" s="140"/>
      <c r="I35" s="168" t="s">
        <v>114</v>
      </c>
      <c r="J35" s="172">
        <v>1400185.54592295</v>
      </c>
      <c r="K35" s="169">
        <v>1830892.8056562098</v>
      </c>
      <c r="L35" s="188">
        <f>SUM(L36:L37)</f>
        <v>1944555.9561386202</v>
      </c>
      <c r="M35" s="112">
        <f>K35/J35-1</f>
        <v>0.3076072746125613</v>
      </c>
      <c r="N35" s="112">
        <f t="shared" si="5"/>
        <v>0.06208072374923801</v>
      </c>
    </row>
    <row r="36" spans="1:14" ht="11.25">
      <c r="A36" s="144"/>
      <c r="B36" s="167" t="s">
        <v>115</v>
      </c>
      <c r="C36" s="96">
        <v>91762.97471678</v>
      </c>
      <c r="D36" s="97">
        <v>99169.13003927</v>
      </c>
      <c r="E36" s="97">
        <v>116836.67475763001</v>
      </c>
      <c r="F36" s="71">
        <f t="shared" si="0"/>
        <v>0.0807096254818307</v>
      </c>
      <c r="G36" s="99">
        <f>E36/D36-1</f>
        <v>0.17815568928923575</v>
      </c>
      <c r="H36" s="140"/>
      <c r="I36" s="167" t="s">
        <v>115</v>
      </c>
      <c r="J36" s="96">
        <v>886365.8603270699</v>
      </c>
      <c r="K36" s="97">
        <v>1077294.7007736298</v>
      </c>
      <c r="L36" s="97">
        <v>1223111.35049515</v>
      </c>
      <c r="M36" s="99">
        <f>K36/J36-1</f>
        <v>0.21540635644078954</v>
      </c>
      <c r="N36" s="99">
        <f t="shared" si="5"/>
        <v>0.13535446671816542</v>
      </c>
    </row>
    <row r="37" spans="1:14" ht="11.25">
      <c r="A37" s="144"/>
      <c r="B37" s="167" t="s">
        <v>116</v>
      </c>
      <c r="C37" s="96">
        <v>62206.77594439</v>
      </c>
      <c r="D37" s="97">
        <v>89220.27275407001</v>
      </c>
      <c r="E37" s="97">
        <v>86949.3270913</v>
      </c>
      <c r="F37" s="71">
        <f t="shared" si="0"/>
        <v>0.43425328510561045</v>
      </c>
      <c r="G37" s="99">
        <f>E37/D37-1</f>
        <v>-0.0254532472572655</v>
      </c>
      <c r="H37" s="140"/>
      <c r="I37" s="167" t="s">
        <v>116</v>
      </c>
      <c r="J37" s="96">
        <v>513819.68559588003</v>
      </c>
      <c r="K37" s="97">
        <v>753598.10488258</v>
      </c>
      <c r="L37" s="97">
        <v>721444.6056434701</v>
      </c>
      <c r="M37" s="99">
        <f>K37/J37-1</f>
        <v>0.4666586859330377</v>
      </c>
      <c r="N37" s="99">
        <f t="shared" si="5"/>
        <v>-0.04266664025663902</v>
      </c>
    </row>
    <row r="38" spans="1:14" ht="11.25">
      <c r="A38" s="144"/>
      <c r="B38" s="189" t="s">
        <v>87</v>
      </c>
      <c r="C38" s="190"/>
      <c r="D38" s="191"/>
      <c r="E38" s="192"/>
      <c r="F38" s="71"/>
      <c r="G38" s="107"/>
      <c r="H38" s="140"/>
      <c r="I38" s="189" t="s">
        <v>87</v>
      </c>
      <c r="J38" s="190"/>
      <c r="K38" s="191"/>
      <c r="L38" s="192"/>
      <c r="M38" s="99"/>
      <c r="N38" s="99"/>
    </row>
    <row r="39" spans="1:14" ht="11.25">
      <c r="A39" s="144"/>
      <c r="B39" s="180" t="s">
        <v>117</v>
      </c>
      <c r="C39" s="181">
        <v>13140.64256341</v>
      </c>
      <c r="D39" s="182">
        <v>23135.771384570002</v>
      </c>
      <c r="E39" s="193">
        <f>SUM(E40:E41)</f>
        <v>26383.358971119997</v>
      </c>
      <c r="F39" s="114">
        <f t="shared" si="0"/>
        <v>0.7606270981748904</v>
      </c>
      <c r="G39" s="102">
        <f>E39/D39-1</f>
        <v>0.14037083668262373</v>
      </c>
      <c r="H39" s="140"/>
      <c r="I39" s="180" t="s">
        <v>117</v>
      </c>
      <c r="J39" s="181">
        <v>118318.40509665</v>
      </c>
      <c r="K39" s="182">
        <v>189040.14722897997</v>
      </c>
      <c r="L39" s="193">
        <f>SUM(L40:L41)</f>
        <v>184797.54114929</v>
      </c>
      <c r="M39" s="102">
        <f aca="true" t="shared" si="6" ref="M39:N41">K39/J39-1</f>
        <v>0.5977239303940916</v>
      </c>
      <c r="N39" s="102">
        <f t="shared" si="6"/>
        <v>-0.022442883915822498</v>
      </c>
    </row>
    <row r="40" spans="1:14" ht="11.25">
      <c r="A40" s="144"/>
      <c r="B40" s="167" t="s">
        <v>118</v>
      </c>
      <c r="C40" s="96">
        <v>952.470453</v>
      </c>
      <c r="D40" s="97">
        <v>710.674169</v>
      </c>
      <c r="E40" s="97">
        <v>822.999727</v>
      </c>
      <c r="F40" s="98">
        <f t="shared" si="0"/>
        <v>-0.25386224133086044</v>
      </c>
      <c r="G40" s="99">
        <f>E40/D40-1</f>
        <v>0.15805493276624216</v>
      </c>
      <c r="H40" s="140"/>
      <c r="I40" s="167" t="s">
        <v>118</v>
      </c>
      <c r="J40" s="96">
        <v>6999.344131</v>
      </c>
      <c r="K40" s="97">
        <v>9260.743846</v>
      </c>
      <c r="L40" s="97">
        <v>10476.727571000001</v>
      </c>
      <c r="M40" s="99">
        <f t="shared" si="6"/>
        <v>0.32308737399898524</v>
      </c>
      <c r="N40" s="99">
        <f t="shared" si="6"/>
        <v>0.13130518943413194</v>
      </c>
    </row>
    <row r="41" spans="1:14" ht="11.25">
      <c r="A41" s="144"/>
      <c r="B41" s="167" t="s">
        <v>119</v>
      </c>
      <c r="C41" s="96">
        <v>12188.17211041</v>
      </c>
      <c r="D41" s="97">
        <v>22425.09721557</v>
      </c>
      <c r="E41" s="97">
        <v>25560.359244119998</v>
      </c>
      <c r="F41" s="98">
        <f t="shared" si="0"/>
        <v>0.8399065103795649</v>
      </c>
      <c r="G41" s="99">
        <f>E41/D41-1</f>
        <v>0.13981040966784075</v>
      </c>
      <c r="H41" s="140"/>
      <c r="I41" s="167" t="s">
        <v>119</v>
      </c>
      <c r="J41" s="96">
        <v>111319.06096565</v>
      </c>
      <c r="K41" s="97">
        <v>179779.40338297997</v>
      </c>
      <c r="L41" s="97">
        <v>174320.81357829</v>
      </c>
      <c r="M41" s="99">
        <f t="shared" si="6"/>
        <v>0.6149920941073601</v>
      </c>
      <c r="N41" s="99">
        <f t="shared" si="6"/>
        <v>-0.03036270953164566</v>
      </c>
    </row>
    <row r="42" spans="1:14" ht="11.25">
      <c r="A42" s="144"/>
      <c r="B42" s="194" t="s">
        <v>87</v>
      </c>
      <c r="C42" s="190"/>
      <c r="D42" s="191"/>
      <c r="E42" s="192"/>
      <c r="F42" s="115"/>
      <c r="G42" s="107"/>
      <c r="H42" s="140"/>
      <c r="I42" s="194" t="s">
        <v>87</v>
      </c>
      <c r="J42" s="190"/>
      <c r="K42" s="191"/>
      <c r="L42" s="192"/>
      <c r="M42" s="107"/>
      <c r="N42" s="107"/>
    </row>
    <row r="43" spans="1:14" ht="11.25">
      <c r="A43" s="144"/>
      <c r="B43" s="180" t="s">
        <v>120</v>
      </c>
      <c r="C43" s="181">
        <v>55617.88312402001</v>
      </c>
      <c r="D43" s="182">
        <v>75972.25268235</v>
      </c>
      <c r="E43" s="193">
        <f>SUM(E44:E55)</f>
        <v>70957.00880986</v>
      </c>
      <c r="F43" s="113">
        <f t="shared" si="0"/>
        <v>0.365968073846727</v>
      </c>
      <c r="G43" s="112">
        <f>E43/D43-1</f>
        <v>-0.06601415247563336</v>
      </c>
      <c r="H43" s="140"/>
      <c r="I43" s="180" t="s">
        <v>120</v>
      </c>
      <c r="J43" s="181">
        <v>584775.7324094998</v>
      </c>
      <c r="K43" s="182">
        <v>757662.2705291499</v>
      </c>
      <c r="L43" s="193">
        <f>SUM(L44:L55)</f>
        <v>787639.7654835401</v>
      </c>
      <c r="M43" s="102">
        <f aca="true" t="shared" si="7" ref="M43:M57">K43/J43-1</f>
        <v>0.29564588360616706</v>
      </c>
      <c r="N43" s="103">
        <f>L43/K43-1</f>
        <v>0.039565775043086227</v>
      </c>
    </row>
    <row r="44" spans="1:14" ht="11.25">
      <c r="A44" s="144"/>
      <c r="B44" s="167" t="s">
        <v>121</v>
      </c>
      <c r="C44" s="96">
        <v>39386.57472606</v>
      </c>
      <c r="D44" s="97">
        <v>46034.7379004</v>
      </c>
      <c r="E44" s="97">
        <v>39893.850114220004</v>
      </c>
      <c r="F44" s="71">
        <f>D44/C44-1</f>
        <v>0.16879262085060853</v>
      </c>
      <c r="G44" s="99">
        <f>E44/D44-1</f>
        <v>-0.13339682305710787</v>
      </c>
      <c r="H44" s="140"/>
      <c r="I44" s="167" t="s">
        <v>121</v>
      </c>
      <c r="J44" s="96">
        <v>398547.17428187997</v>
      </c>
      <c r="K44" s="97">
        <v>475439.84378169</v>
      </c>
      <c r="L44" s="96">
        <v>471350.81146402995</v>
      </c>
      <c r="M44" s="99">
        <f>K44/J44-1</f>
        <v>0.19293241669159666</v>
      </c>
      <c r="N44" s="105">
        <f>L44/K44-1</f>
        <v>-0.008600525116144064</v>
      </c>
    </row>
    <row r="45" spans="1:14" ht="11.25">
      <c r="A45" s="144"/>
      <c r="B45" s="167" t="s">
        <v>122</v>
      </c>
      <c r="C45" s="96">
        <v>3125.47741375</v>
      </c>
      <c r="D45" s="97">
        <v>3582.54033643</v>
      </c>
      <c r="E45" s="97">
        <v>4137.5123191</v>
      </c>
      <c r="F45" s="71">
        <f t="shared" si="0"/>
        <v>0.14623779415881577</v>
      </c>
      <c r="G45" s="99">
        <f t="shared" si="0"/>
        <v>0.15491018399056733</v>
      </c>
      <c r="H45" s="140"/>
      <c r="I45" s="167" t="s">
        <v>122</v>
      </c>
      <c r="J45" s="96">
        <v>35308.815310750004</v>
      </c>
      <c r="K45" s="97">
        <v>39238.13238736</v>
      </c>
      <c r="L45" s="96">
        <v>45106.62590954</v>
      </c>
      <c r="M45" s="99">
        <f>K45/J45-1</f>
        <v>0.11128430795619715</v>
      </c>
      <c r="N45" s="105">
        <f aca="true" t="shared" si="8" ref="N45:N54">L45/K45-1</f>
        <v>0.14956097971855709</v>
      </c>
    </row>
    <row r="46" spans="1:14" ht="11.25">
      <c r="A46" s="144"/>
      <c r="B46" s="167" t="s">
        <v>123</v>
      </c>
      <c r="C46" s="96">
        <v>228.7875321</v>
      </c>
      <c r="D46" s="97">
        <v>335.72440006</v>
      </c>
      <c r="E46" s="97">
        <v>311.02307109</v>
      </c>
      <c r="F46" s="71">
        <f t="shared" si="0"/>
        <v>0.46740688611151815</v>
      </c>
      <c r="G46" s="99">
        <f t="shared" si="0"/>
        <v>-0.07357621002699077</v>
      </c>
      <c r="H46" s="140"/>
      <c r="I46" s="167" t="s">
        <v>123</v>
      </c>
      <c r="J46" s="96">
        <v>2811.4170051300002</v>
      </c>
      <c r="K46" s="97">
        <v>2851.92856071</v>
      </c>
      <c r="L46" s="96">
        <v>2551.76116983</v>
      </c>
      <c r="M46" s="99">
        <f t="shared" si="7"/>
        <v>0.014409657303088963</v>
      </c>
      <c r="N46" s="105">
        <f>L46/K46-1</f>
        <v>-0.10525066967500474</v>
      </c>
    </row>
    <row r="47" spans="1:14" ht="11.25">
      <c r="A47" s="144"/>
      <c r="B47" s="167" t="s">
        <v>124</v>
      </c>
      <c r="C47" s="96">
        <v>4322.22628326</v>
      </c>
      <c r="D47" s="97">
        <v>4818.31171654</v>
      </c>
      <c r="E47" s="97">
        <v>5312.28526749</v>
      </c>
      <c r="F47" s="71">
        <f t="shared" si="0"/>
        <v>0.11477544227643532</v>
      </c>
      <c r="G47" s="99">
        <f t="shared" si="0"/>
        <v>0.10252004851706009</v>
      </c>
      <c r="H47" s="140"/>
      <c r="I47" s="167" t="s">
        <v>124</v>
      </c>
      <c r="J47" s="96">
        <v>39376.02358249</v>
      </c>
      <c r="K47" s="97">
        <v>47624.55030463</v>
      </c>
      <c r="L47" s="96">
        <v>49219.227501999994</v>
      </c>
      <c r="M47" s="99">
        <f t="shared" si="7"/>
        <v>0.20948094732978606</v>
      </c>
      <c r="N47" s="105">
        <f t="shared" si="8"/>
        <v>0.03348435181371068</v>
      </c>
    </row>
    <row r="48" spans="1:14" ht="11.25">
      <c r="A48" s="144"/>
      <c r="B48" s="184" t="s">
        <v>125</v>
      </c>
      <c r="C48" s="96">
        <v>1100.98662566</v>
      </c>
      <c r="D48" s="97">
        <v>3252.9119279</v>
      </c>
      <c r="E48" s="97">
        <v>4230.9053677</v>
      </c>
      <c r="F48" s="71">
        <f>D48/C48-1</f>
        <v>1.9545426366555558</v>
      </c>
      <c r="G48" s="99">
        <f t="shared" si="0"/>
        <v>0.30065168116351937</v>
      </c>
      <c r="H48" s="140"/>
      <c r="I48" s="184" t="s">
        <v>125</v>
      </c>
      <c r="J48" s="96">
        <v>21026.23678087</v>
      </c>
      <c r="K48" s="97">
        <v>23290.480518680004</v>
      </c>
      <c r="L48" s="96">
        <v>19811.89813003</v>
      </c>
      <c r="M48" s="99">
        <f t="shared" si="7"/>
        <v>0.10768658992131441</v>
      </c>
      <c r="N48" s="105">
        <f t="shared" si="8"/>
        <v>-0.1493564027526193</v>
      </c>
    </row>
    <row r="49" spans="1:14" ht="11.25">
      <c r="A49" s="144"/>
      <c r="B49" s="167" t="s">
        <v>126</v>
      </c>
      <c r="C49" s="96">
        <v>1981.247473</v>
      </c>
      <c r="D49" s="97">
        <v>2219.81792916</v>
      </c>
      <c r="E49" s="97">
        <v>2254.670702</v>
      </c>
      <c r="F49" s="71">
        <f t="shared" si="0"/>
        <v>0.12041426394793442</v>
      </c>
      <c r="G49" s="99">
        <f t="shared" si="0"/>
        <v>0.015700734903600244</v>
      </c>
      <c r="H49" s="140"/>
      <c r="I49" s="167" t="s">
        <v>126</v>
      </c>
      <c r="J49" s="96">
        <v>20360.694236</v>
      </c>
      <c r="K49" s="97">
        <v>25974.49248271</v>
      </c>
      <c r="L49" s="96">
        <v>25771.544629709995</v>
      </c>
      <c r="M49" s="99">
        <f t="shared" si="7"/>
        <v>0.275717427983579</v>
      </c>
      <c r="N49" s="105">
        <f t="shared" si="8"/>
        <v>-0.00781335200813249</v>
      </c>
    </row>
    <row r="50" spans="1:14" ht="11.25">
      <c r="A50" s="144"/>
      <c r="B50" s="167" t="s">
        <v>127</v>
      </c>
      <c r="C50" s="96">
        <v>3222.070098</v>
      </c>
      <c r="D50" s="97">
        <v>5469.836146</v>
      </c>
      <c r="E50" s="97">
        <v>5145.945171</v>
      </c>
      <c r="F50" s="71">
        <f t="shared" si="0"/>
        <v>0.6976155017220855</v>
      </c>
      <c r="G50" s="99">
        <f t="shared" si="0"/>
        <v>-0.05921401781602831</v>
      </c>
      <c r="H50" s="140"/>
      <c r="I50" s="167" t="s">
        <v>127</v>
      </c>
      <c r="J50" s="96">
        <v>31195.56643278</v>
      </c>
      <c r="K50" s="97">
        <v>52214.42776439</v>
      </c>
      <c r="L50" s="96">
        <v>60845.5967488</v>
      </c>
      <c r="M50" s="99">
        <f t="shared" si="7"/>
        <v>0.6737771976957463</v>
      </c>
      <c r="N50" s="105">
        <f t="shared" si="8"/>
        <v>0.16530237625808897</v>
      </c>
    </row>
    <row r="51" spans="1:14" ht="11.25">
      <c r="A51" s="144"/>
      <c r="B51" s="167" t="s">
        <v>128</v>
      </c>
      <c r="C51" s="96">
        <v>355.51044594</v>
      </c>
      <c r="D51" s="97">
        <v>544.12407563</v>
      </c>
      <c r="E51" s="97">
        <v>387.35315714999996</v>
      </c>
      <c r="F51" s="71">
        <f t="shared" si="0"/>
        <v>0.5305431439329142</v>
      </c>
      <c r="G51" s="99">
        <f t="shared" si="0"/>
        <v>-0.2881161218578444</v>
      </c>
      <c r="H51" s="140"/>
      <c r="I51" s="167" t="s">
        <v>128</v>
      </c>
      <c r="J51" s="96">
        <v>4514.774085890001</v>
      </c>
      <c r="K51" s="97">
        <v>6771.739016660001</v>
      </c>
      <c r="L51" s="96">
        <v>5532.932902699999</v>
      </c>
      <c r="M51" s="99">
        <f t="shared" si="7"/>
        <v>0.4999065042531543</v>
      </c>
      <c r="N51" s="105">
        <f t="shared" si="8"/>
        <v>-0.1829376635620864</v>
      </c>
    </row>
    <row r="52" spans="1:14" ht="11.25">
      <c r="A52" s="144"/>
      <c r="B52" s="167" t="s">
        <v>129</v>
      </c>
      <c r="C52" s="96">
        <v>617.76226821</v>
      </c>
      <c r="D52" s="97">
        <v>2969.88705063</v>
      </c>
      <c r="E52" s="97">
        <v>4294.02821314</v>
      </c>
      <c r="F52" s="71">
        <f t="shared" si="0"/>
        <v>3.8074918191999814</v>
      </c>
      <c r="G52" s="99">
        <f t="shared" si="0"/>
        <v>0.44585573118988164</v>
      </c>
      <c r="H52" s="140"/>
      <c r="I52" s="167" t="s">
        <v>129</v>
      </c>
      <c r="J52" s="96">
        <v>16675.895083900003</v>
      </c>
      <c r="K52" s="97">
        <v>26570.62462776</v>
      </c>
      <c r="L52" s="96">
        <v>50030.78370269001</v>
      </c>
      <c r="M52" s="99">
        <f t="shared" si="7"/>
        <v>0.5933552288544328</v>
      </c>
      <c r="N52" s="105">
        <f t="shared" si="8"/>
        <v>0.8829359265577712</v>
      </c>
    </row>
    <row r="53" spans="1:14" ht="11.25">
      <c r="A53" s="144"/>
      <c r="B53" s="167" t="s">
        <v>130</v>
      </c>
      <c r="C53" s="96">
        <v>60.26383762</v>
      </c>
      <c r="D53" s="97">
        <v>65.46635581</v>
      </c>
      <c r="E53" s="97">
        <v>93.88212644</v>
      </c>
      <c r="F53" s="71">
        <f t="shared" si="0"/>
        <v>0.08632902243639085</v>
      </c>
      <c r="G53" s="99">
        <f t="shared" si="0"/>
        <v>0.4340515105571141</v>
      </c>
      <c r="H53" s="140"/>
      <c r="I53" s="167" t="s">
        <v>130</v>
      </c>
      <c r="J53" s="96">
        <v>1605.0694801999998</v>
      </c>
      <c r="K53" s="97">
        <v>606.0480006</v>
      </c>
      <c r="L53" s="96">
        <v>1004.0647692999999</v>
      </c>
      <c r="M53" s="99">
        <f t="shared" si="7"/>
        <v>-0.6224163451637723</v>
      </c>
      <c r="N53" s="105">
        <f t="shared" si="8"/>
        <v>0.6567413279244465</v>
      </c>
    </row>
    <row r="54" spans="1:14" ht="11.25">
      <c r="A54" s="144"/>
      <c r="B54" s="167" t="s">
        <v>131</v>
      </c>
      <c r="C54" s="96">
        <v>1046.37145825</v>
      </c>
      <c r="D54" s="97">
        <v>797.11877696</v>
      </c>
      <c r="E54" s="97">
        <v>58.58339098</v>
      </c>
      <c r="F54" s="71">
        <f t="shared" si="0"/>
        <v>-0.23820668972265513</v>
      </c>
      <c r="G54" s="99">
        <f t="shared" si="0"/>
        <v>-0.9265060707722611</v>
      </c>
      <c r="H54" s="140"/>
      <c r="I54" s="167" t="s">
        <v>131</v>
      </c>
      <c r="J54" s="96">
        <v>10445.47515529</v>
      </c>
      <c r="K54" s="97">
        <v>13928.47654954</v>
      </c>
      <c r="L54" s="96">
        <v>2798.03836083</v>
      </c>
      <c r="M54" s="99">
        <f t="shared" si="7"/>
        <v>0.3334459507556313</v>
      </c>
      <c r="N54" s="105">
        <f t="shared" si="8"/>
        <v>-0.7991138262050341</v>
      </c>
    </row>
    <row r="55" spans="1:14" ht="11.25">
      <c r="A55" s="144"/>
      <c r="B55" s="167" t="s">
        <v>132</v>
      </c>
      <c r="C55" s="96">
        <v>170.60496217000002</v>
      </c>
      <c r="D55" s="97">
        <v>5881.77606683</v>
      </c>
      <c r="E55" s="97">
        <v>4836.96990955</v>
      </c>
      <c r="F55" s="71">
        <f t="shared" si="0"/>
        <v>33.47599643068459</v>
      </c>
      <c r="G55" s="99">
        <f t="shared" si="0"/>
        <v>-0.177634467108011</v>
      </c>
      <c r="H55" s="140"/>
      <c r="I55" s="167" t="s">
        <v>132</v>
      </c>
      <c r="J55" s="96">
        <v>2908.59097432</v>
      </c>
      <c r="K55" s="97">
        <v>43151.52653442</v>
      </c>
      <c r="L55" s="96">
        <v>53616.480194079995</v>
      </c>
      <c r="M55" s="99">
        <f t="shared" si="7"/>
        <v>13.835886831598383</v>
      </c>
      <c r="N55" s="105">
        <f>L55/K55-1</f>
        <v>0.2425164183082278</v>
      </c>
    </row>
    <row r="56" spans="1:14" ht="11.25">
      <c r="A56" s="144"/>
      <c r="B56" s="167" t="s">
        <v>133</v>
      </c>
      <c r="C56" s="96">
        <v>0</v>
      </c>
      <c r="D56" s="97">
        <v>0</v>
      </c>
      <c r="E56" s="97">
        <v>0</v>
      </c>
      <c r="F56" s="195" t="e">
        <f t="shared" si="0"/>
        <v>#DIV/0!</v>
      </c>
      <c r="G56" s="174" t="e">
        <f t="shared" si="0"/>
        <v>#DIV/0!</v>
      </c>
      <c r="H56" s="140"/>
      <c r="I56" s="167" t="s">
        <v>133</v>
      </c>
      <c r="J56" s="96">
        <v>0</v>
      </c>
      <c r="K56" s="97">
        <v>0</v>
      </c>
      <c r="L56" s="96">
        <v>14121.391179709997</v>
      </c>
      <c r="M56" s="174" t="e">
        <f t="shared" si="7"/>
        <v>#DIV/0!</v>
      </c>
      <c r="N56" s="196" t="e">
        <f>L56/K56-1</f>
        <v>#DIV/0!</v>
      </c>
    </row>
    <row r="57" spans="1:14" ht="11.25">
      <c r="A57" s="144"/>
      <c r="B57" s="167" t="s">
        <v>134</v>
      </c>
      <c r="C57" s="96">
        <v>0</v>
      </c>
      <c r="D57" s="97">
        <v>0</v>
      </c>
      <c r="E57" s="97">
        <v>375.75747048</v>
      </c>
      <c r="F57" s="195" t="e">
        <f t="shared" si="0"/>
        <v>#DIV/0!</v>
      </c>
      <c r="G57" s="174" t="e">
        <f t="shared" si="0"/>
        <v>#DIV/0!</v>
      </c>
      <c r="H57" s="140"/>
      <c r="I57" s="167" t="s">
        <v>134</v>
      </c>
      <c r="J57" s="96">
        <v>0</v>
      </c>
      <c r="K57" s="97">
        <v>0</v>
      </c>
      <c r="L57" s="96">
        <v>219144.92688371002</v>
      </c>
      <c r="M57" s="174" t="e">
        <f t="shared" si="7"/>
        <v>#DIV/0!</v>
      </c>
      <c r="N57" s="196" t="e">
        <f>L57/K57-1</f>
        <v>#DIV/0!</v>
      </c>
    </row>
    <row r="58" spans="1:14" ht="11.25">
      <c r="A58" s="144"/>
      <c r="B58" s="197"/>
      <c r="C58" s="198"/>
      <c r="D58" s="199"/>
      <c r="E58" s="200"/>
      <c r="F58" s="110"/>
      <c r="G58" s="107"/>
      <c r="H58" s="140"/>
      <c r="I58" s="197"/>
      <c r="J58" s="201"/>
      <c r="K58" s="202"/>
      <c r="L58" s="203"/>
      <c r="M58" s="107"/>
      <c r="N58" s="108"/>
    </row>
    <row r="59" spans="1:14" ht="11.25">
      <c r="A59" s="144"/>
      <c r="B59" s="204" t="s">
        <v>33</v>
      </c>
      <c r="C59" s="116">
        <v>7177.323005390001</v>
      </c>
      <c r="D59" s="135">
        <v>38937.29121339</v>
      </c>
      <c r="E59" s="135">
        <v>43173.01142389</v>
      </c>
      <c r="F59" s="117">
        <f t="shared" si="0"/>
        <v>4.425043736243864</v>
      </c>
      <c r="G59" s="118">
        <f>E59/D59-1</f>
        <v>0.1087831248272193</v>
      </c>
      <c r="H59" s="140"/>
      <c r="I59" s="204" t="s">
        <v>33</v>
      </c>
      <c r="J59" s="116">
        <v>71363.14134113</v>
      </c>
      <c r="K59" s="135">
        <v>429061.49760423</v>
      </c>
      <c r="L59" s="126">
        <v>470281.07953615</v>
      </c>
      <c r="M59" s="118">
        <f aca="true" t="shared" si="9" ref="M59:N61">K59/J59-1</f>
        <v>5.012368423542775</v>
      </c>
      <c r="N59" s="118">
        <f t="shared" si="9"/>
        <v>0.09606916994901571</v>
      </c>
    </row>
    <row r="60" spans="1:14" ht="11.25">
      <c r="A60" s="144"/>
      <c r="B60" s="204" t="s">
        <v>12</v>
      </c>
      <c r="C60" s="119">
        <v>3367.8086558600003</v>
      </c>
      <c r="D60" s="205">
        <v>10689.06318719</v>
      </c>
      <c r="E60" s="119">
        <v>12282.26763015</v>
      </c>
      <c r="F60" s="120">
        <f t="shared" si="0"/>
        <v>2.17389266417823</v>
      </c>
      <c r="G60" s="121">
        <f t="shared" si="0"/>
        <v>0.14904996023125094</v>
      </c>
      <c r="H60" s="140"/>
      <c r="I60" s="204" t="s">
        <v>12</v>
      </c>
      <c r="J60" s="119">
        <v>48653.30516277</v>
      </c>
      <c r="K60" s="136">
        <v>130107.62115459</v>
      </c>
      <c r="L60" s="127">
        <v>281905.40841173</v>
      </c>
      <c r="M60" s="121">
        <f t="shared" si="9"/>
        <v>1.6741784698760749</v>
      </c>
      <c r="N60" s="121">
        <f t="shared" si="9"/>
        <v>1.1667094203250277</v>
      </c>
    </row>
    <row r="61" spans="1:14" ht="11.25">
      <c r="A61" s="144"/>
      <c r="B61" s="206" t="s">
        <v>135</v>
      </c>
      <c r="C61" s="122">
        <v>27627.94010357</v>
      </c>
      <c r="D61" s="137">
        <v>1772.7311028</v>
      </c>
      <c r="E61" s="137">
        <v>915.16621227</v>
      </c>
      <c r="F61" s="123">
        <f t="shared" si="0"/>
        <v>-0.9358355673222655</v>
      </c>
      <c r="G61" s="124">
        <f t="shared" si="0"/>
        <v>-0.4837535084568044</v>
      </c>
      <c r="H61" s="140"/>
      <c r="I61" s="204" t="s">
        <v>135</v>
      </c>
      <c r="J61" s="122">
        <v>202414.83520715998</v>
      </c>
      <c r="K61" s="137">
        <v>123515.97743053998</v>
      </c>
      <c r="L61" s="128">
        <v>214950.19001604</v>
      </c>
      <c r="M61" s="124">
        <f t="shared" si="9"/>
        <v>-0.3897879209094114</v>
      </c>
      <c r="N61" s="124">
        <f t="shared" si="9"/>
        <v>0.7402622275075195</v>
      </c>
    </row>
    <row r="62" spans="1:14" ht="11.25">
      <c r="A62" s="144"/>
      <c r="B62" s="206" t="s">
        <v>136</v>
      </c>
      <c r="C62" s="122">
        <v>0</v>
      </c>
      <c r="D62" s="137">
        <v>0</v>
      </c>
      <c r="E62" s="137">
        <v>0</v>
      </c>
      <c r="F62" s="123">
        <v>0</v>
      </c>
      <c r="G62" s="124">
        <v>0</v>
      </c>
      <c r="H62" s="207"/>
      <c r="I62" s="208" t="s">
        <v>136</v>
      </c>
      <c r="J62" s="122">
        <v>75000</v>
      </c>
      <c r="K62" s="137">
        <v>6534.948945</v>
      </c>
      <c r="L62" s="128">
        <v>7610.13509</v>
      </c>
      <c r="M62" s="129">
        <v>0</v>
      </c>
      <c r="N62" s="124">
        <v>0</v>
      </c>
    </row>
  </sheetData>
  <sheetProtection/>
  <mergeCells count="10">
    <mergeCell ref="B5:G5"/>
    <mergeCell ref="I5:N5"/>
    <mergeCell ref="F7:G7"/>
    <mergeCell ref="M7:N7"/>
    <mergeCell ref="B2:G2"/>
    <mergeCell ref="I2:N2"/>
    <mergeCell ref="B3:G3"/>
    <mergeCell ref="I3:N3"/>
    <mergeCell ref="B4:G4"/>
    <mergeCell ref="I4: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Leonel Rivera Solano</cp:lastModifiedBy>
  <cp:lastPrinted>2019-12-19T22:58:28Z</cp:lastPrinted>
  <dcterms:created xsi:type="dcterms:W3CDTF">1996-11-27T10:00:04Z</dcterms:created>
  <dcterms:modified xsi:type="dcterms:W3CDTF">2022-12-22T17:51:34Z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