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0800" windowHeight="9255" tabRatio="427" activeTab="1"/>
  </bookViews>
  <sheets>
    <sheet name="SIMPLE" sheetId="1" r:id="rId1"/>
    <sheet name="ACUMULADO" sheetId="2" r:id="rId2"/>
    <sheet name="detalle de ingresos" sheetId="3" r:id="rId3"/>
  </sheets>
  <externalReferences>
    <externalReference r:id="rId6"/>
  </externalReferences>
  <definedNames>
    <definedName name="\a">#REF!</definedName>
    <definedName name="ANITA">#REF!</definedName>
    <definedName name="_xlnm.Print_Area" localSheetId="1">'ACUMULADO'!$A$1:$AE$88</definedName>
    <definedName name="_xlnm.Print_Area" localSheetId="0">'SIMPLE'!$A$1:$AF$88</definedName>
    <definedName name="BERNA">#REF!</definedName>
    <definedName name="INGRE">#REF!</definedName>
    <definedName name="J">#REF!</definedName>
    <definedName name="NOTAS">#REF!</definedName>
    <definedName name="PASA">#REF!</definedName>
    <definedName name="REES">#REF!</definedName>
    <definedName name="RESU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<sst xmlns="http://schemas.openxmlformats.org/spreadsheetml/2006/main" count="295" uniqueCount="137">
  <si>
    <t>CONCEPTO</t>
  </si>
  <si>
    <t>GASTOS CORRIENTES</t>
  </si>
  <si>
    <t xml:space="preserve">    Sueldos y Salarios</t>
  </si>
  <si>
    <t xml:space="preserve">         Deuda Interna</t>
  </si>
  <si>
    <t xml:space="preserve">         Deuda externa</t>
  </si>
  <si>
    <t xml:space="preserve">    Transferencias</t>
  </si>
  <si>
    <t xml:space="preserve">         Sector Privado </t>
  </si>
  <si>
    <t xml:space="preserve">         Sector Publico</t>
  </si>
  <si>
    <t xml:space="preserve">         Sector Externo</t>
  </si>
  <si>
    <t>GASTOS DE CAPITAL</t>
  </si>
  <si>
    <t xml:space="preserve">INGRESOS TOTALES </t>
  </si>
  <si>
    <t xml:space="preserve"> II- Ingresos de Capital:</t>
  </si>
  <si>
    <t>I-3  Ingresos no Tributarios</t>
  </si>
  <si>
    <t xml:space="preserve">    Inversion </t>
  </si>
  <si>
    <t>Transferencias ctes con recurso externo</t>
  </si>
  <si>
    <t>Transferencias capital con recurso externo</t>
  </si>
  <si>
    <t>Gasto Total sin Intereses</t>
  </si>
  <si>
    <t xml:space="preserve">    Intereses    </t>
  </si>
  <si>
    <t>1 - 3</t>
  </si>
  <si>
    <t>1 - 2</t>
  </si>
  <si>
    <t>VARIACION</t>
  </si>
  <si>
    <t>SUP/ DÉFICIT  FINANCIERO.</t>
  </si>
  <si>
    <t>DEF/SUPERÁVIT PRIMARIO</t>
  </si>
  <si>
    <t>Impuesto a los ingresos y utilidades</t>
  </si>
  <si>
    <t>Sobre importaciones</t>
  </si>
  <si>
    <t>Sobre exportaciones</t>
  </si>
  <si>
    <t>Ventas</t>
  </si>
  <si>
    <t>Interno</t>
  </si>
  <si>
    <t>Aduanas</t>
  </si>
  <si>
    <t>Consumo</t>
  </si>
  <si>
    <t>I-1  Ingresos Tributarios</t>
  </si>
  <si>
    <t>I-   Ingresos Corrientes</t>
  </si>
  <si>
    <t>Otros ingresos tributarios</t>
  </si>
  <si>
    <t>I-2 Contribuciones Sociales</t>
  </si>
  <si>
    <t>I-4  Transferencias</t>
  </si>
  <si>
    <t>Arancel:</t>
  </si>
  <si>
    <t>1% Valor Aduanero:</t>
  </si>
  <si>
    <t xml:space="preserve"> Por Caja Banano Exportada</t>
  </si>
  <si>
    <t>Der.de Exp.ad/valorem</t>
  </si>
  <si>
    <t>Transferencias con recurso externo</t>
  </si>
  <si>
    <t>FINANCIAMIENTO</t>
  </si>
  <si>
    <t>Remuneraciones</t>
  </si>
  <si>
    <t xml:space="preserve">   Interno Neto</t>
  </si>
  <si>
    <t xml:space="preserve">   Externo Neto</t>
  </si>
  <si>
    <t xml:space="preserve">Ingreso y Gasto Reconocido Gobierno Central </t>
  </si>
  <si>
    <t>en millones de colones</t>
  </si>
  <si>
    <r>
      <rPr>
        <b/>
        <sz val="10"/>
        <rFont val="Arial"/>
        <family val="2"/>
      </rPr>
      <t xml:space="preserve">Fuente:  </t>
    </r>
    <r>
      <rPr>
        <sz val="10"/>
        <rFont val="Arial"/>
        <family val="0"/>
      </rPr>
      <t>Cuadro elaborado en la Secretaría Técnica de la Autoridad Presupuestaria, con información suministrada por la Contabilidad Nacional y la Dirección de Crédito Público.</t>
    </r>
  </si>
  <si>
    <t xml:space="preserve">Mes de junio </t>
  </si>
  <si>
    <t xml:space="preserve">Acumulado al mes de junio </t>
  </si>
  <si>
    <t xml:space="preserve"> Impuesto Exportaciones Vía Terrestre</t>
  </si>
  <si>
    <t>% PIB</t>
  </si>
  <si>
    <t>Concesión Neta de Préstamos</t>
  </si>
  <si>
    <t xml:space="preserve">Concesión </t>
  </si>
  <si>
    <t xml:space="preserve">Recuperación </t>
  </si>
  <si>
    <r>
      <t xml:space="preserve">    Transferencias</t>
    </r>
    <r>
      <rPr>
        <vertAlign val="superscript"/>
        <sz val="10"/>
        <rFont val="Arial"/>
        <family val="2"/>
      </rPr>
      <t xml:space="preserve"> 1/</t>
    </r>
  </si>
  <si>
    <t>GASTOS TOTALES Y CONCESIÓN NETA</t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</si>
  <si>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Se reclasifica Cuota Patronal de Pensiones y Jubilaciones, Contributivas y no contributivas de sector privado a sector público.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</si>
  <si>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 Para el 2016 se excluyen ¢2.437,3 millones y se registran en el renglón transferencias corrientes con recurso externo.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</si>
  <si>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 xml:space="preserve">  Para el 2016 se excluyen ¢3,075,3 millones y se registran en el renglón transferencias de capital con recurso externo.</t>
    </r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</si>
  <si>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 xml:space="preserve">  A partir de enero 2020 los egresos de las cargas sociales de los programas 327-328- 329 del Ministerio de Obras Públicas y Transportes (MOPT), se capitalizan, por lo que se incluyen en el rubro de inversión.</t>
    </r>
  </si>
  <si>
    <r>
      <rPr>
        <vertAlign val="superscript"/>
        <sz val="10"/>
        <rFont val="Arial"/>
        <family val="2"/>
      </rPr>
      <t>6/</t>
    </r>
    <r>
      <rPr>
        <sz val="10"/>
        <rFont val="Arial"/>
        <family val="2"/>
      </rPr>
      <t xml:space="preserve"> Los egresos de bienes y servicios del programa 797 de Ministerio de Comercio Exterior a partir de enero 2020 se capitalizan y se incluyen en el rubro de inversión</t>
    </r>
  </si>
  <si>
    <r>
      <t xml:space="preserve">    Cargas Sociales</t>
    </r>
    <r>
      <rPr>
        <vertAlign val="superscript"/>
        <sz val="10"/>
        <rFont val="Arial"/>
        <family val="2"/>
      </rPr>
      <t>5/</t>
    </r>
  </si>
  <si>
    <r>
      <t xml:space="preserve">    Bienes y Servicios</t>
    </r>
    <r>
      <rPr>
        <vertAlign val="superscript"/>
        <sz val="10"/>
        <rFont val="Arial"/>
        <family val="2"/>
      </rPr>
      <t>6/</t>
    </r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</si>
  <si>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</si>
  <si>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</si>
  <si>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</si>
  <si>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</si>
  <si>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</si>
  <si>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</si>
  <si>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</si>
  <si>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</si>
  <si>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</si>
  <si>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</si>
  <si>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</si>
  <si>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</si>
  <si>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</si>
  <si>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</si>
  <si>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</si>
  <si>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A partir del 2021 la información de los órganos desconcentrados se refleja en el ministerio al cual su asignado, según la ley N°9524.</t>
    </r>
  </si>
  <si>
    <t xml:space="preserve"> </t>
  </si>
  <si>
    <t>GOBIERNO CENTRAL DE COSTA RICA</t>
  </si>
  <si>
    <t>PRINCIPALES INGRESOS</t>
  </si>
  <si>
    <t>COMPARATIVOS MES JUNIO</t>
  </si>
  <si>
    <t>(en millones de colones)</t>
  </si>
  <si>
    <t>Variacion</t>
  </si>
  <si>
    <t>INGRESOS TOTALES:</t>
  </si>
  <si>
    <t>Ingresos Corrientes:</t>
  </si>
  <si>
    <t>I-1 Ingresos Tributarios :</t>
  </si>
  <si>
    <t>I-1.1   Impuesto a los ingresos y utilidades</t>
  </si>
  <si>
    <t xml:space="preserve">       - Ingresos y Utilidades a Personas Físicas</t>
  </si>
  <si>
    <t xml:space="preserve">       - Ingresos y Utilidades a Personas Jurídicas</t>
  </si>
  <si>
    <t xml:space="preserve">       - Dividendos e Intereses s/ Títulos valores</t>
  </si>
  <si>
    <t xml:space="preserve">       - Remesas al Exterior</t>
  </si>
  <si>
    <t xml:space="preserve">       - Bancos y Entidades Financ no domiciliadas</t>
  </si>
  <si>
    <t xml:space="preserve">I-1.2   Impuestos a la propiedad </t>
  </si>
  <si>
    <t xml:space="preserve">            Propiedad de vehículos</t>
  </si>
  <si>
    <t xml:space="preserve">            Imp Solidario Vivienda</t>
  </si>
  <si>
    <t xml:space="preserve">            Imp. Sociedades Anónimas</t>
  </si>
  <si>
    <t>I-1.3  Sobre Importaciones :</t>
  </si>
  <si>
    <t xml:space="preserve">           I-1.3.1  Arancel:</t>
  </si>
  <si>
    <t xml:space="preserve">           I-1.3.2 1% Valor Aduanero:</t>
  </si>
  <si>
    <t>I-1.4  Sobre Exportaciones :</t>
  </si>
  <si>
    <t xml:space="preserve">           I-1.4.1  Por Caja Banano Exportada</t>
  </si>
  <si>
    <t xml:space="preserve">           I-1.4.2  Der.de Exp.ad/valorem</t>
  </si>
  <si>
    <t xml:space="preserve">           I-1.4.3  Imp Exp vía terrestre</t>
  </si>
  <si>
    <t xml:space="preserve">I-1.5  Ventas: </t>
  </si>
  <si>
    <t xml:space="preserve">           I-1.5.1  Interno</t>
  </si>
  <si>
    <t xml:space="preserve">           I-1.5.2  Aduanas:</t>
  </si>
  <si>
    <t xml:space="preserve">I-1.6  Consumo: </t>
  </si>
  <si>
    <t xml:space="preserve">           I-1.6.1  Interno</t>
  </si>
  <si>
    <t xml:space="preserve">           I-1.6.2  Aduanas:</t>
  </si>
  <si>
    <t>I-1.7  Otros Indirectos :</t>
  </si>
  <si>
    <t xml:space="preserve">    Impuesto unico combustibles</t>
  </si>
  <si>
    <t xml:space="preserve">    Impuesto bebidas no alcohólicas</t>
  </si>
  <si>
    <t xml:space="preserve">    Impuesto jabón de tocador</t>
  </si>
  <si>
    <t xml:space="preserve">    Impuesto bebidas alcohólicas</t>
  </si>
  <si>
    <t xml:space="preserve">    Imp.Prod.Tabaco </t>
  </si>
  <si>
    <t xml:space="preserve">    Traspaso vehículos usados</t>
  </si>
  <si>
    <t xml:space="preserve">    Traspaso bienes inmuebles</t>
  </si>
  <si>
    <t xml:space="preserve">    Timbre Fiscal</t>
  </si>
  <si>
    <t xml:space="preserve">    Derechos de Salida del Territorio Nacional</t>
  </si>
  <si>
    <t xml:space="preserve">    Derechos Consulares</t>
  </si>
  <si>
    <t xml:space="preserve">    Impuestos Ley de Migración y Extranjeria </t>
  </si>
  <si>
    <t xml:space="preserve">    Otros Ingresos Tributarios</t>
  </si>
  <si>
    <t>I-4 Transferencias</t>
  </si>
  <si>
    <t>II- Ingresos de Capital:</t>
  </si>
  <si>
    <r>
      <t>PIB</t>
    </r>
    <r>
      <rPr>
        <b/>
        <vertAlign val="superscript"/>
        <sz val="8"/>
        <rFont val="Arial"/>
        <family val="2"/>
      </rPr>
      <t xml:space="preserve"> 4/</t>
    </r>
  </si>
  <si>
    <r>
      <t>PIB</t>
    </r>
    <r>
      <rPr>
        <b/>
        <vertAlign val="superscript"/>
        <sz val="8"/>
        <rFont val="Arial"/>
        <family val="2"/>
      </rPr>
      <t>4/</t>
    </r>
  </si>
  <si>
    <t>21/22</t>
  </si>
  <si>
    <t>Cifras al mes de junio 2016 - 2022</t>
  </si>
  <si>
    <t>Cifras del mes de junio 2016 - 2022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</si>
  <si>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 Según el PIB publicado por el Banco Central  en julio 2022, proyección 2022-2023 utilizada en el informe de Política Monetaria  de julio 2022, aprobado por la Junta Directiva en el artículo 8 del acta de la sesión 6074-2022, el 27 de julio de 2022.</t>
    </r>
  </si>
  <si>
    <t>COMPARATIVOS ACUMULADO AL MES DE JUNIO</t>
  </si>
  <si>
    <t xml:space="preserve">    Otros Ingresos tributarios diversos internos</t>
  </si>
  <si>
    <t xml:space="preserve">    Otros Ingresos tributarios diversos aduanas</t>
  </si>
  <si>
    <t>Otros Ingresos tributarios diversos internos</t>
  </si>
  <si>
    <t>Otros Ingresos tributarios diversos aduanas</t>
  </si>
</sst>
</file>

<file path=xl/styles.xml><?xml version="1.0" encoding="utf-8"?>
<styleSheet xmlns="http://schemas.openxmlformats.org/spreadsheetml/2006/main">
  <numFmts count="5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\ _p_t_a"/>
    <numFmt numFmtId="195" formatCode="0.0"/>
    <numFmt numFmtId="196" formatCode="_-* #,##0.0\ _p_t_a_-;\-* #,##0.0\ _p_t_a_-;_-* &quot;-&quot;\ _p_t_a_-;_-@_-"/>
    <numFmt numFmtId="197" formatCode="0.000000000000"/>
    <numFmt numFmtId="198" formatCode="0.00000000000"/>
    <numFmt numFmtId="199" formatCode="#,##0.0"/>
    <numFmt numFmtId="200" formatCode="#,##0.0_);\(#,##0.0\)"/>
    <numFmt numFmtId="201" formatCode="0.0%"/>
    <numFmt numFmtId="202" formatCode="_-* #,##0.0_-;\-* #,##0.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49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double"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8"/>
      <color indexed="12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9" fontId="2" fillId="0" borderId="0" xfId="0" applyNumberFormat="1" applyFont="1" applyFill="1" applyBorder="1" applyAlignment="1">
      <alignment horizontal="left" wrapText="1"/>
    </xf>
    <xf numFmtId="19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193" fontId="0" fillId="0" borderId="0" xfId="50" applyFont="1" applyAlignment="1">
      <alignment/>
    </xf>
    <xf numFmtId="0" fontId="0" fillId="0" borderId="10" xfId="0" applyFont="1" applyBorder="1" applyAlignment="1">
      <alignment/>
    </xf>
    <xf numFmtId="194" fontId="0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94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194" fontId="6" fillId="0" borderId="0" xfId="0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8" fillId="0" borderId="0" xfId="0" applyNumberFormat="1" applyFont="1" applyFill="1" applyBorder="1" applyAlignment="1">
      <alignment/>
    </xf>
    <xf numFmtId="199" fontId="2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left" indent="1"/>
    </xf>
    <xf numFmtId="199" fontId="0" fillId="0" borderId="0" xfId="0" applyNumberFormat="1" applyFont="1" applyFill="1" applyBorder="1" applyAlignment="1">
      <alignment horizontal="left" indent="2"/>
    </xf>
    <xf numFmtId="199" fontId="0" fillId="0" borderId="0" xfId="0" applyNumberFormat="1" applyFont="1" applyFill="1" applyBorder="1" applyAlignment="1">
      <alignment horizontal="left" indent="3"/>
    </xf>
    <xf numFmtId="199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199" fontId="9" fillId="0" borderId="0" xfId="0" applyNumberFormat="1" applyFont="1" applyBorder="1" applyAlignment="1">
      <alignment/>
    </xf>
    <xf numFmtId="201" fontId="4" fillId="0" borderId="0" xfId="61" applyNumberFormat="1" applyFont="1" applyBorder="1" applyAlignment="1">
      <alignment/>
    </xf>
    <xf numFmtId="201" fontId="0" fillId="0" borderId="0" xfId="61" applyNumberFormat="1" applyFont="1" applyBorder="1" applyAlignment="1">
      <alignment/>
    </xf>
    <xf numFmtId="201" fontId="1" fillId="0" borderId="0" xfId="61" applyNumberFormat="1" applyFont="1" applyBorder="1" applyAlignment="1">
      <alignment/>
    </xf>
    <xf numFmtId="0" fontId="12" fillId="0" borderId="0" xfId="0" applyFont="1" applyBorder="1" applyAlignment="1">
      <alignment/>
    </xf>
    <xf numFmtId="201" fontId="3" fillId="0" borderId="0" xfId="61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99" fontId="8" fillId="0" borderId="0" xfId="59" applyNumberFormat="1" applyFont="1" applyFill="1" applyBorder="1" applyAlignment="1">
      <alignment horizontal="left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199" fontId="8" fillId="0" borderId="0" xfId="55" applyNumberFormat="1" applyFont="1" applyFill="1" applyBorder="1">
      <alignment/>
      <protection/>
    </xf>
    <xf numFmtId="199" fontId="0" fillId="0" borderId="0" xfId="55" applyNumberFormat="1" applyFont="1" applyFill="1" applyBorder="1">
      <alignment/>
      <protection/>
    </xf>
    <xf numFmtId="199" fontId="2" fillId="0" borderId="0" xfId="55" applyNumberFormat="1" applyFont="1" applyBorder="1">
      <alignment/>
      <protection/>
    </xf>
    <xf numFmtId="199" fontId="7" fillId="0" borderId="0" xfId="55" applyNumberFormat="1" applyFont="1" applyFill="1" applyBorder="1">
      <alignment/>
      <protection/>
    </xf>
    <xf numFmtId="199" fontId="2" fillId="0" borderId="0" xfId="55" applyNumberFormat="1" applyFont="1" applyFill="1" applyBorder="1">
      <alignment/>
      <protection/>
    </xf>
    <xf numFmtId="199" fontId="0" fillId="0" borderId="0" xfId="55" applyNumberFormat="1" applyFont="1" applyFill="1" applyBorder="1" applyAlignment="1">
      <alignment horizontal="right"/>
      <protection/>
    </xf>
    <xf numFmtId="201" fontId="13" fillId="0" borderId="0" xfId="61" applyNumberFormat="1" applyFont="1" applyBorder="1" applyAlignment="1">
      <alignment/>
    </xf>
    <xf numFmtId="199" fontId="8" fillId="0" borderId="0" xfId="59" applyNumberFormat="1" applyFont="1">
      <alignment/>
      <protection/>
    </xf>
    <xf numFmtId="199" fontId="0" fillId="0" borderId="0" xfId="59" applyNumberFormat="1" applyFont="1" applyFill="1">
      <alignment/>
      <protection/>
    </xf>
    <xf numFmtId="199" fontId="0" fillId="0" borderId="0" xfId="59" applyNumberFormat="1" applyFont="1">
      <alignment/>
      <protection/>
    </xf>
    <xf numFmtId="199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199" fontId="0" fillId="0" borderId="0" xfId="0" applyNumberFormat="1" applyFont="1" applyFill="1" applyBorder="1" applyAlignment="1">
      <alignment/>
    </xf>
    <xf numFmtId="199" fontId="0" fillId="0" borderId="0" xfId="0" applyNumberFormat="1" applyFont="1" applyBorder="1" applyAlignment="1">
      <alignment/>
    </xf>
    <xf numFmtId="199" fontId="2" fillId="0" borderId="0" xfId="0" applyNumberFormat="1" applyFont="1" applyFill="1" applyBorder="1" applyAlignment="1">
      <alignment/>
    </xf>
    <xf numFmtId="199" fontId="0" fillId="0" borderId="0" xfId="57" applyNumberFormat="1" applyFont="1" applyFill="1">
      <alignment/>
      <protection/>
    </xf>
    <xf numFmtId="201" fontId="61" fillId="0" borderId="0" xfId="61" applyNumberFormat="1" applyFont="1" applyBorder="1" applyAlignment="1">
      <alignment/>
    </xf>
    <xf numFmtId="201" fontId="2" fillId="0" borderId="0" xfId="61" applyNumberFormat="1" applyFont="1" applyFill="1" applyBorder="1" applyAlignment="1">
      <alignment horizontal="right" wrapText="1"/>
    </xf>
    <xf numFmtId="10" fontId="14" fillId="0" borderId="0" xfId="61" applyNumberFormat="1" applyFont="1" applyFill="1" applyBorder="1" applyAlignment="1">
      <alignment horizontal="right" wrapText="1"/>
    </xf>
    <xf numFmtId="201" fontId="62" fillId="0" borderId="0" xfId="61" applyNumberFormat="1" applyFont="1" applyBorder="1" applyAlignment="1">
      <alignment/>
    </xf>
    <xf numFmtId="199" fontId="15" fillId="0" borderId="0" xfId="0" applyNumberFormat="1" applyFont="1" applyFill="1" applyBorder="1" applyAlignment="1">
      <alignment horizontal="right" wrapText="1"/>
    </xf>
    <xf numFmtId="199" fontId="1" fillId="0" borderId="0" xfId="59" applyNumberFormat="1" applyFont="1">
      <alignment/>
      <protection/>
    </xf>
    <xf numFmtId="199" fontId="16" fillId="0" borderId="0" xfId="0" applyNumberFormat="1" applyFont="1" applyBorder="1" applyAlignment="1">
      <alignment horizontal="right"/>
    </xf>
    <xf numFmtId="201" fontId="17" fillId="0" borderId="0" xfId="61" applyNumberFormat="1" applyFont="1" applyFill="1" applyBorder="1" applyAlignment="1">
      <alignment horizontal="right" wrapText="1"/>
    </xf>
    <xf numFmtId="201" fontId="62" fillId="33" borderId="0" xfId="61" applyNumberFormat="1" applyFont="1" applyFill="1" applyBorder="1" applyAlignment="1">
      <alignment/>
    </xf>
    <xf numFmtId="199" fontId="2" fillId="0" borderId="0" xfId="57" applyNumberFormat="1" applyFont="1" applyFill="1">
      <alignment/>
      <protection/>
    </xf>
    <xf numFmtId="199" fontId="0" fillId="0" borderId="0" xfId="0" applyNumberFormat="1" applyFont="1" applyFill="1" applyBorder="1" applyAlignment="1">
      <alignment horizontal="left" wrapText="1"/>
    </xf>
    <xf numFmtId="0" fontId="1" fillId="0" borderId="0" xfId="57" applyFont="1" applyFill="1">
      <alignment/>
      <protection/>
    </xf>
    <xf numFmtId="199" fontId="1" fillId="0" borderId="0" xfId="57" applyNumberFormat="1" applyFont="1" applyFill="1">
      <alignment/>
      <protection/>
    </xf>
    <xf numFmtId="0" fontId="3" fillId="0" borderId="0" xfId="57" applyFont="1" applyFill="1">
      <alignment/>
      <protection/>
    </xf>
    <xf numFmtId="199" fontId="3" fillId="0" borderId="0" xfId="0" applyNumberFormat="1" applyFont="1" applyFill="1" applyBorder="1" applyAlignment="1">
      <alignment horizontal="left"/>
    </xf>
    <xf numFmtId="199" fontId="1" fillId="0" borderId="0" xfId="0" applyNumberFormat="1" applyFont="1" applyFill="1" applyBorder="1" applyAlignment="1">
      <alignment horizontal="left" indent="1"/>
    </xf>
    <xf numFmtId="199" fontId="1" fillId="0" borderId="0" xfId="0" applyNumberFormat="1" applyFont="1" applyFill="1" applyBorder="1" applyAlignment="1">
      <alignment horizontal="left" indent="2"/>
    </xf>
    <xf numFmtId="199" fontId="3" fillId="0" borderId="0" xfId="0" applyNumberFormat="1" applyFont="1" applyFill="1" applyBorder="1" applyAlignment="1">
      <alignment horizontal="left" indent="2"/>
    </xf>
    <xf numFmtId="199" fontId="3" fillId="0" borderId="0" xfId="57" applyNumberFormat="1" applyFont="1" applyFill="1">
      <alignment/>
      <protection/>
    </xf>
    <xf numFmtId="199" fontId="1" fillId="0" borderId="0" xfId="0" applyNumberFormat="1" applyFont="1" applyFill="1" applyBorder="1" applyAlignment="1">
      <alignment horizontal="left" indent="3"/>
    </xf>
    <xf numFmtId="0" fontId="1" fillId="0" borderId="0" xfId="0" applyFont="1" applyFill="1" applyBorder="1" applyAlignment="1">
      <alignment/>
    </xf>
    <xf numFmtId="194" fontId="63" fillId="0" borderId="0" xfId="0" applyNumberFormat="1" applyFont="1" applyBorder="1" applyAlignment="1">
      <alignment/>
    </xf>
    <xf numFmtId="49" fontId="3" fillId="16" borderId="12" xfId="57" applyNumberFormat="1" applyFont="1" applyFill="1" applyBorder="1" applyAlignment="1">
      <alignment horizontal="center" wrapText="1"/>
      <protection/>
    </xf>
    <xf numFmtId="49" fontId="3" fillId="16" borderId="13" xfId="57" applyNumberFormat="1" applyFont="1" applyFill="1" applyBorder="1" applyAlignment="1">
      <alignment horizontal="center" wrapText="1"/>
      <protection/>
    </xf>
    <xf numFmtId="201" fontId="3" fillId="0" borderId="14" xfId="61" applyNumberFormat="1" applyFont="1" applyFill="1" applyBorder="1" applyAlignment="1">
      <alignment horizontal="right"/>
    </xf>
    <xf numFmtId="201" fontId="3" fillId="0" borderId="15" xfId="61" applyNumberFormat="1" applyFont="1" applyFill="1" applyBorder="1" applyAlignment="1">
      <alignment horizontal="right"/>
    </xf>
    <xf numFmtId="201" fontId="20" fillId="0" borderId="14" xfId="61" applyNumberFormat="1" applyFont="1" applyFill="1" applyBorder="1" applyAlignment="1">
      <alignment/>
    </xf>
    <xf numFmtId="201" fontId="20" fillId="0" borderId="15" xfId="61" applyNumberFormat="1" applyFont="1" applyFill="1" applyBorder="1" applyAlignment="1">
      <alignment/>
    </xf>
    <xf numFmtId="201" fontId="3" fillId="0" borderId="16" xfId="61" applyNumberFormat="1" applyFont="1" applyFill="1" applyBorder="1" applyAlignment="1">
      <alignment/>
    </xf>
    <xf numFmtId="201" fontId="3" fillId="0" borderId="12" xfId="61" applyNumberFormat="1" applyFont="1" applyFill="1" applyBorder="1" applyAlignment="1">
      <alignment/>
    </xf>
    <xf numFmtId="201" fontId="3" fillId="0" borderId="17" xfId="61" applyNumberFormat="1" applyFont="1" applyFill="1" applyBorder="1" applyAlignment="1">
      <alignment/>
    </xf>
    <xf numFmtId="199" fontId="4" fillId="34" borderId="17" xfId="58" applyNumberFormat="1" applyFont="1" applyFill="1" applyBorder="1">
      <alignment/>
      <protection/>
    </xf>
    <xf numFmtId="201" fontId="4" fillId="16" borderId="18" xfId="61" applyNumberFormat="1" applyFont="1" applyFill="1" applyBorder="1" applyAlignment="1">
      <alignment/>
    </xf>
    <xf numFmtId="201" fontId="4" fillId="16" borderId="17" xfId="61" applyNumberFormat="1" applyFont="1" applyFill="1" applyBorder="1" applyAlignment="1">
      <alignment/>
    </xf>
    <xf numFmtId="199" fontId="3" fillId="0" borderId="19" xfId="63" applyNumberFormat="1" applyFont="1" applyFill="1" applyBorder="1" applyAlignment="1">
      <alignment/>
    </xf>
    <xf numFmtId="201" fontId="3" fillId="0" borderId="20" xfId="61" applyNumberFormat="1" applyFont="1" applyFill="1" applyBorder="1" applyAlignment="1">
      <alignment/>
    </xf>
    <xf numFmtId="201" fontId="3" fillId="0" borderId="19" xfId="61" applyNumberFormat="1" applyFont="1" applyFill="1" applyBorder="1" applyAlignment="1">
      <alignment/>
    </xf>
    <xf numFmtId="201" fontId="4" fillId="0" borderId="20" xfId="61" applyNumberFormat="1" applyFont="1" applyFill="1" applyBorder="1" applyAlignment="1">
      <alignment/>
    </xf>
    <xf numFmtId="201" fontId="4" fillId="0" borderId="19" xfId="61" applyNumberFormat="1" applyFont="1" applyFill="1" applyBorder="1" applyAlignment="1">
      <alignment/>
    </xf>
    <xf numFmtId="199" fontId="1" fillId="0" borderId="19" xfId="63" applyNumberFormat="1" applyFont="1" applyFill="1" applyBorder="1" applyAlignment="1">
      <alignment/>
    </xf>
    <xf numFmtId="201" fontId="1" fillId="0" borderId="20" xfId="61" applyNumberFormat="1" applyFont="1" applyFill="1" applyBorder="1" applyAlignment="1">
      <alignment/>
    </xf>
    <xf numFmtId="201" fontId="1" fillId="0" borderId="19" xfId="61" applyNumberFormat="1" applyFont="1" applyFill="1" applyBorder="1" applyAlignment="1">
      <alignment/>
    </xf>
    <xf numFmtId="201" fontId="1" fillId="0" borderId="20" xfId="61" applyNumberFormat="1" applyFont="1" applyFill="1" applyBorder="1" applyAlignment="1">
      <alignment/>
    </xf>
    <xf numFmtId="201" fontId="1" fillId="0" borderId="19" xfId="61" applyNumberFormat="1" applyFont="1" applyFill="1" applyBorder="1" applyAlignment="1">
      <alignment/>
    </xf>
    <xf numFmtId="201" fontId="1" fillId="0" borderId="14" xfId="61" applyNumberFormat="1" applyFont="1" applyFill="1" applyBorder="1" applyAlignment="1">
      <alignment/>
    </xf>
    <xf numFmtId="201" fontId="1" fillId="0" borderId="15" xfId="61" applyNumberFormat="1" applyFont="1" applyFill="1" applyBorder="1" applyAlignment="1">
      <alignment/>
    </xf>
    <xf numFmtId="201" fontId="4" fillId="0" borderId="17" xfId="61" applyNumberFormat="1" applyFont="1" applyFill="1" applyBorder="1" applyAlignment="1">
      <alignment/>
    </xf>
    <xf numFmtId="199" fontId="1" fillId="0" borderId="15" xfId="63" applyNumberFormat="1" applyFont="1" applyFill="1" applyBorder="1" applyAlignment="1">
      <alignment/>
    </xf>
    <xf numFmtId="201" fontId="4" fillId="0" borderId="20" xfId="61" applyNumberFormat="1" applyFont="1" applyFill="1" applyBorder="1" applyAlignment="1">
      <alignment/>
    </xf>
    <xf numFmtId="201" fontId="4" fillId="0" borderId="19" xfId="61" applyNumberFormat="1" applyFont="1" applyFill="1" applyBorder="1" applyAlignment="1">
      <alignment/>
    </xf>
    <xf numFmtId="0" fontId="18" fillId="0" borderId="21" xfId="57" applyFont="1" applyFill="1" applyBorder="1" applyAlignment="1" applyProtection="1">
      <alignment horizontal="left"/>
      <protection/>
    </xf>
    <xf numFmtId="201" fontId="4" fillId="0" borderId="0" xfId="61" applyNumberFormat="1" applyFont="1" applyFill="1" applyBorder="1" applyAlignment="1">
      <alignment/>
    </xf>
    <xf numFmtId="201" fontId="1" fillId="0" borderId="0" xfId="61" applyNumberFormat="1" applyFont="1" applyFill="1" applyBorder="1" applyAlignment="1">
      <alignment/>
    </xf>
    <xf numFmtId="201" fontId="4" fillId="0" borderId="18" xfId="61" applyNumberFormat="1" applyFont="1" applyFill="1" applyBorder="1" applyAlignment="1">
      <alignment/>
    </xf>
    <xf numFmtId="201" fontId="4" fillId="0" borderId="22" xfId="61" applyNumberFormat="1" applyFont="1" applyFill="1" applyBorder="1" applyAlignment="1">
      <alignment/>
    </xf>
    <xf numFmtId="201" fontId="1" fillId="0" borderId="23" xfId="61" applyNumberFormat="1" applyFont="1" applyFill="1" applyBorder="1" applyAlignment="1">
      <alignment/>
    </xf>
    <xf numFmtId="201" fontId="1" fillId="0" borderId="11" xfId="61" applyNumberFormat="1" applyFont="1" applyFill="1" applyBorder="1" applyAlignment="1">
      <alignment/>
    </xf>
    <xf numFmtId="201" fontId="1" fillId="0" borderId="13" xfId="61" applyNumberFormat="1" applyFont="1" applyFill="1" applyBorder="1" applyAlignment="1">
      <alignment/>
    </xf>
    <xf numFmtId="0" fontId="1" fillId="0" borderId="0" xfId="57" applyFont="1" applyFill="1" applyBorder="1">
      <alignment/>
      <protection/>
    </xf>
    <xf numFmtId="199" fontId="0" fillId="0" borderId="0" xfId="0" applyNumberFormat="1" applyFont="1" applyFill="1" applyBorder="1" applyAlignment="1">
      <alignment horizontal="right" wrapText="1"/>
    </xf>
    <xf numFmtId="0" fontId="2" fillId="0" borderId="10" xfId="59" applyFont="1" applyFill="1" applyBorder="1" applyAlignment="1">
      <alignment horizontal="left" vertical="center" wrapText="1"/>
      <protection/>
    </xf>
    <xf numFmtId="199" fontId="0" fillId="0" borderId="10" xfId="59" applyNumberFormat="1" applyFont="1" applyBorder="1">
      <alignment/>
      <protection/>
    </xf>
    <xf numFmtId="199" fontId="3" fillId="0" borderId="23" xfId="63" applyNumberFormat="1" applyFont="1" applyFill="1" applyBorder="1" applyAlignment="1">
      <alignment/>
    </xf>
    <xf numFmtId="201" fontId="4" fillId="0" borderId="24" xfId="61" applyNumberFormat="1" applyFont="1" applyFill="1" applyBorder="1" applyAlignment="1">
      <alignment/>
    </xf>
    <xf numFmtId="199" fontId="1" fillId="0" borderId="23" xfId="62" applyNumberFormat="1" applyFont="1" applyFill="1" applyBorder="1" applyAlignment="1">
      <alignment/>
    </xf>
    <xf numFmtId="199" fontId="1" fillId="0" borderId="23" xfId="63" applyNumberFormat="1" applyFont="1" applyFill="1" applyBorder="1" applyAlignment="1">
      <alignment/>
    </xf>
    <xf numFmtId="201" fontId="1" fillId="16" borderId="24" xfId="61" applyNumberFormat="1" applyFont="1" applyFill="1" applyBorder="1" applyAlignment="1">
      <alignment/>
    </xf>
    <xf numFmtId="201" fontId="1" fillId="16" borderId="17" xfId="61" applyNumberFormat="1" applyFont="1" applyFill="1" applyBorder="1" applyAlignment="1">
      <alignment/>
    </xf>
    <xf numFmtId="201" fontId="1" fillId="16" borderId="0" xfId="61" applyNumberFormat="1" applyFont="1" applyFill="1" applyBorder="1" applyAlignment="1">
      <alignment/>
    </xf>
    <xf numFmtId="201" fontId="1" fillId="16" borderId="19" xfId="61" applyNumberFormat="1" applyFont="1" applyFill="1" applyBorder="1" applyAlignment="1">
      <alignment/>
    </xf>
    <xf numFmtId="201" fontId="1" fillId="16" borderId="11" xfId="61" applyNumberFormat="1" applyFont="1" applyFill="1" applyBorder="1" applyAlignment="1">
      <alignment/>
    </xf>
    <xf numFmtId="201" fontId="1" fillId="16" borderId="15" xfId="61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99" fontId="4" fillId="34" borderId="23" xfId="58" applyNumberFormat="1" applyFont="1" applyFill="1" applyBorder="1">
      <alignment/>
      <protection/>
    </xf>
    <xf numFmtId="199" fontId="1" fillId="34" borderId="17" xfId="63" applyNumberFormat="1" applyFont="1" applyFill="1" applyBorder="1" applyAlignment="1">
      <alignment/>
    </xf>
    <xf numFmtId="199" fontId="1" fillId="16" borderId="22" xfId="62" applyNumberFormat="1" applyFont="1" applyFill="1" applyBorder="1" applyAlignment="1">
      <alignment/>
    </xf>
    <xf numFmtId="199" fontId="1" fillId="34" borderId="19" xfId="63" applyNumberFormat="1" applyFont="1" applyFill="1" applyBorder="1" applyAlignment="1">
      <alignment/>
    </xf>
    <xf numFmtId="199" fontId="1" fillId="16" borderId="23" xfId="62" applyNumberFormat="1" applyFont="1" applyFill="1" applyBorder="1" applyAlignment="1">
      <alignment/>
    </xf>
    <xf numFmtId="199" fontId="1" fillId="34" borderId="15" xfId="63" applyNumberFormat="1" applyFont="1" applyFill="1" applyBorder="1" applyAlignment="1">
      <alignment/>
    </xf>
    <xf numFmtId="199" fontId="1" fillId="16" borderId="13" xfId="62" applyNumberFormat="1" applyFont="1" applyFill="1" applyBorder="1" applyAlignment="1">
      <alignment/>
    </xf>
    <xf numFmtId="201" fontId="1" fillId="16" borderId="12" xfId="61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94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199" fontId="4" fillId="34" borderId="22" xfId="58" applyNumberFormat="1" applyFont="1" applyFill="1" applyBorder="1">
      <alignment/>
      <protection/>
    </xf>
    <xf numFmtId="199" fontId="4" fillId="16" borderId="17" xfId="57" applyNumberFormat="1" applyFont="1" applyFill="1" applyBorder="1">
      <alignment/>
      <protection/>
    </xf>
    <xf numFmtId="199" fontId="3" fillId="0" borderId="19" xfId="62" applyNumberFormat="1" applyFont="1" applyFill="1" applyBorder="1" applyAlignment="1">
      <alignment/>
    </xf>
    <xf numFmtId="199" fontId="1" fillId="0" borderId="19" xfId="62" applyNumberFormat="1" applyFont="1" applyFill="1" applyBorder="1" applyAlignment="1">
      <alignment/>
    </xf>
    <xf numFmtId="199" fontId="1" fillId="0" borderId="13" xfId="63" applyNumberFormat="1" applyFont="1" applyFill="1" applyBorder="1" applyAlignment="1">
      <alignment/>
    </xf>
    <xf numFmtId="199" fontId="1" fillId="0" borderId="15" xfId="62" applyNumberFormat="1" applyFont="1" applyFill="1" applyBorder="1" applyAlignment="1">
      <alignment/>
    </xf>
    <xf numFmtId="199" fontId="1" fillId="34" borderId="22" xfId="63" applyNumberFormat="1" applyFont="1" applyFill="1" applyBorder="1" applyAlignment="1">
      <alignment/>
    </xf>
    <xf numFmtId="199" fontId="1" fillId="34" borderId="23" xfId="63" applyNumberFormat="1" applyFont="1" applyFill="1" applyBorder="1" applyAlignment="1">
      <alignment/>
    </xf>
    <xf numFmtId="199" fontId="1" fillId="34" borderId="13" xfId="63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01" fontId="62" fillId="0" borderId="20" xfId="61" applyNumberFormat="1" applyFont="1" applyFill="1" applyBorder="1" applyAlignment="1">
      <alignment/>
    </xf>
    <xf numFmtId="201" fontId="62" fillId="0" borderId="20" xfId="61" applyNumberFormat="1" applyFont="1" applyFill="1" applyBorder="1" applyAlignment="1">
      <alignment/>
    </xf>
    <xf numFmtId="0" fontId="1" fillId="0" borderId="0" xfId="57" applyFont="1">
      <alignment/>
      <protection/>
    </xf>
    <xf numFmtId="0" fontId="64" fillId="0" borderId="0" xfId="57" applyFont="1">
      <alignment/>
      <protection/>
    </xf>
    <xf numFmtId="199" fontId="64" fillId="0" borderId="0" xfId="57" applyNumberFormat="1" applyFont="1">
      <alignment/>
      <protection/>
    </xf>
    <xf numFmtId="200" fontId="1" fillId="0" borderId="0" xfId="57" applyNumberFormat="1" applyFont="1">
      <alignment/>
      <protection/>
    </xf>
    <xf numFmtId="199" fontId="1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3" fillId="16" borderId="16" xfId="57" applyFont="1" applyFill="1" applyBorder="1" applyAlignment="1">
      <alignment horizontal="center"/>
      <protection/>
    </xf>
    <xf numFmtId="0" fontId="3" fillId="16" borderId="12" xfId="57" applyFont="1" applyFill="1" applyBorder="1" applyAlignment="1">
      <alignment horizontal="center"/>
      <protection/>
    </xf>
    <xf numFmtId="0" fontId="3" fillId="16" borderId="28" xfId="57" applyFont="1" applyFill="1" applyBorder="1" applyAlignment="1">
      <alignment horizontal="center"/>
      <protection/>
    </xf>
    <xf numFmtId="0" fontId="3" fillId="16" borderId="14" xfId="57" applyFont="1" applyFill="1" applyBorder="1" applyAlignment="1">
      <alignment horizontal="center"/>
      <protection/>
    </xf>
    <xf numFmtId="0" fontId="3" fillId="16" borderId="15" xfId="57" applyFont="1" applyFill="1" applyBorder="1" applyAlignment="1">
      <alignment horizontal="center"/>
      <protection/>
    </xf>
    <xf numFmtId="0" fontId="3" fillId="16" borderId="11" xfId="57" applyFont="1" applyFill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199" fontId="3" fillId="0" borderId="12" xfId="58" applyNumberFormat="1" applyFont="1" applyBorder="1">
      <alignment/>
      <protection/>
    </xf>
    <xf numFmtId="199" fontId="3" fillId="0" borderId="28" xfId="58" applyNumberFormat="1" applyFont="1" applyBorder="1">
      <alignment/>
      <protection/>
    </xf>
    <xf numFmtId="199" fontId="3" fillId="0" borderId="12" xfId="57" applyNumberFormat="1" applyFont="1" applyBorder="1">
      <alignment/>
      <protection/>
    </xf>
    <xf numFmtId="199" fontId="3" fillId="0" borderId="15" xfId="58" applyNumberFormat="1" applyFont="1" applyBorder="1">
      <alignment/>
      <protection/>
    </xf>
    <xf numFmtId="199" fontId="3" fillId="0" borderId="13" xfId="58" applyNumberFormat="1" applyFont="1" applyBorder="1">
      <alignment/>
      <protection/>
    </xf>
    <xf numFmtId="0" fontId="20" fillId="0" borderId="16" xfId="57" applyFont="1" applyBorder="1" applyAlignment="1">
      <alignment horizontal="center"/>
      <protection/>
    </xf>
    <xf numFmtId="199" fontId="65" fillId="0" borderId="12" xfId="58" applyNumberFormat="1" applyFont="1" applyBorder="1">
      <alignment/>
      <protection/>
    </xf>
    <xf numFmtId="199" fontId="65" fillId="0" borderId="28" xfId="58" applyNumberFormat="1" applyFont="1" applyBorder="1">
      <alignment/>
      <protection/>
    </xf>
    <xf numFmtId="199" fontId="20" fillId="0" borderId="12" xfId="57" applyNumberFormat="1" applyFont="1" applyBorder="1">
      <alignment/>
      <protection/>
    </xf>
    <xf numFmtId="0" fontId="1" fillId="0" borderId="16" xfId="57" applyFont="1" applyBorder="1" applyAlignment="1">
      <alignment horizontal="left"/>
      <protection/>
    </xf>
    <xf numFmtId="199" fontId="3" fillId="0" borderId="26" xfId="58" applyNumberFormat="1" applyFont="1" applyBorder="1">
      <alignment/>
      <protection/>
    </xf>
    <xf numFmtId="199" fontId="3" fillId="0" borderId="17" xfId="58" applyNumberFormat="1" applyFont="1" applyBorder="1">
      <alignment/>
      <protection/>
    </xf>
    <xf numFmtId="199" fontId="3" fillId="0" borderId="22" xfId="58" applyNumberFormat="1" applyFont="1" applyBorder="1">
      <alignment/>
      <protection/>
    </xf>
    <xf numFmtId="0" fontId="3" fillId="16" borderId="18" xfId="57" applyFont="1" applyFill="1" applyBorder="1" applyAlignment="1">
      <alignment horizontal="left"/>
      <protection/>
    </xf>
    <xf numFmtId="0" fontId="1" fillId="0" borderId="20" xfId="57" applyFont="1" applyBorder="1" applyAlignment="1">
      <alignment horizontal="left"/>
      <protection/>
    </xf>
    <xf numFmtId="0" fontId="3" fillId="0" borderId="20" xfId="57" applyFont="1" applyBorder="1" applyAlignment="1">
      <alignment horizontal="left"/>
      <protection/>
    </xf>
    <xf numFmtId="199" fontId="4" fillId="0" borderId="23" xfId="58" applyNumberFormat="1" applyFont="1" applyBorder="1">
      <alignment/>
      <protection/>
    </xf>
    <xf numFmtId="199" fontId="4" fillId="0" borderId="19" xfId="57" applyNumberFormat="1" applyFont="1" applyBorder="1">
      <alignment/>
      <protection/>
    </xf>
    <xf numFmtId="0" fontId="3" fillId="0" borderId="0" xfId="57" applyFont="1">
      <alignment/>
      <protection/>
    </xf>
    <xf numFmtId="199" fontId="4" fillId="0" borderId="19" xfId="58" applyNumberFormat="1" applyFont="1" applyBorder="1">
      <alignment/>
      <protection/>
    </xf>
    <xf numFmtId="201" fontId="62" fillId="0" borderId="19" xfId="61" applyNumberFormat="1" applyFont="1" applyFill="1" applyBorder="1" applyAlignment="1">
      <alignment/>
    </xf>
    <xf numFmtId="201" fontId="62" fillId="0" borderId="19" xfId="61" applyNumberFormat="1" applyFont="1" applyFill="1" applyBorder="1" applyAlignment="1">
      <alignment/>
    </xf>
    <xf numFmtId="199" fontId="1" fillId="0" borderId="23" xfId="58" applyNumberFormat="1" applyFont="1" applyBorder="1">
      <alignment/>
      <protection/>
    </xf>
    <xf numFmtId="199" fontId="1" fillId="0" borderId="19" xfId="57" applyNumberFormat="1" applyFont="1" applyBorder="1">
      <alignment/>
      <protection/>
    </xf>
    <xf numFmtId="199" fontId="1" fillId="0" borderId="19" xfId="58" applyNumberFormat="1" applyFont="1" applyBorder="1">
      <alignment/>
      <protection/>
    </xf>
    <xf numFmtId="0" fontId="3" fillId="0" borderId="18" xfId="57" applyFont="1" applyBorder="1" applyAlignment="1">
      <alignment horizontal="left"/>
      <protection/>
    </xf>
    <xf numFmtId="199" fontId="4" fillId="0" borderId="17" xfId="58" applyNumberFormat="1" applyFont="1" applyBorder="1">
      <alignment/>
      <protection/>
    </xf>
    <xf numFmtId="199" fontId="4" fillId="0" borderId="22" xfId="58" applyNumberFormat="1" applyFont="1" applyBorder="1">
      <alignment/>
      <protection/>
    </xf>
    <xf numFmtId="199" fontId="4" fillId="0" borderId="17" xfId="57" applyNumberFormat="1" applyFont="1" applyBorder="1">
      <alignment/>
      <protection/>
    </xf>
    <xf numFmtId="0" fontId="1" fillId="0" borderId="20" xfId="58" applyFont="1" applyBorder="1" applyAlignment="1">
      <alignment horizontal="left"/>
      <protection/>
    </xf>
    <xf numFmtId="0" fontId="1" fillId="0" borderId="14" xfId="58" applyFont="1" applyBorder="1" applyAlignment="1">
      <alignment horizontal="left"/>
      <protection/>
    </xf>
    <xf numFmtId="0" fontId="18" fillId="0" borderId="20" xfId="57" applyFont="1" applyBorder="1" applyAlignment="1">
      <alignment horizontal="left"/>
      <protection/>
    </xf>
    <xf numFmtId="0" fontId="18" fillId="0" borderId="14" xfId="57" applyFont="1" applyBorder="1" applyAlignment="1">
      <alignment horizontal="left"/>
      <protection/>
    </xf>
    <xf numFmtId="199" fontId="4" fillId="0" borderId="23" xfId="57" applyNumberFormat="1" applyFont="1" applyBorder="1">
      <alignment/>
      <protection/>
    </xf>
    <xf numFmtId="200" fontId="1" fillId="0" borderId="14" xfId="57" applyNumberFormat="1" applyFont="1" applyBorder="1" applyAlignment="1">
      <alignment horizontal="left"/>
      <protection/>
    </xf>
    <xf numFmtId="199" fontId="1" fillId="0" borderId="15" xfId="58" applyNumberFormat="1" applyFont="1" applyBorder="1">
      <alignment/>
      <protection/>
    </xf>
    <xf numFmtId="199" fontId="1" fillId="0" borderId="13" xfId="58" applyNumberFormat="1" applyFont="1" applyBorder="1">
      <alignment/>
      <protection/>
    </xf>
    <xf numFmtId="199" fontId="1" fillId="0" borderId="13" xfId="57" applyNumberFormat="1" applyFont="1" applyBorder="1">
      <alignment/>
      <protection/>
    </xf>
    <xf numFmtId="199" fontId="4" fillId="0" borderId="22" xfId="57" applyNumberFormat="1" applyFont="1" applyBorder="1">
      <alignment/>
      <protection/>
    </xf>
    <xf numFmtId="195" fontId="1" fillId="0" borderId="20" xfId="57" applyNumberFormat="1" applyFont="1" applyBorder="1" applyAlignment="1">
      <alignment horizontal="left"/>
      <protection/>
    </xf>
    <xf numFmtId="201" fontId="62" fillId="0" borderId="0" xfId="61" applyNumberFormat="1" applyFont="1" applyFill="1" applyBorder="1" applyAlignment="1">
      <alignment/>
    </xf>
    <xf numFmtId="201" fontId="62" fillId="0" borderId="23" xfId="61" applyNumberFormat="1" applyFont="1" applyFill="1" applyBorder="1" applyAlignment="1">
      <alignment/>
    </xf>
    <xf numFmtId="0" fontId="1" fillId="0" borderId="14" xfId="57" applyFont="1" applyBorder="1" applyAlignment="1">
      <alignment horizontal="left"/>
      <protection/>
    </xf>
    <xf numFmtId="199" fontId="21" fillId="0" borderId="19" xfId="58" applyNumberFormat="1" applyFont="1" applyBorder="1">
      <alignment/>
      <protection/>
    </xf>
    <xf numFmtId="199" fontId="21" fillId="0" borderId="23" xfId="58" applyNumberFormat="1" applyFont="1" applyBorder="1">
      <alignment/>
      <protection/>
    </xf>
    <xf numFmtId="199" fontId="4" fillId="0" borderId="15" xfId="58" applyNumberFormat="1" applyFont="1" applyBorder="1">
      <alignment/>
      <protection/>
    </xf>
    <xf numFmtId="199" fontId="4" fillId="0" borderId="13" xfId="58" applyNumberFormat="1" applyFont="1" applyBorder="1">
      <alignment/>
      <protection/>
    </xf>
    <xf numFmtId="199" fontId="4" fillId="0" borderId="15" xfId="57" applyNumberFormat="1" applyFont="1" applyBorder="1">
      <alignment/>
      <protection/>
    </xf>
    <xf numFmtId="0" fontId="3" fillId="16" borderId="20" xfId="57" applyFont="1" applyFill="1" applyBorder="1" applyAlignment="1">
      <alignment horizontal="left"/>
      <protection/>
    </xf>
    <xf numFmtId="0" fontId="3" fillId="16" borderId="14" xfId="57" applyFont="1" applyFill="1" applyBorder="1" applyAlignment="1">
      <alignment horizontal="left"/>
      <protection/>
    </xf>
    <xf numFmtId="0" fontId="1" fillId="0" borderId="11" xfId="57" applyFont="1" applyBorder="1">
      <alignment/>
      <protection/>
    </xf>
    <xf numFmtId="0" fontId="3" fillId="16" borderId="16" xfId="57" applyFont="1" applyFill="1" applyBorder="1" applyAlignment="1">
      <alignment horizontal="left"/>
      <protection/>
    </xf>
    <xf numFmtId="199" fontId="21" fillId="0" borderId="15" xfId="57" applyNumberFormat="1" applyFont="1" applyBorder="1">
      <alignment/>
      <protection/>
    </xf>
    <xf numFmtId="0" fontId="3" fillId="16" borderId="17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/>
      <protection/>
    </xf>
    <xf numFmtId="0" fontId="3" fillId="0" borderId="19" xfId="57" applyFont="1" applyBorder="1" applyAlignment="1">
      <alignment horizontal="left"/>
      <protection/>
    </xf>
    <xf numFmtId="0" fontId="1" fillId="0" borderId="15" xfId="57" applyFont="1" applyBorder="1" applyAlignment="1">
      <alignment horizontal="left"/>
      <protection/>
    </xf>
    <xf numFmtId="199" fontId="1" fillId="16" borderId="19" xfId="62" applyNumberFormat="1" applyFont="1" applyFill="1" applyBorder="1" applyAlignment="1">
      <alignment/>
    </xf>
    <xf numFmtId="199" fontId="1" fillId="16" borderId="15" xfId="62" applyNumberFormat="1" applyFont="1" applyFill="1" applyBorder="1" applyAlignment="1">
      <alignment/>
    </xf>
    <xf numFmtId="49" fontId="0" fillId="0" borderId="0" xfId="55" applyNumberFormat="1" applyFont="1" applyFill="1" applyBorder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49" fontId="3" fillId="16" borderId="16" xfId="57" applyNumberFormat="1" applyFont="1" applyFill="1" applyBorder="1" applyAlignment="1">
      <alignment horizontal="center" wrapText="1"/>
      <protection/>
    </xf>
    <xf numFmtId="49" fontId="3" fillId="16" borderId="28" xfId="57" applyNumberFormat="1" applyFont="1" applyFill="1" applyBorder="1" applyAlignment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Cuadro Resumen 05-06 2" xfId="57"/>
    <cellStyle name="Normal_Cuadro Resumen 05-06 2 2" xfId="58"/>
    <cellStyle name="Normal_plantilla para datos fiscales" xfId="59"/>
    <cellStyle name="Notas" xfId="60"/>
    <cellStyle name="Percent" xfId="61"/>
    <cellStyle name="Porcentual 2" xfId="62"/>
    <cellStyle name="Porcentual 2 10" xfId="63"/>
    <cellStyle name="Porcentual 2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1</xdr:col>
      <xdr:colOff>1362075</xdr:colOff>
      <xdr:row>3</xdr:row>
      <xdr:rowOff>57150</xdr:rowOff>
    </xdr:to>
    <xdr:pic>
      <xdr:nvPicPr>
        <xdr:cNvPr id="1" name="4 Imagen" descr="Macintosh HD:Users:Ministerio_de_Hacienda:Desktop:André:Libro de marca nuevo:Logos para hojas membretadas:png logos (Juanito Mora):logo-ST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57150</xdr:rowOff>
    </xdr:from>
    <xdr:to>
      <xdr:col>1</xdr:col>
      <xdr:colOff>1609725</xdr:colOff>
      <xdr:row>3</xdr:row>
      <xdr:rowOff>114300</xdr:rowOff>
    </xdr:to>
    <xdr:pic>
      <xdr:nvPicPr>
        <xdr:cNvPr id="1" name="4 Imagen" descr="Macintosh HD:Users:Ministerio_de_Hacienda:Desktop:André:Libro de marca nuevo:Logos para hojas membretadas:png logos (Juanito Mora):logo-ST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715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cienda.go.cr/2008\Transferecias%20Regimen%20no%20COntrib%20y%20avance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ES PÚBLIC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zoomScalePageLayoutView="0" workbookViewId="0" topLeftCell="A1">
      <pane xSplit="2" ySplit="7" topLeftCell="Q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1" sqref="B61"/>
    </sheetView>
  </sheetViews>
  <sheetFormatPr defaultColWidth="11.421875" defaultRowHeight="12.75"/>
  <cols>
    <col min="1" max="1" width="3.8515625" style="1" customWidth="1"/>
    <col min="2" max="2" width="40.140625" style="1" bestFit="1" customWidth="1"/>
    <col min="3" max="12" width="10.00390625" style="1" hidden="1" customWidth="1"/>
    <col min="13" max="15" width="10.00390625" style="1" customWidth="1"/>
    <col min="16" max="17" width="10.00390625" style="1" bestFit="1" customWidth="1"/>
    <col min="18" max="19" width="10.00390625" style="1" customWidth="1"/>
    <col min="20" max="28" width="7.421875" style="10" hidden="1" customWidth="1"/>
    <col min="29" max="29" width="7.421875" style="10" bestFit="1" customWidth="1"/>
    <col min="30" max="35" width="7.421875" style="1" bestFit="1" customWidth="1"/>
    <col min="36" max="16384" width="11.421875" style="1" customWidth="1"/>
  </cols>
  <sheetData>
    <row r="1" ht="12.75">
      <c r="AD1" s="11"/>
    </row>
    <row r="2" spans="1:32" ht="12.75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</row>
    <row r="3" spans="1:32" ht="12.75">
      <c r="A3" s="234" t="s">
        <v>130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ht="12.75">
      <c r="A4" s="235" t="s">
        <v>45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</row>
    <row r="5" spans="2:35" ht="13.5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2"/>
      <c r="AF5" s="12"/>
      <c r="AG5" s="12"/>
      <c r="AH5" s="12"/>
      <c r="AI5" s="12"/>
    </row>
    <row r="6" spans="2:35" ht="13.5" thickTop="1">
      <c r="B6" s="15"/>
      <c r="C6" s="236" t="s">
        <v>47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156"/>
      <c r="S6" s="156"/>
      <c r="T6" s="237" t="s">
        <v>20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</row>
    <row r="7" spans="2:35" ht="12.75">
      <c r="B7" s="18" t="s">
        <v>0</v>
      </c>
      <c r="C7" s="19">
        <v>2006</v>
      </c>
      <c r="D7" s="19">
        <v>2007</v>
      </c>
      <c r="E7" s="19">
        <v>2008</v>
      </c>
      <c r="F7" s="19">
        <v>2009</v>
      </c>
      <c r="G7" s="19">
        <v>2010</v>
      </c>
      <c r="H7" s="19">
        <v>2011</v>
      </c>
      <c r="I7" s="19">
        <v>2012</v>
      </c>
      <c r="J7" s="19">
        <v>2013</v>
      </c>
      <c r="K7" s="19">
        <v>2014</v>
      </c>
      <c r="L7" s="19">
        <v>2015</v>
      </c>
      <c r="M7" s="19">
        <v>2016</v>
      </c>
      <c r="N7" s="19">
        <v>2017</v>
      </c>
      <c r="O7" s="19">
        <v>2018</v>
      </c>
      <c r="P7" s="19">
        <v>2019</v>
      </c>
      <c r="Q7" s="19">
        <v>2020</v>
      </c>
      <c r="R7" s="19">
        <v>2021</v>
      </c>
      <c r="S7" s="19">
        <v>2022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  <c r="AE7" s="20" t="s">
        <v>74</v>
      </c>
      <c r="AF7" s="20" t="s">
        <v>75</v>
      </c>
      <c r="AG7" s="144" t="s">
        <v>76</v>
      </c>
      <c r="AH7" s="144" t="s">
        <v>77</v>
      </c>
      <c r="AI7" s="144" t="s">
        <v>128</v>
      </c>
    </row>
    <row r="8" spans="2:31" ht="12.75">
      <c r="B8" s="15"/>
      <c r="C8" s="17"/>
      <c r="D8" s="17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7"/>
      <c r="U8" s="17"/>
      <c r="V8" s="17"/>
      <c r="W8" s="17"/>
      <c r="X8" s="17"/>
      <c r="Y8" s="17"/>
      <c r="Z8" s="17"/>
      <c r="AA8" s="17"/>
      <c r="AB8" s="17"/>
      <c r="AC8" s="17"/>
      <c r="AD8" s="15"/>
      <c r="AE8" s="15"/>
    </row>
    <row r="9" spans="1:35" ht="12.75">
      <c r="A9" s="1">
        <v>1</v>
      </c>
      <c r="B9" s="4" t="s">
        <v>10</v>
      </c>
      <c r="C9" s="31">
        <f aca="true" t="shared" si="0" ref="C9:H9">+C11+C34</f>
        <v>128908.04808533</v>
      </c>
      <c r="D9" s="31">
        <f t="shared" si="0"/>
        <v>162636.45545962002</v>
      </c>
      <c r="E9" s="31">
        <f t="shared" si="0"/>
        <v>190990.58980529</v>
      </c>
      <c r="F9" s="31">
        <f t="shared" si="0"/>
        <v>177831.46283566</v>
      </c>
      <c r="G9" s="31">
        <f t="shared" si="0"/>
        <v>222313.96495502998</v>
      </c>
      <c r="H9" s="31">
        <f t="shared" si="0"/>
        <v>280433.86096625996</v>
      </c>
      <c r="I9" s="31">
        <v>309623.2644342199</v>
      </c>
      <c r="J9" s="31">
        <f aca="true" t="shared" si="1" ref="J9:O9">+J11+J34</f>
        <v>311114.19204625004</v>
      </c>
      <c r="K9" s="31">
        <f t="shared" si="1"/>
        <v>345790.87430465</v>
      </c>
      <c r="L9" s="31">
        <f t="shared" si="1"/>
        <v>375190.10176349996</v>
      </c>
      <c r="M9" s="31">
        <f t="shared" si="1"/>
        <v>434623.30610316</v>
      </c>
      <c r="N9" s="31">
        <f t="shared" si="1"/>
        <v>453078.88021359994</v>
      </c>
      <c r="O9" s="31">
        <f t="shared" si="1"/>
        <v>450390.80003586004</v>
      </c>
      <c r="P9" s="31">
        <f>+P11+P34</f>
        <v>443707.80286713</v>
      </c>
      <c r="Q9" s="31">
        <f>+Q11+Q34</f>
        <v>311243.81511773006</v>
      </c>
      <c r="R9" s="31">
        <f>+R11+R34</f>
        <v>533484.8268266801</v>
      </c>
      <c r="S9" s="31">
        <f>+S11+S34</f>
        <v>647281.3629507999</v>
      </c>
      <c r="T9" s="53">
        <f aca="true" t="shared" si="2" ref="T9:AI9">+D9/C9-1</f>
        <v>0.2616470257308037</v>
      </c>
      <c r="U9" s="53">
        <f t="shared" si="2"/>
        <v>0.1743405822854387</v>
      </c>
      <c r="V9" s="53">
        <f t="shared" si="2"/>
        <v>-0.06889934725603697</v>
      </c>
      <c r="W9" s="53">
        <f t="shared" si="2"/>
        <v>0.25013853797332675</v>
      </c>
      <c r="X9" s="53">
        <f t="shared" si="2"/>
        <v>0.26143160202727955</v>
      </c>
      <c r="Y9" s="53">
        <f t="shared" si="2"/>
        <v>0.10408658700267237</v>
      </c>
      <c r="Z9" s="53">
        <f t="shared" si="2"/>
        <v>0.004815295823311416</v>
      </c>
      <c r="AA9" s="53">
        <f t="shared" si="2"/>
        <v>0.11145966061633383</v>
      </c>
      <c r="AB9" s="53">
        <f t="shared" si="2"/>
        <v>0.08502025253838408</v>
      </c>
      <c r="AC9" s="53">
        <f t="shared" si="2"/>
        <v>0.15840824174280477</v>
      </c>
      <c r="AD9" s="53">
        <f t="shared" si="2"/>
        <v>0.04246337886459184</v>
      </c>
      <c r="AE9" s="53">
        <f t="shared" si="2"/>
        <v>-0.005932918736959558</v>
      </c>
      <c r="AF9" s="53">
        <f t="shared" si="2"/>
        <v>-0.014838218649665835</v>
      </c>
      <c r="AG9" s="53">
        <f t="shared" si="2"/>
        <v>-0.2985387836171698</v>
      </c>
      <c r="AH9" s="53">
        <f t="shared" si="2"/>
        <v>0.7140415356523178</v>
      </c>
      <c r="AI9" s="53">
        <f t="shared" si="2"/>
        <v>0.21330791505545532</v>
      </c>
    </row>
    <row r="10" spans="2:35" ht="12.75">
      <c r="B10" s="4"/>
      <c r="C10" s="26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2:35" ht="12.75">
      <c r="B11" s="4" t="s">
        <v>31</v>
      </c>
      <c r="C11" s="35">
        <f aca="true" t="shared" si="3" ref="C11:H11">+C12+C30+C31+C32</f>
        <v>128830.04808533</v>
      </c>
      <c r="D11" s="35">
        <f t="shared" si="3"/>
        <v>162596.45545962002</v>
      </c>
      <c r="E11" s="35">
        <f t="shared" si="3"/>
        <v>190990.58980529</v>
      </c>
      <c r="F11" s="35">
        <f t="shared" si="3"/>
        <v>177831.46283566</v>
      </c>
      <c r="G11" s="35">
        <f t="shared" si="3"/>
        <v>222313.96495502998</v>
      </c>
      <c r="H11" s="35">
        <f t="shared" si="3"/>
        <v>280395.86096625996</v>
      </c>
      <c r="I11" s="35">
        <v>309623.2644342199</v>
      </c>
      <c r="J11" s="35">
        <f aca="true" t="shared" si="4" ref="J11:O11">+J12+J30+J31+J32</f>
        <v>311114.19204625004</v>
      </c>
      <c r="K11" s="35">
        <f t="shared" si="4"/>
        <v>345790.87430465</v>
      </c>
      <c r="L11" s="35">
        <f t="shared" si="4"/>
        <v>374463.92444619996</v>
      </c>
      <c r="M11" s="35">
        <f t="shared" si="4"/>
        <v>434623.30610316</v>
      </c>
      <c r="N11" s="35">
        <f t="shared" si="4"/>
        <v>453078.88021359994</v>
      </c>
      <c r="O11" s="35">
        <f t="shared" si="4"/>
        <v>450390.80003586004</v>
      </c>
      <c r="P11" s="35">
        <f>+P12+P30+P31+P32</f>
        <v>443707.80286713</v>
      </c>
      <c r="Q11" s="35">
        <f>+Q12+Q30+Q31+Q32</f>
        <v>311243.81511773006</v>
      </c>
      <c r="R11" s="35">
        <f>+R12+R30+R31+R32</f>
        <v>533484.8268266801</v>
      </c>
      <c r="S11" s="35">
        <f>+S12+S30+S31+S32</f>
        <v>647281.3629507999</v>
      </c>
      <c r="T11" s="38">
        <f aca="true" t="shared" si="5" ref="T11:T32">+D11/C11-1</f>
        <v>0.2621004018559785</v>
      </c>
      <c r="U11" s="38">
        <f aca="true" t="shared" si="6" ref="U11:U32">+E11/D11-1</f>
        <v>0.1746294792552936</v>
      </c>
      <c r="V11" s="38">
        <f aca="true" t="shared" si="7" ref="V11:V32">+F11/E11-1</f>
        <v>-0.06889934725603697</v>
      </c>
      <c r="W11" s="38">
        <f aca="true" t="shared" si="8" ref="W11:W32">+G11/F11-1</f>
        <v>0.25013853797332675</v>
      </c>
      <c r="X11" s="38">
        <f aca="true" t="shared" si="9" ref="X11:X32">+H11/G11-1</f>
        <v>0.2612606725941795</v>
      </c>
      <c r="Y11" s="38">
        <f aca="true" t="shared" si="10" ref="Y11:Y32">+I11/H11-1</f>
        <v>0.10423621578164766</v>
      </c>
      <c r="Z11" s="38">
        <f aca="true" t="shared" si="11" ref="Z11:Z32">+J11/I11-1</f>
        <v>0.004815295823311416</v>
      </c>
      <c r="AA11" s="38">
        <f aca="true" t="shared" si="12" ref="AA11:AA32">+K11/J11-1</f>
        <v>0.11145966061633383</v>
      </c>
      <c r="AB11" s="38">
        <f aca="true" t="shared" si="13" ref="AB11:AB32">+L11/K11-1</f>
        <v>0.08292020487587637</v>
      </c>
      <c r="AC11" s="38">
        <f aca="true" t="shared" si="14" ref="AC11:AC32">+M11/L11-1</f>
        <v>0.1606546792082324</v>
      </c>
      <c r="AD11" s="38">
        <f aca="true" t="shared" si="15" ref="AD11:AD32">+N11/M11-1</f>
        <v>0.04246337886459184</v>
      </c>
      <c r="AE11" s="38">
        <f aca="true" t="shared" si="16" ref="AE11:AE32">+O11/N11-1</f>
        <v>-0.005932918736959558</v>
      </c>
      <c r="AF11" s="38">
        <f aca="true" t="shared" si="17" ref="AF11:AF32">+P11/O11-1</f>
        <v>-0.014838218649665835</v>
      </c>
      <c r="AG11" s="38">
        <f aca="true" t="shared" si="18" ref="AG11:AG32">+Q11/P11-1</f>
        <v>-0.2985387836171698</v>
      </c>
      <c r="AH11" s="38">
        <f aca="true" t="shared" si="19" ref="AH11:AH32">+R11/Q11-1</f>
        <v>0.7140415356523178</v>
      </c>
      <c r="AI11" s="38">
        <f aca="true" t="shared" si="20" ref="AI11:AI32">+S11/R11-1</f>
        <v>0.21330791505545532</v>
      </c>
    </row>
    <row r="12" spans="2:35" ht="12.75">
      <c r="B12" s="32" t="s">
        <v>30</v>
      </c>
      <c r="C12" s="26">
        <v>123539.52481161</v>
      </c>
      <c r="D12" s="59">
        <f>+D13+D14+D17+D21+D24+D27</f>
        <v>149769.27734232</v>
      </c>
      <c r="E12" s="59">
        <f>+E13+E14+E17+E21+E24+E27</f>
        <v>180474.0017802</v>
      </c>
      <c r="F12" s="59">
        <f>+F13+F14+F17+F21+F24+F27</f>
        <v>168359.41492794</v>
      </c>
      <c r="G12" s="59">
        <f>+G13+G14+G17+G21+G24+G27</f>
        <v>205126.58984092</v>
      </c>
      <c r="H12" s="59">
        <f>+H13+H14+H17+H21+H24+H27</f>
        <v>257330.36605133</v>
      </c>
      <c r="I12" s="59">
        <v>275872.71572766994</v>
      </c>
      <c r="J12" s="59">
        <f aca="true" t="shared" si="21" ref="J12:O12">+J13+J14+J17+J21+J24+J27</f>
        <v>287917.13891762</v>
      </c>
      <c r="K12" s="59">
        <f t="shared" si="21"/>
        <v>307525.01181875</v>
      </c>
      <c r="L12" s="59">
        <f t="shared" si="21"/>
        <v>342387.97869925</v>
      </c>
      <c r="M12" s="59">
        <f t="shared" si="21"/>
        <v>394330.16394181</v>
      </c>
      <c r="N12" s="59">
        <f t="shared" si="21"/>
        <v>423549.4537910699</v>
      </c>
      <c r="O12" s="59">
        <f t="shared" si="21"/>
        <v>418059.69057359005</v>
      </c>
      <c r="P12" s="59">
        <f>+P13+P14+P17+P21+P24+P27</f>
        <v>422539.11148252</v>
      </c>
      <c r="Q12" s="59">
        <f>+Q13+Q14+Q17+Q21+Q24+Q27</f>
        <v>268898.41598601005</v>
      </c>
      <c r="R12" s="59">
        <f>+R13+R14+R17+R21+R24+R27</f>
        <v>481979.77323895006</v>
      </c>
      <c r="S12" s="59">
        <f>+S13+S14+S17+S21+S24+S27+S28+S29</f>
        <v>572521.07096857</v>
      </c>
      <c r="T12" s="40">
        <f t="shared" si="5"/>
        <v>0.21231870990849888</v>
      </c>
      <c r="U12" s="40">
        <f t="shared" si="6"/>
        <v>0.20501350465689816</v>
      </c>
      <c r="V12" s="40">
        <f t="shared" si="7"/>
        <v>-0.0671264931943738</v>
      </c>
      <c r="W12" s="40">
        <f t="shared" si="8"/>
        <v>0.218385024257282</v>
      </c>
      <c r="X12" s="40">
        <f t="shared" si="9"/>
        <v>0.25449541305637235</v>
      </c>
      <c r="Y12" s="40">
        <f t="shared" si="10"/>
        <v>0.07205659386751617</v>
      </c>
      <c r="Z12" s="40">
        <f t="shared" si="11"/>
        <v>0.043659349052262986</v>
      </c>
      <c r="AA12" s="40">
        <f t="shared" si="12"/>
        <v>0.06810248592648138</v>
      </c>
      <c r="AB12" s="40">
        <f t="shared" si="13"/>
        <v>0.11336628092237122</v>
      </c>
      <c r="AC12" s="40">
        <f t="shared" si="14"/>
        <v>0.15170563359114175</v>
      </c>
      <c r="AD12" s="40">
        <f t="shared" si="15"/>
        <v>0.07409854107324065</v>
      </c>
      <c r="AE12" s="40">
        <f t="shared" si="16"/>
        <v>-0.01296132758133095</v>
      </c>
      <c r="AF12" s="40">
        <f t="shared" si="17"/>
        <v>0.010714787887787125</v>
      </c>
      <c r="AG12" s="40">
        <f t="shared" si="18"/>
        <v>-0.36361295634254187</v>
      </c>
      <c r="AH12" s="40">
        <f t="shared" si="19"/>
        <v>0.7924232519987249</v>
      </c>
      <c r="AI12" s="40">
        <f t="shared" si="20"/>
        <v>0.18785289913967507</v>
      </c>
    </row>
    <row r="13" spans="2:35" ht="12.75">
      <c r="B13" s="33" t="s">
        <v>23</v>
      </c>
      <c r="C13" s="26">
        <v>26684.630275949996</v>
      </c>
      <c r="D13" s="26">
        <v>46883.99958751</v>
      </c>
      <c r="E13" s="26">
        <v>46505.73932505</v>
      </c>
      <c r="F13" s="26">
        <v>52560.01272113</v>
      </c>
      <c r="G13" s="59">
        <v>74023.42869051</v>
      </c>
      <c r="H13" s="59">
        <v>102282.04746157001</v>
      </c>
      <c r="I13" s="59">
        <v>120137.70261781</v>
      </c>
      <c r="J13" s="59">
        <v>135837.92302786</v>
      </c>
      <c r="K13" s="59">
        <v>137512.11655618</v>
      </c>
      <c r="L13" s="59">
        <v>157976.6752574</v>
      </c>
      <c r="M13" s="59">
        <v>176224.96835569</v>
      </c>
      <c r="N13" s="59">
        <v>206335.45797192</v>
      </c>
      <c r="O13" s="59">
        <v>211238.86045455</v>
      </c>
      <c r="P13" s="59">
        <v>210090.68733125</v>
      </c>
      <c r="Q13" s="59">
        <v>129351.84205117001</v>
      </c>
      <c r="R13" s="59">
        <v>220813.74193379</v>
      </c>
      <c r="S13" s="59">
        <v>266370.16087828</v>
      </c>
      <c r="T13" s="40">
        <f t="shared" si="5"/>
        <v>0.7569664298390166</v>
      </c>
      <c r="U13" s="40">
        <f t="shared" si="6"/>
        <v>-0.008068003280180203</v>
      </c>
      <c r="V13" s="40">
        <f t="shared" si="7"/>
        <v>0.13018335981638507</v>
      </c>
      <c r="W13" s="40">
        <f t="shared" si="8"/>
        <v>0.40836017455435947</v>
      </c>
      <c r="X13" s="40">
        <f t="shared" si="9"/>
        <v>0.38175236233934173</v>
      </c>
      <c r="Y13" s="40">
        <f t="shared" si="10"/>
        <v>0.1745727192540687</v>
      </c>
      <c r="Z13" s="40">
        <f t="shared" si="11"/>
        <v>0.13068520595900335</v>
      </c>
      <c r="AA13" s="40">
        <f t="shared" si="12"/>
        <v>0.012324934679519783</v>
      </c>
      <c r="AB13" s="40">
        <f t="shared" si="13"/>
        <v>0.14882004010795136</v>
      </c>
      <c r="AC13" s="40">
        <f t="shared" si="14"/>
        <v>0.11551257847753216</v>
      </c>
      <c r="AD13" s="40">
        <f t="shared" si="15"/>
        <v>0.1708639240919334</v>
      </c>
      <c r="AE13" s="40">
        <f t="shared" si="16"/>
        <v>0.023764226133626165</v>
      </c>
      <c r="AF13" s="40">
        <f t="shared" si="17"/>
        <v>-0.0054354256637692</v>
      </c>
      <c r="AG13" s="40">
        <f t="shared" si="18"/>
        <v>-0.38430473195025083</v>
      </c>
      <c r="AH13" s="40">
        <f t="shared" si="19"/>
        <v>0.7070784492302691</v>
      </c>
      <c r="AI13" s="40">
        <f t="shared" si="20"/>
        <v>0.2063115209475952</v>
      </c>
    </row>
    <row r="14" spans="2:35" ht="12.75">
      <c r="B14" s="33" t="s">
        <v>24</v>
      </c>
      <c r="C14" s="26">
        <v>9219.62522163</v>
      </c>
      <c r="D14" s="59">
        <f>+D15+D16</f>
        <v>9556.76846426</v>
      </c>
      <c r="E14" s="59">
        <f>+E15+E16</f>
        <v>11849.113754259999</v>
      </c>
      <c r="F14" s="59">
        <f>+F15+F16</f>
        <v>9774.77190399</v>
      </c>
      <c r="G14" s="59">
        <f>+G15+G16</f>
        <v>10179.23110952</v>
      </c>
      <c r="H14" s="59">
        <f>+H15+H16</f>
        <v>12455.3762868</v>
      </c>
      <c r="I14" s="59">
        <v>11750.888988019999</v>
      </c>
      <c r="J14" s="59">
        <f aca="true" t="shared" si="22" ref="J14:O14">+J15+J16</f>
        <v>11237.53386869</v>
      </c>
      <c r="K14" s="59">
        <f t="shared" si="22"/>
        <v>12584.707478789998</v>
      </c>
      <c r="L14" s="59">
        <f t="shared" si="22"/>
        <v>13462.24244871</v>
      </c>
      <c r="M14" s="59">
        <f t="shared" si="22"/>
        <v>14988.245776579999</v>
      </c>
      <c r="N14" s="59">
        <f t="shared" si="22"/>
        <v>14903.05445976</v>
      </c>
      <c r="O14" s="59">
        <f t="shared" si="22"/>
        <v>12817.707482230002</v>
      </c>
      <c r="P14" s="59">
        <f>+P15+P16</f>
        <v>12980.32383949</v>
      </c>
      <c r="Q14" s="59">
        <f>+Q15+Q16</f>
        <v>7588.79081289</v>
      </c>
      <c r="R14" s="59">
        <f>+R15+R16</f>
        <v>14058.034530380002</v>
      </c>
      <c r="S14" s="59">
        <f>+S15+S16</f>
        <v>3255.75851693</v>
      </c>
      <c r="T14" s="40">
        <f t="shared" si="5"/>
        <v>0.03656799864695515</v>
      </c>
      <c r="U14" s="40">
        <f t="shared" si="6"/>
        <v>0.2398661533522357</v>
      </c>
      <c r="V14" s="40">
        <f t="shared" si="7"/>
        <v>-0.1750630379022423</v>
      </c>
      <c r="W14" s="40">
        <f t="shared" si="8"/>
        <v>0.04137786635869234</v>
      </c>
      <c r="X14" s="40">
        <f t="shared" si="9"/>
        <v>0.22360678844900805</v>
      </c>
      <c r="Y14" s="40">
        <f t="shared" si="10"/>
        <v>-0.05656090049456031</v>
      </c>
      <c r="Z14" s="40">
        <f t="shared" si="11"/>
        <v>-0.04368649213292397</v>
      </c>
      <c r="AA14" s="40">
        <f t="shared" si="12"/>
        <v>0.11988160621731181</v>
      </c>
      <c r="AB14" s="40">
        <f t="shared" si="13"/>
        <v>0.06973026360755541</v>
      </c>
      <c r="AC14" s="40">
        <f t="shared" si="14"/>
        <v>0.11335431921419792</v>
      </c>
      <c r="AD14" s="40">
        <f t="shared" si="15"/>
        <v>-0.0056838750905136015</v>
      </c>
      <c r="AE14" s="40">
        <f t="shared" si="16"/>
        <v>-0.13992748823140122</v>
      </c>
      <c r="AF14" s="40">
        <f t="shared" si="17"/>
        <v>0.012686851957375733</v>
      </c>
      <c r="AG14" s="40">
        <f t="shared" si="18"/>
        <v>-0.4153619812009124</v>
      </c>
      <c r="AH14" s="40">
        <f t="shared" si="19"/>
        <v>0.8524735859765191</v>
      </c>
      <c r="AI14" s="40">
        <f t="shared" si="20"/>
        <v>-0.7684058529025399</v>
      </c>
    </row>
    <row r="15" spans="2:35" ht="12.75">
      <c r="B15" s="34" t="s">
        <v>35</v>
      </c>
      <c r="C15" s="26">
        <v>7266.62635792</v>
      </c>
      <c r="D15" s="26">
        <v>7414.8665202600005</v>
      </c>
      <c r="E15" s="26">
        <v>9474.25575499</v>
      </c>
      <c r="F15" s="26">
        <v>8089.59030292</v>
      </c>
      <c r="G15" s="59">
        <v>8299.00236016</v>
      </c>
      <c r="H15" s="59">
        <v>10407.53613157</v>
      </c>
      <c r="I15" s="59">
        <v>9884.14414648</v>
      </c>
      <c r="J15" s="59">
        <v>9467.7153992</v>
      </c>
      <c r="K15" s="59">
        <v>10602.200396889999</v>
      </c>
      <c r="L15" s="59">
        <v>11397.61708892</v>
      </c>
      <c r="M15" s="59">
        <v>12622.23796486</v>
      </c>
      <c r="N15" s="59">
        <v>12569.36363085</v>
      </c>
      <c r="O15" s="59">
        <v>10874.27807709</v>
      </c>
      <c r="P15" s="59">
        <v>11102.55080164</v>
      </c>
      <c r="Q15" s="59">
        <v>6514.7132093</v>
      </c>
      <c r="R15" s="59">
        <v>11718.152021200001</v>
      </c>
      <c r="S15" s="59">
        <v>2347.93865694</v>
      </c>
      <c r="T15" s="40">
        <f t="shared" si="5"/>
        <v>0.020400135501453365</v>
      </c>
      <c r="U15" s="40">
        <f t="shared" si="6"/>
        <v>0.2777378701427773</v>
      </c>
      <c r="V15" s="40">
        <f t="shared" si="7"/>
        <v>-0.1461503138482101</v>
      </c>
      <c r="W15" s="40">
        <f t="shared" si="8"/>
        <v>0.025886608517666332</v>
      </c>
      <c r="X15" s="40">
        <f t="shared" si="9"/>
        <v>0.2540707521101786</v>
      </c>
      <c r="Y15" s="40">
        <f t="shared" si="10"/>
        <v>-0.05028971107795188</v>
      </c>
      <c r="Z15" s="40">
        <f t="shared" si="11"/>
        <v>-0.04213098687237371</v>
      </c>
      <c r="AA15" s="40">
        <f t="shared" si="12"/>
        <v>0.11982668995160761</v>
      </c>
      <c r="AB15" s="40">
        <f t="shared" si="13"/>
        <v>0.07502373679555463</v>
      </c>
      <c r="AC15" s="40">
        <f t="shared" si="14"/>
        <v>0.10744534286298268</v>
      </c>
      <c r="AD15" s="40">
        <f t="shared" si="15"/>
        <v>-0.004188982505099359</v>
      </c>
      <c r="AE15" s="40">
        <f t="shared" si="16"/>
        <v>-0.13485850227131746</v>
      </c>
      <c r="AF15" s="40">
        <f t="shared" si="17"/>
        <v>0.02099198888714504</v>
      </c>
      <c r="AG15" s="40">
        <f t="shared" si="18"/>
        <v>-0.413223742391011</v>
      </c>
      <c r="AH15" s="40">
        <f t="shared" si="19"/>
        <v>0.7987210863667638</v>
      </c>
      <c r="AI15" s="40">
        <f t="shared" si="20"/>
        <v>-0.7996323436756747</v>
      </c>
    </row>
    <row r="16" spans="2:35" ht="12.75">
      <c r="B16" s="34" t="s">
        <v>36</v>
      </c>
      <c r="C16" s="26">
        <v>1952.99886371</v>
      </c>
      <c r="D16" s="26">
        <v>2141.901944</v>
      </c>
      <c r="E16" s="26">
        <v>2374.85799927</v>
      </c>
      <c r="F16" s="26">
        <v>1685.18160107</v>
      </c>
      <c r="G16" s="59">
        <v>1880.22874936</v>
      </c>
      <c r="H16" s="59">
        <v>2047.84015523</v>
      </c>
      <c r="I16" s="59">
        <v>1866.74484154</v>
      </c>
      <c r="J16" s="59">
        <v>1769.81846949</v>
      </c>
      <c r="K16" s="59">
        <v>1982.5070819</v>
      </c>
      <c r="L16" s="59">
        <v>2064.62535979</v>
      </c>
      <c r="M16" s="59">
        <v>2366.0078117199996</v>
      </c>
      <c r="N16" s="59">
        <v>2333.6908289099997</v>
      </c>
      <c r="O16" s="59">
        <v>1943.4294051400002</v>
      </c>
      <c r="P16" s="59">
        <v>1877.7730378499998</v>
      </c>
      <c r="Q16" s="59">
        <v>1074.0776035899999</v>
      </c>
      <c r="R16" s="59">
        <v>2339.88250918</v>
      </c>
      <c r="S16" s="59">
        <v>907.81985999</v>
      </c>
      <c r="T16" s="40">
        <f t="shared" si="5"/>
        <v>0.09672462375689861</v>
      </c>
      <c r="U16" s="40">
        <f t="shared" si="6"/>
        <v>0.10876130717494692</v>
      </c>
      <c r="V16" s="40">
        <f t="shared" si="7"/>
        <v>-0.29040742579640455</v>
      </c>
      <c r="W16" s="40">
        <f t="shared" si="8"/>
        <v>0.1157425099859597</v>
      </c>
      <c r="X16" s="40">
        <f t="shared" si="9"/>
        <v>0.08914415649002927</v>
      </c>
      <c r="Y16" s="40">
        <f t="shared" si="10"/>
        <v>-0.08843234821209012</v>
      </c>
      <c r="Z16" s="40">
        <f t="shared" si="11"/>
        <v>-0.05192266767965936</v>
      </c>
      <c r="AA16" s="40">
        <f t="shared" si="12"/>
        <v>0.1201753829991894</v>
      </c>
      <c r="AB16" s="40">
        <f t="shared" si="13"/>
        <v>0.041421429784401775</v>
      </c>
      <c r="AC16" s="40">
        <f t="shared" si="14"/>
        <v>0.1459744018453082</v>
      </c>
      <c r="AD16" s="40">
        <f t="shared" si="15"/>
        <v>-0.0136588656427582</v>
      </c>
      <c r="AE16" s="40">
        <f t="shared" si="16"/>
        <v>-0.1672292743046342</v>
      </c>
      <c r="AF16" s="40">
        <f t="shared" si="17"/>
        <v>-0.03378376755870416</v>
      </c>
      <c r="AG16" s="40">
        <f t="shared" si="18"/>
        <v>-0.428004566079088</v>
      </c>
      <c r="AH16" s="40">
        <f t="shared" si="19"/>
        <v>1.1785041428656275</v>
      </c>
      <c r="AI16" s="40">
        <f t="shared" si="20"/>
        <v>-0.6120233146628627</v>
      </c>
    </row>
    <row r="17" spans="2:35" ht="12.75">
      <c r="B17" s="33" t="s">
        <v>25</v>
      </c>
      <c r="C17" s="26">
        <v>28.96029324</v>
      </c>
      <c r="D17" s="59">
        <f>+D18+D19</f>
        <v>249.00623181</v>
      </c>
      <c r="E17" s="59">
        <f>+E18+E19</f>
        <v>377.29734927999993</v>
      </c>
      <c r="F17" s="59">
        <f>+F18+F19</f>
        <v>358.12095263000003</v>
      </c>
      <c r="G17" s="59">
        <f>+G18+G19</f>
        <v>303.6893401</v>
      </c>
      <c r="H17" s="59">
        <f>+H18+H19</f>
        <v>368.96685891000004</v>
      </c>
      <c r="I17" s="59">
        <v>303.33459276</v>
      </c>
      <c r="J17" s="59">
        <f>+J18+J19</f>
        <v>226.31648805999998</v>
      </c>
      <c r="K17" s="59">
        <f aca="true" t="shared" si="23" ref="K17:S17">+K18+K19+K20</f>
        <v>447.00379133</v>
      </c>
      <c r="L17" s="59">
        <f t="shared" si="23"/>
        <v>413.07779637</v>
      </c>
      <c r="M17" s="59">
        <f t="shared" si="23"/>
        <v>501.32508753</v>
      </c>
      <c r="N17" s="59">
        <f t="shared" si="23"/>
        <v>502.65251651</v>
      </c>
      <c r="O17" s="59">
        <f t="shared" si="23"/>
        <v>424.75562418999993</v>
      </c>
      <c r="P17" s="59">
        <f t="shared" si="23"/>
        <v>553.44577792</v>
      </c>
      <c r="Q17" s="59">
        <f t="shared" si="23"/>
        <v>428.57099554</v>
      </c>
      <c r="R17" s="59">
        <f t="shared" si="23"/>
        <v>608.40503685</v>
      </c>
      <c r="S17" s="59">
        <f t="shared" si="23"/>
        <v>68.64902289</v>
      </c>
      <c r="T17" s="40">
        <f t="shared" si="5"/>
        <v>7.5981944224954265</v>
      </c>
      <c r="U17" s="40">
        <f t="shared" si="6"/>
        <v>0.5152124769627866</v>
      </c>
      <c r="V17" s="40">
        <f t="shared" si="7"/>
        <v>-0.05082568612420524</v>
      </c>
      <c r="W17" s="40">
        <f t="shared" si="8"/>
        <v>-0.15199225884512035</v>
      </c>
      <c r="X17" s="40">
        <f t="shared" si="9"/>
        <v>0.21494833762852927</v>
      </c>
      <c r="Y17" s="40">
        <f t="shared" si="10"/>
        <v>-0.17788119600738805</v>
      </c>
      <c r="Z17" s="40">
        <f t="shared" si="11"/>
        <v>-0.2539047854688211</v>
      </c>
      <c r="AA17" s="40">
        <f t="shared" si="12"/>
        <v>0.9751269346822509</v>
      </c>
      <c r="AB17" s="40">
        <f t="shared" si="13"/>
        <v>-0.0758964367149052</v>
      </c>
      <c r="AC17" s="40">
        <f t="shared" si="14"/>
        <v>0.21363358654347908</v>
      </c>
      <c r="AD17" s="40">
        <f t="shared" si="15"/>
        <v>0.002647840718564831</v>
      </c>
      <c r="AE17" s="40">
        <f t="shared" si="16"/>
        <v>-0.1549716548936254</v>
      </c>
      <c r="AF17" s="40">
        <f t="shared" si="17"/>
        <v>0.3029745726743689</v>
      </c>
      <c r="AG17" s="40">
        <f t="shared" si="18"/>
        <v>-0.225631466282593</v>
      </c>
      <c r="AH17" s="40">
        <f t="shared" si="19"/>
        <v>0.4196131870366282</v>
      </c>
      <c r="AI17" s="40">
        <f t="shared" si="20"/>
        <v>-0.8871655907955194</v>
      </c>
    </row>
    <row r="18" spans="2:35" ht="12.75">
      <c r="B18" s="34" t="s">
        <v>37</v>
      </c>
      <c r="C18" s="26">
        <v>28.96029324</v>
      </c>
      <c r="D18" s="26">
        <v>15.93595401</v>
      </c>
      <c r="E18" s="26">
        <v>14.723973359999999</v>
      </c>
      <c r="F18" s="26">
        <v>12.98763</v>
      </c>
      <c r="G18" s="59">
        <v>11.764713</v>
      </c>
      <c r="H18" s="59">
        <v>14.9016015</v>
      </c>
      <c r="I18" s="59">
        <v>12.641565</v>
      </c>
      <c r="J18" s="59">
        <v>13.099857</v>
      </c>
      <c r="K18" s="59">
        <v>16.005939</v>
      </c>
      <c r="L18" s="59">
        <v>14.718528</v>
      </c>
      <c r="M18" s="59">
        <v>19.4362515</v>
      </c>
      <c r="N18" s="59">
        <v>17.548476</v>
      </c>
      <c r="O18" s="59">
        <v>17.651262</v>
      </c>
      <c r="P18" s="59">
        <v>20.3440215</v>
      </c>
      <c r="Q18" s="59">
        <v>17.2789515</v>
      </c>
      <c r="R18" s="59">
        <v>20.579109</v>
      </c>
      <c r="S18" s="59">
        <v>1.171818</v>
      </c>
      <c r="T18" s="40">
        <f t="shared" si="5"/>
        <v>-0.4497309168130509</v>
      </c>
      <c r="U18" s="40">
        <f t="shared" si="6"/>
        <v>-0.07605322211895627</v>
      </c>
      <c r="V18" s="40">
        <f t="shared" si="7"/>
        <v>-0.11792627693262814</v>
      </c>
      <c r="W18" s="40">
        <f t="shared" si="8"/>
        <v>-0.09416013545196456</v>
      </c>
      <c r="X18" s="40">
        <f t="shared" si="9"/>
        <v>0.2666353611856065</v>
      </c>
      <c r="Y18" s="40">
        <f t="shared" si="10"/>
        <v>-0.15166400067804797</v>
      </c>
      <c r="Z18" s="40">
        <f t="shared" si="11"/>
        <v>0.03625278990378167</v>
      </c>
      <c r="AA18" s="40">
        <f t="shared" si="12"/>
        <v>0.22184074223100314</v>
      </c>
      <c r="AB18" s="40">
        <f t="shared" si="13"/>
        <v>-0.08043333165270727</v>
      </c>
      <c r="AC18" s="40">
        <f t="shared" si="14"/>
        <v>0.32052957333776866</v>
      </c>
      <c r="AD18" s="40">
        <f t="shared" si="15"/>
        <v>-0.09712652154146084</v>
      </c>
      <c r="AE18" s="40">
        <f t="shared" si="16"/>
        <v>0.0058572607672597865</v>
      </c>
      <c r="AF18" s="40">
        <f t="shared" si="17"/>
        <v>0.15255336983837187</v>
      </c>
      <c r="AG18" s="40">
        <f t="shared" si="18"/>
        <v>-0.1506619524561552</v>
      </c>
      <c r="AH18" s="40">
        <f t="shared" si="19"/>
        <v>0.19099292569922421</v>
      </c>
      <c r="AI18" s="40">
        <f t="shared" si="20"/>
        <v>-0.9430578845760523</v>
      </c>
    </row>
    <row r="19" spans="2:35" ht="12.75">
      <c r="B19" s="34" t="s">
        <v>38</v>
      </c>
      <c r="C19" s="26">
        <v>0</v>
      </c>
      <c r="D19" s="26">
        <v>233.0702778</v>
      </c>
      <c r="E19" s="26">
        <v>362.57337591999993</v>
      </c>
      <c r="F19" s="26">
        <v>345.13332263</v>
      </c>
      <c r="G19" s="59">
        <v>291.9246271</v>
      </c>
      <c r="H19" s="59">
        <v>354.06525741</v>
      </c>
      <c r="I19" s="59">
        <v>290.69302776</v>
      </c>
      <c r="J19" s="59">
        <v>213.21663106</v>
      </c>
      <c r="K19" s="59">
        <v>286.58434608</v>
      </c>
      <c r="L19" s="59">
        <v>254.89976437</v>
      </c>
      <c r="M19" s="59">
        <v>340.17100927999996</v>
      </c>
      <c r="N19" s="59">
        <v>324.98263276</v>
      </c>
      <c r="O19" s="59">
        <v>323.40021369</v>
      </c>
      <c r="P19" s="59">
        <v>391.35176292</v>
      </c>
      <c r="Q19" s="59">
        <v>320.25185954</v>
      </c>
      <c r="R19" s="59">
        <v>409.9667921</v>
      </c>
      <c r="S19" s="59">
        <v>24.88123414</v>
      </c>
      <c r="T19" s="66" t="e">
        <f t="shared" si="5"/>
        <v>#DIV/0!</v>
      </c>
      <c r="U19" s="40">
        <f t="shared" si="6"/>
        <v>0.5556396952129943</v>
      </c>
      <c r="V19" s="40">
        <f t="shared" si="7"/>
        <v>-0.0481007554560432</v>
      </c>
      <c r="W19" s="40">
        <f t="shared" si="8"/>
        <v>-0.1541685257295261</v>
      </c>
      <c r="X19" s="40">
        <f t="shared" si="9"/>
        <v>0.21286532392730773</v>
      </c>
      <c r="Y19" s="40">
        <f t="shared" si="10"/>
        <v>-0.17898460332869182</v>
      </c>
      <c r="Z19" s="40">
        <f t="shared" si="11"/>
        <v>-0.2665230648874233</v>
      </c>
      <c r="AA19" s="40">
        <f t="shared" si="12"/>
        <v>0.34409940094848435</v>
      </c>
      <c r="AB19" s="40">
        <f t="shared" si="13"/>
        <v>-0.11055935937671635</v>
      </c>
      <c r="AC19" s="40">
        <f t="shared" si="14"/>
        <v>0.3345285356412664</v>
      </c>
      <c r="AD19" s="40">
        <f t="shared" si="15"/>
        <v>-0.04464923848786351</v>
      </c>
      <c r="AE19" s="40">
        <f t="shared" si="16"/>
        <v>-0.004869241954749692</v>
      </c>
      <c r="AF19" s="40">
        <f t="shared" si="17"/>
        <v>0.2101159688630756</v>
      </c>
      <c r="AG19" s="40">
        <f t="shared" si="18"/>
        <v>-0.18167773884420757</v>
      </c>
      <c r="AH19" s="40">
        <f t="shared" si="19"/>
        <v>0.2801386780044426</v>
      </c>
      <c r="AI19" s="40">
        <f t="shared" si="20"/>
        <v>-0.9393091474249677</v>
      </c>
    </row>
    <row r="20" spans="2:35" ht="12.75">
      <c r="B20" s="34" t="s">
        <v>49</v>
      </c>
      <c r="C20" s="26"/>
      <c r="D20" s="26"/>
      <c r="E20" s="26"/>
      <c r="F20" s="26"/>
      <c r="G20" s="59"/>
      <c r="H20" s="59"/>
      <c r="I20" s="59"/>
      <c r="J20" s="59"/>
      <c r="K20" s="59">
        <v>144.41350625</v>
      </c>
      <c r="L20" s="59">
        <v>143.459504</v>
      </c>
      <c r="M20" s="59">
        <v>141.71782675</v>
      </c>
      <c r="N20" s="59">
        <v>160.12140775</v>
      </c>
      <c r="O20" s="59">
        <v>83.7041485</v>
      </c>
      <c r="P20" s="59">
        <v>141.7499935</v>
      </c>
      <c r="Q20" s="59">
        <v>91.0401845</v>
      </c>
      <c r="R20" s="59">
        <v>177.85913575</v>
      </c>
      <c r="S20" s="59">
        <v>42.59597075</v>
      </c>
      <c r="T20" s="66" t="e">
        <f t="shared" si="5"/>
        <v>#DIV/0!</v>
      </c>
      <c r="U20" s="66" t="e">
        <f t="shared" si="6"/>
        <v>#DIV/0!</v>
      </c>
      <c r="V20" s="66" t="e">
        <f t="shared" si="7"/>
        <v>#DIV/0!</v>
      </c>
      <c r="W20" s="66" t="e">
        <f t="shared" si="8"/>
        <v>#DIV/0!</v>
      </c>
      <c r="X20" s="66" t="e">
        <f t="shared" si="9"/>
        <v>#DIV/0!</v>
      </c>
      <c r="Y20" s="66" t="e">
        <f t="shared" si="10"/>
        <v>#DIV/0!</v>
      </c>
      <c r="Z20" s="66" t="e">
        <f t="shared" si="11"/>
        <v>#DIV/0!</v>
      </c>
      <c r="AA20" s="66" t="e">
        <f t="shared" si="12"/>
        <v>#DIV/0!</v>
      </c>
      <c r="AB20" s="40">
        <f t="shared" si="13"/>
        <v>-0.006606045893993384</v>
      </c>
      <c r="AC20" s="40">
        <f t="shared" si="14"/>
        <v>-0.01214054978190926</v>
      </c>
      <c r="AD20" s="40">
        <f t="shared" si="15"/>
        <v>0.12986073398137266</v>
      </c>
      <c r="AE20" s="40">
        <f t="shared" si="16"/>
        <v>-0.47724573699296624</v>
      </c>
      <c r="AF20" s="40">
        <f t="shared" si="17"/>
        <v>0.6934643747077838</v>
      </c>
      <c r="AG20" s="40">
        <f t="shared" si="18"/>
        <v>-0.35774117337084743</v>
      </c>
      <c r="AH20" s="40">
        <f t="shared" si="19"/>
        <v>0.9536332964044028</v>
      </c>
      <c r="AI20" s="40">
        <f t="shared" si="20"/>
        <v>-0.7605072656494116</v>
      </c>
    </row>
    <row r="21" spans="2:35" ht="12.75">
      <c r="B21" s="33" t="s">
        <v>26</v>
      </c>
      <c r="C21" s="26">
        <v>52745.81307649</v>
      </c>
      <c r="D21" s="59">
        <f>+D22+D23</f>
        <v>55320.71999194</v>
      </c>
      <c r="E21" s="59">
        <f>+E22+E23</f>
        <v>74461.95472451</v>
      </c>
      <c r="F21" s="59">
        <f>+F22+F23</f>
        <v>64888.937555029996</v>
      </c>
      <c r="G21" s="59">
        <f>+G22+G23</f>
        <v>73362.4588993</v>
      </c>
      <c r="H21" s="59">
        <f>+H22+H23</f>
        <v>81531.67772482999</v>
      </c>
      <c r="I21" s="59">
        <v>83138.87182717</v>
      </c>
      <c r="J21" s="59">
        <f aca="true" t="shared" si="24" ref="J21:O21">+J22+J23</f>
        <v>86084.90147114001</v>
      </c>
      <c r="K21" s="59">
        <f t="shared" si="24"/>
        <v>97062.2842842</v>
      </c>
      <c r="L21" s="59">
        <f t="shared" si="24"/>
        <v>106581.19223794</v>
      </c>
      <c r="M21" s="59">
        <f t="shared" si="24"/>
        <v>113993.75219417001</v>
      </c>
      <c r="N21" s="59">
        <f t="shared" si="24"/>
        <v>119884.22269359001</v>
      </c>
      <c r="O21" s="59">
        <f t="shared" si="24"/>
        <v>113558.87709357</v>
      </c>
      <c r="P21" s="59">
        <f>+P22+P23</f>
        <v>114100.75455275999</v>
      </c>
      <c r="Q21" s="59">
        <f>+Q22+Q23</f>
        <v>88887.22276505</v>
      </c>
      <c r="R21" s="59">
        <f>+R22+R23</f>
        <v>163323.83010756</v>
      </c>
      <c r="S21" s="59">
        <f>+S22+S23</f>
        <v>114132.64191828</v>
      </c>
      <c r="T21" s="40">
        <f t="shared" si="5"/>
        <v>0.04881727601233421</v>
      </c>
      <c r="U21" s="40">
        <f t="shared" si="6"/>
        <v>0.34600480137205003</v>
      </c>
      <c r="V21" s="40">
        <f t="shared" si="7"/>
        <v>-0.12856252840658955</v>
      </c>
      <c r="W21" s="40">
        <f t="shared" si="8"/>
        <v>0.13058499127195478</v>
      </c>
      <c r="X21" s="40">
        <f t="shared" si="9"/>
        <v>0.11135421233281395</v>
      </c>
      <c r="Y21" s="40">
        <f t="shared" si="10"/>
        <v>0.01971251110230199</v>
      </c>
      <c r="Z21" s="40">
        <f t="shared" si="11"/>
        <v>0.035435044753725276</v>
      </c>
      <c r="AA21" s="40">
        <f t="shared" si="12"/>
        <v>0.12751809696547256</v>
      </c>
      <c r="AB21" s="40">
        <f t="shared" si="13"/>
        <v>0.09807010028600294</v>
      </c>
      <c r="AC21" s="40">
        <f t="shared" si="14"/>
        <v>0.0695484803705484</v>
      </c>
      <c r="AD21" s="40">
        <f t="shared" si="15"/>
        <v>0.05167362584386681</v>
      </c>
      <c r="AE21" s="40">
        <f t="shared" si="16"/>
        <v>-0.05276211880012638</v>
      </c>
      <c r="AF21" s="40">
        <f t="shared" si="17"/>
        <v>0.004771775426622993</v>
      </c>
      <c r="AG21" s="40">
        <f t="shared" si="18"/>
        <v>-0.22097603023344858</v>
      </c>
      <c r="AH21" s="40">
        <f t="shared" si="19"/>
        <v>0.8374275292553981</v>
      </c>
      <c r="AI21" s="40">
        <f t="shared" si="20"/>
        <v>-0.30118806396399234</v>
      </c>
    </row>
    <row r="22" spans="2:35" ht="12.75">
      <c r="B22" s="34" t="s">
        <v>27</v>
      </c>
      <c r="C22" s="26">
        <v>25859.363552450002</v>
      </c>
      <c r="D22" s="26">
        <v>26569.05441874</v>
      </c>
      <c r="E22" s="26">
        <v>35488.22065147</v>
      </c>
      <c r="F22" s="26">
        <v>34971.65162875</v>
      </c>
      <c r="G22" s="59">
        <v>37860.877115690004</v>
      </c>
      <c r="H22" s="59">
        <v>38382.30854473</v>
      </c>
      <c r="I22" s="59">
        <v>41844.00779612</v>
      </c>
      <c r="J22" s="59">
        <v>44848.96793448</v>
      </c>
      <c r="K22" s="59">
        <v>48557.45205388</v>
      </c>
      <c r="L22" s="59">
        <v>54532.13552697</v>
      </c>
      <c r="M22" s="59">
        <v>57634.186679050006</v>
      </c>
      <c r="N22" s="59">
        <v>59570.55712294</v>
      </c>
      <c r="O22" s="59">
        <v>60326.68352557</v>
      </c>
      <c r="P22" s="59">
        <v>62407.88145217</v>
      </c>
      <c r="Q22" s="59">
        <v>56184.48619518</v>
      </c>
      <c r="R22" s="59">
        <v>94668.41389323</v>
      </c>
      <c r="S22" s="59">
        <v>96779.82254897</v>
      </c>
      <c r="T22" s="40">
        <f t="shared" si="5"/>
        <v>0.027444251087253013</v>
      </c>
      <c r="U22" s="40">
        <f t="shared" si="6"/>
        <v>0.3356975409120706</v>
      </c>
      <c r="V22" s="40">
        <f t="shared" si="7"/>
        <v>-0.014556069964544838</v>
      </c>
      <c r="W22" s="40">
        <f t="shared" si="8"/>
        <v>0.08261621491633497</v>
      </c>
      <c r="X22" s="40">
        <f t="shared" si="9"/>
        <v>0.013772301878973492</v>
      </c>
      <c r="Y22" s="40">
        <f t="shared" si="10"/>
        <v>0.09018996987520422</v>
      </c>
      <c r="Z22" s="40">
        <f t="shared" si="11"/>
        <v>0.07181339208713755</v>
      </c>
      <c r="AA22" s="40">
        <f t="shared" si="12"/>
        <v>0.08268828225473834</v>
      </c>
      <c r="AB22" s="40">
        <f t="shared" si="13"/>
        <v>0.123043595171765</v>
      </c>
      <c r="AC22" s="40">
        <f t="shared" si="14"/>
        <v>0.056884828039529545</v>
      </c>
      <c r="AD22" s="40">
        <f t="shared" si="15"/>
        <v>0.03359760162268177</v>
      </c>
      <c r="AE22" s="40">
        <f t="shared" si="16"/>
        <v>0.01269295502926937</v>
      </c>
      <c r="AF22" s="40">
        <f t="shared" si="17"/>
        <v>0.03449879564020564</v>
      </c>
      <c r="AG22" s="40">
        <f t="shared" si="18"/>
        <v>-0.09972130301778737</v>
      </c>
      <c r="AH22" s="40">
        <f t="shared" si="19"/>
        <v>0.6849564764970921</v>
      </c>
      <c r="AI22" s="40">
        <f t="shared" si="20"/>
        <v>0.02230320091896032</v>
      </c>
    </row>
    <row r="23" spans="2:35" ht="12.75">
      <c r="B23" s="34" t="s">
        <v>28</v>
      </c>
      <c r="C23" s="26">
        <v>26886.44952404</v>
      </c>
      <c r="D23" s="26">
        <v>28751.6655732</v>
      </c>
      <c r="E23" s="26">
        <v>38973.73407304</v>
      </c>
      <c r="F23" s="26">
        <v>29917.285926279998</v>
      </c>
      <c r="G23" s="59">
        <v>35501.58178361</v>
      </c>
      <c r="H23" s="59">
        <v>43149.369180099995</v>
      </c>
      <c r="I23" s="59">
        <v>41294.864031050005</v>
      </c>
      <c r="J23" s="59">
        <v>41235.933536660006</v>
      </c>
      <c r="K23" s="59">
        <v>48504.83223032</v>
      </c>
      <c r="L23" s="59">
        <v>52049.05671097</v>
      </c>
      <c r="M23" s="59">
        <v>56359.565515120004</v>
      </c>
      <c r="N23" s="59">
        <v>60313.66557065</v>
      </c>
      <c r="O23" s="59">
        <v>53232.193568</v>
      </c>
      <c r="P23" s="59">
        <v>51692.87310059</v>
      </c>
      <c r="Q23" s="59">
        <v>32702.736569869998</v>
      </c>
      <c r="R23" s="59">
        <v>68655.41621433</v>
      </c>
      <c r="S23" s="59">
        <v>17352.81936931</v>
      </c>
      <c r="T23" s="40">
        <f t="shared" si="5"/>
        <v>0.06937383262495311</v>
      </c>
      <c r="U23" s="40">
        <f t="shared" si="6"/>
        <v>0.35552961179988807</v>
      </c>
      <c r="V23" s="40">
        <f t="shared" si="7"/>
        <v>-0.2323731190290228</v>
      </c>
      <c r="W23" s="40">
        <f t="shared" si="8"/>
        <v>0.18665783624525378</v>
      </c>
      <c r="X23" s="40">
        <f t="shared" si="9"/>
        <v>0.21542103231075593</v>
      </c>
      <c r="Y23" s="40">
        <f t="shared" si="10"/>
        <v>-0.042978731422689376</v>
      </c>
      <c r="Z23" s="40">
        <f t="shared" si="11"/>
        <v>-0.0014270659505184469</v>
      </c>
      <c r="AA23" s="40">
        <f t="shared" si="12"/>
        <v>0.17627583687896187</v>
      </c>
      <c r="AB23" s="40">
        <f t="shared" si="13"/>
        <v>0.0730695132357253</v>
      </c>
      <c r="AC23" s="40">
        <f t="shared" si="14"/>
        <v>0.08281627135120617</v>
      </c>
      <c r="AD23" s="40">
        <f t="shared" si="15"/>
        <v>0.07015845525759423</v>
      </c>
      <c r="AE23" s="40">
        <f t="shared" si="16"/>
        <v>-0.1174107382738151</v>
      </c>
      <c r="AF23" s="40">
        <f t="shared" si="17"/>
        <v>-0.028917096295189126</v>
      </c>
      <c r="AG23" s="40">
        <f t="shared" si="18"/>
        <v>-0.36736469442831676</v>
      </c>
      <c r="AH23" s="40">
        <f t="shared" si="19"/>
        <v>1.0993783216779565</v>
      </c>
      <c r="AI23" s="40">
        <f t="shared" si="20"/>
        <v>-0.7472476269732663</v>
      </c>
    </row>
    <row r="24" spans="2:35" ht="12.75">
      <c r="B24" s="33" t="s">
        <v>29</v>
      </c>
      <c r="C24" s="26">
        <v>9086.95256888</v>
      </c>
      <c r="D24" s="59">
        <f>+D25+D26</f>
        <v>6884.52332626</v>
      </c>
      <c r="E24" s="59">
        <f>+E25+E26</f>
        <v>13731.26825515</v>
      </c>
      <c r="F24" s="59">
        <f>+F25+F26</f>
        <v>8895.41853026</v>
      </c>
      <c r="G24" s="59">
        <f>+G25+G26</f>
        <v>11309.65677134</v>
      </c>
      <c r="H24" s="59">
        <f>+H25+H26</f>
        <v>13921.33184622</v>
      </c>
      <c r="I24" s="59">
        <v>13063.41711219</v>
      </c>
      <c r="J24" s="59">
        <f aca="true" t="shared" si="25" ref="J24:O24">+J25+J26</f>
        <v>12488.837408860001</v>
      </c>
      <c r="K24" s="59">
        <f t="shared" si="25"/>
        <v>13273.14735574</v>
      </c>
      <c r="L24" s="59">
        <f t="shared" si="25"/>
        <v>16584.05088014</v>
      </c>
      <c r="M24" s="59">
        <f t="shared" si="25"/>
        <v>20034.361076369998</v>
      </c>
      <c r="N24" s="59">
        <f t="shared" si="25"/>
        <v>17960.73954551</v>
      </c>
      <c r="O24" s="59">
        <f t="shared" si="25"/>
        <v>15691.184585780002</v>
      </c>
      <c r="P24" s="59">
        <f>+P25+P26</f>
        <v>14696.050425970001</v>
      </c>
      <c r="Q24" s="59">
        <f>+Q25+Q26</f>
        <v>5540.593637630001</v>
      </c>
      <c r="R24" s="59">
        <f>+R25+R26</f>
        <v>16905.03283734</v>
      </c>
      <c r="S24" s="59">
        <f>+S25+S26</f>
        <v>6086.733614</v>
      </c>
      <c r="T24" s="40">
        <f t="shared" si="5"/>
        <v>-0.2423727015108056</v>
      </c>
      <c r="U24" s="40">
        <f t="shared" si="6"/>
        <v>0.9945125616430261</v>
      </c>
      <c r="V24" s="40">
        <f t="shared" si="7"/>
        <v>-0.3521779368833089</v>
      </c>
      <c r="W24" s="40">
        <f t="shared" si="8"/>
        <v>0.27140243405831477</v>
      </c>
      <c r="X24" s="40">
        <f t="shared" si="9"/>
        <v>0.23092434436191667</v>
      </c>
      <c r="Y24" s="40">
        <f t="shared" si="10"/>
        <v>-0.06162590932439749</v>
      </c>
      <c r="Z24" s="40">
        <f t="shared" si="11"/>
        <v>-0.04398387484648525</v>
      </c>
      <c r="AA24" s="40">
        <f t="shared" si="12"/>
        <v>0.06280087739180451</v>
      </c>
      <c r="AB24" s="40">
        <f t="shared" si="13"/>
        <v>0.24944374048316376</v>
      </c>
      <c r="AC24" s="40">
        <f t="shared" si="14"/>
        <v>0.20804990416194813</v>
      </c>
      <c r="AD24" s="40">
        <f t="shared" si="15"/>
        <v>-0.10350325238501257</v>
      </c>
      <c r="AE24" s="40">
        <f t="shared" si="16"/>
        <v>-0.1263619994031574</v>
      </c>
      <c r="AF24" s="40">
        <f t="shared" si="17"/>
        <v>-0.06341995114325738</v>
      </c>
      <c r="AG24" s="40">
        <f t="shared" si="18"/>
        <v>-0.6229875730530301</v>
      </c>
      <c r="AH24" s="40">
        <f t="shared" si="19"/>
        <v>2.051123028140205</v>
      </c>
      <c r="AI24" s="40">
        <f t="shared" si="20"/>
        <v>-0.6399454723000855</v>
      </c>
    </row>
    <row r="25" spans="2:35" ht="12.75">
      <c r="B25" s="34" t="s">
        <v>27</v>
      </c>
      <c r="C25" s="26">
        <v>1579.6796611099999</v>
      </c>
      <c r="D25" s="26">
        <v>1528.00132796</v>
      </c>
      <c r="E25" s="26">
        <v>1975.420239</v>
      </c>
      <c r="F25" s="26">
        <v>1942.761832</v>
      </c>
      <c r="G25" s="59">
        <v>1934.44420842</v>
      </c>
      <c r="H25" s="59">
        <v>2247.92195229</v>
      </c>
      <c r="I25" s="59">
        <v>858.5176736799999</v>
      </c>
      <c r="J25" s="59">
        <v>1527.3463366800001</v>
      </c>
      <c r="K25" s="59">
        <v>652.54062899</v>
      </c>
      <c r="L25" s="59">
        <v>747.14158748</v>
      </c>
      <c r="M25" s="59">
        <v>1130.5533070899999</v>
      </c>
      <c r="N25" s="59">
        <v>1125.81267348</v>
      </c>
      <c r="O25" s="59">
        <v>1042.79861533</v>
      </c>
      <c r="P25" s="59">
        <v>841.15749836</v>
      </c>
      <c r="Q25" s="59">
        <v>119.090274</v>
      </c>
      <c r="R25" s="59">
        <v>799.596302</v>
      </c>
      <c r="S25" s="59">
        <v>886.531685</v>
      </c>
      <c r="T25" s="40">
        <f t="shared" si="5"/>
        <v>-0.03271443851703881</v>
      </c>
      <c r="U25" s="40">
        <f t="shared" si="6"/>
        <v>0.2928131689763247</v>
      </c>
      <c r="V25" s="40">
        <f t="shared" si="7"/>
        <v>-0.01653238453025696</v>
      </c>
      <c r="W25" s="40">
        <f t="shared" si="8"/>
        <v>-0.0042813398137625525</v>
      </c>
      <c r="X25" s="40">
        <f t="shared" si="9"/>
        <v>0.16205054790700824</v>
      </c>
      <c r="Y25" s="40">
        <f t="shared" si="10"/>
        <v>-0.6180838606049414</v>
      </c>
      <c r="Z25" s="40">
        <f t="shared" si="11"/>
        <v>0.779050546662708</v>
      </c>
      <c r="AA25" s="40">
        <f t="shared" si="12"/>
        <v>-0.5727618462696349</v>
      </c>
      <c r="AB25" s="40">
        <f t="shared" si="13"/>
        <v>0.14497328486108674</v>
      </c>
      <c r="AC25" s="40">
        <f t="shared" si="14"/>
        <v>0.5131714336812543</v>
      </c>
      <c r="AD25" s="40">
        <f t="shared" si="15"/>
        <v>-0.0041931977733999926</v>
      </c>
      <c r="AE25" s="40">
        <f t="shared" si="16"/>
        <v>-0.07373700803473382</v>
      </c>
      <c r="AF25" s="40">
        <f t="shared" si="17"/>
        <v>-0.1933653478300693</v>
      </c>
      <c r="AG25" s="40">
        <f t="shared" si="18"/>
        <v>-0.8584209565602284</v>
      </c>
      <c r="AH25" s="40">
        <f t="shared" si="19"/>
        <v>5.714203227041026</v>
      </c>
      <c r="AI25" s="40">
        <f t="shared" si="20"/>
        <v>0.1087240933738085</v>
      </c>
    </row>
    <row r="26" spans="2:35" ht="12.75">
      <c r="B26" s="34" t="s">
        <v>28</v>
      </c>
      <c r="C26" s="26">
        <v>7507.2729077700005</v>
      </c>
      <c r="D26" s="26">
        <v>5356.521998300001</v>
      </c>
      <c r="E26" s="26">
        <v>11755.84801615</v>
      </c>
      <c r="F26" s="26">
        <v>6952.656698260001</v>
      </c>
      <c r="G26" s="59">
        <v>9375.21256292</v>
      </c>
      <c r="H26" s="59">
        <v>11673.40989393</v>
      </c>
      <c r="I26" s="59">
        <v>12204.89943851</v>
      </c>
      <c r="J26" s="59">
        <v>10961.49107218</v>
      </c>
      <c r="K26" s="59">
        <v>12620.60672675</v>
      </c>
      <c r="L26" s="59">
        <v>15836.90929266</v>
      </c>
      <c r="M26" s="59">
        <v>18903.80776928</v>
      </c>
      <c r="N26" s="59">
        <v>16834.926872030002</v>
      </c>
      <c r="O26" s="59">
        <v>14648.385970450001</v>
      </c>
      <c r="P26" s="59">
        <v>13854.89292761</v>
      </c>
      <c r="Q26" s="59">
        <v>5421.50336363</v>
      </c>
      <c r="R26" s="59">
        <v>16105.43653534</v>
      </c>
      <c r="S26" s="59">
        <v>5200.201929</v>
      </c>
      <c r="T26" s="40">
        <f t="shared" si="5"/>
        <v>-0.2864889735451046</v>
      </c>
      <c r="U26" s="40">
        <f t="shared" si="6"/>
        <v>1.1946793124122244</v>
      </c>
      <c r="V26" s="40">
        <f t="shared" si="7"/>
        <v>-0.4085788886766356</v>
      </c>
      <c r="W26" s="40">
        <f t="shared" si="8"/>
        <v>0.3484359964538848</v>
      </c>
      <c r="X26" s="40">
        <f t="shared" si="9"/>
        <v>0.2451354905913945</v>
      </c>
      <c r="Y26" s="40">
        <f t="shared" si="10"/>
        <v>0.045529930792232776</v>
      </c>
      <c r="Z26" s="40">
        <f t="shared" si="11"/>
        <v>-0.10187780510560251</v>
      </c>
      <c r="AA26" s="40">
        <f t="shared" si="12"/>
        <v>0.15135857372367845</v>
      </c>
      <c r="AB26" s="40">
        <f t="shared" si="13"/>
        <v>0.25484532047836406</v>
      </c>
      <c r="AC26" s="40">
        <f t="shared" si="14"/>
        <v>0.19365511413527048</v>
      </c>
      <c r="AD26" s="40">
        <f t="shared" si="15"/>
        <v>-0.1094425484273106</v>
      </c>
      <c r="AE26" s="40">
        <f t="shared" si="16"/>
        <v>-0.129881223613319</v>
      </c>
      <c r="AF26" s="40">
        <f t="shared" si="17"/>
        <v>-0.05416931561202054</v>
      </c>
      <c r="AG26" s="40">
        <f t="shared" si="18"/>
        <v>-0.6086939544060972</v>
      </c>
      <c r="AH26" s="40">
        <f t="shared" si="19"/>
        <v>1.970658773981929</v>
      </c>
      <c r="AI26" s="40">
        <f t="shared" si="20"/>
        <v>-0.6771151208730513</v>
      </c>
    </row>
    <row r="27" spans="2:35" ht="12.75">
      <c r="B27" s="33" t="s">
        <v>32</v>
      </c>
      <c r="C27" s="26">
        <v>25773.54337542</v>
      </c>
      <c r="D27" s="26">
        <v>30874.25974054</v>
      </c>
      <c r="E27" s="26">
        <v>33548.628371950006</v>
      </c>
      <c r="F27" s="26">
        <v>31882.1532649</v>
      </c>
      <c r="G27" s="59">
        <v>35948.12503015</v>
      </c>
      <c r="H27" s="59">
        <v>46770.96587299999</v>
      </c>
      <c r="I27" s="59">
        <v>47478.500589719995</v>
      </c>
      <c r="J27" s="59">
        <v>42041.62665300999</v>
      </c>
      <c r="K27" s="59">
        <v>46645.752352510004</v>
      </c>
      <c r="L27" s="59">
        <v>47370.74007869</v>
      </c>
      <c r="M27" s="59">
        <v>68587.51145146998</v>
      </c>
      <c r="N27" s="59">
        <v>63963.32660378</v>
      </c>
      <c r="O27" s="59">
        <v>64328.305333269986</v>
      </c>
      <c r="P27" s="59">
        <v>70117.84955513</v>
      </c>
      <c r="Q27" s="59">
        <v>37101.39572373001</v>
      </c>
      <c r="R27" s="59">
        <v>66270.72879303</v>
      </c>
      <c r="S27" s="59">
        <v>37076.49983240999</v>
      </c>
      <c r="T27" s="40">
        <f t="shared" si="5"/>
        <v>0.19790512661850412</v>
      </c>
      <c r="U27" s="40">
        <f t="shared" si="6"/>
        <v>0.08662130376192878</v>
      </c>
      <c r="V27" s="40">
        <f t="shared" si="7"/>
        <v>-0.04967341998528163</v>
      </c>
      <c r="W27" s="40">
        <f t="shared" si="8"/>
        <v>0.12753127843865997</v>
      </c>
      <c r="X27" s="40">
        <f t="shared" si="9"/>
        <v>0.3010682986601605</v>
      </c>
      <c r="Y27" s="40">
        <f t="shared" si="10"/>
        <v>0.015127648179026787</v>
      </c>
      <c r="Z27" s="40">
        <f t="shared" si="11"/>
        <v>-0.11451233440778019</v>
      </c>
      <c r="AA27" s="40">
        <f t="shared" si="12"/>
        <v>0.10951350045277986</v>
      </c>
      <c r="AB27" s="40">
        <f t="shared" si="13"/>
        <v>0.015542416825033545</v>
      </c>
      <c r="AC27" s="40">
        <f t="shared" si="14"/>
        <v>0.44788769053503685</v>
      </c>
      <c r="AD27" s="40">
        <f t="shared" si="15"/>
        <v>-0.06742021615643379</v>
      </c>
      <c r="AE27" s="40">
        <f t="shared" si="16"/>
        <v>0.005706062346488627</v>
      </c>
      <c r="AF27" s="40">
        <f t="shared" si="17"/>
        <v>0.08999994935146716</v>
      </c>
      <c r="AG27" s="40">
        <f t="shared" si="18"/>
        <v>-0.4708708843878744</v>
      </c>
      <c r="AH27" s="40">
        <f t="shared" si="19"/>
        <v>0.7862058151802442</v>
      </c>
      <c r="AI27" s="40">
        <f t="shared" si="20"/>
        <v>-0.44052977071968613</v>
      </c>
    </row>
    <row r="28" spans="2:35" ht="12.75">
      <c r="B28" s="33" t="s">
        <v>135</v>
      </c>
      <c r="C28" s="26"/>
      <c r="D28" s="26"/>
      <c r="E28" s="26"/>
      <c r="F28" s="26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>
        <v>-4177.6991573000005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2:35" ht="12.75">
      <c r="B29" s="33" t="s">
        <v>136</v>
      </c>
      <c r="C29" s="26"/>
      <c r="D29" s="26"/>
      <c r="E29" s="26"/>
      <c r="F29" s="26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>
        <v>149708.32634308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2:35" ht="12.75">
      <c r="B30" s="32" t="s">
        <v>33</v>
      </c>
      <c r="C30" s="26">
        <v>4601.989529310001</v>
      </c>
      <c r="D30" s="26">
        <v>2747.08538939</v>
      </c>
      <c r="E30" s="26">
        <v>3582.89583003</v>
      </c>
      <c r="F30" s="26">
        <v>4309.81752515</v>
      </c>
      <c r="G30" s="59">
        <v>4798.64836874</v>
      </c>
      <c r="H30" s="59">
        <v>5410.05588051</v>
      </c>
      <c r="I30" s="59">
        <v>5994.29509577</v>
      </c>
      <c r="J30" s="59">
        <v>4894.81141366</v>
      </c>
      <c r="K30" s="59">
        <v>4859.63838508</v>
      </c>
      <c r="L30" s="59">
        <v>5116.685961020001</v>
      </c>
      <c r="M30" s="59">
        <v>30465.85832348</v>
      </c>
      <c r="N30" s="59">
        <v>6216.36601608</v>
      </c>
      <c r="O30" s="59">
        <v>5764.542292470001</v>
      </c>
      <c r="P30" s="59">
        <v>6214.89179297</v>
      </c>
      <c r="Q30" s="59">
        <v>5849.05134814</v>
      </c>
      <c r="R30" s="59">
        <v>41110.832271650004</v>
      </c>
      <c r="S30" s="59">
        <v>47832.85625084</v>
      </c>
      <c r="T30" s="40">
        <f t="shared" si="5"/>
        <v>-0.4030657019330759</v>
      </c>
      <c r="U30" s="40">
        <f t="shared" si="6"/>
        <v>0.3042535349895312</v>
      </c>
      <c r="V30" s="40">
        <f t="shared" si="7"/>
        <v>0.20288663963582576</v>
      </c>
      <c r="W30" s="40">
        <f t="shared" si="8"/>
        <v>0.11342263117577955</v>
      </c>
      <c r="X30" s="40">
        <f t="shared" si="9"/>
        <v>0.12741244300226562</v>
      </c>
      <c r="Y30" s="40">
        <f t="shared" si="10"/>
        <v>0.10799134577606706</v>
      </c>
      <c r="Z30" s="40">
        <f t="shared" si="11"/>
        <v>-0.18342168087218036</v>
      </c>
      <c r="AA30" s="40">
        <f t="shared" si="12"/>
        <v>-0.007185778083674821</v>
      </c>
      <c r="AB30" s="40">
        <f t="shared" si="13"/>
        <v>0.052894383402926515</v>
      </c>
      <c r="AC30" s="40">
        <f t="shared" si="14"/>
        <v>4.954216959097231</v>
      </c>
      <c r="AD30" s="40">
        <f t="shared" si="15"/>
        <v>-0.7959563144397264</v>
      </c>
      <c r="AE30" s="40">
        <f t="shared" si="16"/>
        <v>-0.07268293444132112</v>
      </c>
      <c r="AF30" s="40">
        <f t="shared" si="17"/>
        <v>0.07812406911963743</v>
      </c>
      <c r="AG30" s="40">
        <f t="shared" si="18"/>
        <v>-0.058865135068614016</v>
      </c>
      <c r="AH30" s="40">
        <f t="shared" si="19"/>
        <v>6.0286324781066005</v>
      </c>
      <c r="AI30" s="40">
        <f t="shared" si="20"/>
        <v>0.16350980040424767</v>
      </c>
    </row>
    <row r="31" spans="2:35" ht="12.75">
      <c r="B31" s="32" t="s">
        <v>12</v>
      </c>
      <c r="C31" s="26">
        <v>640.70125594</v>
      </c>
      <c r="D31" s="26">
        <v>5968.903340520001</v>
      </c>
      <c r="E31" s="26">
        <v>1083.743757</v>
      </c>
      <c r="F31" s="26">
        <v>862.68838392</v>
      </c>
      <c r="G31" s="59">
        <v>922.2225096000001</v>
      </c>
      <c r="H31" s="59">
        <v>1637.34775752</v>
      </c>
      <c r="I31" s="59">
        <v>1454.26328674</v>
      </c>
      <c r="J31" s="59">
        <v>1274.2225061400002</v>
      </c>
      <c r="K31" s="59">
        <v>2502.08015413</v>
      </c>
      <c r="L31" s="59">
        <v>1685.72654507</v>
      </c>
      <c r="M31" s="59">
        <v>1999.28928248</v>
      </c>
      <c r="N31" s="59">
        <v>2903.96492656</v>
      </c>
      <c r="O31" s="59">
        <v>3083.14325726</v>
      </c>
      <c r="P31" s="59">
        <v>5781.89078372</v>
      </c>
      <c r="Q31" s="59">
        <v>2187.93936686</v>
      </c>
      <c r="R31" s="59">
        <v>7666.21199806</v>
      </c>
      <c r="S31" s="59">
        <v>26213.73342915</v>
      </c>
      <c r="T31" s="40">
        <f t="shared" si="5"/>
        <v>8.316203589710105</v>
      </c>
      <c r="U31" s="40">
        <f t="shared" si="6"/>
        <v>-0.8184350298248277</v>
      </c>
      <c r="V31" s="40">
        <f t="shared" si="7"/>
        <v>-0.2039738375904665</v>
      </c>
      <c r="W31" s="40">
        <f t="shared" si="8"/>
        <v>0.06901000035433524</v>
      </c>
      <c r="X31" s="40">
        <f t="shared" si="9"/>
        <v>0.7754367741795574</v>
      </c>
      <c r="Y31" s="40">
        <f t="shared" si="10"/>
        <v>-0.1118177063724739</v>
      </c>
      <c r="Z31" s="40">
        <f t="shared" si="11"/>
        <v>-0.12380205306811709</v>
      </c>
      <c r="AA31" s="40">
        <f t="shared" si="12"/>
        <v>0.9636132167446538</v>
      </c>
      <c r="AB31" s="40">
        <f t="shared" si="13"/>
        <v>-0.32626996689634635</v>
      </c>
      <c r="AC31" s="40">
        <f t="shared" si="14"/>
        <v>0.18601044061804184</v>
      </c>
      <c r="AD31" s="40">
        <f t="shared" si="15"/>
        <v>0.45249862138899855</v>
      </c>
      <c r="AE31" s="40">
        <f t="shared" si="16"/>
        <v>0.06170127230574107</v>
      </c>
      <c r="AF31" s="40">
        <f t="shared" si="17"/>
        <v>0.8753234284865461</v>
      </c>
      <c r="AG31" s="40">
        <f t="shared" si="18"/>
        <v>-0.6215875656073349</v>
      </c>
      <c r="AH31" s="40">
        <f t="shared" si="19"/>
        <v>2.5038502959348867</v>
      </c>
      <c r="AI31" s="40">
        <f t="shared" si="20"/>
        <v>2.4193854064802287</v>
      </c>
    </row>
    <row r="32" spans="2:35" ht="12.75">
      <c r="B32" s="32" t="s">
        <v>34</v>
      </c>
      <c r="C32" s="26">
        <v>47.83248847</v>
      </c>
      <c r="D32" s="26">
        <v>4111.18938739</v>
      </c>
      <c r="E32" s="26">
        <v>5849.948438060001</v>
      </c>
      <c r="F32" s="26">
        <v>4299.541998649999</v>
      </c>
      <c r="G32" s="59">
        <v>11466.50423577</v>
      </c>
      <c r="H32" s="59">
        <v>16018.091276899999</v>
      </c>
      <c r="I32" s="59">
        <v>26301.99032404</v>
      </c>
      <c r="J32" s="59">
        <v>17028.01920883</v>
      </c>
      <c r="K32" s="59">
        <v>30904.143946689997</v>
      </c>
      <c r="L32" s="59">
        <v>25273.53324086</v>
      </c>
      <c r="M32" s="59">
        <v>7827.994555390001</v>
      </c>
      <c r="N32" s="59">
        <v>20409.09547989</v>
      </c>
      <c r="O32" s="59">
        <v>23483.42391254</v>
      </c>
      <c r="P32" s="59">
        <v>9171.908807920001</v>
      </c>
      <c r="Q32" s="59">
        <v>34308.40841672</v>
      </c>
      <c r="R32" s="59">
        <v>2728.00931802</v>
      </c>
      <c r="S32" s="59">
        <v>713.70230224</v>
      </c>
      <c r="T32" s="40">
        <f t="shared" si="5"/>
        <v>84.94972828914163</v>
      </c>
      <c r="U32" s="40">
        <f t="shared" si="6"/>
        <v>0.4229333379783451</v>
      </c>
      <c r="V32" s="40">
        <f t="shared" si="7"/>
        <v>-0.2650290777475909</v>
      </c>
      <c r="W32" s="40">
        <f t="shared" si="8"/>
        <v>1.6669129501166253</v>
      </c>
      <c r="X32" s="40">
        <f t="shared" si="9"/>
        <v>0.3969463532687867</v>
      </c>
      <c r="Y32" s="40">
        <f t="shared" si="10"/>
        <v>0.6420177578817154</v>
      </c>
      <c r="Z32" s="40">
        <f t="shared" si="11"/>
        <v>-0.3525957922178079</v>
      </c>
      <c r="AA32" s="40">
        <f t="shared" si="12"/>
        <v>0.8148995234081271</v>
      </c>
      <c r="AB32" s="40">
        <f t="shared" si="13"/>
        <v>-0.1821959771978433</v>
      </c>
      <c r="AC32" s="40">
        <f t="shared" si="14"/>
        <v>-0.690269085814468</v>
      </c>
      <c r="AD32" s="40">
        <f t="shared" si="15"/>
        <v>1.6071933667655944</v>
      </c>
      <c r="AE32" s="40">
        <f t="shared" si="16"/>
        <v>0.15063521240709954</v>
      </c>
      <c r="AF32" s="40">
        <f t="shared" si="17"/>
        <v>-0.6094305139625632</v>
      </c>
      <c r="AG32" s="40">
        <f t="shared" si="18"/>
        <v>2.7405963289881896</v>
      </c>
      <c r="AH32" s="40">
        <f t="shared" si="19"/>
        <v>-0.9204856930439675</v>
      </c>
      <c r="AI32" s="40">
        <f t="shared" si="20"/>
        <v>-0.7383798150814207</v>
      </c>
    </row>
    <row r="33" spans="2:35" ht="12.75">
      <c r="B33" s="15"/>
      <c r="C33" s="8"/>
      <c r="D33" s="8"/>
      <c r="E33" s="8"/>
      <c r="F33" s="15"/>
      <c r="G33" s="60"/>
      <c r="H33" s="60"/>
      <c r="I33" s="60"/>
      <c r="J33" s="60"/>
      <c r="K33" s="15"/>
      <c r="L33" s="15"/>
      <c r="M33" s="15"/>
      <c r="N33" s="15"/>
      <c r="O33" s="15"/>
      <c r="P33" s="15"/>
      <c r="Q33" s="15"/>
      <c r="R33" s="15"/>
      <c r="S33" s="1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2:35" s="21" customFormat="1" ht="12.75">
      <c r="B34" s="4" t="s">
        <v>11</v>
      </c>
      <c r="C34" s="7">
        <v>78</v>
      </c>
      <c r="D34" s="7">
        <v>40</v>
      </c>
      <c r="E34" s="7">
        <v>0</v>
      </c>
      <c r="F34" s="7">
        <v>0</v>
      </c>
      <c r="G34" s="61">
        <v>0</v>
      </c>
      <c r="H34" s="61">
        <v>38</v>
      </c>
      <c r="I34" s="61">
        <v>0</v>
      </c>
      <c r="J34" s="61">
        <v>0</v>
      </c>
      <c r="K34" s="61">
        <v>0</v>
      </c>
      <c r="L34" s="61">
        <v>726.1773172999999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3" t="e">
        <f>+P34/Q34-1</f>
        <v>#DIV/0!</v>
      </c>
      <c r="U34" s="63" t="e">
        <f>+Q34/T34-1</f>
        <v>#DIV/0!</v>
      </c>
      <c r="V34" s="63" t="e">
        <f aca="true" t="shared" si="26" ref="V34:AI34">+T34/U34-1</f>
        <v>#DIV/0!</v>
      </c>
      <c r="W34" s="63" t="e">
        <f t="shared" si="26"/>
        <v>#DIV/0!</v>
      </c>
      <c r="X34" s="63" t="e">
        <f t="shared" si="26"/>
        <v>#DIV/0!</v>
      </c>
      <c r="Y34" s="63" t="e">
        <f t="shared" si="26"/>
        <v>#DIV/0!</v>
      </c>
      <c r="Z34" s="63" t="e">
        <f t="shared" si="26"/>
        <v>#DIV/0!</v>
      </c>
      <c r="AA34" s="63" t="e">
        <f t="shared" si="26"/>
        <v>#DIV/0!</v>
      </c>
      <c r="AB34" s="63" t="e">
        <f t="shared" si="26"/>
        <v>#DIV/0!</v>
      </c>
      <c r="AC34" s="63" t="e">
        <f t="shared" si="26"/>
        <v>#DIV/0!</v>
      </c>
      <c r="AD34" s="63" t="e">
        <f t="shared" si="26"/>
        <v>#DIV/0!</v>
      </c>
      <c r="AE34" s="63" t="e">
        <f t="shared" si="26"/>
        <v>#DIV/0!</v>
      </c>
      <c r="AF34" s="63" t="e">
        <f t="shared" si="26"/>
        <v>#DIV/0!</v>
      </c>
      <c r="AG34" s="63" t="e">
        <f t="shared" si="26"/>
        <v>#DIV/0!</v>
      </c>
      <c r="AH34" s="63" t="e">
        <f t="shared" si="26"/>
        <v>#DIV/0!</v>
      </c>
      <c r="AI34" s="63" t="e">
        <f t="shared" si="26"/>
        <v>#DIV/0!</v>
      </c>
    </row>
    <row r="35" spans="2:35" ht="12.75">
      <c r="B35" s="15"/>
      <c r="C35" s="26"/>
      <c r="D35" s="26"/>
      <c r="E35" s="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ht="12.75">
      <c r="A36" s="21">
        <v>2</v>
      </c>
      <c r="B36" s="4" t="s">
        <v>55</v>
      </c>
      <c r="C36" s="29">
        <f aca="true" t="shared" si="27" ref="C36:H36">+C40+C56</f>
        <v>108179.5</v>
      </c>
      <c r="D36" s="29">
        <f t="shared" si="27"/>
        <v>133572.29999999996</v>
      </c>
      <c r="E36" s="47">
        <f t="shared" si="27"/>
        <v>169055.51178917004</v>
      </c>
      <c r="F36" s="29">
        <f t="shared" si="27"/>
        <v>198807.47032308002</v>
      </c>
      <c r="G36" s="29">
        <f t="shared" si="27"/>
        <v>268390.9</v>
      </c>
      <c r="H36" s="29">
        <f t="shared" si="27"/>
        <v>297170.18881803984</v>
      </c>
      <c r="I36" s="29">
        <v>369154.5646530101</v>
      </c>
      <c r="J36" s="29">
        <f>+J40+J56</f>
        <v>366222.67094408977</v>
      </c>
      <c r="K36" s="29">
        <f>+K40+K56</f>
        <v>465308.37369175005</v>
      </c>
      <c r="L36" s="29">
        <f aca="true" t="shared" si="28" ref="L36:Q36">+L40+L56+L65</f>
        <v>505072.99279872</v>
      </c>
      <c r="M36" s="29">
        <f t="shared" si="28"/>
        <v>529304.9939724904</v>
      </c>
      <c r="N36" s="29">
        <f t="shared" si="28"/>
        <v>538801.9376861599</v>
      </c>
      <c r="O36" s="29">
        <f t="shared" si="28"/>
        <v>548048.9237754503</v>
      </c>
      <c r="P36" s="29">
        <f t="shared" si="28"/>
        <v>581277.9094931297</v>
      </c>
      <c r="Q36" s="29">
        <f t="shared" si="28"/>
        <v>627535.2170827897</v>
      </c>
      <c r="R36" s="29">
        <f>+R40+R56+R65</f>
        <v>669008.9371983501</v>
      </c>
      <c r="S36" s="29">
        <f>+S40+S56+S65</f>
        <v>740554.9247958097</v>
      </c>
      <c r="T36" s="53">
        <f aca="true" t="shared" si="29" ref="T36:T71">+D36/C36-1</f>
        <v>0.23472839123863531</v>
      </c>
      <c r="U36" s="53">
        <f aca="true" t="shared" si="30" ref="U36:AI36">+E36/D36-1</f>
        <v>0.26564798082514174</v>
      </c>
      <c r="V36" s="53">
        <f t="shared" si="30"/>
        <v>0.17598928434237515</v>
      </c>
      <c r="W36" s="53">
        <f t="shared" si="30"/>
        <v>0.3500040997646652</v>
      </c>
      <c r="X36" s="53">
        <f t="shared" si="30"/>
        <v>0.10722900373313626</v>
      </c>
      <c r="Y36" s="53">
        <f t="shared" si="30"/>
        <v>0.24223283001999563</v>
      </c>
      <c r="Z36" s="53">
        <f t="shared" si="30"/>
        <v>-0.007942184628479954</v>
      </c>
      <c r="AA36" s="53">
        <f t="shared" si="30"/>
        <v>0.2705613568166767</v>
      </c>
      <c r="AB36" s="53">
        <f t="shared" si="30"/>
        <v>0.08545863636942119</v>
      </c>
      <c r="AC36" s="53">
        <f t="shared" si="30"/>
        <v>0.04797722610249977</v>
      </c>
      <c r="AD36" s="53">
        <f t="shared" si="30"/>
        <v>0.017942290025253493</v>
      </c>
      <c r="AE36" s="53">
        <f t="shared" si="30"/>
        <v>0.017162124785595312</v>
      </c>
      <c r="AF36" s="53">
        <f t="shared" si="30"/>
        <v>0.06063142226202811</v>
      </c>
      <c r="AG36" s="53">
        <f t="shared" si="30"/>
        <v>0.07957864359579059</v>
      </c>
      <c r="AH36" s="53">
        <f t="shared" si="30"/>
        <v>0.06608986872220246</v>
      </c>
      <c r="AI36" s="53">
        <f t="shared" si="30"/>
        <v>0.10694324637437158</v>
      </c>
    </row>
    <row r="37" spans="1:35" ht="12.75">
      <c r="A37" s="21"/>
      <c r="B37" s="22"/>
      <c r="C37" s="35"/>
      <c r="D37" s="35"/>
      <c r="E37" s="4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ht="12.75">
      <c r="A38" s="21">
        <v>3</v>
      </c>
      <c r="B38" s="4" t="s">
        <v>16</v>
      </c>
      <c r="C38" s="30">
        <f aca="true" t="shared" si="31" ref="C38:H38">+C36-C46</f>
        <v>92957.2</v>
      </c>
      <c r="D38" s="30">
        <f t="shared" si="31"/>
        <v>120698.69999999997</v>
      </c>
      <c r="E38" s="49">
        <f t="shared" si="31"/>
        <v>160446.71178917005</v>
      </c>
      <c r="F38" s="30">
        <f t="shared" si="31"/>
        <v>184711.17032308003</v>
      </c>
      <c r="G38" s="30">
        <f t="shared" si="31"/>
        <v>254910.80000000002</v>
      </c>
      <c r="H38" s="30">
        <f t="shared" si="31"/>
        <v>260950.79178436982</v>
      </c>
      <c r="I38" s="30">
        <v>315006.7064656101</v>
      </c>
      <c r="J38" s="30">
        <f aca="true" t="shared" si="32" ref="J38:O38">+J36-J46</f>
        <v>297949.0756048698</v>
      </c>
      <c r="K38" s="30">
        <f t="shared" si="32"/>
        <v>371478.19475967</v>
      </c>
      <c r="L38" s="30">
        <f t="shared" si="32"/>
        <v>397304.93468923005</v>
      </c>
      <c r="M38" s="30">
        <f t="shared" si="32"/>
        <v>431962.6788506604</v>
      </c>
      <c r="N38" s="30">
        <f t="shared" si="32"/>
        <v>417637.7497165398</v>
      </c>
      <c r="O38" s="30">
        <f t="shared" si="32"/>
        <v>426921.89941411035</v>
      </c>
      <c r="P38" s="30">
        <f>+P36-P46</f>
        <v>455538.7359785297</v>
      </c>
      <c r="Q38" s="30">
        <f>+Q36-Q46</f>
        <v>505361.0961194299</v>
      </c>
      <c r="R38" s="30">
        <f>+R36-R46</f>
        <v>513368.29102391005</v>
      </c>
      <c r="S38" s="30">
        <f>+S36-S46</f>
        <v>539284.0357989396</v>
      </c>
      <c r="T38" s="42">
        <f t="shared" si="29"/>
        <v>0.2984330423033392</v>
      </c>
      <c r="U38" s="42">
        <f aca="true" t="shared" si="33" ref="U38:AI38">+E38/D38-1</f>
        <v>0.32931598922913086</v>
      </c>
      <c r="V38" s="42">
        <f t="shared" si="33"/>
        <v>0.1512306376574044</v>
      </c>
      <c r="W38" s="42">
        <f t="shared" si="33"/>
        <v>0.38005080880670694</v>
      </c>
      <c r="X38" s="42">
        <f t="shared" si="33"/>
        <v>0.023694530731415808</v>
      </c>
      <c r="Y38" s="42">
        <f t="shared" si="33"/>
        <v>0.20714983967516787</v>
      </c>
      <c r="Z38" s="42">
        <f t="shared" si="33"/>
        <v>-0.05415005620714475</v>
      </c>
      <c r="AA38" s="42">
        <f t="shared" si="33"/>
        <v>0.24678418285248216</v>
      </c>
      <c r="AB38" s="42">
        <f t="shared" si="33"/>
        <v>0.06952424205213115</v>
      </c>
      <c r="AC38" s="42">
        <f t="shared" si="33"/>
        <v>0.08723210092655775</v>
      </c>
      <c r="AD38" s="42">
        <f t="shared" si="33"/>
        <v>-0.03316242313395101</v>
      </c>
      <c r="AE38" s="42">
        <f t="shared" si="33"/>
        <v>0.02223014970239623</v>
      </c>
      <c r="AF38" s="42">
        <f t="shared" si="33"/>
        <v>0.06703061286781464</v>
      </c>
      <c r="AG38" s="42">
        <f t="shared" si="33"/>
        <v>0.10937019446629104</v>
      </c>
      <c r="AH38" s="42">
        <f t="shared" si="33"/>
        <v>0.0158445020124538</v>
      </c>
      <c r="AI38" s="42">
        <f t="shared" si="33"/>
        <v>0.050481779315471265</v>
      </c>
    </row>
    <row r="39" spans="2:35" ht="12.75">
      <c r="B39" s="15"/>
      <c r="C39" s="26"/>
      <c r="D39" s="26"/>
      <c r="E39" s="4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2:35" ht="12.75">
      <c r="B40" s="22" t="s">
        <v>1</v>
      </c>
      <c r="C40" s="28">
        <f aca="true" t="shared" si="34" ref="C40:H40">+C43+C44+C45+C46+C50</f>
        <v>103454.8</v>
      </c>
      <c r="D40" s="28">
        <f t="shared" si="34"/>
        <v>122681.39999999997</v>
      </c>
      <c r="E40" s="50">
        <f t="shared" si="34"/>
        <v>145512.41178917003</v>
      </c>
      <c r="F40" s="28">
        <f t="shared" si="34"/>
        <v>186238.97032308002</v>
      </c>
      <c r="G40" s="28">
        <f t="shared" si="34"/>
        <v>237357.40000000002</v>
      </c>
      <c r="H40" s="28">
        <f t="shared" si="34"/>
        <v>281567.1917428898</v>
      </c>
      <c r="I40" s="28">
        <v>325175.5398371001</v>
      </c>
      <c r="J40" s="28">
        <f aca="true" t="shared" si="35" ref="J40:O40">+J43+J44+J45+J46+J50</f>
        <v>355739.4040001398</v>
      </c>
      <c r="K40" s="28">
        <f t="shared" si="35"/>
        <v>418227.76357515005</v>
      </c>
      <c r="L40" s="28">
        <f t="shared" si="35"/>
        <v>464407.26920015004</v>
      </c>
      <c r="M40" s="28">
        <f t="shared" si="35"/>
        <v>478244.2139697205</v>
      </c>
      <c r="N40" s="28">
        <f t="shared" si="35"/>
        <v>508666.5566364998</v>
      </c>
      <c r="O40" s="28">
        <f t="shared" si="35"/>
        <v>531223.2423644203</v>
      </c>
      <c r="P40" s="28">
        <f>+P43+P44+P45+P46+P50</f>
        <v>535552.9135455696</v>
      </c>
      <c r="Q40" s="28">
        <f>+Q43+Q44+Q45+Q46+Q50</f>
        <v>595441.6199051398</v>
      </c>
      <c r="R40" s="28">
        <f>+R43+R44+R45+R46+R50</f>
        <v>645823.2517718901</v>
      </c>
      <c r="S40" s="28">
        <f>+S43+S44+S45+S46+S50</f>
        <v>693481.4780550296</v>
      </c>
      <c r="T40" s="38">
        <f t="shared" si="29"/>
        <v>0.18584541268263988</v>
      </c>
      <c r="U40" s="38">
        <f aca="true" t="shared" si="36" ref="U40:AI40">+E40/D40-1</f>
        <v>0.18610002648461843</v>
      </c>
      <c r="V40" s="38">
        <f t="shared" si="36"/>
        <v>0.2798837434769337</v>
      </c>
      <c r="W40" s="38">
        <f t="shared" si="36"/>
        <v>0.2744776218867715</v>
      </c>
      <c r="X40" s="38">
        <f t="shared" si="36"/>
        <v>0.18625832496854855</v>
      </c>
      <c r="Y40" s="38">
        <f t="shared" si="36"/>
        <v>0.15487723489472027</v>
      </c>
      <c r="Z40" s="38">
        <f t="shared" si="36"/>
        <v>0.09399189182049472</v>
      </c>
      <c r="AA40" s="38">
        <f t="shared" si="36"/>
        <v>0.17565768332761267</v>
      </c>
      <c r="AB40" s="38">
        <f t="shared" si="36"/>
        <v>0.11041712111659496</v>
      </c>
      <c r="AC40" s="38">
        <f t="shared" si="36"/>
        <v>0.029794849665901957</v>
      </c>
      <c r="AD40" s="38">
        <f t="shared" si="36"/>
        <v>0.06361256817778349</v>
      </c>
      <c r="AE40" s="38">
        <f t="shared" si="36"/>
        <v>0.044344739070470984</v>
      </c>
      <c r="AF40" s="38">
        <f t="shared" si="36"/>
        <v>0.008150379794902074</v>
      </c>
      <c r="AG40" s="38">
        <f t="shared" si="36"/>
        <v>0.11182593697994014</v>
      </c>
      <c r="AH40" s="38">
        <f t="shared" si="36"/>
        <v>0.08461221080712611</v>
      </c>
      <c r="AI40" s="38">
        <f t="shared" si="36"/>
        <v>0.07379453457642438</v>
      </c>
    </row>
    <row r="41" spans="2:35" ht="12.75">
      <c r="B41" s="15"/>
      <c r="C41" s="27"/>
      <c r="D41" s="26"/>
      <c r="E41" s="4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2:35" ht="12.75">
      <c r="B42" s="44" t="s">
        <v>41</v>
      </c>
      <c r="C42" s="7">
        <f aca="true" t="shared" si="37" ref="C42:H42">SUM(C43:C44)</f>
        <v>47785.7</v>
      </c>
      <c r="D42" s="7">
        <f t="shared" si="37"/>
        <v>54560.2</v>
      </c>
      <c r="E42" s="51">
        <f t="shared" si="37"/>
        <v>67591.10000000003</v>
      </c>
      <c r="F42" s="7">
        <f t="shared" si="37"/>
        <v>89995.2</v>
      </c>
      <c r="G42" s="7">
        <f t="shared" si="37"/>
        <v>111937.89999999997</v>
      </c>
      <c r="H42" s="7">
        <f t="shared" si="37"/>
        <v>122809.7457492698</v>
      </c>
      <c r="I42" s="7">
        <v>134367.3286010201</v>
      </c>
      <c r="J42" s="7">
        <f aca="true" t="shared" si="38" ref="J42:O42">SUM(J43:J44)</f>
        <v>149257.7888798298</v>
      </c>
      <c r="K42" s="7">
        <f t="shared" si="38"/>
        <v>157923.66678017998</v>
      </c>
      <c r="L42" s="7">
        <f t="shared" si="38"/>
        <v>172084.02441339003</v>
      </c>
      <c r="M42" s="7">
        <f t="shared" si="38"/>
        <v>161019.9937826804</v>
      </c>
      <c r="N42" s="7">
        <f t="shared" si="38"/>
        <v>163481.38014101994</v>
      </c>
      <c r="O42" s="7">
        <f t="shared" si="38"/>
        <v>171568.1870115501</v>
      </c>
      <c r="P42" s="7">
        <f>SUM(P43:P44)</f>
        <v>174919.02916825947</v>
      </c>
      <c r="Q42" s="7">
        <f>SUM(Q43:Q44)</f>
        <v>179387.97017686002</v>
      </c>
      <c r="R42" s="7">
        <f>SUM(R43:R44)</f>
        <v>190438.21578528</v>
      </c>
      <c r="S42" s="7">
        <f>SUM(S43:S44)</f>
        <v>183656.8624911497</v>
      </c>
      <c r="T42" s="42">
        <f t="shared" si="29"/>
        <v>0.14176835329397708</v>
      </c>
      <c r="U42" s="42">
        <f aca="true" t="shared" si="39" ref="U42:AI48">+E42/D42-1</f>
        <v>0.23883526819916412</v>
      </c>
      <c r="V42" s="42">
        <f t="shared" si="39"/>
        <v>0.33146523728715693</v>
      </c>
      <c r="W42" s="42">
        <f t="shared" si="39"/>
        <v>0.24382078155279352</v>
      </c>
      <c r="X42" s="42">
        <f t="shared" si="39"/>
        <v>0.09712390306830687</v>
      </c>
      <c r="Y42" s="42">
        <f t="shared" si="39"/>
        <v>0.09410965539613136</v>
      </c>
      <c r="Z42" s="42">
        <f t="shared" si="39"/>
        <v>0.11081905425852656</v>
      </c>
      <c r="AA42" s="42">
        <f t="shared" si="39"/>
        <v>0.05805980354785523</v>
      </c>
      <c r="AB42" s="42">
        <f t="shared" si="39"/>
        <v>0.089665836172107</v>
      </c>
      <c r="AC42" s="42">
        <f t="shared" si="39"/>
        <v>-0.06429435078837409</v>
      </c>
      <c r="AD42" s="42">
        <f t="shared" si="39"/>
        <v>0.015286215708476103</v>
      </c>
      <c r="AE42" s="42">
        <f t="shared" si="39"/>
        <v>0.04946622583901861</v>
      </c>
      <c r="AF42" s="42">
        <f t="shared" si="39"/>
        <v>0.019530672994077847</v>
      </c>
      <c r="AG42" s="42">
        <f t="shared" si="39"/>
        <v>0.02554862686953152</v>
      </c>
      <c r="AH42" s="42">
        <f t="shared" si="39"/>
        <v>0.061599702574957726</v>
      </c>
      <c r="AI42" s="42">
        <f t="shared" si="39"/>
        <v>-0.03560920409891</v>
      </c>
    </row>
    <row r="43" spans="2:35" ht="12.75">
      <c r="B43" s="36" t="s">
        <v>2</v>
      </c>
      <c r="C43" s="8">
        <v>41063</v>
      </c>
      <c r="D43" s="8">
        <v>45765</v>
      </c>
      <c r="E43" s="52">
        <v>56750.80000000005</v>
      </c>
      <c r="F43" s="8">
        <v>75626</v>
      </c>
      <c r="G43" s="8">
        <v>94922.89999999997</v>
      </c>
      <c r="H43" s="8">
        <v>103074.6750711498</v>
      </c>
      <c r="I43" s="8">
        <v>113887.07923360009</v>
      </c>
      <c r="J43" s="8">
        <v>126156.62951549981</v>
      </c>
      <c r="K43" s="8">
        <v>133409.06425051996</v>
      </c>
      <c r="L43" s="8">
        <v>144474.25572731005</v>
      </c>
      <c r="M43" s="8">
        <v>132759.79610367038</v>
      </c>
      <c r="N43" s="8">
        <v>135248.78821441997</v>
      </c>
      <c r="O43" s="8">
        <v>140695.4579186701</v>
      </c>
      <c r="P43" s="8">
        <v>143230.96485135955</v>
      </c>
      <c r="Q43" s="8">
        <v>147098.39158613002</v>
      </c>
      <c r="R43" s="8">
        <v>155671.20072116004</v>
      </c>
      <c r="S43" s="8">
        <v>157689.5379517097</v>
      </c>
      <c r="T43" s="40">
        <f t="shared" si="29"/>
        <v>0.11450697708399282</v>
      </c>
      <c r="U43" s="40">
        <f t="shared" si="39"/>
        <v>0.24004807167049158</v>
      </c>
      <c r="V43" s="40">
        <f t="shared" si="39"/>
        <v>0.33259795456627805</v>
      </c>
      <c r="W43" s="40">
        <f t="shared" si="39"/>
        <v>0.255162245788485</v>
      </c>
      <c r="X43" s="40">
        <f t="shared" si="39"/>
        <v>0.08587785530309167</v>
      </c>
      <c r="Y43" s="40">
        <f t="shared" si="39"/>
        <v>0.10489874603035876</v>
      </c>
      <c r="Z43" s="40">
        <f t="shared" si="39"/>
        <v>0.1077343484833162</v>
      </c>
      <c r="AA43" s="40">
        <f t="shared" si="39"/>
        <v>0.05748754356289387</v>
      </c>
      <c r="AB43" s="40">
        <f t="shared" si="39"/>
        <v>0.08294182662140193</v>
      </c>
      <c r="AC43" s="40">
        <f t="shared" si="39"/>
        <v>-0.08108337063006088</v>
      </c>
      <c r="AD43" s="40">
        <f t="shared" si="39"/>
        <v>0.01874808627158453</v>
      </c>
      <c r="AE43" s="40">
        <f t="shared" si="39"/>
        <v>0.04027148617121146</v>
      </c>
      <c r="AF43" s="40">
        <f t="shared" si="39"/>
        <v>0.018021242264658843</v>
      </c>
      <c r="AG43" s="40">
        <f t="shared" si="39"/>
        <v>0.027001331302794584</v>
      </c>
      <c r="AH43" s="40">
        <f t="shared" si="39"/>
        <v>0.0582794212947626</v>
      </c>
      <c r="AI43" s="40">
        <f t="shared" si="39"/>
        <v>0.012965386154918379</v>
      </c>
    </row>
    <row r="44" spans="2:35" ht="14.25">
      <c r="B44" s="36" t="s">
        <v>61</v>
      </c>
      <c r="C44" s="8">
        <v>6722.7</v>
      </c>
      <c r="D44" s="8">
        <v>8795.2</v>
      </c>
      <c r="E44" s="48">
        <v>10840.299999999992</v>
      </c>
      <c r="F44" s="8">
        <v>14369.2</v>
      </c>
      <c r="G44" s="8">
        <v>17015.000000000007</v>
      </c>
      <c r="H44" s="8">
        <v>19735.070678119995</v>
      </c>
      <c r="I44" s="8">
        <v>20480.24936742</v>
      </c>
      <c r="J44" s="8">
        <v>23101.159364330008</v>
      </c>
      <c r="K44" s="8">
        <v>24514.60252966001</v>
      </c>
      <c r="L44" s="8">
        <v>27609.76868607998</v>
      </c>
      <c r="M44" s="8">
        <v>28260.197679010027</v>
      </c>
      <c r="N44" s="8">
        <v>28232.591926599984</v>
      </c>
      <c r="O44" s="8">
        <v>30872.729092880007</v>
      </c>
      <c r="P44" s="8">
        <v>31688.064316899938</v>
      </c>
      <c r="Q44" s="8">
        <v>32289.578590730005</v>
      </c>
      <c r="R44" s="8">
        <v>34767.01506411996</v>
      </c>
      <c r="S44" s="8">
        <v>25967.324539439993</v>
      </c>
      <c r="T44" s="40">
        <f t="shared" si="29"/>
        <v>0.30828387403870483</v>
      </c>
      <c r="U44" s="40">
        <f t="shared" si="39"/>
        <v>0.2325245588502809</v>
      </c>
      <c r="V44" s="40">
        <f t="shared" si="39"/>
        <v>0.3255352711640833</v>
      </c>
      <c r="W44" s="40">
        <f t="shared" si="39"/>
        <v>0.1841299446037361</v>
      </c>
      <c r="X44" s="40">
        <f t="shared" si="39"/>
        <v>0.1598631018583594</v>
      </c>
      <c r="Y44" s="40">
        <f t="shared" si="39"/>
        <v>0.03775910922509018</v>
      </c>
      <c r="Z44" s="40">
        <f t="shared" si="39"/>
        <v>0.12797256273057656</v>
      </c>
      <c r="AA44" s="40">
        <f t="shared" si="39"/>
        <v>0.06118494500810501</v>
      </c>
      <c r="AB44" s="40">
        <f t="shared" si="39"/>
        <v>0.1262580599736487</v>
      </c>
      <c r="AC44" s="40">
        <f t="shared" si="39"/>
        <v>0.023557929815542833</v>
      </c>
      <c r="AD44" s="40">
        <f t="shared" si="39"/>
        <v>-0.000976842155302693</v>
      </c>
      <c r="AE44" s="40">
        <f t="shared" si="39"/>
        <v>0.09351380748689087</v>
      </c>
      <c r="AF44" s="40">
        <f t="shared" si="39"/>
        <v>0.026409561058467146</v>
      </c>
      <c r="AG44" s="40">
        <f t="shared" si="39"/>
        <v>0.01898236092348715</v>
      </c>
      <c r="AH44" s="40">
        <f t="shared" si="39"/>
        <v>0.07672557467508101</v>
      </c>
      <c r="AI44" s="40">
        <f t="shared" si="39"/>
        <v>-0.25310457364403904</v>
      </c>
    </row>
    <row r="45" spans="2:35" ht="14.25">
      <c r="B45" s="15" t="s">
        <v>62</v>
      </c>
      <c r="C45" s="26">
        <v>4024.3</v>
      </c>
      <c r="D45" s="26">
        <v>5885.4999999999945</v>
      </c>
      <c r="E45" s="48">
        <v>6625.199999999994</v>
      </c>
      <c r="F45" s="8">
        <v>7588.7</v>
      </c>
      <c r="G45" s="8">
        <v>8459.599999999999</v>
      </c>
      <c r="H45" s="8">
        <v>11339.840304770005</v>
      </c>
      <c r="I45" s="8">
        <v>10878.3645289</v>
      </c>
      <c r="J45" s="8">
        <v>12183.11649061</v>
      </c>
      <c r="K45" s="8">
        <v>12918.15230787999</v>
      </c>
      <c r="L45" s="8">
        <v>13539.425319240007</v>
      </c>
      <c r="M45" s="8">
        <v>17842.65649835999</v>
      </c>
      <c r="N45" s="8">
        <v>17937.315692260006</v>
      </c>
      <c r="O45" s="8">
        <v>19209.55836718995</v>
      </c>
      <c r="P45" s="8">
        <v>18823.043960030016</v>
      </c>
      <c r="Q45" s="8">
        <v>18271.83415172999</v>
      </c>
      <c r="R45" s="8">
        <v>27734.84990321</v>
      </c>
      <c r="S45" s="8">
        <v>29127.169299280024</v>
      </c>
      <c r="T45" s="40">
        <f t="shared" si="29"/>
        <v>0.4624903709961967</v>
      </c>
      <c r="U45" s="40">
        <f t="shared" si="39"/>
        <v>0.12568176025826183</v>
      </c>
      <c r="V45" s="40">
        <f t="shared" si="39"/>
        <v>0.14542957193745187</v>
      </c>
      <c r="W45" s="40">
        <f t="shared" si="39"/>
        <v>0.11476273933611791</v>
      </c>
      <c r="X45" s="40">
        <f t="shared" si="39"/>
        <v>0.34047003460802006</v>
      </c>
      <c r="Y45" s="40">
        <f t="shared" si="39"/>
        <v>-0.04069508595071569</v>
      </c>
      <c r="Z45" s="40">
        <f t="shared" si="39"/>
        <v>0.11994008458199135</v>
      </c>
      <c r="AA45" s="40">
        <f t="shared" si="39"/>
        <v>0.060332331044893994</v>
      </c>
      <c r="AB45" s="40">
        <f t="shared" si="39"/>
        <v>0.04809302418435224</v>
      </c>
      <c r="AC45" s="40">
        <f t="shared" si="39"/>
        <v>0.3178296772319382</v>
      </c>
      <c r="AD45" s="40">
        <f t="shared" si="39"/>
        <v>0.005305218643239407</v>
      </c>
      <c r="AE45" s="40">
        <f t="shared" si="39"/>
        <v>0.07092714967819402</v>
      </c>
      <c r="AF45" s="40">
        <f t="shared" si="39"/>
        <v>-0.020120941865071962</v>
      </c>
      <c r="AG45" s="40">
        <f t="shared" si="39"/>
        <v>-0.029283776283501206</v>
      </c>
      <c r="AH45" s="40">
        <f t="shared" si="39"/>
        <v>0.5179017975370606</v>
      </c>
      <c r="AI45" s="40">
        <f t="shared" si="39"/>
        <v>0.050201079181210195</v>
      </c>
    </row>
    <row r="46" spans="2:35" ht="12.75">
      <c r="B46" s="15" t="s">
        <v>17</v>
      </c>
      <c r="C46" s="7">
        <f aca="true" t="shared" si="40" ref="C46:H46">+C47+C48</f>
        <v>15222.300000000003</v>
      </c>
      <c r="D46" s="7">
        <f t="shared" si="40"/>
        <v>12873.59999999999</v>
      </c>
      <c r="E46" s="51">
        <f t="shared" si="40"/>
        <v>8608.79999999998</v>
      </c>
      <c r="F46" s="7">
        <f t="shared" si="40"/>
        <v>14096.299999999997</v>
      </c>
      <c r="G46" s="7">
        <f t="shared" si="40"/>
        <v>13480.100000000017</v>
      </c>
      <c r="H46" s="7">
        <f t="shared" si="40"/>
        <v>36219.397033670015</v>
      </c>
      <c r="I46" s="7">
        <v>54147.858187399994</v>
      </c>
      <c r="J46" s="7">
        <f aca="true" t="shared" si="41" ref="J46:O46">+J47+J48</f>
        <v>68273.59533921997</v>
      </c>
      <c r="K46" s="7">
        <f t="shared" si="41"/>
        <v>93830.17893208003</v>
      </c>
      <c r="L46" s="7">
        <f t="shared" si="41"/>
        <v>107768.05810949</v>
      </c>
      <c r="M46" s="7">
        <f t="shared" si="41"/>
        <v>97342.31512183003</v>
      </c>
      <c r="N46" s="7">
        <f t="shared" si="41"/>
        <v>121164.18796962003</v>
      </c>
      <c r="O46" s="7">
        <f t="shared" si="41"/>
        <v>121127.02436133995</v>
      </c>
      <c r="P46" s="7">
        <f>+P47+P48</f>
        <v>125739.17351460003</v>
      </c>
      <c r="Q46" s="7">
        <f>+Q47+Q48</f>
        <v>122174.12096335985</v>
      </c>
      <c r="R46" s="7">
        <f>+R47+R48</f>
        <v>155640.64617444001</v>
      </c>
      <c r="S46" s="7">
        <f>+S47+S48</f>
        <v>201270.88899687005</v>
      </c>
      <c r="T46" s="42">
        <f t="shared" si="29"/>
        <v>-0.15429337222364647</v>
      </c>
      <c r="U46" s="42">
        <f t="shared" si="39"/>
        <v>-0.33128262490678706</v>
      </c>
      <c r="V46" s="42">
        <f t="shared" si="39"/>
        <v>0.6374291422730265</v>
      </c>
      <c r="W46" s="42">
        <f t="shared" si="39"/>
        <v>-0.04371359860388757</v>
      </c>
      <c r="X46" s="42">
        <f t="shared" si="39"/>
        <v>1.6868789574016492</v>
      </c>
      <c r="Y46" s="42">
        <f t="shared" si="39"/>
        <v>0.49499612423319617</v>
      </c>
      <c r="Z46" s="42">
        <f t="shared" si="39"/>
        <v>0.26087342370832656</v>
      </c>
      <c r="AA46" s="42">
        <f t="shared" si="39"/>
        <v>0.37432602554298167</v>
      </c>
      <c r="AB46" s="42">
        <f t="shared" si="39"/>
        <v>0.14854367044849237</v>
      </c>
      <c r="AC46" s="42">
        <f t="shared" si="39"/>
        <v>-0.09674242229610963</v>
      </c>
      <c r="AD46" s="42">
        <f t="shared" si="39"/>
        <v>0.24472268630528693</v>
      </c>
      <c r="AE46" s="42">
        <f t="shared" si="39"/>
        <v>-0.00030672106092433093</v>
      </c>
      <c r="AF46" s="42">
        <f t="shared" si="39"/>
        <v>0.03807696240849889</v>
      </c>
      <c r="AG46" s="42">
        <f t="shared" si="39"/>
        <v>-0.028352759538587513</v>
      </c>
      <c r="AH46" s="42">
        <f t="shared" si="39"/>
        <v>0.2739248291470566</v>
      </c>
      <c r="AI46" s="42">
        <f t="shared" si="39"/>
        <v>0.2931769042598824</v>
      </c>
    </row>
    <row r="47" spans="2:35" ht="12.75">
      <c r="B47" s="15" t="s">
        <v>3</v>
      </c>
      <c r="C47" s="26">
        <v>14490.5</v>
      </c>
      <c r="D47" s="37">
        <v>12250.4</v>
      </c>
      <c r="E47" s="48">
        <v>8013.1999999999825</v>
      </c>
      <c r="F47" s="8">
        <v>13543.6</v>
      </c>
      <c r="G47" s="8">
        <v>13010.200000000015</v>
      </c>
      <c r="H47" s="8">
        <v>35815.80756508001</v>
      </c>
      <c r="I47" s="8">
        <v>53835.286389099994</v>
      </c>
      <c r="J47" s="8">
        <v>67960.88877447997</v>
      </c>
      <c r="K47" s="8">
        <v>93465.00992179003</v>
      </c>
      <c r="L47" s="8">
        <v>107308.91978238</v>
      </c>
      <c r="M47" s="8">
        <v>96686.87224786</v>
      </c>
      <c r="N47" s="8">
        <v>120475.95955739003</v>
      </c>
      <c r="O47" s="8">
        <v>120383.00580196995</v>
      </c>
      <c r="P47" s="8">
        <v>124395.17453204004</v>
      </c>
      <c r="Q47" s="8">
        <v>120888.46395985986</v>
      </c>
      <c r="R47" s="8">
        <v>154611.03299395</v>
      </c>
      <c r="S47" s="8">
        <v>195191.22907161005</v>
      </c>
      <c r="T47" s="40">
        <f t="shared" si="29"/>
        <v>-0.15459093889099762</v>
      </c>
      <c r="U47" s="40">
        <f t="shared" si="39"/>
        <v>-0.34588258342584877</v>
      </c>
      <c r="V47" s="40">
        <f t="shared" si="39"/>
        <v>0.6901612339639631</v>
      </c>
      <c r="W47" s="40">
        <f t="shared" si="39"/>
        <v>-0.03938391565019528</v>
      </c>
      <c r="X47" s="40">
        <f t="shared" si="39"/>
        <v>1.7529021510107428</v>
      </c>
      <c r="Y47" s="40">
        <f t="shared" si="39"/>
        <v>0.5031152457271064</v>
      </c>
      <c r="Z47" s="40">
        <f t="shared" si="39"/>
        <v>0.26238557148717945</v>
      </c>
      <c r="AA47" s="40">
        <f t="shared" si="39"/>
        <v>0.3752764510179143</v>
      </c>
      <c r="AB47" s="40">
        <f t="shared" si="39"/>
        <v>0.14811863682649085</v>
      </c>
      <c r="AC47" s="40">
        <f t="shared" si="39"/>
        <v>-0.09898569062163032</v>
      </c>
      <c r="AD47" s="40">
        <f t="shared" si="39"/>
        <v>0.2460425780300961</v>
      </c>
      <c r="AE47" s="40">
        <f t="shared" si="39"/>
        <v>-0.0007715543894530885</v>
      </c>
      <c r="AF47" s="40">
        <f t="shared" si="39"/>
        <v>0.03332836477492607</v>
      </c>
      <c r="AG47" s="40">
        <f t="shared" si="39"/>
        <v>-0.028190085229366835</v>
      </c>
      <c r="AH47" s="40">
        <f t="shared" si="39"/>
        <v>0.2789560552716386</v>
      </c>
      <c r="AI47" s="40">
        <f t="shared" si="39"/>
        <v>0.26246636667415557</v>
      </c>
    </row>
    <row r="48" spans="2:35" ht="12.75">
      <c r="B48" s="15" t="s">
        <v>4</v>
      </c>
      <c r="C48" s="26">
        <v>731.8000000000029</v>
      </c>
      <c r="D48" s="37">
        <v>623.1999999999898</v>
      </c>
      <c r="E48" s="48">
        <v>595.5999999999967</v>
      </c>
      <c r="F48" s="8">
        <v>552.6999999999971</v>
      </c>
      <c r="G48" s="8">
        <v>469.90000000000146</v>
      </c>
      <c r="H48" s="8">
        <v>403.58946859000207</v>
      </c>
      <c r="I48" s="8">
        <v>312.5717982999995</v>
      </c>
      <c r="J48" s="8">
        <v>312.70656474000134</v>
      </c>
      <c r="K48" s="8">
        <v>365.1690102900029</v>
      </c>
      <c r="L48" s="8">
        <v>459.13832710999486</v>
      </c>
      <c r="M48" s="8">
        <v>655.4428739700306</v>
      </c>
      <c r="N48" s="8">
        <v>688.228412230008</v>
      </c>
      <c r="O48" s="8">
        <v>744.0185593700044</v>
      </c>
      <c r="P48" s="8">
        <v>1343.998982559995</v>
      </c>
      <c r="Q48" s="8">
        <v>1285.6570034999895</v>
      </c>
      <c r="R48" s="8">
        <v>1029.6131804900142</v>
      </c>
      <c r="S48" s="8">
        <v>6079.659925260006</v>
      </c>
      <c r="T48" s="40">
        <f t="shared" si="29"/>
        <v>-0.1484012025143655</v>
      </c>
      <c r="U48" s="40">
        <f t="shared" si="39"/>
        <v>-0.044287548138628896</v>
      </c>
      <c r="V48" s="40">
        <f t="shared" si="39"/>
        <v>-0.07202820685023481</v>
      </c>
      <c r="W48" s="40">
        <f t="shared" si="39"/>
        <v>-0.14981002352089035</v>
      </c>
      <c r="X48" s="40">
        <f t="shared" si="39"/>
        <v>-0.1411162617791002</v>
      </c>
      <c r="Y48" s="40">
        <f t="shared" si="39"/>
        <v>-0.22552042947995132</v>
      </c>
      <c r="Z48" s="40">
        <f t="shared" si="39"/>
        <v>0.0004311535485119755</v>
      </c>
      <c r="AA48" s="40">
        <f t="shared" si="39"/>
        <v>0.1677689292951725</v>
      </c>
      <c r="AB48" s="40">
        <f t="shared" si="39"/>
        <v>0.25733102802279206</v>
      </c>
      <c r="AC48" s="40">
        <f t="shared" si="39"/>
        <v>0.42754990221717537</v>
      </c>
      <c r="AD48" s="40">
        <f t="shared" si="39"/>
        <v>0.05002043589458016</v>
      </c>
      <c r="AE48" s="40">
        <f t="shared" si="39"/>
        <v>0.0810634175349203</v>
      </c>
      <c r="AF48" s="40">
        <f t="shared" si="39"/>
        <v>0.8064051838949051</v>
      </c>
      <c r="AG48" s="40">
        <f t="shared" si="39"/>
        <v>-0.043409243471954184</v>
      </c>
      <c r="AH48" s="40">
        <f t="shared" si="39"/>
        <v>-0.19915406855245077</v>
      </c>
      <c r="AI48" s="40">
        <f t="shared" si="39"/>
        <v>4.904800016610675</v>
      </c>
    </row>
    <row r="49" spans="2:35" ht="12.75">
      <c r="B49" s="15"/>
      <c r="C49" s="26"/>
      <c r="D49" s="26"/>
      <c r="E49" s="48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2:35" ht="14.25">
      <c r="B50" s="15" t="s">
        <v>54</v>
      </c>
      <c r="C50" s="7">
        <f aca="true" t="shared" si="42" ref="C50:H50">+C51+C52+C53+C54</f>
        <v>36422.5</v>
      </c>
      <c r="D50" s="7">
        <f t="shared" si="42"/>
        <v>49362.09999999999</v>
      </c>
      <c r="E50" s="51">
        <f t="shared" si="42"/>
        <v>62687.31178917002</v>
      </c>
      <c r="F50" s="7">
        <f t="shared" si="42"/>
        <v>74558.77032308001</v>
      </c>
      <c r="G50" s="7">
        <f t="shared" si="42"/>
        <v>103479.80000000003</v>
      </c>
      <c r="H50" s="7">
        <f t="shared" si="42"/>
        <v>111198.20865518002</v>
      </c>
      <c r="I50" s="7">
        <v>125781.98851977999</v>
      </c>
      <c r="J50" s="7">
        <f aca="true" t="shared" si="43" ref="J50:S50">+J51+J52+J53+J54</f>
        <v>126024.90329048001</v>
      </c>
      <c r="K50" s="7">
        <f t="shared" si="43"/>
        <v>153555.76555501006</v>
      </c>
      <c r="L50" s="7">
        <f t="shared" si="43"/>
        <v>171015.76135803</v>
      </c>
      <c r="M50" s="7">
        <f t="shared" si="43"/>
        <v>202039.24856685006</v>
      </c>
      <c r="N50" s="7">
        <f t="shared" si="43"/>
        <v>206083.67283359988</v>
      </c>
      <c r="O50" s="7">
        <f t="shared" si="43"/>
        <v>219318.47262434033</v>
      </c>
      <c r="P50" s="7">
        <f t="shared" si="43"/>
        <v>216071.66690268012</v>
      </c>
      <c r="Q50" s="7">
        <f t="shared" si="43"/>
        <v>275607.69461318996</v>
      </c>
      <c r="R50" s="7">
        <f t="shared" si="43"/>
        <v>272009.5399089601</v>
      </c>
      <c r="S50" s="7">
        <f t="shared" si="43"/>
        <v>279426.55726772983</v>
      </c>
      <c r="T50" s="42">
        <f t="shared" si="29"/>
        <v>0.3552639165351086</v>
      </c>
      <c r="U50" s="42">
        <f aca="true" t="shared" si="44" ref="U50:AI54">+E50/D50-1</f>
        <v>0.26994823537025425</v>
      </c>
      <c r="V50" s="42">
        <f t="shared" si="44"/>
        <v>0.18937577948526618</v>
      </c>
      <c r="W50" s="42">
        <f t="shared" si="44"/>
        <v>0.38789574387558523</v>
      </c>
      <c r="X50" s="42">
        <f t="shared" si="44"/>
        <v>0.07458855404803622</v>
      </c>
      <c r="Y50" s="42">
        <f t="shared" si="44"/>
        <v>0.13115121224500603</v>
      </c>
      <c r="Z50" s="42">
        <f t="shared" si="44"/>
        <v>0.00193123652725391</v>
      </c>
      <c r="AA50" s="42">
        <f t="shared" si="44"/>
        <v>0.21845573014305764</v>
      </c>
      <c r="AB50" s="42">
        <f t="shared" si="44"/>
        <v>0.11370459285532353</v>
      </c>
      <c r="AC50" s="42">
        <f t="shared" si="44"/>
        <v>0.18140718120051424</v>
      </c>
      <c r="AD50" s="42">
        <f t="shared" si="44"/>
        <v>0.020018012814037922</v>
      </c>
      <c r="AE50" s="42">
        <f t="shared" si="44"/>
        <v>0.06422051591358602</v>
      </c>
      <c r="AF50" s="42">
        <f t="shared" si="44"/>
        <v>-0.014804068635027812</v>
      </c>
      <c r="AG50" s="42">
        <f t="shared" si="44"/>
        <v>0.27553833671920147</v>
      </c>
      <c r="AH50" s="42">
        <f t="shared" si="44"/>
        <v>-0.013055349232102498</v>
      </c>
      <c r="AI50" s="42">
        <f t="shared" si="44"/>
        <v>0.027267489813968204</v>
      </c>
    </row>
    <row r="51" spans="2:35" ht="12.75">
      <c r="B51" s="15" t="s">
        <v>6</v>
      </c>
      <c r="C51" s="26">
        <v>20557.699999999997</v>
      </c>
      <c r="D51" s="8">
        <v>23754.500000000004</v>
      </c>
      <c r="E51" s="48">
        <v>26923.669333329995</v>
      </c>
      <c r="F51" s="8">
        <v>33722.07032308</v>
      </c>
      <c r="G51" s="8">
        <v>37010.4</v>
      </c>
      <c r="H51" s="8">
        <v>39810.79150358002</v>
      </c>
      <c r="I51" s="8">
        <v>42761.141329429985</v>
      </c>
      <c r="J51" s="8">
        <v>45269.1533169</v>
      </c>
      <c r="K51" s="8">
        <v>50971.68239574003</v>
      </c>
      <c r="L51" s="8">
        <v>60248.85410302998</v>
      </c>
      <c r="M51" s="8">
        <v>65805.98839226998</v>
      </c>
      <c r="N51" s="8">
        <v>66253.60025318996</v>
      </c>
      <c r="O51" s="8">
        <v>65882.74415033005</v>
      </c>
      <c r="P51" s="8">
        <v>66219.26633774006</v>
      </c>
      <c r="Q51" s="8">
        <v>82781.46136806998</v>
      </c>
      <c r="R51" s="8">
        <v>73456.23065012002</v>
      </c>
      <c r="S51" s="8">
        <v>73897.92988619016</v>
      </c>
      <c r="T51" s="40">
        <f t="shared" si="29"/>
        <v>0.15550377717351682</v>
      </c>
      <c r="U51" s="40">
        <f t="shared" si="44"/>
        <v>0.1334134304376009</v>
      </c>
      <c r="V51" s="40">
        <f t="shared" si="44"/>
        <v>0.25250648065767045</v>
      </c>
      <c r="W51" s="40">
        <f t="shared" si="44"/>
        <v>0.09751268665937785</v>
      </c>
      <c r="X51" s="40">
        <f t="shared" si="44"/>
        <v>0.07566498885664608</v>
      </c>
      <c r="Y51" s="40">
        <f t="shared" si="44"/>
        <v>0.07410929836912827</v>
      </c>
      <c r="Z51" s="40">
        <f t="shared" si="44"/>
        <v>0.058651661520173315</v>
      </c>
      <c r="AA51" s="40">
        <f t="shared" si="44"/>
        <v>0.12596942202387384</v>
      </c>
      <c r="AB51" s="40">
        <f t="shared" si="44"/>
        <v>0.18200638611970366</v>
      </c>
      <c r="AC51" s="40">
        <f t="shared" si="44"/>
        <v>0.09223634825878824</v>
      </c>
      <c r="AD51" s="40">
        <f t="shared" si="44"/>
        <v>0.006801992825512526</v>
      </c>
      <c r="AE51" s="40">
        <f t="shared" si="44"/>
        <v>-0.0055975237789746</v>
      </c>
      <c r="AF51" s="40">
        <f t="shared" si="44"/>
        <v>0.005107895728237111</v>
      </c>
      <c r="AG51" s="40">
        <f t="shared" si="44"/>
        <v>0.25011142445851453</v>
      </c>
      <c r="AH51" s="40">
        <f t="shared" si="44"/>
        <v>-0.11264878106569454</v>
      </c>
      <c r="AI51" s="40">
        <f t="shared" si="44"/>
        <v>0.006013094221700488</v>
      </c>
    </row>
    <row r="52" spans="2:35" ht="12.75">
      <c r="B52" s="15" t="s">
        <v>7</v>
      </c>
      <c r="C52" s="26">
        <v>15745.700000000003</v>
      </c>
      <c r="D52" s="8">
        <v>24987.49999999999</v>
      </c>
      <c r="E52" s="48">
        <v>35374.54245584003</v>
      </c>
      <c r="F52" s="8">
        <v>40139.5</v>
      </c>
      <c r="G52" s="8">
        <v>65585.30000000003</v>
      </c>
      <c r="H52" s="8">
        <v>70774.26200227998</v>
      </c>
      <c r="I52" s="8">
        <v>82509.2635175</v>
      </c>
      <c r="J52" s="8">
        <v>80252.33256578</v>
      </c>
      <c r="K52" s="8">
        <v>102402.15104022002</v>
      </c>
      <c r="L52" s="8">
        <v>110366.07224652001</v>
      </c>
      <c r="M52" s="8">
        <v>129772.03197532007</v>
      </c>
      <c r="N52" s="8">
        <v>139623.97365881992</v>
      </c>
      <c r="O52" s="8">
        <v>152987.8920173903</v>
      </c>
      <c r="P52" s="8">
        <v>142472.68867533005</v>
      </c>
      <c r="Q52" s="8">
        <v>155095.42718734997</v>
      </c>
      <c r="R52" s="8">
        <v>198272.0909132501</v>
      </c>
      <c r="S52" s="8">
        <v>205323.41135324968</v>
      </c>
      <c r="T52" s="40">
        <f t="shared" si="29"/>
        <v>0.5869411966441622</v>
      </c>
      <c r="U52" s="40">
        <f t="shared" si="44"/>
        <v>0.4156895430051042</v>
      </c>
      <c r="V52" s="40">
        <f t="shared" si="44"/>
        <v>0.13470018870514955</v>
      </c>
      <c r="W52" s="40">
        <f t="shared" si="44"/>
        <v>0.6339341546357087</v>
      </c>
      <c r="X52" s="40">
        <f t="shared" si="44"/>
        <v>0.07911775965467793</v>
      </c>
      <c r="Y52" s="40">
        <f t="shared" si="44"/>
        <v>0.16580888564888152</v>
      </c>
      <c r="Z52" s="40">
        <f t="shared" si="44"/>
        <v>-0.027353667400525472</v>
      </c>
      <c r="AA52" s="40">
        <f t="shared" si="44"/>
        <v>0.27600217671286487</v>
      </c>
      <c r="AB52" s="40">
        <f t="shared" si="44"/>
        <v>0.07777103435231592</v>
      </c>
      <c r="AC52" s="40">
        <f t="shared" si="44"/>
        <v>0.17583265702754924</v>
      </c>
      <c r="AD52" s="40">
        <f t="shared" si="44"/>
        <v>0.07591729537974312</v>
      </c>
      <c r="AE52" s="40">
        <f t="shared" si="44"/>
        <v>0.09571363719547166</v>
      </c>
      <c r="AF52" s="40">
        <f t="shared" si="44"/>
        <v>-0.06873225850360087</v>
      </c>
      <c r="AG52" s="40">
        <f t="shared" si="44"/>
        <v>0.08859760161321084</v>
      </c>
      <c r="AH52" s="40">
        <f t="shared" si="44"/>
        <v>0.2783877288254555</v>
      </c>
      <c r="AI52" s="40">
        <f t="shared" si="44"/>
        <v>0.03556385776495752</v>
      </c>
    </row>
    <row r="53" spans="2:35" ht="12.75">
      <c r="B53" s="15" t="s">
        <v>8</v>
      </c>
      <c r="C53" s="8">
        <v>119.1</v>
      </c>
      <c r="D53" s="26">
        <v>127.4</v>
      </c>
      <c r="E53" s="48">
        <v>287.7</v>
      </c>
      <c r="F53" s="8">
        <v>162.1</v>
      </c>
      <c r="G53" s="8">
        <v>369.39999999999986</v>
      </c>
      <c r="H53" s="8">
        <v>224.17529782999986</v>
      </c>
      <c r="I53" s="8">
        <v>217.78500432999977</v>
      </c>
      <c r="J53" s="8">
        <v>81.93593189999956</v>
      </c>
      <c r="K53" s="8">
        <v>181.93211904999941</v>
      </c>
      <c r="L53" s="8">
        <v>400.8350084800006</v>
      </c>
      <c r="M53" s="8">
        <v>531.03345281</v>
      </c>
      <c r="N53" s="8">
        <v>206.09892159000015</v>
      </c>
      <c r="O53" s="8">
        <v>447.83645662000106</v>
      </c>
      <c r="P53" s="8">
        <v>295.31116063999957</v>
      </c>
      <c r="Q53" s="8">
        <v>934.6185577700004</v>
      </c>
      <c r="R53" s="8">
        <v>281.21834559000047</v>
      </c>
      <c r="S53" s="8">
        <v>204.8198250199998</v>
      </c>
      <c r="T53" s="40">
        <f t="shared" si="29"/>
        <v>0.06968933669185562</v>
      </c>
      <c r="U53" s="40">
        <f t="shared" si="44"/>
        <v>1.2582417582417582</v>
      </c>
      <c r="V53" s="40">
        <f t="shared" si="44"/>
        <v>-0.43656586722280155</v>
      </c>
      <c r="W53" s="40">
        <f t="shared" si="44"/>
        <v>1.2788402220851318</v>
      </c>
      <c r="X53" s="40">
        <f t="shared" si="44"/>
        <v>-0.39313671404981065</v>
      </c>
      <c r="Y53" s="40">
        <f t="shared" si="44"/>
        <v>-0.0285057879340751</v>
      </c>
      <c r="Z53" s="40">
        <f t="shared" si="44"/>
        <v>-0.6237760623047961</v>
      </c>
      <c r="AA53" s="40">
        <f t="shared" si="44"/>
        <v>1.2204192328225707</v>
      </c>
      <c r="AB53" s="40">
        <f t="shared" si="44"/>
        <v>1.2032118933866829</v>
      </c>
      <c r="AC53" s="40">
        <f t="shared" si="44"/>
        <v>0.3248180462672723</v>
      </c>
      <c r="AD53" s="40">
        <f t="shared" si="44"/>
        <v>-0.6118908884187737</v>
      </c>
      <c r="AE53" s="40">
        <f t="shared" si="44"/>
        <v>1.1729199413808575</v>
      </c>
      <c r="AF53" s="40">
        <f t="shared" si="44"/>
        <v>-0.3405825803713486</v>
      </c>
      <c r="AG53" s="40">
        <f t="shared" si="44"/>
        <v>2.164860263812892</v>
      </c>
      <c r="AH53" s="40">
        <f t="shared" si="44"/>
        <v>-0.6991089645587742</v>
      </c>
      <c r="AI53" s="40">
        <f t="shared" si="44"/>
        <v>-0.2716697604123778</v>
      </c>
    </row>
    <row r="54" spans="2:35" ht="12.75">
      <c r="B54" s="24" t="s">
        <v>14</v>
      </c>
      <c r="C54" s="8"/>
      <c r="D54" s="26">
        <v>492.7</v>
      </c>
      <c r="E54" s="48">
        <v>101.4</v>
      </c>
      <c r="F54" s="8">
        <v>535.1</v>
      </c>
      <c r="G54" s="8">
        <v>514.6999999999998</v>
      </c>
      <c r="H54" s="8">
        <v>388.9798514899999</v>
      </c>
      <c r="I54" s="8">
        <v>293.79866851999975</v>
      </c>
      <c r="J54" s="8">
        <v>421.4814759000001</v>
      </c>
      <c r="K54" s="8">
        <v>0</v>
      </c>
      <c r="L54" s="8"/>
      <c r="M54" s="8">
        <v>5930.194746450001</v>
      </c>
      <c r="N54" s="8">
        <v>0</v>
      </c>
      <c r="O54" s="8">
        <v>0</v>
      </c>
      <c r="P54" s="8">
        <v>7084.40072897</v>
      </c>
      <c r="Q54" s="8">
        <v>36796.1875</v>
      </c>
      <c r="R54" s="8">
        <v>0</v>
      </c>
      <c r="S54" s="8">
        <v>0.3962032700000002</v>
      </c>
      <c r="T54" s="66" t="e">
        <f t="shared" si="29"/>
        <v>#DIV/0!</v>
      </c>
      <c r="U54" s="66">
        <f t="shared" si="44"/>
        <v>-0.7941952506596306</v>
      </c>
      <c r="V54" s="66">
        <f t="shared" si="44"/>
        <v>4.277120315581854</v>
      </c>
      <c r="W54" s="66">
        <f t="shared" si="44"/>
        <v>-0.03812371519342217</v>
      </c>
      <c r="X54" s="66">
        <f t="shared" si="44"/>
        <v>-0.2442590800660579</v>
      </c>
      <c r="Y54" s="66">
        <f t="shared" si="44"/>
        <v>-0.2446943783987925</v>
      </c>
      <c r="Z54" s="66">
        <f t="shared" si="44"/>
        <v>0.4345928728104791</v>
      </c>
      <c r="AA54" s="66">
        <f t="shared" si="44"/>
        <v>-1</v>
      </c>
      <c r="AB54" s="66" t="e">
        <f t="shared" si="44"/>
        <v>#DIV/0!</v>
      </c>
      <c r="AC54" s="66" t="e">
        <f t="shared" si="44"/>
        <v>#DIV/0!</v>
      </c>
      <c r="AD54" s="66">
        <f t="shared" si="44"/>
        <v>-1</v>
      </c>
      <c r="AE54" s="66" t="e">
        <f t="shared" si="44"/>
        <v>#DIV/0!</v>
      </c>
      <c r="AF54" s="66" t="e">
        <f t="shared" si="44"/>
        <v>#DIV/0!</v>
      </c>
      <c r="AG54" s="66">
        <f t="shared" si="44"/>
        <v>4.193973196565603</v>
      </c>
      <c r="AH54" s="66">
        <f t="shared" si="44"/>
        <v>-1</v>
      </c>
      <c r="AI54" s="66" t="e">
        <f t="shared" si="44"/>
        <v>#DIV/0!</v>
      </c>
    </row>
    <row r="55" spans="2:35" ht="12.75">
      <c r="B55" s="15"/>
      <c r="C55" s="8"/>
      <c r="D55" s="26"/>
      <c r="E55" s="48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2.75">
      <c r="A56" s="21"/>
      <c r="B56" s="22" t="s">
        <v>9</v>
      </c>
      <c r="C56" s="28">
        <f aca="true" t="shared" si="45" ref="C56:H56">+C58+C59</f>
        <v>4724.7</v>
      </c>
      <c r="D56" s="28">
        <f t="shared" si="45"/>
        <v>10890.9</v>
      </c>
      <c r="E56" s="50">
        <f t="shared" si="45"/>
        <v>23543.099999999995</v>
      </c>
      <c r="F56" s="28">
        <f t="shared" si="45"/>
        <v>12568.5</v>
      </c>
      <c r="G56" s="28">
        <f t="shared" si="45"/>
        <v>31033.5</v>
      </c>
      <c r="H56" s="28">
        <f t="shared" si="45"/>
        <v>15602.997075150008</v>
      </c>
      <c r="I56" s="28">
        <v>43979.024815910016</v>
      </c>
      <c r="J56" s="28">
        <f aca="true" t="shared" si="46" ref="J56:O56">+J58+J59</f>
        <v>10483.26694395</v>
      </c>
      <c r="K56" s="28">
        <f t="shared" si="46"/>
        <v>47080.6101166</v>
      </c>
      <c r="L56" s="28">
        <f t="shared" si="46"/>
        <v>40665.723598569995</v>
      </c>
      <c r="M56" s="28">
        <f t="shared" si="46"/>
        <v>50352.45177328999</v>
      </c>
      <c r="N56" s="28">
        <f t="shared" si="46"/>
        <v>30135.381049659998</v>
      </c>
      <c r="O56" s="28">
        <f t="shared" si="46"/>
        <v>16825.681411030015</v>
      </c>
      <c r="P56" s="28">
        <f>+P58+P59</f>
        <v>45724.995947560004</v>
      </c>
      <c r="Q56" s="28">
        <f>+Q58+Q59</f>
        <v>32093.59717765001</v>
      </c>
      <c r="R56" s="28">
        <f>+R58+R59</f>
        <v>23185.685426460004</v>
      </c>
      <c r="S56" s="28">
        <f>+S58+S59</f>
        <v>47073.44674078</v>
      </c>
      <c r="T56" s="38">
        <f t="shared" si="29"/>
        <v>1.3050987364277096</v>
      </c>
      <c r="U56" s="38">
        <f aca="true" t="shared" si="47" ref="U56:AI56">+E56/D56-1</f>
        <v>1.1617221717213448</v>
      </c>
      <c r="V56" s="38">
        <f t="shared" si="47"/>
        <v>-0.466149317634466</v>
      </c>
      <c r="W56" s="38">
        <f t="shared" si="47"/>
        <v>1.4691490631340254</v>
      </c>
      <c r="X56" s="38">
        <f t="shared" si="47"/>
        <v>-0.4972208395717529</v>
      </c>
      <c r="Y56" s="38">
        <f t="shared" si="47"/>
        <v>1.818626742291253</v>
      </c>
      <c r="Z56" s="38">
        <f t="shared" si="47"/>
        <v>-0.7616303001753342</v>
      </c>
      <c r="AA56" s="38">
        <f t="shared" si="47"/>
        <v>3.491024636529999</v>
      </c>
      <c r="AB56" s="38">
        <f t="shared" si="47"/>
        <v>-0.1362532580215693</v>
      </c>
      <c r="AC56" s="38">
        <f t="shared" si="47"/>
        <v>0.2382037577971594</v>
      </c>
      <c r="AD56" s="38">
        <f t="shared" si="47"/>
        <v>-0.4015111481493808</v>
      </c>
      <c r="AE56" s="38">
        <f t="shared" si="47"/>
        <v>-0.4416635587483354</v>
      </c>
      <c r="AF56" s="38">
        <f t="shared" si="47"/>
        <v>1.7175717185269623</v>
      </c>
      <c r="AG56" s="38">
        <f t="shared" si="47"/>
        <v>-0.29811700334633706</v>
      </c>
      <c r="AH56" s="38">
        <f t="shared" si="47"/>
        <v>-0.2775604025276879</v>
      </c>
      <c r="AI56" s="38">
        <f t="shared" si="47"/>
        <v>1.0302805750594186</v>
      </c>
    </row>
    <row r="57" spans="2:35" ht="12.75">
      <c r="B57" s="15"/>
      <c r="C57" s="26"/>
      <c r="D57" s="26"/>
      <c r="E57" s="48"/>
      <c r="F57" s="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2:35" ht="12.75">
      <c r="B58" s="15" t="s">
        <v>13</v>
      </c>
      <c r="C58" s="26">
        <v>1703.3</v>
      </c>
      <c r="D58" s="26">
        <v>2887.2</v>
      </c>
      <c r="E58" s="48">
        <v>2554.8</v>
      </c>
      <c r="F58" s="8">
        <v>7845.7</v>
      </c>
      <c r="G58" s="8">
        <v>4347.699999999997</v>
      </c>
      <c r="H58" s="8">
        <v>3682.7622996800023</v>
      </c>
      <c r="I58" s="8">
        <v>2635.520990050002</v>
      </c>
      <c r="J58" s="8">
        <v>2856.9562422499985</v>
      </c>
      <c r="K58" s="8">
        <v>4709.418007450002</v>
      </c>
      <c r="L58" s="8">
        <v>6423.0080729500005</v>
      </c>
      <c r="M58" s="8">
        <v>4350.152686829991</v>
      </c>
      <c r="N58" s="8">
        <v>5144.12936793</v>
      </c>
      <c r="O58" s="8">
        <v>4203.60740801</v>
      </c>
      <c r="P58" s="8">
        <v>3009.6201560799973</v>
      </c>
      <c r="Q58" s="8">
        <v>5887.37037065</v>
      </c>
      <c r="R58" s="8">
        <v>7426.55310331998</v>
      </c>
      <c r="S58" s="8">
        <v>15174.867407599984</v>
      </c>
      <c r="T58" s="40">
        <f t="shared" si="29"/>
        <v>0.6950625256854341</v>
      </c>
      <c r="U58" s="40">
        <f aca="true" t="shared" si="48" ref="U58:AI63">+E58/D58-1</f>
        <v>-0.11512884455527839</v>
      </c>
      <c r="V58" s="40">
        <f t="shared" si="48"/>
        <v>2.07096445905746</v>
      </c>
      <c r="W58" s="40">
        <f t="shared" si="48"/>
        <v>-0.4458493187351037</v>
      </c>
      <c r="X58" s="40">
        <f t="shared" si="48"/>
        <v>-0.15294010633668265</v>
      </c>
      <c r="Y58" s="40">
        <f t="shared" si="48"/>
        <v>-0.28436299288743005</v>
      </c>
      <c r="Z58" s="40">
        <f t="shared" si="48"/>
        <v>0.08401953656828787</v>
      </c>
      <c r="AA58" s="40">
        <f t="shared" si="48"/>
        <v>0.6484039684629874</v>
      </c>
      <c r="AB58" s="40">
        <f t="shared" si="48"/>
        <v>0.3638645078413527</v>
      </c>
      <c r="AC58" s="40">
        <f t="shared" si="48"/>
        <v>-0.32272345956557014</v>
      </c>
      <c r="AD58" s="40">
        <f t="shared" si="48"/>
        <v>0.18251696854314092</v>
      </c>
      <c r="AE58" s="40">
        <f t="shared" si="48"/>
        <v>-0.1828340410300502</v>
      </c>
      <c r="AF58" s="40">
        <f t="shared" si="48"/>
        <v>-0.2840387162832696</v>
      </c>
      <c r="AG58" s="40">
        <f t="shared" si="48"/>
        <v>0.9561838588688367</v>
      </c>
      <c r="AH58" s="40">
        <f t="shared" si="48"/>
        <v>0.2614380675527377</v>
      </c>
      <c r="AI58" s="40">
        <f t="shared" si="48"/>
        <v>1.0433257793331046</v>
      </c>
    </row>
    <row r="59" spans="2:35" ht="12.75">
      <c r="B59" s="15" t="s">
        <v>5</v>
      </c>
      <c r="C59" s="7">
        <f aca="true" t="shared" si="49" ref="C59:H59">+C60+C61+C62+C63</f>
        <v>3021.4</v>
      </c>
      <c r="D59" s="7">
        <f t="shared" si="49"/>
        <v>8003.7</v>
      </c>
      <c r="E59" s="51">
        <f t="shared" si="49"/>
        <v>20988.299999999996</v>
      </c>
      <c r="F59" s="7">
        <f t="shared" si="49"/>
        <v>4722.8</v>
      </c>
      <c r="G59" s="7">
        <f t="shared" si="49"/>
        <v>26685.800000000003</v>
      </c>
      <c r="H59" s="7">
        <f t="shared" si="49"/>
        <v>11920.234775470006</v>
      </c>
      <c r="I59" s="7">
        <v>41343.50382586001</v>
      </c>
      <c r="J59" s="7">
        <f aca="true" t="shared" si="50" ref="J59:O59">+J60+J61+J62+J63</f>
        <v>7626.310701700002</v>
      </c>
      <c r="K59" s="7">
        <f t="shared" si="50"/>
        <v>42371.19210915</v>
      </c>
      <c r="L59" s="7">
        <f t="shared" si="50"/>
        <v>34242.71552562</v>
      </c>
      <c r="M59" s="7">
        <f t="shared" si="50"/>
        <v>46002.29908646</v>
      </c>
      <c r="N59" s="7">
        <f t="shared" si="50"/>
        <v>24991.25168173</v>
      </c>
      <c r="O59" s="7">
        <f t="shared" si="50"/>
        <v>12622.074003020016</v>
      </c>
      <c r="P59" s="7">
        <f>+P60+P61+P62+P63</f>
        <v>42715.37579148001</v>
      </c>
      <c r="Q59" s="7">
        <f>+Q60+Q61+Q62+Q63</f>
        <v>26206.22680700001</v>
      </c>
      <c r="R59" s="7">
        <f>+R60+R61+R62+R63</f>
        <v>15759.132323140022</v>
      </c>
      <c r="S59" s="7">
        <f>+S60+S61+S62+S63</f>
        <v>31898.579333180016</v>
      </c>
      <c r="T59" s="42">
        <f t="shared" si="29"/>
        <v>1.6490037730853246</v>
      </c>
      <c r="U59" s="42">
        <f t="shared" si="48"/>
        <v>1.6223246748378868</v>
      </c>
      <c r="V59" s="42">
        <f t="shared" si="48"/>
        <v>-0.7749793932810184</v>
      </c>
      <c r="W59" s="42">
        <f t="shared" si="48"/>
        <v>4.650419242822055</v>
      </c>
      <c r="X59" s="42">
        <f t="shared" si="48"/>
        <v>-0.553311694778871</v>
      </c>
      <c r="Y59" s="42">
        <f t="shared" si="48"/>
        <v>2.4683464381874867</v>
      </c>
      <c r="Z59" s="42">
        <f t="shared" si="48"/>
        <v>-0.8155378718305484</v>
      </c>
      <c r="AA59" s="42">
        <f t="shared" si="48"/>
        <v>4.5559226166467255</v>
      </c>
      <c r="AB59" s="42">
        <f t="shared" si="48"/>
        <v>-0.1918396952955842</v>
      </c>
      <c r="AC59" s="42">
        <f t="shared" si="48"/>
        <v>0.34341854553099393</v>
      </c>
      <c r="AD59" s="42">
        <f t="shared" si="48"/>
        <v>-0.45673907221985455</v>
      </c>
      <c r="AE59" s="42">
        <f t="shared" si="48"/>
        <v>-0.4949403029601972</v>
      </c>
      <c r="AF59" s="42">
        <f t="shared" si="48"/>
        <v>2.38418042718334</v>
      </c>
      <c r="AG59" s="42">
        <f t="shared" si="48"/>
        <v>-0.3864919523375212</v>
      </c>
      <c r="AH59" s="42">
        <f t="shared" si="48"/>
        <v>-0.3986493195223907</v>
      </c>
      <c r="AI59" s="42">
        <f t="shared" si="48"/>
        <v>1.0241329712259306</v>
      </c>
    </row>
    <row r="60" spans="2:35" ht="12.75">
      <c r="B60" s="15" t="s">
        <v>6</v>
      </c>
      <c r="C60" s="26">
        <v>175.4</v>
      </c>
      <c r="D60" s="26">
        <v>10.2</v>
      </c>
      <c r="E60" s="48">
        <v>48</v>
      </c>
      <c r="F60" s="8">
        <v>111.9</v>
      </c>
      <c r="G60" s="8">
        <v>8592.5</v>
      </c>
      <c r="H60" s="8">
        <v>453.07025695000016</v>
      </c>
      <c r="I60" s="8">
        <v>6402.429986</v>
      </c>
      <c r="J60" s="8">
        <v>4252.3528400000005</v>
      </c>
      <c r="K60" s="8">
        <v>732.7631079999998</v>
      </c>
      <c r="L60" s="8">
        <v>3301.9904800000004</v>
      </c>
      <c r="M60" s="8">
        <v>1547.4633524799997</v>
      </c>
      <c r="N60" s="8">
        <v>1017.5414169999993</v>
      </c>
      <c r="O60" s="8">
        <v>1395.043343640001</v>
      </c>
      <c r="P60" s="8">
        <v>1236.080797999999</v>
      </c>
      <c r="Q60" s="8">
        <v>1100.7690430000005</v>
      </c>
      <c r="R60" s="8">
        <v>1309.6286408299995</v>
      </c>
      <c r="S60" s="8">
        <v>89.72399997999996</v>
      </c>
      <c r="T60" s="40">
        <f t="shared" si="29"/>
        <v>-0.9418472063854048</v>
      </c>
      <c r="U60" s="40">
        <f t="shared" si="48"/>
        <v>3.7058823529411766</v>
      </c>
      <c r="V60" s="40">
        <f t="shared" si="48"/>
        <v>1.3312500000000003</v>
      </c>
      <c r="W60" s="40">
        <f t="shared" si="48"/>
        <v>75.78731009830206</v>
      </c>
      <c r="X60" s="40">
        <f t="shared" si="48"/>
        <v>-0.9472714277625837</v>
      </c>
      <c r="Y60" s="40">
        <f t="shared" si="48"/>
        <v>13.131207881753664</v>
      </c>
      <c r="Z60" s="40">
        <f t="shared" si="48"/>
        <v>-0.3358220473635023</v>
      </c>
      <c r="AA60" s="40">
        <f t="shared" si="48"/>
        <v>-0.8276805487288774</v>
      </c>
      <c r="AB60" s="40">
        <f t="shared" si="48"/>
        <v>3.5062182360851084</v>
      </c>
      <c r="AC60" s="40">
        <f t="shared" si="48"/>
        <v>-0.5313543870423274</v>
      </c>
      <c r="AD60" s="40">
        <f t="shared" si="48"/>
        <v>-0.3424455478255659</v>
      </c>
      <c r="AE60" s="40">
        <f t="shared" si="48"/>
        <v>0.37099416331669754</v>
      </c>
      <c r="AF60" s="40">
        <f t="shared" si="48"/>
        <v>-0.11394810517157894</v>
      </c>
      <c r="AG60" s="40">
        <f t="shared" si="48"/>
        <v>-0.10946837392744502</v>
      </c>
      <c r="AH60" s="40">
        <f t="shared" si="48"/>
        <v>0.18973970894092362</v>
      </c>
      <c r="AI60" s="40">
        <f t="shared" si="48"/>
        <v>-0.9314889754372386</v>
      </c>
    </row>
    <row r="61" spans="2:35" ht="12.75">
      <c r="B61" s="15" t="s">
        <v>7</v>
      </c>
      <c r="C61" s="26">
        <v>2661</v>
      </c>
      <c r="D61" s="26">
        <v>7946.4</v>
      </c>
      <c r="E61" s="48">
        <v>19663.6</v>
      </c>
      <c r="F61" s="8">
        <v>3935.3</v>
      </c>
      <c r="G61" s="8">
        <v>17015.100000000002</v>
      </c>
      <c r="H61" s="8">
        <v>10337.387740240003</v>
      </c>
      <c r="I61" s="8">
        <v>34904.396735300004</v>
      </c>
      <c r="J61" s="8">
        <v>1766.8162730699946</v>
      </c>
      <c r="K61" s="8">
        <v>38178.31697518</v>
      </c>
      <c r="L61" s="8">
        <v>29601.90895039</v>
      </c>
      <c r="M61" s="8">
        <v>34622.92979266</v>
      </c>
      <c r="N61" s="8">
        <v>22485.796575079996</v>
      </c>
      <c r="O61" s="8">
        <v>8627.301173830012</v>
      </c>
      <c r="P61" s="8">
        <v>39091.15317104999</v>
      </c>
      <c r="Q61" s="8">
        <v>22609.45854819001</v>
      </c>
      <c r="R61" s="8">
        <v>14345.36380732002</v>
      </c>
      <c r="S61" s="8">
        <v>31750.971738430017</v>
      </c>
      <c r="T61" s="40">
        <f t="shared" si="29"/>
        <v>1.9862457722660651</v>
      </c>
      <c r="U61" s="40">
        <f t="shared" si="48"/>
        <v>1.47452934662237</v>
      </c>
      <c r="V61" s="40">
        <f t="shared" si="48"/>
        <v>-0.799868793099941</v>
      </c>
      <c r="W61" s="40">
        <f t="shared" si="48"/>
        <v>3.3237110258430107</v>
      </c>
      <c r="X61" s="40">
        <f t="shared" si="48"/>
        <v>-0.3924580084607201</v>
      </c>
      <c r="Y61" s="40">
        <f t="shared" si="48"/>
        <v>2.376520027340063</v>
      </c>
      <c r="Z61" s="40">
        <f t="shared" si="48"/>
        <v>-0.9493812688851558</v>
      </c>
      <c r="AA61" s="40">
        <f t="shared" si="48"/>
        <v>20.60853822612914</v>
      </c>
      <c r="AB61" s="40">
        <f t="shared" si="48"/>
        <v>-0.2246408093464567</v>
      </c>
      <c r="AC61" s="40">
        <f t="shared" si="48"/>
        <v>0.16961814356921212</v>
      </c>
      <c r="AD61" s="40">
        <f t="shared" si="48"/>
        <v>-0.35055188253170455</v>
      </c>
      <c r="AE61" s="40">
        <f t="shared" si="48"/>
        <v>-0.6163221905426617</v>
      </c>
      <c r="AF61" s="40">
        <f t="shared" si="48"/>
        <v>3.5310987043814803</v>
      </c>
      <c r="AG61" s="40">
        <f t="shared" si="48"/>
        <v>-0.42162211359540924</v>
      </c>
      <c r="AH61" s="40">
        <f t="shared" si="48"/>
        <v>-0.3655149336396456</v>
      </c>
      <c r="AI61" s="40">
        <f t="shared" si="48"/>
        <v>1.2133263516278636</v>
      </c>
    </row>
    <row r="62" spans="2:35" ht="12.75">
      <c r="B62" s="15" t="s">
        <v>8</v>
      </c>
      <c r="C62" s="26">
        <v>0</v>
      </c>
      <c r="D62" s="26">
        <v>7.099999999999994</v>
      </c>
      <c r="E62" s="48">
        <v>7.100000000000001</v>
      </c>
      <c r="F62" s="8">
        <v>8.3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/>
      <c r="M62" s="8">
        <v>0</v>
      </c>
      <c r="N62" s="8">
        <v>0</v>
      </c>
      <c r="O62" s="8">
        <v>413.02341776</v>
      </c>
      <c r="P62" s="8">
        <v>0</v>
      </c>
      <c r="Q62" s="8">
        <v>0</v>
      </c>
      <c r="R62" s="8">
        <v>0</v>
      </c>
      <c r="S62" s="8">
        <v>0</v>
      </c>
      <c r="T62" s="71" t="e">
        <f t="shared" si="29"/>
        <v>#DIV/0!</v>
      </c>
      <c r="U62" s="71">
        <f t="shared" si="48"/>
        <v>0</v>
      </c>
      <c r="V62" s="71">
        <f t="shared" si="48"/>
        <v>0.16901408450704203</v>
      </c>
      <c r="W62" s="71">
        <f t="shared" si="48"/>
        <v>-1</v>
      </c>
      <c r="X62" s="71" t="e">
        <f t="shared" si="48"/>
        <v>#DIV/0!</v>
      </c>
      <c r="Y62" s="71" t="e">
        <f t="shared" si="48"/>
        <v>#DIV/0!</v>
      </c>
      <c r="Z62" s="71" t="e">
        <f t="shared" si="48"/>
        <v>#DIV/0!</v>
      </c>
      <c r="AA62" s="71" t="e">
        <f t="shared" si="48"/>
        <v>#DIV/0!</v>
      </c>
      <c r="AB62" s="71" t="e">
        <f t="shared" si="48"/>
        <v>#DIV/0!</v>
      </c>
      <c r="AC62" s="71" t="e">
        <f t="shared" si="48"/>
        <v>#DIV/0!</v>
      </c>
      <c r="AD62" s="71" t="e">
        <f t="shared" si="48"/>
        <v>#DIV/0!</v>
      </c>
      <c r="AE62" s="71" t="e">
        <f t="shared" si="48"/>
        <v>#DIV/0!</v>
      </c>
      <c r="AF62" s="71">
        <f t="shared" si="48"/>
        <v>-1</v>
      </c>
      <c r="AG62" s="71" t="e">
        <f t="shared" si="48"/>
        <v>#DIV/0!</v>
      </c>
      <c r="AH62" s="71" t="e">
        <f t="shared" si="48"/>
        <v>#DIV/0!</v>
      </c>
      <c r="AI62" s="71" t="e">
        <f t="shared" si="48"/>
        <v>#DIV/0!</v>
      </c>
    </row>
    <row r="63" spans="2:35" ht="12.75">
      <c r="B63" s="24" t="s">
        <v>15</v>
      </c>
      <c r="C63" s="26">
        <v>185</v>
      </c>
      <c r="D63" s="26">
        <v>40</v>
      </c>
      <c r="E63" s="48">
        <v>1269.6</v>
      </c>
      <c r="F63" s="8">
        <v>667.3</v>
      </c>
      <c r="G63" s="8">
        <v>1078.2000000000007</v>
      </c>
      <c r="H63" s="8">
        <v>1129.776778280002</v>
      </c>
      <c r="I63" s="8">
        <v>36.67710455999986</v>
      </c>
      <c r="J63" s="8">
        <v>1607.1415886300074</v>
      </c>
      <c r="K63" s="8">
        <v>3460.1120259699965</v>
      </c>
      <c r="L63" s="8">
        <v>1338.8160952300022</v>
      </c>
      <c r="M63" s="8">
        <v>9831.90594132</v>
      </c>
      <c r="N63" s="8">
        <v>1487.9136896500006</v>
      </c>
      <c r="O63" s="8">
        <v>2186.706067790002</v>
      </c>
      <c r="P63" s="8">
        <v>2388.141822430014</v>
      </c>
      <c r="Q63" s="8">
        <v>2495.9992158099994</v>
      </c>
      <c r="R63" s="8">
        <v>104.13987499000112</v>
      </c>
      <c r="S63" s="8">
        <v>57.883594770000165</v>
      </c>
      <c r="T63" s="40">
        <f t="shared" si="29"/>
        <v>-0.7837837837837838</v>
      </c>
      <c r="U63" s="40">
        <f t="shared" si="48"/>
        <v>30.74</v>
      </c>
      <c r="V63" s="40">
        <f t="shared" si="48"/>
        <v>-0.47440138626339</v>
      </c>
      <c r="W63" s="40">
        <f t="shared" si="48"/>
        <v>0.6157650232279346</v>
      </c>
      <c r="X63" s="40">
        <f t="shared" si="48"/>
        <v>0.047836002856614046</v>
      </c>
      <c r="Y63" s="40">
        <f t="shared" si="48"/>
        <v>-0.9675359723574439</v>
      </c>
      <c r="Z63" s="40">
        <f t="shared" si="48"/>
        <v>42.81866038527915</v>
      </c>
      <c r="AA63" s="40">
        <f t="shared" si="48"/>
        <v>1.1529602932617382</v>
      </c>
      <c r="AB63" s="40">
        <f t="shared" si="48"/>
        <v>-0.6130714597731317</v>
      </c>
      <c r="AC63" s="40">
        <f t="shared" si="48"/>
        <v>6.343731507523388</v>
      </c>
      <c r="AD63" s="40">
        <f t="shared" si="48"/>
        <v>-0.8486647758297983</v>
      </c>
      <c r="AE63" s="40">
        <f t="shared" si="48"/>
        <v>0.46964577515539707</v>
      </c>
      <c r="AF63" s="40">
        <f t="shared" si="48"/>
        <v>0.09211834988119527</v>
      </c>
      <c r="AG63" s="40">
        <f t="shared" si="48"/>
        <v>0.04516373038106947</v>
      </c>
      <c r="AH63" s="40">
        <f t="shared" si="48"/>
        <v>-0.9582772805654886</v>
      </c>
      <c r="AI63" s="40">
        <f t="shared" si="48"/>
        <v>-0.4441745318442355</v>
      </c>
    </row>
    <row r="64" spans="2:35" ht="12.75">
      <c r="B64" s="24"/>
      <c r="C64" s="26"/>
      <c r="D64" s="26"/>
      <c r="E64" s="4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2:35" ht="12.75">
      <c r="B65" s="3" t="s">
        <v>51</v>
      </c>
      <c r="C65" s="26"/>
      <c r="D65" s="26"/>
      <c r="E65" s="48"/>
      <c r="F65" s="8"/>
      <c r="G65" s="8"/>
      <c r="H65" s="8">
        <f>+H66-H67</f>
        <v>0</v>
      </c>
      <c r="I65" s="8">
        <v>0</v>
      </c>
      <c r="J65" s="8">
        <f>+J66-J67</f>
        <v>0</v>
      </c>
      <c r="K65" s="8">
        <f>+K66-K67</f>
        <v>0</v>
      </c>
      <c r="L65" s="8">
        <v>0</v>
      </c>
      <c r="M65" s="8">
        <v>708.3282294799999</v>
      </c>
      <c r="N65" s="8">
        <v>0</v>
      </c>
      <c r="O65" s="8">
        <f>+O66-O67</f>
        <v>0</v>
      </c>
      <c r="P65" s="8">
        <f>+P66-P67</f>
        <v>0</v>
      </c>
      <c r="Q65" s="8">
        <f>+Q66-Q67</f>
        <v>0</v>
      </c>
      <c r="R65" s="8">
        <f>+R66-R67</f>
        <v>0</v>
      </c>
      <c r="S65" s="8">
        <v>0</v>
      </c>
      <c r="T65" s="66" t="e">
        <f t="shared" si="29"/>
        <v>#DIV/0!</v>
      </c>
      <c r="U65" s="66" t="e">
        <f aca="true" t="shared" si="51" ref="U65:AI69">+E65/D65-1</f>
        <v>#DIV/0!</v>
      </c>
      <c r="V65" s="66" t="e">
        <f t="shared" si="51"/>
        <v>#DIV/0!</v>
      </c>
      <c r="W65" s="66" t="e">
        <f t="shared" si="51"/>
        <v>#DIV/0!</v>
      </c>
      <c r="X65" s="66" t="e">
        <f t="shared" si="51"/>
        <v>#DIV/0!</v>
      </c>
      <c r="Y65" s="66" t="e">
        <f t="shared" si="51"/>
        <v>#DIV/0!</v>
      </c>
      <c r="Z65" s="66" t="e">
        <f t="shared" si="51"/>
        <v>#DIV/0!</v>
      </c>
      <c r="AA65" s="66" t="e">
        <f t="shared" si="51"/>
        <v>#DIV/0!</v>
      </c>
      <c r="AB65" s="66" t="e">
        <f t="shared" si="51"/>
        <v>#DIV/0!</v>
      </c>
      <c r="AC65" s="66" t="e">
        <f t="shared" si="51"/>
        <v>#DIV/0!</v>
      </c>
      <c r="AD65" s="40">
        <f t="shared" si="51"/>
        <v>-1</v>
      </c>
      <c r="AE65" s="66" t="e">
        <f t="shared" si="51"/>
        <v>#DIV/0!</v>
      </c>
      <c r="AF65" s="66" t="e">
        <f t="shared" si="51"/>
        <v>#DIV/0!</v>
      </c>
      <c r="AG65" s="66" t="e">
        <f t="shared" si="51"/>
        <v>#DIV/0!</v>
      </c>
      <c r="AH65" s="66" t="e">
        <f t="shared" si="51"/>
        <v>#DIV/0!</v>
      </c>
      <c r="AI65" s="66" t="e">
        <f t="shared" si="51"/>
        <v>#DIV/0!</v>
      </c>
    </row>
    <row r="66" spans="2:35" ht="12.75">
      <c r="B66" s="73" t="s">
        <v>52</v>
      </c>
      <c r="C66" s="17"/>
      <c r="D66" s="17"/>
      <c r="E66" s="16"/>
      <c r="F66" s="15"/>
      <c r="G66" s="15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708.3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145" t="e">
        <f t="shared" si="29"/>
        <v>#DIV/0!</v>
      </c>
      <c r="U66" s="145" t="e">
        <f t="shared" si="51"/>
        <v>#DIV/0!</v>
      </c>
      <c r="V66" s="145" t="e">
        <f t="shared" si="51"/>
        <v>#DIV/0!</v>
      </c>
      <c r="W66" s="145" t="e">
        <f t="shared" si="51"/>
        <v>#DIV/0!</v>
      </c>
      <c r="X66" s="145" t="e">
        <f t="shared" si="51"/>
        <v>#DIV/0!</v>
      </c>
      <c r="Y66" s="145" t="e">
        <f t="shared" si="51"/>
        <v>#DIV/0!</v>
      </c>
      <c r="Z66" s="145" t="e">
        <f t="shared" si="51"/>
        <v>#DIV/0!</v>
      </c>
      <c r="AA66" s="145" t="e">
        <f t="shared" si="51"/>
        <v>#DIV/0!</v>
      </c>
      <c r="AB66" s="145" t="e">
        <f t="shared" si="51"/>
        <v>#DIV/0!</v>
      </c>
      <c r="AC66" s="145" t="e">
        <f t="shared" si="51"/>
        <v>#DIV/0!</v>
      </c>
      <c r="AD66" s="40">
        <f t="shared" si="51"/>
        <v>-1</v>
      </c>
      <c r="AE66" s="145" t="e">
        <f t="shared" si="51"/>
        <v>#DIV/0!</v>
      </c>
      <c r="AF66" s="145" t="e">
        <f t="shared" si="51"/>
        <v>#DIV/0!</v>
      </c>
      <c r="AG66" s="145" t="e">
        <f t="shared" si="51"/>
        <v>#DIV/0!</v>
      </c>
      <c r="AH66" s="145" t="e">
        <f t="shared" si="51"/>
        <v>#DIV/0!</v>
      </c>
      <c r="AI66" s="145" t="e">
        <f t="shared" si="51"/>
        <v>#DIV/0!</v>
      </c>
    </row>
    <row r="67" spans="2:35" ht="12.75">
      <c r="B67" s="73" t="s">
        <v>53</v>
      </c>
      <c r="C67" s="17"/>
      <c r="D67" s="17"/>
      <c r="E67" s="15"/>
      <c r="F67" s="3"/>
      <c r="G67" s="3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46" t="e">
        <f t="shared" si="29"/>
        <v>#DIV/0!</v>
      </c>
      <c r="U67" s="146" t="e">
        <f t="shared" si="51"/>
        <v>#DIV/0!</v>
      </c>
      <c r="V67" s="146" t="e">
        <f t="shared" si="51"/>
        <v>#DIV/0!</v>
      </c>
      <c r="W67" s="146" t="e">
        <f t="shared" si="51"/>
        <v>#DIV/0!</v>
      </c>
      <c r="X67" s="146" t="e">
        <f t="shared" si="51"/>
        <v>#DIV/0!</v>
      </c>
      <c r="Y67" s="146" t="e">
        <f t="shared" si="51"/>
        <v>#DIV/0!</v>
      </c>
      <c r="Z67" s="146" t="e">
        <f t="shared" si="51"/>
        <v>#DIV/0!</v>
      </c>
      <c r="AA67" s="146" t="e">
        <f t="shared" si="51"/>
        <v>#DIV/0!</v>
      </c>
      <c r="AB67" s="146" t="e">
        <f t="shared" si="51"/>
        <v>#DIV/0!</v>
      </c>
      <c r="AC67" s="146" t="e">
        <f t="shared" si="51"/>
        <v>#DIV/0!</v>
      </c>
      <c r="AD67" s="146" t="e">
        <f t="shared" si="51"/>
        <v>#DIV/0!</v>
      </c>
      <c r="AE67" s="146" t="e">
        <f t="shared" si="51"/>
        <v>#DIV/0!</v>
      </c>
      <c r="AF67" s="146" t="e">
        <f t="shared" si="51"/>
        <v>#DIV/0!</v>
      </c>
      <c r="AG67" s="146" t="e">
        <f t="shared" si="51"/>
        <v>#DIV/0!</v>
      </c>
      <c r="AH67" s="146" t="e">
        <f t="shared" si="51"/>
        <v>#DIV/0!</v>
      </c>
      <c r="AI67" s="146" t="e">
        <f t="shared" si="51"/>
        <v>#DIV/0!</v>
      </c>
    </row>
    <row r="68" spans="2:35" ht="12.75">
      <c r="B68" s="73"/>
      <c r="C68" s="17"/>
      <c r="D68" s="17"/>
      <c r="E68" s="15"/>
      <c r="F68" s="3"/>
      <c r="G68" s="3"/>
      <c r="H68" s="3"/>
      <c r="I68" s="3"/>
      <c r="J68" s="3"/>
      <c r="K68" s="3"/>
      <c r="L68" s="3"/>
      <c r="M68" s="122"/>
      <c r="N68" s="122"/>
      <c r="O68" s="122"/>
      <c r="P68" s="122"/>
      <c r="Q68" s="122"/>
      <c r="R68" s="122"/>
      <c r="S68" s="122"/>
      <c r="T68" s="146" t="e">
        <f t="shared" si="29"/>
        <v>#DIV/0!</v>
      </c>
      <c r="U68" s="146" t="e">
        <f t="shared" si="51"/>
        <v>#DIV/0!</v>
      </c>
      <c r="V68" s="146" t="e">
        <f t="shared" si="51"/>
        <v>#DIV/0!</v>
      </c>
      <c r="W68" s="146" t="e">
        <f t="shared" si="51"/>
        <v>#DIV/0!</v>
      </c>
      <c r="X68" s="146" t="e">
        <f t="shared" si="51"/>
        <v>#DIV/0!</v>
      </c>
      <c r="Y68" s="146" t="e">
        <f t="shared" si="51"/>
        <v>#DIV/0!</v>
      </c>
      <c r="Z68" s="146" t="e">
        <f t="shared" si="51"/>
        <v>#DIV/0!</v>
      </c>
      <c r="AA68" s="146" t="e">
        <f t="shared" si="51"/>
        <v>#DIV/0!</v>
      </c>
      <c r="AB68" s="146" t="e">
        <f t="shared" si="51"/>
        <v>#DIV/0!</v>
      </c>
      <c r="AC68" s="146" t="e">
        <f t="shared" si="51"/>
        <v>#DIV/0!</v>
      </c>
      <c r="AD68" s="146" t="e">
        <f t="shared" si="51"/>
        <v>#DIV/0!</v>
      </c>
      <c r="AE68" s="146" t="e">
        <f t="shared" si="51"/>
        <v>#DIV/0!</v>
      </c>
      <c r="AF68" s="146" t="e">
        <f t="shared" si="51"/>
        <v>#DIV/0!</v>
      </c>
      <c r="AG68" s="146" t="e">
        <f t="shared" si="51"/>
        <v>#DIV/0!</v>
      </c>
      <c r="AH68" s="146" t="e">
        <f t="shared" si="51"/>
        <v>#DIV/0!</v>
      </c>
      <c r="AI68" s="146" t="e">
        <f t="shared" si="51"/>
        <v>#DIV/0!</v>
      </c>
    </row>
    <row r="69" spans="1:35" ht="12.75">
      <c r="A69" s="5" t="s">
        <v>18</v>
      </c>
      <c r="B69" s="4" t="s">
        <v>22</v>
      </c>
      <c r="C69" s="31">
        <f aca="true" t="shared" si="52" ref="C69:H69">+C9-C38</f>
        <v>35950.84808533</v>
      </c>
      <c r="D69" s="31">
        <f t="shared" si="52"/>
        <v>41937.75545962005</v>
      </c>
      <c r="E69" s="31">
        <f t="shared" si="52"/>
        <v>30543.87801611994</v>
      </c>
      <c r="F69" s="31">
        <f t="shared" si="52"/>
        <v>-6879.707487420033</v>
      </c>
      <c r="G69" s="31">
        <f t="shared" si="52"/>
        <v>-32596.835044970037</v>
      </c>
      <c r="H69" s="31">
        <f t="shared" si="52"/>
        <v>19483.06918189014</v>
      </c>
      <c r="I69" s="31">
        <v>-5383.442031390208</v>
      </c>
      <c r="J69" s="31">
        <f aca="true" t="shared" si="53" ref="J69:O69">+J9-J38</f>
        <v>13165.116441380233</v>
      </c>
      <c r="K69" s="31">
        <f t="shared" si="53"/>
        <v>-25687.320455020003</v>
      </c>
      <c r="L69" s="31">
        <f t="shared" si="53"/>
        <v>-22114.832925730094</v>
      </c>
      <c r="M69" s="31">
        <f t="shared" si="53"/>
        <v>2660.627252499631</v>
      </c>
      <c r="N69" s="31">
        <f t="shared" si="53"/>
        <v>35441.130497060134</v>
      </c>
      <c r="O69" s="31">
        <f t="shared" si="53"/>
        <v>23468.900621749694</v>
      </c>
      <c r="P69" s="31">
        <f>+P9-P38</f>
        <v>-11830.933111399645</v>
      </c>
      <c r="Q69" s="31">
        <f>+Q9-Q38</f>
        <v>-194117.28100169986</v>
      </c>
      <c r="R69" s="31">
        <f>+R9-R38</f>
        <v>20116.535802770057</v>
      </c>
      <c r="S69" s="31">
        <f>+S9-S38</f>
        <v>107997.32715186023</v>
      </c>
      <c r="T69" s="53">
        <f t="shared" si="29"/>
        <v>0.1665303516645842</v>
      </c>
      <c r="U69" s="53">
        <f t="shared" si="51"/>
        <v>-0.27168543758787367</v>
      </c>
      <c r="V69" s="53">
        <f t="shared" si="51"/>
        <v>-1.2252401441555383</v>
      </c>
      <c r="W69" s="53">
        <f t="shared" si="51"/>
        <v>3.7381135178458313</v>
      </c>
      <c r="X69" s="53">
        <f t="shared" si="51"/>
        <v>-1.5976981861892918</v>
      </c>
      <c r="Y69" s="53">
        <f t="shared" si="51"/>
        <v>-1.2763138590296754</v>
      </c>
      <c r="Z69" s="53">
        <f t="shared" si="51"/>
        <v>-3.445483087700399</v>
      </c>
      <c r="AA69" s="53">
        <f t="shared" si="51"/>
        <v>-2.951165458307708</v>
      </c>
      <c r="AB69" s="53">
        <f t="shared" si="51"/>
        <v>-0.13907591239598316</v>
      </c>
      <c r="AC69" s="53">
        <f t="shared" si="51"/>
        <v>-1.120309624831217</v>
      </c>
      <c r="AD69" s="53">
        <f t="shared" si="51"/>
        <v>12.320592151254395</v>
      </c>
      <c r="AE69" s="53">
        <f t="shared" si="51"/>
        <v>-0.33780609442759013</v>
      </c>
      <c r="AF69" s="53">
        <f t="shared" si="51"/>
        <v>-1.504111091613528</v>
      </c>
      <c r="AG69" s="53">
        <f t="shared" si="51"/>
        <v>15.40760531514281</v>
      </c>
      <c r="AH69" s="53">
        <f t="shared" si="51"/>
        <v>-1.1036308344056907</v>
      </c>
      <c r="AI69" s="53">
        <f t="shared" si="51"/>
        <v>4.3685847409666305</v>
      </c>
    </row>
    <row r="70" spans="1:35" ht="18">
      <c r="A70" s="6"/>
      <c r="B70" s="67" t="s">
        <v>50</v>
      </c>
      <c r="C70" s="39"/>
      <c r="D70" s="39"/>
      <c r="E70" s="70">
        <f>+E69/E77</f>
        <v>0.0018843806336572258</v>
      </c>
      <c r="F70" s="70">
        <f>+F69/F77</f>
        <v>-0.00039031259720012635</v>
      </c>
      <c r="G70" s="70">
        <f>+G69/G77</f>
        <v>-0.0016461376424558643</v>
      </c>
      <c r="H70" s="70">
        <f>+H69/H77</f>
        <v>0.0009010126490613902</v>
      </c>
      <c r="I70" s="70">
        <v>-0.00023034309764780598</v>
      </c>
      <c r="J70" s="70">
        <f aca="true" t="shared" si="54" ref="J70:O70">+J69/J77</f>
        <v>0.0005170301973275416</v>
      </c>
      <c r="K70" s="70">
        <f t="shared" si="54"/>
        <v>-0.0009173608059576433</v>
      </c>
      <c r="L70" s="70">
        <f t="shared" si="54"/>
        <v>-0.0007274160693245709</v>
      </c>
      <c r="M70" s="70">
        <f t="shared" si="54"/>
        <v>8.299860657291044E-05</v>
      </c>
      <c r="N70" s="70">
        <f t="shared" si="54"/>
        <v>0.0010319559242232537</v>
      </c>
      <c r="O70" s="70">
        <f t="shared" si="54"/>
        <v>0.0006516474782780878</v>
      </c>
      <c r="P70" s="70">
        <f>+P69/P77</f>
        <v>-0.00031272167122259716</v>
      </c>
      <c r="Q70" s="70">
        <f>+Q69/Q77</f>
        <v>-0.0053393066320244235</v>
      </c>
      <c r="R70" s="70">
        <f>+R69/R77</f>
        <v>0.0005030000405987448</v>
      </c>
      <c r="S70" s="70">
        <f>+S69/S77</f>
        <v>0.002456531752655391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 ht="12.75">
      <c r="A71" s="5" t="s">
        <v>19</v>
      </c>
      <c r="B71" s="4" t="s">
        <v>21</v>
      </c>
      <c r="C71" s="31">
        <f aca="true" t="shared" si="55" ref="C71:H71">+C9-C36</f>
        <v>20728.548085329996</v>
      </c>
      <c r="D71" s="31">
        <f t="shared" si="55"/>
        <v>29064.15545962006</v>
      </c>
      <c r="E71" s="31">
        <f t="shared" si="55"/>
        <v>21935.07801611995</v>
      </c>
      <c r="F71" s="31">
        <f t="shared" si="55"/>
        <v>-20976.00748742002</v>
      </c>
      <c r="G71" s="31">
        <f t="shared" si="55"/>
        <v>-46076.93504497004</v>
      </c>
      <c r="H71" s="31">
        <f t="shared" si="55"/>
        <v>-16736.327851779875</v>
      </c>
      <c r="I71" s="31">
        <v>-59531.30021879019</v>
      </c>
      <c r="J71" s="31">
        <f aca="true" t="shared" si="56" ref="J71:O71">+J9-J36</f>
        <v>-55108.47889783973</v>
      </c>
      <c r="K71" s="31">
        <f t="shared" si="56"/>
        <v>-119517.49938710005</v>
      </c>
      <c r="L71" s="31">
        <f t="shared" si="56"/>
        <v>-129882.89103522006</v>
      </c>
      <c r="M71" s="31">
        <f t="shared" si="56"/>
        <v>-94681.6878693304</v>
      </c>
      <c r="N71" s="31">
        <f t="shared" si="56"/>
        <v>-85723.05747255991</v>
      </c>
      <c r="O71" s="31">
        <f t="shared" si="56"/>
        <v>-97658.12373959029</v>
      </c>
      <c r="P71" s="31">
        <f>+P9-P36</f>
        <v>-137570.10662599967</v>
      </c>
      <c r="Q71" s="31">
        <f>+Q9-Q36</f>
        <v>-316291.4019650597</v>
      </c>
      <c r="R71" s="31">
        <f>+R9-R36</f>
        <v>-135524.11037167</v>
      </c>
      <c r="S71" s="31">
        <f>+S9-S36</f>
        <v>-93273.5618450098</v>
      </c>
      <c r="T71" s="53">
        <f t="shared" si="29"/>
        <v>0.40213175278732316</v>
      </c>
      <c r="U71" s="53">
        <f aca="true" t="shared" si="57" ref="U71:AI71">+E71/D71-1</f>
        <v>-0.2452876173678883</v>
      </c>
      <c r="V71" s="53">
        <f t="shared" si="57"/>
        <v>-1.9562768580993826</v>
      </c>
      <c r="W71" s="53">
        <f t="shared" si="57"/>
        <v>1.1966494373442536</v>
      </c>
      <c r="X71" s="53">
        <f t="shared" si="57"/>
        <v>-0.6367742812006572</v>
      </c>
      <c r="Y71" s="53">
        <f t="shared" si="57"/>
        <v>2.5570108775360274</v>
      </c>
      <c r="Z71" s="53">
        <f t="shared" si="57"/>
        <v>-0.07429404875579149</v>
      </c>
      <c r="AA71" s="53">
        <f t="shared" si="57"/>
        <v>1.1687678879444663</v>
      </c>
      <c r="AB71" s="53">
        <f t="shared" si="57"/>
        <v>0.08672697890497183</v>
      </c>
      <c r="AC71" s="53">
        <f t="shared" si="57"/>
        <v>-0.27102263343017385</v>
      </c>
      <c r="AD71" s="53">
        <f t="shared" si="57"/>
        <v>-0.0946184061392551</v>
      </c>
      <c r="AE71" s="53">
        <f t="shared" si="57"/>
        <v>0.13922819156153876</v>
      </c>
      <c r="AF71" s="53">
        <f t="shared" si="57"/>
        <v>0.40869086316706693</v>
      </c>
      <c r="AG71" s="53">
        <f t="shared" si="57"/>
        <v>1.2991288567140145</v>
      </c>
      <c r="AH71" s="53">
        <f t="shared" si="57"/>
        <v>-0.5715213580587905</v>
      </c>
      <c r="AI71" s="53">
        <f t="shared" si="57"/>
        <v>-0.31175669340894097</v>
      </c>
    </row>
    <row r="72" spans="2:33" ht="18">
      <c r="B72" s="67" t="s">
        <v>50</v>
      </c>
      <c r="C72" s="67"/>
      <c r="D72" s="67"/>
      <c r="E72" s="70">
        <f>+E71/E77</f>
        <v>0.0013532674596697318</v>
      </c>
      <c r="F72" s="70">
        <f>+F71/F77</f>
        <v>-0.0011900505909989635</v>
      </c>
      <c r="G72" s="70">
        <f>+G71/G77</f>
        <v>-0.0023268816473095938</v>
      </c>
      <c r="H72" s="70">
        <f>+H71/H77</f>
        <v>-0.0007739870424167517</v>
      </c>
      <c r="I72" s="70">
        <v>-0.002547185243091867</v>
      </c>
      <c r="J72" s="70">
        <f aca="true" t="shared" si="58" ref="J72:O72">+J71/J77</f>
        <v>-0.0021642609729917092</v>
      </c>
      <c r="K72" s="70">
        <f t="shared" si="58"/>
        <v>-0.00426827974353259</v>
      </c>
      <c r="L72" s="70">
        <f t="shared" si="58"/>
        <v>-0.004272196058936865</v>
      </c>
      <c r="M72" s="70">
        <f t="shared" si="58"/>
        <v>-0.002953607332159261</v>
      </c>
      <c r="N72" s="70">
        <f t="shared" si="58"/>
        <v>-0.0024960382403342546</v>
      </c>
      <c r="O72" s="70">
        <f t="shared" si="58"/>
        <v>-0.0027116170072873642</v>
      </c>
      <c r="P72" s="70">
        <f>+P71/P77</f>
        <v>-0.003636328026645731</v>
      </c>
      <c r="Q72" s="70">
        <f>+Q71/Q77</f>
        <v>-0.008699775576135117</v>
      </c>
      <c r="R72" s="70">
        <f>+R71/R77</f>
        <v>-0.0033886864859541035</v>
      </c>
      <c r="S72" s="70">
        <f>+S71/S77</f>
        <v>-0.002121621640073953</v>
      </c>
      <c r="T72" s="65"/>
      <c r="U72" s="65"/>
      <c r="V72" s="65"/>
      <c r="W72" s="65"/>
      <c r="X72" s="65"/>
      <c r="Y72" s="65"/>
      <c r="Z72" s="65"/>
      <c r="AA72" s="39"/>
      <c r="AB72" s="39"/>
      <c r="AC72" s="39"/>
      <c r="AD72" s="39"/>
      <c r="AE72" s="15"/>
      <c r="AF72" s="15"/>
      <c r="AG72" s="15"/>
    </row>
    <row r="73" spans="2:33" ht="18">
      <c r="B73" s="3"/>
      <c r="C73" s="3"/>
      <c r="D73" s="3"/>
      <c r="E73" s="3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65"/>
      <c r="U73" s="65"/>
      <c r="V73" s="65"/>
      <c r="W73" s="65"/>
      <c r="X73" s="65"/>
      <c r="Y73" s="65"/>
      <c r="Z73" s="65"/>
      <c r="AA73" s="39"/>
      <c r="AB73" s="39"/>
      <c r="AC73" s="39"/>
      <c r="AD73" s="39"/>
      <c r="AE73" s="15"/>
      <c r="AF73" s="15"/>
      <c r="AG73" s="15"/>
    </row>
    <row r="74" spans="2:33" ht="12.75">
      <c r="B74" s="45" t="s">
        <v>40</v>
      </c>
      <c r="C74" s="45"/>
      <c r="D74" s="45"/>
      <c r="E74" s="45"/>
      <c r="F74" s="54">
        <f>F75+F76</f>
        <v>21489</v>
      </c>
      <c r="G74" s="54">
        <f>G75+G76</f>
        <v>42154.58169911287</v>
      </c>
      <c r="H74" s="54">
        <f>H75+H76</f>
        <v>43553.03037964699</v>
      </c>
      <c r="I74" s="54">
        <v>59531.277931658195</v>
      </c>
      <c r="J74" s="54">
        <f aca="true" t="shared" si="59" ref="J74:O74">J75+J76</f>
        <v>55108.512600131</v>
      </c>
      <c r="K74" s="54">
        <f t="shared" si="59"/>
        <v>119517.5066042586</v>
      </c>
      <c r="L74" s="54">
        <f t="shared" si="59"/>
        <v>129882.9392930118</v>
      </c>
      <c r="M74" s="54">
        <f t="shared" si="59"/>
        <v>94681.72516911621</v>
      </c>
      <c r="N74" s="54">
        <f t="shared" si="59"/>
        <v>85723.0529192498</v>
      </c>
      <c r="O74" s="54">
        <f t="shared" si="59"/>
        <v>97658.0993143167</v>
      </c>
      <c r="P74" s="54">
        <f>P75+P76</f>
        <v>137570.05525113747</v>
      </c>
      <c r="Q74" s="54">
        <f>Q75+Q76</f>
        <v>316291.37617665995</v>
      </c>
      <c r="R74" s="54">
        <f>R75+R76</f>
        <v>135524.12387836108</v>
      </c>
      <c r="S74" s="54">
        <f>S75+S76</f>
        <v>0</v>
      </c>
      <c r="T74" s="26"/>
      <c r="U74" s="26"/>
      <c r="V74" s="26"/>
      <c r="W74" s="26"/>
      <c r="X74" s="26"/>
      <c r="Y74" s="26"/>
      <c r="Z74" s="26"/>
      <c r="AA74" s="26"/>
      <c r="AB74" s="15"/>
      <c r="AC74" s="15"/>
      <c r="AD74" s="15"/>
      <c r="AE74" s="15"/>
      <c r="AF74" s="15"/>
      <c r="AG74" s="15"/>
    </row>
    <row r="75" spans="2:33" ht="12.75">
      <c r="B75" s="46" t="s">
        <v>42</v>
      </c>
      <c r="C75" s="46"/>
      <c r="D75" s="46"/>
      <c r="E75" s="46"/>
      <c r="F75" s="55">
        <v>21380</v>
      </c>
      <c r="G75" s="56">
        <v>42691.24645377287</v>
      </c>
      <c r="H75" s="56">
        <v>44427.776770400524</v>
      </c>
      <c r="I75" s="56">
        <v>60412.464388662396</v>
      </c>
      <c r="J75" s="56">
        <v>45854.067524291</v>
      </c>
      <c r="K75" s="56">
        <f>126485.890611017-22603.1-1985-1972.3</f>
        <v>99925.490611017</v>
      </c>
      <c r="L75" s="56">
        <v>116574.945896685</v>
      </c>
      <c r="M75" s="56">
        <v>85458.0571725758</v>
      </c>
      <c r="N75" s="56">
        <v>62298.429907548605</v>
      </c>
      <c r="O75" s="56">
        <f>94565.7870236795-6008.8</f>
        <v>88556.9870236795</v>
      </c>
      <c r="P75" s="56">
        <v>131036.91806553901</v>
      </c>
      <c r="Q75" s="56">
        <v>285790.88633822</v>
      </c>
      <c r="R75" s="56">
        <v>-60462.8191404289</v>
      </c>
      <c r="S75" s="56"/>
      <c r="T75" s="25"/>
      <c r="U75" s="25"/>
      <c r="V75" s="25"/>
      <c r="W75" s="25"/>
      <c r="X75" s="25"/>
      <c r="Y75" s="25"/>
      <c r="Z75" s="25"/>
      <c r="AA75" s="25"/>
      <c r="AB75" s="17"/>
      <c r="AC75" s="17"/>
      <c r="AD75" s="15"/>
      <c r="AE75" s="15"/>
      <c r="AF75" s="15"/>
      <c r="AG75" s="15"/>
    </row>
    <row r="76" spans="2:34" ht="13.5" thickBot="1">
      <c r="B76" s="123" t="s">
        <v>43</v>
      </c>
      <c r="C76" s="123"/>
      <c r="D76" s="123"/>
      <c r="E76" s="123"/>
      <c r="F76" s="124">
        <v>109</v>
      </c>
      <c r="G76" s="124">
        <v>-536.66475466</v>
      </c>
      <c r="H76" s="124">
        <v>-874.7463907535378</v>
      </c>
      <c r="I76" s="124">
        <v>-881.186457004201</v>
      </c>
      <c r="J76" s="124">
        <v>9254.44507584</v>
      </c>
      <c r="K76" s="124">
        <v>19592.0159932416</v>
      </c>
      <c r="L76" s="124">
        <v>13307.9933963268</v>
      </c>
      <c r="M76" s="124">
        <v>9223.6679965404</v>
      </c>
      <c r="N76" s="124">
        <v>23424.6230117012</v>
      </c>
      <c r="O76" s="124">
        <v>9101.1122906372</v>
      </c>
      <c r="P76" s="124">
        <v>6533.137185598463</v>
      </c>
      <c r="Q76" s="124">
        <v>30500.48983844</v>
      </c>
      <c r="R76" s="124">
        <v>195986.94301878999</v>
      </c>
      <c r="S76" s="124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2"/>
      <c r="AF76" s="12"/>
      <c r="AG76" s="12"/>
      <c r="AH76" s="12"/>
    </row>
    <row r="77" spans="2:19" ht="18.75" customHeight="1" thickTop="1">
      <c r="B77" s="135" t="s">
        <v>127</v>
      </c>
      <c r="C77" s="69">
        <v>11613320</v>
      </c>
      <c r="D77" s="69">
        <v>13889052.9</v>
      </c>
      <c r="E77" s="69">
        <v>16208974.7</v>
      </c>
      <c r="F77" s="69">
        <v>17626147.7</v>
      </c>
      <c r="G77" s="68">
        <v>19802010.6</v>
      </c>
      <c r="H77" s="68">
        <v>21623524.6</v>
      </c>
      <c r="I77" s="68">
        <v>23752868.6</v>
      </c>
      <c r="J77" s="68">
        <v>25462954.6</v>
      </c>
      <c r="K77" s="68">
        <v>28001327.6</v>
      </c>
      <c r="L77" s="68">
        <v>30401903.2</v>
      </c>
      <c r="M77" s="68">
        <v>32056288.2</v>
      </c>
      <c r="N77" s="68">
        <v>34343647.5</v>
      </c>
      <c r="O77" s="68">
        <v>36014718.7</v>
      </c>
      <c r="P77" s="68">
        <v>37832149.8</v>
      </c>
      <c r="Q77" s="68">
        <v>36356271.4</v>
      </c>
      <c r="R77" s="68">
        <v>39993109.7</v>
      </c>
      <c r="S77" s="68">
        <v>43963334.5</v>
      </c>
    </row>
    <row r="78" spans="2:31" ht="10.5" customHeight="1"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</row>
    <row r="79" ht="14.25">
      <c r="B79" s="2" t="s">
        <v>56</v>
      </c>
    </row>
    <row r="80" ht="14.25">
      <c r="B80" s="2" t="s">
        <v>57</v>
      </c>
    </row>
    <row r="81" ht="14.25">
      <c r="B81" s="2" t="s">
        <v>58</v>
      </c>
    </row>
    <row r="82" ht="14.25">
      <c r="B82" s="2" t="s">
        <v>131</v>
      </c>
    </row>
    <row r="83" ht="14.25">
      <c r="B83" s="2" t="s">
        <v>59</v>
      </c>
    </row>
    <row r="84" ht="14.25">
      <c r="B84" s="2" t="s">
        <v>60</v>
      </c>
    </row>
    <row r="85" ht="14.25">
      <c r="B85" s="2" t="s">
        <v>78</v>
      </c>
    </row>
    <row r="86" ht="12.75">
      <c r="B86" s="2"/>
    </row>
    <row r="88" spans="2:31" ht="12.75">
      <c r="B88" s="233" t="s">
        <v>46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</row>
    <row r="90" spans="17:19" ht="12.75">
      <c r="Q90" s="43"/>
      <c r="R90" s="43"/>
      <c r="S90" s="43"/>
    </row>
    <row r="91" spans="17:19" ht="12.75">
      <c r="Q91" s="43"/>
      <c r="R91" s="43"/>
      <c r="S91" s="43"/>
    </row>
    <row r="92" spans="16:19" ht="12.75">
      <c r="P92" s="43"/>
      <c r="Q92" s="43"/>
      <c r="R92" s="43"/>
      <c r="S92" s="43"/>
    </row>
  </sheetData>
  <sheetProtection/>
  <mergeCells count="7">
    <mergeCell ref="B88:AE88"/>
    <mergeCell ref="B78:AE78"/>
    <mergeCell ref="A2:AF2"/>
    <mergeCell ref="A3:AF3"/>
    <mergeCell ref="A4:AF4"/>
    <mergeCell ref="C6:Q6"/>
    <mergeCell ref="T6:AI6"/>
  </mergeCells>
  <printOptions/>
  <pageMargins left="0.2362204724409449" right="0.2755905511811024" top="0.7874015748031497" bottom="0.1968503937007874" header="0" footer="0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2"/>
  <sheetViews>
    <sheetView tabSelected="1" zoomScalePageLayoutView="0" workbookViewId="0" topLeftCell="A1">
      <pane xSplit="2" ySplit="7" topLeftCell="S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56" sqref="AI56"/>
    </sheetView>
  </sheetViews>
  <sheetFormatPr defaultColWidth="11.421875" defaultRowHeight="12.75"/>
  <cols>
    <col min="1" max="1" width="3.8515625" style="1" customWidth="1"/>
    <col min="2" max="2" width="35.8515625" style="1" bestFit="1" customWidth="1"/>
    <col min="3" max="4" width="10.00390625" style="1" hidden="1" customWidth="1"/>
    <col min="5" max="12" width="10.7109375" style="1" hidden="1" customWidth="1"/>
    <col min="13" max="15" width="10.7109375" style="1" customWidth="1"/>
    <col min="16" max="17" width="11.28125" style="1" bestFit="1" customWidth="1"/>
    <col min="18" max="18" width="11.28125" style="1" customWidth="1"/>
    <col min="19" max="19" width="10.7109375" style="1" bestFit="1" customWidth="1"/>
    <col min="20" max="20" width="7.28125" style="10" hidden="1" customWidth="1"/>
    <col min="21" max="21" width="7.421875" style="10" hidden="1" customWidth="1"/>
    <col min="22" max="22" width="7.28125" style="10" hidden="1" customWidth="1"/>
    <col min="23" max="28" width="7.421875" style="10" hidden="1" customWidth="1"/>
    <col min="29" max="29" width="7.57421875" style="10" customWidth="1"/>
    <col min="30" max="35" width="7.57421875" style="1" customWidth="1"/>
    <col min="36" max="16384" width="11.421875" style="1" customWidth="1"/>
  </cols>
  <sheetData>
    <row r="1" ht="12.75"/>
    <row r="2" spans="1:31" ht="12.75">
      <c r="A2" s="238" t="s">
        <v>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12.75">
      <c r="A3" s="238" t="s">
        <v>129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2.75">
      <c r="A4" s="239" t="s">
        <v>45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</row>
    <row r="5" spans="2:35" ht="13.5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2"/>
      <c r="AF5" s="12"/>
      <c r="AG5" s="12"/>
      <c r="AH5" s="12"/>
      <c r="AI5" s="12"/>
    </row>
    <row r="6" spans="2:35" ht="13.5" thickTop="1">
      <c r="B6" s="15"/>
      <c r="C6" s="236" t="s">
        <v>48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158"/>
      <c r="T6" s="237" t="s">
        <v>20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</row>
    <row r="7" spans="2:35" ht="12.75">
      <c r="B7" s="18" t="s">
        <v>0</v>
      </c>
      <c r="C7" s="19">
        <v>2006</v>
      </c>
      <c r="D7" s="19">
        <v>2007</v>
      </c>
      <c r="E7" s="19">
        <v>2008</v>
      </c>
      <c r="F7" s="19">
        <v>2009</v>
      </c>
      <c r="G7" s="19">
        <v>2010</v>
      </c>
      <c r="H7" s="19">
        <v>2011</v>
      </c>
      <c r="I7" s="19">
        <v>2012</v>
      </c>
      <c r="J7" s="19">
        <v>2013</v>
      </c>
      <c r="K7" s="19">
        <v>2014</v>
      </c>
      <c r="L7" s="19">
        <v>2015</v>
      </c>
      <c r="M7" s="19">
        <v>2016</v>
      </c>
      <c r="N7" s="19">
        <v>2017</v>
      </c>
      <c r="O7" s="19">
        <v>2018</v>
      </c>
      <c r="P7" s="19">
        <v>2019</v>
      </c>
      <c r="Q7" s="19">
        <v>2020</v>
      </c>
      <c r="R7" s="157">
        <v>2021</v>
      </c>
      <c r="S7" s="157">
        <v>2022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  <c r="AE7" s="20" t="s">
        <v>74</v>
      </c>
      <c r="AF7" s="20" t="s">
        <v>75</v>
      </c>
      <c r="AG7" s="20" t="s">
        <v>76</v>
      </c>
      <c r="AH7" s="20" t="s">
        <v>77</v>
      </c>
      <c r="AI7" s="20" t="s">
        <v>128</v>
      </c>
    </row>
    <row r="8" spans="2:33" ht="12.75">
      <c r="B8" s="15"/>
      <c r="C8" s="17"/>
      <c r="D8" s="17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7"/>
      <c r="U8" s="17"/>
      <c r="V8" s="17"/>
      <c r="W8" s="17"/>
      <c r="X8" s="17"/>
      <c r="Y8" s="17"/>
      <c r="Z8" s="17"/>
      <c r="AA8" s="17"/>
      <c r="AB8" s="17"/>
      <c r="AC8" s="17"/>
      <c r="AD8" s="15"/>
      <c r="AE8" s="15"/>
      <c r="AG8" s="26"/>
    </row>
    <row r="9" spans="1:35" ht="12.75">
      <c r="A9" s="1">
        <v>1</v>
      </c>
      <c r="B9" s="4" t="s">
        <v>10</v>
      </c>
      <c r="C9" s="31">
        <f>+C11+C34</f>
        <v>746417.1395247602</v>
      </c>
      <c r="D9" s="31">
        <f aca="true" t="shared" si="0" ref="D9:O9">+D11+D34</f>
        <v>969671.25015854</v>
      </c>
      <c r="E9" s="31">
        <f t="shared" si="0"/>
        <v>1214395.82100853</v>
      </c>
      <c r="F9" s="31">
        <f t="shared" si="0"/>
        <v>1113341.14089606</v>
      </c>
      <c r="G9" s="31">
        <f t="shared" si="0"/>
        <v>1266377.01303424</v>
      </c>
      <c r="H9" s="31">
        <f t="shared" si="0"/>
        <v>1387734.85150851</v>
      </c>
      <c r="I9" s="31">
        <f t="shared" si="0"/>
        <v>1543939.9918831596</v>
      </c>
      <c r="J9" s="31">
        <f t="shared" si="0"/>
        <v>1667622.9959206502</v>
      </c>
      <c r="K9" s="31">
        <f t="shared" si="0"/>
        <v>1807336.3227246297</v>
      </c>
      <c r="L9" s="31">
        <f t="shared" si="0"/>
        <v>1952496.3360142598</v>
      </c>
      <c r="M9" s="31">
        <f t="shared" si="0"/>
        <v>2155208.30094604</v>
      </c>
      <c r="N9" s="31">
        <f t="shared" si="0"/>
        <v>2313524.5381015204</v>
      </c>
      <c r="O9" s="31">
        <f t="shared" si="0"/>
        <v>2343379.21267924</v>
      </c>
      <c r="P9" s="31">
        <f>+P11+P34</f>
        <v>2528810.28602152</v>
      </c>
      <c r="Q9" s="31">
        <f>+Q11+Q34</f>
        <v>2310099.6901549497</v>
      </c>
      <c r="R9" s="31">
        <f>+R11+R34</f>
        <v>3147881.0640198896</v>
      </c>
      <c r="S9" s="31">
        <f>+S11+S34</f>
        <v>3538504.8532808893</v>
      </c>
      <c r="T9" s="53">
        <f>+D9/C9-1</f>
        <v>0.2991009970322016</v>
      </c>
      <c r="U9" s="53">
        <f aca="true" t="shared" si="1" ref="U9:AI9">+E9/D9-1</f>
        <v>0.25237890760397175</v>
      </c>
      <c r="V9" s="53">
        <f t="shared" si="1"/>
        <v>-0.08321395575006685</v>
      </c>
      <c r="W9" s="53">
        <f t="shared" si="1"/>
        <v>0.1374564062323349</v>
      </c>
      <c r="X9" s="53">
        <f t="shared" si="1"/>
        <v>0.09583073383770335</v>
      </c>
      <c r="Y9" s="53">
        <f t="shared" si="1"/>
        <v>0.11256122897313547</v>
      </c>
      <c r="Z9" s="53">
        <f t="shared" si="1"/>
        <v>0.08010868601611465</v>
      </c>
      <c r="AA9" s="53">
        <f t="shared" si="1"/>
        <v>0.08377992336742013</v>
      </c>
      <c r="AB9" s="53">
        <f t="shared" si="1"/>
        <v>0.0803171006217569</v>
      </c>
      <c r="AC9" s="53">
        <f t="shared" si="1"/>
        <v>0.10382194383298438</v>
      </c>
      <c r="AD9" s="53">
        <f t="shared" si="1"/>
        <v>0.0734575108521931</v>
      </c>
      <c r="AE9" s="53">
        <f t="shared" si="1"/>
        <v>0.012904412331073978</v>
      </c>
      <c r="AF9" s="53">
        <f t="shared" si="1"/>
        <v>0.07912977649497543</v>
      </c>
      <c r="AG9" s="53">
        <f t="shared" si="1"/>
        <v>-0.08648754597192787</v>
      </c>
      <c r="AH9" s="53">
        <f t="shared" si="1"/>
        <v>0.36266026848769717</v>
      </c>
      <c r="AI9" s="53">
        <f t="shared" si="1"/>
        <v>0.12409102546020834</v>
      </c>
    </row>
    <row r="10" spans="2:35" ht="12.75">
      <c r="B10" s="4"/>
      <c r="C10" s="26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2:35" ht="12.75">
      <c r="B11" s="4" t="s">
        <v>31</v>
      </c>
      <c r="C11" s="35">
        <f aca="true" t="shared" si="2" ref="C11:I11">+C12+C30+C31+C32</f>
        <v>746327.1395247602</v>
      </c>
      <c r="D11" s="35">
        <f t="shared" si="2"/>
        <v>969576.25015854</v>
      </c>
      <c r="E11" s="35">
        <f t="shared" si="2"/>
        <v>1214210.82100853</v>
      </c>
      <c r="F11" s="35">
        <f t="shared" si="2"/>
        <v>1113341.14089606</v>
      </c>
      <c r="G11" s="35">
        <f t="shared" si="2"/>
        <v>1266273.96815161</v>
      </c>
      <c r="H11" s="35">
        <f t="shared" si="2"/>
        <v>1387681.35150851</v>
      </c>
      <c r="I11" s="35">
        <f t="shared" si="2"/>
        <v>1543909.9918831596</v>
      </c>
      <c r="J11" s="35">
        <f aca="true" t="shared" si="3" ref="J11:O11">+J12+J30+J31+J32</f>
        <v>1667622.9959206502</v>
      </c>
      <c r="K11" s="35">
        <f t="shared" si="3"/>
        <v>1807336.3227246297</v>
      </c>
      <c r="L11" s="35">
        <f t="shared" si="3"/>
        <v>1951657.02875764</v>
      </c>
      <c r="M11" s="35">
        <f t="shared" si="3"/>
        <v>2150728.81682869</v>
      </c>
      <c r="N11" s="35">
        <f t="shared" si="3"/>
        <v>2307639.7573636905</v>
      </c>
      <c r="O11" s="35">
        <f t="shared" si="3"/>
        <v>2341909.04445775</v>
      </c>
      <c r="P11" s="35">
        <f>+P12+P30+P31+P32</f>
        <v>2498434.61102152</v>
      </c>
      <c r="Q11" s="35">
        <f>+Q12+Q30+Q31+Q32</f>
        <v>2235099.6901549497</v>
      </c>
      <c r="R11" s="35">
        <f>+R12+R30+R31+R32</f>
        <v>3141346.1150748897</v>
      </c>
      <c r="S11" s="35">
        <f>+S12+S30+S31+S32</f>
        <v>3530894.7181908893</v>
      </c>
      <c r="T11" s="38">
        <f aca="true" t="shared" si="4" ref="T11:T71">+D11/C11-1</f>
        <v>0.29913036631086265</v>
      </c>
      <c r="U11" s="38">
        <f aca="true" t="shared" si="5" ref="U11:U32">+E11/D11-1</f>
        <v>0.25231081187270066</v>
      </c>
      <c r="V11" s="38">
        <f aca="true" t="shared" si="6" ref="V11:V32">+F11/E11-1</f>
        <v>-0.08307427208455209</v>
      </c>
      <c r="W11" s="38">
        <f aca="true" t="shared" si="7" ref="W11:W32">+G11/F11-1</f>
        <v>0.137363851597601</v>
      </c>
      <c r="X11" s="38">
        <f aca="true" t="shared" si="8" ref="X11:X32">+H11/G11-1</f>
        <v>0.09587765871402953</v>
      </c>
      <c r="Y11" s="38">
        <f aca="true" t="shared" si="9" ref="Y11:Y32">+I11/H11-1</f>
        <v>0.11258250332817243</v>
      </c>
      <c r="Z11" s="38">
        <f aca="true" t="shared" si="10" ref="Z11:Z32">+J11/I11-1</f>
        <v>0.08012967380734004</v>
      </c>
      <c r="AA11" s="38">
        <f aca="true" t="shared" si="11" ref="AA11:AA32">+K11/J11-1</f>
        <v>0.08377992336742013</v>
      </c>
      <c r="AB11" s="38">
        <f aca="true" t="shared" si="12" ref="AB11:AB32">+L11/K11-1</f>
        <v>0.07985271153928952</v>
      </c>
      <c r="AC11" s="38">
        <f aca="true" t="shared" si="13" ref="AC11:AC32">+M11/L11-1</f>
        <v>0.10200141988972966</v>
      </c>
      <c r="AD11" s="38">
        <f aca="true" t="shared" si="14" ref="AD11:AD32">+N11/M11-1</f>
        <v>0.07295710147519663</v>
      </c>
      <c r="AE11" s="38">
        <f aca="true" t="shared" si="15" ref="AE11:AE32">+O11/N11-1</f>
        <v>0.01485036257704686</v>
      </c>
      <c r="AF11" s="38">
        <f aca="true" t="shared" si="16" ref="AF11:AF32">+P11/O11-1</f>
        <v>0.06683674027998476</v>
      </c>
      <c r="AG11" s="38">
        <f aca="true" t="shared" si="17" ref="AG11:AI32">+Q11/P11-1</f>
        <v>-0.1053999651241232</v>
      </c>
      <c r="AH11" s="38">
        <f t="shared" si="17"/>
        <v>0.4054612995168525</v>
      </c>
      <c r="AI11" s="38">
        <f t="shared" si="17"/>
        <v>0.12400690304280992</v>
      </c>
    </row>
    <row r="12" spans="2:35" ht="12.75">
      <c r="B12" s="32" t="s">
        <v>30</v>
      </c>
      <c r="C12" s="26">
        <v>719750.2907670501</v>
      </c>
      <c r="D12" s="57">
        <f aca="true" t="shared" si="18" ref="D12:O12">+D13+D14+D17+D21+D24+D27</f>
        <v>928810.9534243</v>
      </c>
      <c r="E12" s="57">
        <f t="shared" si="18"/>
        <v>1173910.14622445</v>
      </c>
      <c r="F12" s="57">
        <f t="shared" si="18"/>
        <v>1067077.82431808</v>
      </c>
      <c r="G12" s="57">
        <f t="shared" si="18"/>
        <v>1165301.0298428</v>
      </c>
      <c r="H12" s="57">
        <f t="shared" si="18"/>
        <v>1275443.47781427</v>
      </c>
      <c r="I12" s="57">
        <f t="shared" si="18"/>
        <v>1425249.3687670399</v>
      </c>
      <c r="J12" s="57">
        <f t="shared" si="18"/>
        <v>1548599.6351436502</v>
      </c>
      <c r="K12" s="57">
        <f t="shared" si="18"/>
        <v>1674118.0129957898</v>
      </c>
      <c r="L12" s="57">
        <f t="shared" si="18"/>
        <v>1807679.2423290499</v>
      </c>
      <c r="M12" s="57">
        <f t="shared" si="18"/>
        <v>1994015.6842883201</v>
      </c>
      <c r="N12" s="57">
        <f t="shared" si="18"/>
        <v>2129623.6126492103</v>
      </c>
      <c r="O12" s="57">
        <f t="shared" si="18"/>
        <v>2151719.00426797</v>
      </c>
      <c r="P12" s="57">
        <f>+P13+P14+P17+P21+P24+P27</f>
        <v>2310301.12946803</v>
      </c>
      <c r="Q12" s="57">
        <f>+Q13+Q14+Q17+Q21+Q24+Q27</f>
        <v>2041547.07546665</v>
      </c>
      <c r="R12" s="57">
        <f>+R13+R14+R17+R21+R24+R27</f>
        <v>2710444.86674007</v>
      </c>
      <c r="S12" s="57">
        <f>+S13+S14+S17+S21+S24+S27+S28+S29</f>
        <v>3041658.6772712595</v>
      </c>
      <c r="T12" s="40">
        <f t="shared" si="4"/>
        <v>0.2904627692952375</v>
      </c>
      <c r="U12" s="40">
        <f t="shared" si="5"/>
        <v>0.26388490779154683</v>
      </c>
      <c r="V12" s="40">
        <f t="shared" si="6"/>
        <v>-0.09100553585806037</v>
      </c>
      <c r="W12" s="40">
        <f t="shared" si="7"/>
        <v>0.09204877403153788</v>
      </c>
      <c r="X12" s="40">
        <f t="shared" si="8"/>
        <v>0.0945184507271295</v>
      </c>
      <c r="Y12" s="40">
        <f t="shared" si="9"/>
        <v>0.11745396292236521</v>
      </c>
      <c r="Z12" s="40">
        <f t="shared" si="10"/>
        <v>0.08654644519037302</v>
      </c>
      <c r="AA12" s="40">
        <f t="shared" si="11"/>
        <v>0.08105282669816471</v>
      </c>
      <c r="AB12" s="40">
        <f t="shared" si="12"/>
        <v>0.07978005630215756</v>
      </c>
      <c r="AC12" s="40">
        <f t="shared" si="13"/>
        <v>0.10308047887920124</v>
      </c>
      <c r="AD12" s="40">
        <f t="shared" si="14"/>
        <v>0.06800745321584056</v>
      </c>
      <c r="AE12" s="40">
        <f t="shared" si="15"/>
        <v>0.010375256682693124</v>
      </c>
      <c r="AF12" s="40">
        <f t="shared" si="16"/>
        <v>0.073700201971312</v>
      </c>
      <c r="AG12" s="40">
        <f t="shared" si="17"/>
        <v>-0.11632858183437889</v>
      </c>
      <c r="AH12" s="40">
        <f t="shared" si="17"/>
        <v>0.3276425997282111</v>
      </c>
      <c r="AI12" s="40">
        <f t="shared" si="17"/>
        <v>0.12219905838909395</v>
      </c>
    </row>
    <row r="13" spans="2:35" ht="12.75">
      <c r="B13" s="33" t="s">
        <v>23</v>
      </c>
      <c r="C13" s="26">
        <v>160600.45520614</v>
      </c>
      <c r="D13" s="26">
        <v>235445.24976683</v>
      </c>
      <c r="E13" s="26">
        <v>316716.00405533006</v>
      </c>
      <c r="F13" s="26">
        <v>308637.5439811701</v>
      </c>
      <c r="G13" s="57">
        <v>322669.09860829</v>
      </c>
      <c r="H13" s="57">
        <v>372897.70956831996</v>
      </c>
      <c r="I13" s="57">
        <v>418856.06013622996</v>
      </c>
      <c r="J13" s="57">
        <v>469435.01505215</v>
      </c>
      <c r="K13" s="57">
        <v>497304.2366937099</v>
      </c>
      <c r="L13" s="57">
        <v>582856.07272273</v>
      </c>
      <c r="M13" s="57">
        <v>675084.38446766</v>
      </c>
      <c r="N13" s="57">
        <v>762218.84484217</v>
      </c>
      <c r="O13" s="57">
        <v>777257.5418134</v>
      </c>
      <c r="P13" s="57">
        <v>915745.8439422799</v>
      </c>
      <c r="Q13" s="57">
        <v>821030.48686356</v>
      </c>
      <c r="R13" s="57">
        <v>1074512.7363455899</v>
      </c>
      <c r="S13" s="57">
        <v>1264939.3795483802</v>
      </c>
      <c r="T13" s="40">
        <f t="shared" si="4"/>
        <v>0.46603102378895733</v>
      </c>
      <c r="U13" s="40">
        <f t="shared" si="5"/>
        <v>0.34517899328606316</v>
      </c>
      <c r="V13" s="40">
        <f t="shared" si="6"/>
        <v>-0.025506952508622338</v>
      </c>
      <c r="W13" s="40">
        <f t="shared" si="7"/>
        <v>0.045462889725353506</v>
      </c>
      <c r="X13" s="40">
        <f t="shared" si="8"/>
        <v>0.15566600947122566</v>
      </c>
      <c r="Y13" s="40">
        <f t="shared" si="9"/>
        <v>0.12324653487711967</v>
      </c>
      <c r="Z13" s="40">
        <f t="shared" si="10"/>
        <v>0.12075497940621793</v>
      </c>
      <c r="AA13" s="40">
        <f t="shared" si="11"/>
        <v>0.05936758176946788</v>
      </c>
      <c r="AB13" s="40">
        <f t="shared" si="12"/>
        <v>0.17203118275807405</v>
      </c>
      <c r="AC13" s="40">
        <f t="shared" si="13"/>
        <v>0.15823513910406461</v>
      </c>
      <c r="AD13" s="40">
        <f t="shared" si="14"/>
        <v>0.12907195363912938</v>
      </c>
      <c r="AE13" s="40">
        <f t="shared" si="15"/>
        <v>0.019730156336326132</v>
      </c>
      <c r="AF13" s="40">
        <f t="shared" si="16"/>
        <v>0.1781755655992432</v>
      </c>
      <c r="AG13" s="40">
        <f t="shared" si="17"/>
        <v>-0.10342974276680406</v>
      </c>
      <c r="AH13" s="40">
        <f t="shared" si="17"/>
        <v>0.3087367077565706</v>
      </c>
      <c r="AI13" s="40">
        <f t="shared" si="17"/>
        <v>0.17722139232190948</v>
      </c>
    </row>
    <row r="14" spans="2:35" ht="12.75">
      <c r="B14" s="33" t="s">
        <v>24</v>
      </c>
      <c r="C14" s="26">
        <v>45854.85312547</v>
      </c>
      <c r="D14" s="62">
        <f aca="true" t="shared" si="19" ref="D14:O14">+D15+D16</f>
        <v>57958.25351754</v>
      </c>
      <c r="E14" s="62">
        <f t="shared" si="19"/>
        <v>69759.05596700999</v>
      </c>
      <c r="F14" s="62">
        <f t="shared" si="19"/>
        <v>53762.06851659</v>
      </c>
      <c r="G14" s="62">
        <f t="shared" si="19"/>
        <v>56677.33374099</v>
      </c>
      <c r="H14" s="62">
        <f t="shared" si="19"/>
        <v>66542.80340424</v>
      </c>
      <c r="I14" s="62">
        <f t="shared" si="19"/>
        <v>69397.81574429</v>
      </c>
      <c r="J14" s="62">
        <f t="shared" si="19"/>
        <v>70008.40803376</v>
      </c>
      <c r="K14" s="62">
        <f t="shared" si="19"/>
        <v>79457.25836566</v>
      </c>
      <c r="L14" s="62">
        <f t="shared" si="19"/>
        <v>77965.36547619</v>
      </c>
      <c r="M14" s="62">
        <f t="shared" si="19"/>
        <v>85967.212404</v>
      </c>
      <c r="N14" s="62">
        <f t="shared" si="19"/>
        <v>84141.22675901999</v>
      </c>
      <c r="O14" s="62">
        <f t="shared" si="19"/>
        <v>81937.74295677</v>
      </c>
      <c r="P14" s="62">
        <f>+P15+P16</f>
        <v>79979.42588047999</v>
      </c>
      <c r="Q14" s="62">
        <f>+Q15+Q16</f>
        <v>54337.39792827999</v>
      </c>
      <c r="R14" s="62">
        <f>+R15+R16</f>
        <v>82358.43068637</v>
      </c>
      <c r="S14" s="62">
        <f>+S15+S16</f>
        <v>58141.11194445</v>
      </c>
      <c r="T14" s="40">
        <f t="shared" si="4"/>
        <v>0.2639502597239196</v>
      </c>
      <c r="U14" s="40">
        <f t="shared" si="5"/>
        <v>0.20360866198113947</v>
      </c>
      <c r="V14" s="40">
        <f t="shared" si="6"/>
        <v>-0.2293177169425169</v>
      </c>
      <c r="W14" s="40">
        <f t="shared" si="7"/>
        <v>0.054225317307134535</v>
      </c>
      <c r="X14" s="40">
        <f t="shared" si="8"/>
        <v>0.17406375727436751</v>
      </c>
      <c r="Y14" s="40">
        <f t="shared" si="9"/>
        <v>0.04290490021446991</v>
      </c>
      <c r="Z14" s="40">
        <f t="shared" si="10"/>
        <v>0.008798436707573742</v>
      </c>
      <c r="AA14" s="40">
        <f t="shared" si="11"/>
        <v>0.13496736459631387</v>
      </c>
      <c r="AB14" s="40">
        <f t="shared" si="12"/>
        <v>-0.018776042870801812</v>
      </c>
      <c r="AC14" s="40">
        <f t="shared" si="13"/>
        <v>0.10263335365565252</v>
      </c>
      <c r="AD14" s="40">
        <f t="shared" si="14"/>
        <v>-0.021240489180908373</v>
      </c>
      <c r="AE14" s="40">
        <f t="shared" si="15"/>
        <v>-0.026187921036149753</v>
      </c>
      <c r="AF14" s="40">
        <f t="shared" si="16"/>
        <v>-0.02390006126142885</v>
      </c>
      <c r="AG14" s="40">
        <f t="shared" si="17"/>
        <v>-0.3206078021930171</v>
      </c>
      <c r="AH14" s="40">
        <f t="shared" si="17"/>
        <v>0.5156859515995782</v>
      </c>
      <c r="AI14" s="40">
        <f t="shared" si="17"/>
        <v>-0.2940478411268207</v>
      </c>
    </row>
    <row r="15" spans="2:35" ht="12.75">
      <c r="B15" s="34" t="s">
        <v>35</v>
      </c>
      <c r="C15" s="26">
        <v>36360.22171254</v>
      </c>
      <c r="D15" s="26">
        <v>45663.39006045</v>
      </c>
      <c r="E15" s="26">
        <v>54698.75489260999</v>
      </c>
      <c r="F15" s="26">
        <v>44555.84406278</v>
      </c>
      <c r="G15" s="57">
        <v>45726.40481539</v>
      </c>
      <c r="H15" s="57">
        <v>55103.83549968</v>
      </c>
      <c r="I15" s="57">
        <v>57833.6873914</v>
      </c>
      <c r="J15" s="57">
        <v>58399.80926909</v>
      </c>
      <c r="K15" s="57">
        <v>66305.83091146</v>
      </c>
      <c r="L15" s="57">
        <v>65758.27826741</v>
      </c>
      <c r="M15" s="57">
        <v>73112.86013279001</v>
      </c>
      <c r="N15" s="57">
        <v>71133.23410203</v>
      </c>
      <c r="O15" s="57">
        <v>69209.89154232</v>
      </c>
      <c r="P15" s="57">
        <v>68070.6550585</v>
      </c>
      <c r="Q15" s="57">
        <v>46293.742568639995</v>
      </c>
      <c r="R15" s="57">
        <v>69117.03431114</v>
      </c>
      <c r="S15" s="57">
        <v>47251.62644565</v>
      </c>
      <c r="T15" s="40">
        <f t="shared" si="4"/>
        <v>0.2558611556733579</v>
      </c>
      <c r="U15" s="40">
        <f t="shared" si="5"/>
        <v>0.19786890154670544</v>
      </c>
      <c r="V15" s="40">
        <f t="shared" si="6"/>
        <v>-0.18543220681610684</v>
      </c>
      <c r="W15" s="40">
        <f t="shared" si="7"/>
        <v>0.026271766975408672</v>
      </c>
      <c r="X15" s="40">
        <f t="shared" si="8"/>
        <v>0.2050769292304797</v>
      </c>
      <c r="Y15" s="40">
        <f t="shared" si="9"/>
        <v>0.04954014302209253</v>
      </c>
      <c r="Z15" s="40">
        <f t="shared" si="10"/>
        <v>0.009788790983681572</v>
      </c>
      <c r="AA15" s="40">
        <f t="shared" si="11"/>
        <v>0.13537752505220113</v>
      </c>
      <c r="AB15" s="40">
        <f t="shared" si="12"/>
        <v>-0.00825798631165875</v>
      </c>
      <c r="AC15" s="40">
        <f t="shared" si="13"/>
        <v>0.11184267683335869</v>
      </c>
      <c r="AD15" s="40">
        <f t="shared" si="14"/>
        <v>-0.027076304047804367</v>
      </c>
      <c r="AE15" s="40">
        <f t="shared" si="15"/>
        <v>-0.027038592916375115</v>
      </c>
      <c r="AF15" s="40">
        <f t="shared" si="16"/>
        <v>-0.016460602067601693</v>
      </c>
      <c r="AG15" s="40">
        <f t="shared" si="17"/>
        <v>-0.3199163056554237</v>
      </c>
      <c r="AH15" s="40">
        <f t="shared" si="17"/>
        <v>0.4930102963410181</v>
      </c>
      <c r="AI15" s="40">
        <f t="shared" si="17"/>
        <v>-0.3163533864468172</v>
      </c>
    </row>
    <row r="16" spans="2:35" ht="12.75">
      <c r="B16" s="34" t="s">
        <v>36</v>
      </c>
      <c r="C16" s="26">
        <v>9494.631412929999</v>
      </c>
      <c r="D16" s="26">
        <v>12294.86345709</v>
      </c>
      <c r="E16" s="26">
        <v>15060.301074399998</v>
      </c>
      <c r="F16" s="26">
        <v>9206.22445381</v>
      </c>
      <c r="G16" s="57">
        <v>10950.928925600001</v>
      </c>
      <c r="H16" s="57">
        <v>11438.967904559999</v>
      </c>
      <c r="I16" s="57">
        <v>11564.128352889998</v>
      </c>
      <c r="J16" s="57">
        <v>11608.598764669998</v>
      </c>
      <c r="K16" s="57">
        <v>13151.427454199998</v>
      </c>
      <c r="L16" s="57">
        <v>12207.08720878</v>
      </c>
      <c r="M16" s="57">
        <v>12854.352271209998</v>
      </c>
      <c r="N16" s="57">
        <v>13007.992656989998</v>
      </c>
      <c r="O16" s="57">
        <v>12727.85141445</v>
      </c>
      <c r="P16" s="57">
        <v>11908.77082198</v>
      </c>
      <c r="Q16" s="57">
        <v>8043.65535964</v>
      </c>
      <c r="R16" s="57">
        <v>13241.39637523</v>
      </c>
      <c r="S16" s="57">
        <v>10889.4854988</v>
      </c>
      <c r="T16" s="40">
        <f t="shared" si="4"/>
        <v>0.2949279358382024</v>
      </c>
      <c r="U16" s="40">
        <f t="shared" si="5"/>
        <v>0.2249262569658934</v>
      </c>
      <c r="V16" s="40">
        <f t="shared" si="6"/>
        <v>-0.38870913613679026</v>
      </c>
      <c r="W16" s="40">
        <f t="shared" si="7"/>
        <v>0.18951357101313704</v>
      </c>
      <c r="X16" s="40">
        <f t="shared" si="8"/>
        <v>0.04456598908418696</v>
      </c>
      <c r="Y16" s="40">
        <f t="shared" si="9"/>
        <v>0.010941585759682626</v>
      </c>
      <c r="Z16" s="40">
        <f t="shared" si="10"/>
        <v>0.0038455480969203926</v>
      </c>
      <c r="AA16" s="40">
        <f t="shared" si="11"/>
        <v>0.13290395514620568</v>
      </c>
      <c r="AB16" s="40">
        <f t="shared" si="12"/>
        <v>-0.07180515185204606</v>
      </c>
      <c r="AC16" s="40">
        <f t="shared" si="13"/>
        <v>0.05302371084597901</v>
      </c>
      <c r="AD16" s="40">
        <f t="shared" si="14"/>
        <v>0.011952401998824191</v>
      </c>
      <c r="AE16" s="40">
        <f t="shared" si="15"/>
        <v>-0.021536085538106486</v>
      </c>
      <c r="AF16" s="40">
        <f t="shared" si="16"/>
        <v>-0.06435340622692165</v>
      </c>
      <c r="AG16" s="40">
        <f t="shared" si="17"/>
        <v>-0.3245604034302316</v>
      </c>
      <c r="AH16" s="40">
        <f t="shared" si="17"/>
        <v>0.6461914121371095</v>
      </c>
      <c r="AI16" s="40">
        <f t="shared" si="17"/>
        <v>-0.1776180404077019</v>
      </c>
    </row>
    <row r="17" spans="2:35" ht="12.75">
      <c r="B17" s="33" t="s">
        <v>25</v>
      </c>
      <c r="C17" s="26">
        <v>763.31945322</v>
      </c>
      <c r="D17" s="62">
        <f aca="true" t="shared" si="20" ref="D17:J17">+D18+D19</f>
        <v>2305.25508359</v>
      </c>
      <c r="E17" s="62">
        <f t="shared" si="20"/>
        <v>2849.627935</v>
      </c>
      <c r="F17" s="62">
        <f t="shared" si="20"/>
        <v>2073.96860433</v>
      </c>
      <c r="G17" s="62">
        <f t="shared" si="20"/>
        <v>1984.3292569</v>
      </c>
      <c r="H17" s="62">
        <f t="shared" si="20"/>
        <v>1958.4204726300004</v>
      </c>
      <c r="I17" s="62">
        <f t="shared" si="20"/>
        <v>1880.08233517</v>
      </c>
      <c r="J17" s="62">
        <f t="shared" si="20"/>
        <v>1466.4561021800002</v>
      </c>
      <c r="K17" s="62">
        <f aca="true" t="shared" si="21" ref="K17:S17">+K18+K19+K20</f>
        <v>2490.38526114</v>
      </c>
      <c r="L17" s="62">
        <f t="shared" si="21"/>
        <v>2225.23000861</v>
      </c>
      <c r="M17" s="62">
        <f t="shared" si="21"/>
        <v>2580.24516106</v>
      </c>
      <c r="N17" s="62">
        <f t="shared" si="21"/>
        <v>2834.1077049699998</v>
      </c>
      <c r="O17" s="62">
        <f t="shared" si="21"/>
        <v>2768.39337789</v>
      </c>
      <c r="P17" s="62">
        <f t="shared" si="21"/>
        <v>2629.95488744</v>
      </c>
      <c r="Q17" s="62">
        <f t="shared" si="21"/>
        <v>2672.15363949</v>
      </c>
      <c r="R17" s="62">
        <f t="shared" si="21"/>
        <v>3173.65168167</v>
      </c>
      <c r="S17" s="62">
        <f t="shared" si="21"/>
        <v>1822.34752274</v>
      </c>
      <c r="T17" s="40">
        <f t="shared" si="4"/>
        <v>2.0200397407212303</v>
      </c>
      <c r="U17" s="40">
        <f t="shared" si="5"/>
        <v>0.23614430146369814</v>
      </c>
      <c r="V17" s="40">
        <f t="shared" si="6"/>
        <v>-0.27219670369703897</v>
      </c>
      <c r="W17" s="40">
        <f t="shared" si="7"/>
        <v>-0.04322116894289152</v>
      </c>
      <c r="X17" s="40">
        <f t="shared" si="8"/>
        <v>-0.013056696200949736</v>
      </c>
      <c r="Y17" s="40">
        <f t="shared" si="9"/>
        <v>-0.040000673274620424</v>
      </c>
      <c r="Z17" s="40">
        <f t="shared" si="10"/>
        <v>-0.2200043185622501</v>
      </c>
      <c r="AA17" s="40">
        <f t="shared" si="11"/>
        <v>0.6982337605863891</v>
      </c>
      <c r="AB17" s="40">
        <f t="shared" si="12"/>
        <v>-0.10647157958549047</v>
      </c>
      <c r="AC17" s="40">
        <f t="shared" si="13"/>
        <v>0.15954087940408557</v>
      </c>
      <c r="AD17" s="40">
        <f t="shared" si="14"/>
        <v>0.09838698575669813</v>
      </c>
      <c r="AE17" s="40">
        <f t="shared" si="15"/>
        <v>-0.02318695473879151</v>
      </c>
      <c r="AF17" s="40">
        <f t="shared" si="16"/>
        <v>-0.050006798728695845</v>
      </c>
      <c r="AG17" s="40">
        <f t="shared" si="17"/>
        <v>0.01604542809898768</v>
      </c>
      <c r="AH17" s="40">
        <f t="shared" si="17"/>
        <v>0.1876756017201595</v>
      </c>
      <c r="AI17" s="40">
        <f t="shared" si="17"/>
        <v>-0.42578842748708123</v>
      </c>
    </row>
    <row r="18" spans="2:35" ht="12.75">
      <c r="B18" s="34" t="s">
        <v>37</v>
      </c>
      <c r="C18" s="26">
        <v>763.31945322</v>
      </c>
      <c r="D18" s="26">
        <v>89.04374803</v>
      </c>
      <c r="E18" s="26">
        <v>81.61366286</v>
      </c>
      <c r="F18" s="26">
        <v>69.33080124000001</v>
      </c>
      <c r="G18" s="57">
        <v>76.48760677000001</v>
      </c>
      <c r="H18" s="57">
        <v>80.4536625</v>
      </c>
      <c r="I18" s="57">
        <v>77.394081</v>
      </c>
      <c r="J18" s="57">
        <v>77.35516716000001</v>
      </c>
      <c r="K18" s="57">
        <v>91.6047105</v>
      </c>
      <c r="L18" s="57">
        <v>77.894022</v>
      </c>
      <c r="M18" s="57">
        <v>94.90245243</v>
      </c>
      <c r="N18" s="57">
        <v>101.266209</v>
      </c>
      <c r="O18" s="57">
        <v>99.50030699999999</v>
      </c>
      <c r="P18" s="57">
        <v>85.8501585</v>
      </c>
      <c r="Q18" s="57">
        <v>100.96585500000002</v>
      </c>
      <c r="R18" s="57">
        <v>104.16503100000001</v>
      </c>
      <c r="S18" s="57">
        <v>55.161724500000005</v>
      </c>
      <c r="T18" s="40">
        <f t="shared" si="4"/>
        <v>-0.8833466805354215</v>
      </c>
      <c r="U18" s="40">
        <f t="shared" si="5"/>
        <v>-0.08344308650952903</v>
      </c>
      <c r="V18" s="40">
        <f t="shared" si="6"/>
        <v>-0.15050006567000918</v>
      </c>
      <c r="W18" s="40">
        <f t="shared" si="7"/>
        <v>0.1032269265896053</v>
      </c>
      <c r="X18" s="40">
        <f t="shared" si="8"/>
        <v>0.05185226597461723</v>
      </c>
      <c r="Y18" s="40">
        <f t="shared" si="9"/>
        <v>-0.03802911396358111</v>
      </c>
      <c r="Z18" s="40">
        <f t="shared" si="10"/>
        <v>-0.0005028012413506033</v>
      </c>
      <c r="AA18" s="40">
        <f t="shared" si="11"/>
        <v>0.18420932774311627</v>
      </c>
      <c r="AB18" s="40">
        <f t="shared" si="12"/>
        <v>-0.14967230860906422</v>
      </c>
      <c r="AC18" s="40">
        <f t="shared" si="13"/>
        <v>0.21835347557223317</v>
      </c>
      <c r="AD18" s="40">
        <f t="shared" si="14"/>
        <v>0.06705576523108192</v>
      </c>
      <c r="AE18" s="40">
        <f t="shared" si="15"/>
        <v>-0.017438215742825003</v>
      </c>
      <c r="AF18" s="40">
        <f t="shared" si="16"/>
        <v>-0.1371869988300638</v>
      </c>
      <c r="AG18" s="40">
        <f t="shared" si="17"/>
        <v>0.17607068832610273</v>
      </c>
      <c r="AH18" s="40">
        <f t="shared" si="17"/>
        <v>0.031685721871022476</v>
      </c>
      <c r="AI18" s="40">
        <f t="shared" si="17"/>
        <v>-0.47043912942338584</v>
      </c>
    </row>
    <row r="19" spans="2:35" ht="12.75">
      <c r="B19" s="34" t="s">
        <v>38</v>
      </c>
      <c r="C19" s="26">
        <v>0</v>
      </c>
      <c r="D19" s="26">
        <v>2216.21133556</v>
      </c>
      <c r="E19" s="26">
        <v>2768.01427214</v>
      </c>
      <c r="F19" s="26">
        <v>2004.63780309</v>
      </c>
      <c r="G19" s="57">
        <v>1907.84165013</v>
      </c>
      <c r="H19" s="57">
        <v>1877.9668101300003</v>
      </c>
      <c r="I19" s="57">
        <v>1802.6882541700002</v>
      </c>
      <c r="J19" s="57">
        <v>1389.1009350200002</v>
      </c>
      <c r="K19" s="57">
        <v>1594.40577898</v>
      </c>
      <c r="L19" s="57">
        <v>1347.11062061</v>
      </c>
      <c r="M19" s="57">
        <v>1659.35352688</v>
      </c>
      <c r="N19" s="57">
        <v>1849.6748959699999</v>
      </c>
      <c r="O19" s="57">
        <v>1834.6992818899998</v>
      </c>
      <c r="P19" s="57">
        <v>1663.4730659400002</v>
      </c>
      <c r="Q19" s="57">
        <v>1875.12476074</v>
      </c>
      <c r="R19" s="57">
        <v>2062.40730342</v>
      </c>
      <c r="S19" s="57">
        <v>1144.42238999</v>
      </c>
      <c r="T19" s="40" t="e">
        <f t="shared" si="4"/>
        <v>#DIV/0!</v>
      </c>
      <c r="U19" s="40">
        <f t="shared" si="5"/>
        <v>0.24898480019757163</v>
      </c>
      <c r="V19" s="40">
        <f t="shared" si="6"/>
        <v>-0.2757848746422179</v>
      </c>
      <c r="W19" s="40">
        <f t="shared" si="7"/>
        <v>-0.04828610575476322</v>
      </c>
      <c r="X19" s="40">
        <f t="shared" si="8"/>
        <v>-0.01565897253473003</v>
      </c>
      <c r="Y19" s="40">
        <f t="shared" si="9"/>
        <v>-0.040085136517822195</v>
      </c>
      <c r="Z19" s="40">
        <f t="shared" si="10"/>
        <v>-0.22942808785339608</v>
      </c>
      <c r="AA19" s="40">
        <f t="shared" si="11"/>
        <v>0.1477969230198839</v>
      </c>
      <c r="AB19" s="40">
        <f t="shared" si="12"/>
        <v>-0.1551017699698779</v>
      </c>
      <c r="AC19" s="40">
        <f t="shared" si="13"/>
        <v>0.23178713128147543</v>
      </c>
      <c r="AD19" s="40">
        <f t="shared" si="14"/>
        <v>0.1146960945976665</v>
      </c>
      <c r="AE19" s="40">
        <f t="shared" si="15"/>
        <v>-0.008096349316643825</v>
      </c>
      <c r="AF19" s="40">
        <f t="shared" si="16"/>
        <v>-0.09332658362062063</v>
      </c>
      <c r="AG19" s="40">
        <f t="shared" si="17"/>
        <v>0.12723481920664526</v>
      </c>
      <c r="AH19" s="40">
        <f t="shared" si="17"/>
        <v>0.0998773770157515</v>
      </c>
      <c r="AI19" s="40">
        <f t="shared" si="17"/>
        <v>-0.44510359903581875</v>
      </c>
    </row>
    <row r="20" spans="2:35" ht="12.75">
      <c r="B20" s="34" t="s">
        <v>49</v>
      </c>
      <c r="C20" s="26"/>
      <c r="D20" s="26"/>
      <c r="E20" s="26"/>
      <c r="F20" s="26"/>
      <c r="G20" s="57"/>
      <c r="H20" s="57"/>
      <c r="I20" s="57">
        <v>0</v>
      </c>
      <c r="J20" s="57">
        <v>0</v>
      </c>
      <c r="K20" s="57">
        <v>804.3747716600001</v>
      </c>
      <c r="L20" s="57">
        <v>800.225366</v>
      </c>
      <c r="M20" s="57">
        <v>825.98918175</v>
      </c>
      <c r="N20" s="57">
        <v>883.1666</v>
      </c>
      <c r="O20" s="57">
        <v>834.1937890000002</v>
      </c>
      <c r="P20" s="57">
        <v>880.631663</v>
      </c>
      <c r="Q20" s="57">
        <v>696.0630237500001</v>
      </c>
      <c r="R20" s="57">
        <v>1007.07934725</v>
      </c>
      <c r="S20" s="57">
        <v>622.76340825</v>
      </c>
      <c r="T20" s="66" t="e">
        <f t="shared" si="4"/>
        <v>#DIV/0!</v>
      </c>
      <c r="U20" s="66" t="e">
        <f t="shared" si="5"/>
        <v>#DIV/0!</v>
      </c>
      <c r="V20" s="66" t="e">
        <f t="shared" si="6"/>
        <v>#DIV/0!</v>
      </c>
      <c r="W20" s="66" t="e">
        <f t="shared" si="7"/>
        <v>#DIV/0!</v>
      </c>
      <c r="X20" s="66" t="e">
        <f t="shared" si="8"/>
        <v>#DIV/0!</v>
      </c>
      <c r="Y20" s="66" t="e">
        <f t="shared" si="9"/>
        <v>#DIV/0!</v>
      </c>
      <c r="Z20" s="66" t="e">
        <f t="shared" si="10"/>
        <v>#DIV/0!</v>
      </c>
      <c r="AA20" s="66" t="e">
        <f t="shared" si="11"/>
        <v>#DIV/0!</v>
      </c>
      <c r="AB20" s="40">
        <f t="shared" si="12"/>
        <v>-0.005158547739428587</v>
      </c>
      <c r="AC20" s="40">
        <f t="shared" si="13"/>
        <v>0.03219569991736537</v>
      </c>
      <c r="AD20" s="40">
        <f t="shared" si="14"/>
        <v>0.06922296261660454</v>
      </c>
      <c r="AE20" s="40">
        <f t="shared" si="15"/>
        <v>-0.05545138482365597</v>
      </c>
      <c r="AF20" s="40">
        <f t="shared" si="16"/>
        <v>0.05566796901672899</v>
      </c>
      <c r="AG20" s="40">
        <f t="shared" si="17"/>
        <v>-0.2095866489983338</v>
      </c>
      <c r="AH20" s="40">
        <f t="shared" si="17"/>
        <v>0.4468220734157333</v>
      </c>
      <c r="AI20" s="40">
        <f t="shared" si="17"/>
        <v>-0.3816143584410101</v>
      </c>
    </row>
    <row r="21" spans="2:35" ht="12.75">
      <c r="B21" s="33" t="s">
        <v>26</v>
      </c>
      <c r="C21" s="26">
        <v>291028.02841769</v>
      </c>
      <c r="D21" s="62">
        <f aca="true" t="shared" si="22" ref="D21:O21">+D22+D23</f>
        <v>362717.11050056</v>
      </c>
      <c r="E21" s="62">
        <f t="shared" si="22"/>
        <v>459779.5292709</v>
      </c>
      <c r="F21" s="62">
        <f t="shared" si="22"/>
        <v>402928.43372383993</v>
      </c>
      <c r="G21" s="62">
        <f t="shared" si="22"/>
        <v>457006.28780367004</v>
      </c>
      <c r="H21" s="62">
        <f t="shared" si="22"/>
        <v>489708.07079039</v>
      </c>
      <c r="I21" s="62">
        <f t="shared" si="22"/>
        <v>554446.82108379</v>
      </c>
      <c r="J21" s="62">
        <f t="shared" si="22"/>
        <v>571641.1025304301</v>
      </c>
      <c r="K21" s="62">
        <f t="shared" si="22"/>
        <v>628902.62297224</v>
      </c>
      <c r="L21" s="62">
        <f t="shared" si="22"/>
        <v>645726.4921906</v>
      </c>
      <c r="M21" s="62">
        <f t="shared" si="22"/>
        <v>698148.8209925601</v>
      </c>
      <c r="N21" s="62">
        <f t="shared" si="22"/>
        <v>730039.5915437001</v>
      </c>
      <c r="O21" s="62">
        <f t="shared" si="22"/>
        <v>734839.2457056401</v>
      </c>
      <c r="P21" s="62">
        <f>+P22+P23</f>
        <v>747344.0589541399</v>
      </c>
      <c r="Q21" s="62">
        <f>+Q22+Q23</f>
        <v>713194.25786425</v>
      </c>
      <c r="R21" s="62">
        <f>+R22+R23</f>
        <v>970200.5037784799</v>
      </c>
      <c r="S21" s="62">
        <f>+S22+S23</f>
        <v>944156.1079844399</v>
      </c>
      <c r="T21" s="40">
        <f t="shared" si="4"/>
        <v>0.24633050800172485</v>
      </c>
      <c r="U21" s="40">
        <f t="shared" si="5"/>
        <v>0.2675981252618358</v>
      </c>
      <c r="V21" s="40">
        <f t="shared" si="6"/>
        <v>-0.12364860096579822</v>
      </c>
      <c r="W21" s="40">
        <f t="shared" si="7"/>
        <v>0.1342120574118979</v>
      </c>
      <c r="X21" s="40">
        <f t="shared" si="8"/>
        <v>0.07155652746898022</v>
      </c>
      <c r="Y21" s="40">
        <f t="shared" si="9"/>
        <v>0.132198659068272</v>
      </c>
      <c r="Z21" s="40">
        <f t="shared" si="10"/>
        <v>0.031011597132128976</v>
      </c>
      <c r="AA21" s="40">
        <f t="shared" si="11"/>
        <v>0.10017040445191161</v>
      </c>
      <c r="AB21" s="40">
        <f t="shared" si="12"/>
        <v>0.02675115129723782</v>
      </c>
      <c r="AC21" s="40">
        <f t="shared" si="13"/>
        <v>0.08118348780165352</v>
      </c>
      <c r="AD21" s="40">
        <f t="shared" si="14"/>
        <v>0.04567904376863474</v>
      </c>
      <c r="AE21" s="40">
        <f t="shared" si="15"/>
        <v>0.006574512146376721</v>
      </c>
      <c r="AF21" s="40">
        <f t="shared" si="16"/>
        <v>0.01701707321917989</v>
      </c>
      <c r="AG21" s="40">
        <f t="shared" si="17"/>
        <v>-0.045694885348630976</v>
      </c>
      <c r="AH21" s="40">
        <f t="shared" si="17"/>
        <v>0.3603593874744133</v>
      </c>
      <c r="AI21" s="40">
        <f t="shared" si="17"/>
        <v>-0.026844343713087304</v>
      </c>
    </row>
    <row r="22" spans="2:35" ht="12.75">
      <c r="B22" s="34" t="s">
        <v>27</v>
      </c>
      <c r="C22" s="26">
        <v>148073.14387592</v>
      </c>
      <c r="D22" s="26">
        <v>181794.47258451002</v>
      </c>
      <c r="E22" s="26">
        <v>224583.0438522</v>
      </c>
      <c r="F22" s="26">
        <v>227759.6579574</v>
      </c>
      <c r="G22" s="57">
        <v>246836.66058659003</v>
      </c>
      <c r="H22" s="57">
        <v>260860.65342392</v>
      </c>
      <c r="I22" s="57">
        <v>293928.62184002</v>
      </c>
      <c r="J22" s="57">
        <v>311773.95132394</v>
      </c>
      <c r="K22" s="57">
        <v>328783.07864773995</v>
      </c>
      <c r="L22" s="57">
        <v>347361.35445431</v>
      </c>
      <c r="M22" s="57">
        <v>379052.56563495006</v>
      </c>
      <c r="N22" s="57">
        <v>389416.29201996006</v>
      </c>
      <c r="O22" s="57">
        <v>396870.47301722004</v>
      </c>
      <c r="P22" s="57">
        <v>417055.15926385997</v>
      </c>
      <c r="Q22" s="57">
        <v>468381.96951384994</v>
      </c>
      <c r="R22" s="57">
        <v>593158.0080326599</v>
      </c>
      <c r="S22" s="57">
        <v>651879.82763858</v>
      </c>
      <c r="T22" s="40">
        <f t="shared" si="4"/>
        <v>0.22773426582235112</v>
      </c>
      <c r="U22" s="40">
        <f t="shared" si="5"/>
        <v>0.23536783412267415</v>
      </c>
      <c r="V22" s="40">
        <f t="shared" si="6"/>
        <v>0.01414449662232986</v>
      </c>
      <c r="W22" s="40">
        <f t="shared" si="7"/>
        <v>0.083759357562603</v>
      </c>
      <c r="X22" s="40">
        <f t="shared" si="8"/>
        <v>0.056814870222287706</v>
      </c>
      <c r="Y22" s="40">
        <f t="shared" si="9"/>
        <v>0.12676487612089904</v>
      </c>
      <c r="Z22" s="40">
        <f t="shared" si="10"/>
        <v>0.060713139714692055</v>
      </c>
      <c r="AA22" s="40">
        <f t="shared" si="11"/>
        <v>0.054555960341045484</v>
      </c>
      <c r="AB22" s="40">
        <f t="shared" si="12"/>
        <v>0.0565061799499571</v>
      </c>
      <c r="AC22" s="40">
        <f t="shared" si="13"/>
        <v>0.09123413060852892</v>
      </c>
      <c r="AD22" s="40">
        <f t="shared" si="14"/>
        <v>0.027341132403759794</v>
      </c>
      <c r="AE22" s="40">
        <f t="shared" si="15"/>
        <v>0.019141934094729418</v>
      </c>
      <c r="AF22" s="40">
        <f t="shared" si="16"/>
        <v>0.050859632094031104</v>
      </c>
      <c r="AG22" s="40">
        <f t="shared" si="17"/>
        <v>0.12306959669456297</v>
      </c>
      <c r="AH22" s="40">
        <f t="shared" si="17"/>
        <v>0.2663980397202723</v>
      </c>
      <c r="AI22" s="40">
        <f t="shared" si="17"/>
        <v>0.09899861219219486</v>
      </c>
    </row>
    <row r="23" spans="2:35" ht="12.75">
      <c r="B23" s="34" t="s">
        <v>28</v>
      </c>
      <c r="C23" s="26">
        <v>142954.88454177</v>
      </c>
      <c r="D23" s="26">
        <v>180922.63791605</v>
      </c>
      <c r="E23" s="26">
        <v>235196.4854187</v>
      </c>
      <c r="F23" s="26">
        <v>175168.77576643997</v>
      </c>
      <c r="G23" s="57">
        <v>210169.62721708</v>
      </c>
      <c r="H23" s="57">
        <v>228847.41736647</v>
      </c>
      <c r="I23" s="57">
        <v>260518.19924377</v>
      </c>
      <c r="J23" s="57">
        <v>259867.15120649003</v>
      </c>
      <c r="K23" s="57">
        <v>300119.5443245</v>
      </c>
      <c r="L23" s="57">
        <v>298365.13773629</v>
      </c>
      <c r="M23" s="57">
        <v>319096.25535761</v>
      </c>
      <c r="N23" s="57">
        <v>340623.29952374</v>
      </c>
      <c r="O23" s="57">
        <v>337968.77268842</v>
      </c>
      <c r="P23" s="57">
        <v>330288.89969028</v>
      </c>
      <c r="Q23" s="57">
        <v>244812.28835040002</v>
      </c>
      <c r="R23" s="57">
        <v>377042.49574582</v>
      </c>
      <c r="S23" s="57">
        <v>292276.28034586</v>
      </c>
      <c r="T23" s="40">
        <f t="shared" si="4"/>
        <v>0.2655925573720861</v>
      </c>
      <c r="U23" s="40">
        <f t="shared" si="5"/>
        <v>0.29998372855824496</v>
      </c>
      <c r="V23" s="40">
        <f t="shared" si="6"/>
        <v>-0.25522366775761074</v>
      </c>
      <c r="W23" s="40">
        <f t="shared" si="7"/>
        <v>0.19981216000109625</v>
      </c>
      <c r="X23" s="40">
        <f t="shared" si="8"/>
        <v>0.08887007317236217</v>
      </c>
      <c r="Y23" s="40">
        <f t="shared" si="9"/>
        <v>0.1383925684709968</v>
      </c>
      <c r="Z23" s="40">
        <f t="shared" si="10"/>
        <v>-0.0024990501207586835</v>
      </c>
      <c r="AA23" s="40">
        <f t="shared" si="11"/>
        <v>0.1548960418087837</v>
      </c>
      <c r="AB23" s="40">
        <f t="shared" si="12"/>
        <v>-0.005845692562804539</v>
      </c>
      <c r="AC23" s="40">
        <f t="shared" si="13"/>
        <v>0.06948237243334776</v>
      </c>
      <c r="AD23" s="40">
        <f t="shared" si="14"/>
        <v>0.06746254086248915</v>
      </c>
      <c r="AE23" s="40">
        <f t="shared" si="15"/>
        <v>-0.007793145210652219</v>
      </c>
      <c r="AF23" s="40">
        <f t="shared" si="16"/>
        <v>-0.022723617146783615</v>
      </c>
      <c r="AG23" s="40">
        <f t="shared" si="17"/>
        <v>-0.25879347268416686</v>
      </c>
      <c r="AH23" s="40">
        <f t="shared" si="17"/>
        <v>0.5401289628327757</v>
      </c>
      <c r="AI23" s="40">
        <f t="shared" si="17"/>
        <v>-0.22481873092921711</v>
      </c>
    </row>
    <row r="24" spans="2:35" ht="12.75">
      <c r="B24" s="33" t="s">
        <v>29</v>
      </c>
      <c r="C24" s="26">
        <v>51456.648008439995</v>
      </c>
      <c r="D24" s="62">
        <f aca="true" t="shared" si="23" ref="D24:O24">+D25+D26</f>
        <v>65630.12642521999</v>
      </c>
      <c r="E24" s="62">
        <f t="shared" si="23"/>
        <v>87962.42885849</v>
      </c>
      <c r="F24" s="62">
        <f t="shared" si="23"/>
        <v>55530.28731528</v>
      </c>
      <c r="G24" s="62">
        <f t="shared" si="23"/>
        <v>69008.69562607999</v>
      </c>
      <c r="H24" s="62">
        <f t="shared" si="23"/>
        <v>83497.03380080001</v>
      </c>
      <c r="I24" s="62">
        <f t="shared" si="23"/>
        <v>97041.65252068</v>
      </c>
      <c r="J24" s="62">
        <f t="shared" si="23"/>
        <v>88043.27577786999</v>
      </c>
      <c r="K24" s="62">
        <f t="shared" si="23"/>
        <v>96077.54084085</v>
      </c>
      <c r="L24" s="62">
        <f t="shared" si="23"/>
        <v>106528.93929793</v>
      </c>
      <c r="M24" s="62">
        <f t="shared" si="23"/>
        <v>128469.61568517</v>
      </c>
      <c r="N24" s="62">
        <f t="shared" si="23"/>
        <v>126355.17671047001</v>
      </c>
      <c r="O24" s="62">
        <f t="shared" si="23"/>
        <v>114742.23138007999</v>
      </c>
      <c r="P24" s="62">
        <f>+P25+P26</f>
        <v>99297.08247496</v>
      </c>
      <c r="Q24" s="62">
        <f>+Q25+Q26</f>
        <v>61751.48337295</v>
      </c>
      <c r="R24" s="62">
        <f>+R25+R26</f>
        <v>93614.34333537001</v>
      </c>
      <c r="S24" s="62">
        <f>+S25+S26</f>
        <v>72663.85615345</v>
      </c>
      <c r="T24" s="40">
        <f t="shared" si="4"/>
        <v>0.2754450389861236</v>
      </c>
      <c r="U24" s="40">
        <f t="shared" si="5"/>
        <v>0.34027517010371433</v>
      </c>
      <c r="V24" s="40">
        <f t="shared" si="6"/>
        <v>-0.3687044794475306</v>
      </c>
      <c r="W24" s="40">
        <f t="shared" si="7"/>
        <v>0.24272174631970977</v>
      </c>
      <c r="X24" s="40">
        <f t="shared" si="8"/>
        <v>0.20994945699632295</v>
      </c>
      <c r="Y24" s="40">
        <f t="shared" si="9"/>
        <v>0.16221676511519645</v>
      </c>
      <c r="Z24" s="40">
        <f t="shared" si="10"/>
        <v>-0.09272695290192445</v>
      </c>
      <c r="AA24" s="40">
        <f t="shared" si="11"/>
        <v>0.09125359082788065</v>
      </c>
      <c r="AB24" s="40">
        <f t="shared" si="12"/>
        <v>0.10878086976010848</v>
      </c>
      <c r="AC24" s="40">
        <f t="shared" si="13"/>
        <v>0.20595977517318942</v>
      </c>
      <c r="AD24" s="40">
        <f t="shared" si="14"/>
        <v>-0.01645866972842569</v>
      </c>
      <c r="AE24" s="40">
        <f t="shared" si="15"/>
        <v>-0.09190715911070191</v>
      </c>
      <c r="AF24" s="40">
        <f t="shared" si="16"/>
        <v>-0.13460736051017197</v>
      </c>
      <c r="AG24" s="40">
        <f t="shared" si="17"/>
        <v>-0.3781138193207033</v>
      </c>
      <c r="AH24" s="40">
        <f t="shared" si="17"/>
        <v>0.5159853370644276</v>
      </c>
      <c r="AI24" s="40">
        <f t="shared" si="17"/>
        <v>-0.22379569663663224</v>
      </c>
    </row>
    <row r="25" spans="2:35" ht="12.75">
      <c r="B25" s="34" t="s">
        <v>27</v>
      </c>
      <c r="C25" s="26">
        <v>8560.30235901</v>
      </c>
      <c r="D25" s="26">
        <v>9722.30749547</v>
      </c>
      <c r="E25" s="26">
        <v>11705.557447219999</v>
      </c>
      <c r="F25" s="26">
        <v>12340.97101857</v>
      </c>
      <c r="G25" s="57">
        <v>12634.5142082</v>
      </c>
      <c r="H25" s="57">
        <v>13593.450245290001</v>
      </c>
      <c r="I25" s="57">
        <v>15853.483688119999</v>
      </c>
      <c r="J25" s="57">
        <v>11544.76252587</v>
      </c>
      <c r="K25" s="57">
        <v>11905.23305493</v>
      </c>
      <c r="L25" s="57">
        <v>12059.251794920001</v>
      </c>
      <c r="M25" s="57">
        <v>12240.761473679999</v>
      </c>
      <c r="N25" s="57">
        <v>12206.185283850002</v>
      </c>
      <c r="O25" s="57">
        <v>13857.941422520002</v>
      </c>
      <c r="P25" s="57">
        <v>5009.779882610001</v>
      </c>
      <c r="Q25" s="57">
        <v>3003.477284</v>
      </c>
      <c r="R25" s="57">
        <v>5417.801116</v>
      </c>
      <c r="S25" s="57">
        <v>6091.704924999999</v>
      </c>
      <c r="T25" s="40">
        <f t="shared" si="4"/>
        <v>0.13574346883167654</v>
      </c>
      <c r="U25" s="40">
        <f t="shared" si="5"/>
        <v>0.20398963442311113</v>
      </c>
      <c r="V25" s="40">
        <f t="shared" si="6"/>
        <v>0.05428306803969507</v>
      </c>
      <c r="W25" s="40">
        <f t="shared" si="7"/>
        <v>0.02378606911792369</v>
      </c>
      <c r="X25" s="40">
        <f t="shared" si="8"/>
        <v>0.07589813278832969</v>
      </c>
      <c r="Y25" s="40">
        <f t="shared" si="9"/>
        <v>0.16625899988952964</v>
      </c>
      <c r="Z25" s="40">
        <f t="shared" si="10"/>
        <v>-0.271783870789156</v>
      </c>
      <c r="AA25" s="40">
        <f t="shared" si="11"/>
        <v>0.03122372835753362</v>
      </c>
      <c r="AB25" s="40">
        <f t="shared" si="12"/>
        <v>0.012937062154043222</v>
      </c>
      <c r="AC25" s="40">
        <f t="shared" si="13"/>
        <v>0.01505148759199626</v>
      </c>
      <c r="AD25" s="40">
        <f t="shared" si="14"/>
        <v>-0.0028246763818037257</v>
      </c>
      <c r="AE25" s="40">
        <f t="shared" si="15"/>
        <v>0.13532124085118036</v>
      </c>
      <c r="AF25" s="40">
        <f t="shared" si="16"/>
        <v>-0.6384903262421934</v>
      </c>
      <c r="AG25" s="40">
        <f t="shared" si="17"/>
        <v>-0.40047719572955665</v>
      </c>
      <c r="AH25" s="40">
        <f t="shared" si="17"/>
        <v>0.8038428806708429</v>
      </c>
      <c r="AI25" s="40">
        <f t="shared" si="17"/>
        <v>0.12438695968550939</v>
      </c>
    </row>
    <row r="26" spans="2:35" ht="12.75">
      <c r="B26" s="34" t="s">
        <v>28</v>
      </c>
      <c r="C26" s="26">
        <v>42896.34564943</v>
      </c>
      <c r="D26" s="26">
        <v>55907.81892974999</v>
      </c>
      <c r="E26" s="26">
        <v>76256.87141127001</v>
      </c>
      <c r="F26" s="26">
        <v>43189.31629671</v>
      </c>
      <c r="G26" s="57">
        <v>56374.18141788</v>
      </c>
      <c r="H26" s="57">
        <v>69903.58355551</v>
      </c>
      <c r="I26" s="57">
        <v>81188.16883256</v>
      </c>
      <c r="J26" s="57">
        <v>76498.51325199999</v>
      </c>
      <c r="K26" s="57">
        <v>84172.30778592</v>
      </c>
      <c r="L26" s="57">
        <v>94469.68750301</v>
      </c>
      <c r="M26" s="57">
        <v>116228.85421149</v>
      </c>
      <c r="N26" s="57">
        <v>114148.99142662</v>
      </c>
      <c r="O26" s="57">
        <v>100884.28995755999</v>
      </c>
      <c r="P26" s="57">
        <v>94287.30259235</v>
      </c>
      <c r="Q26" s="57">
        <v>58748.00608895</v>
      </c>
      <c r="R26" s="57">
        <v>88196.54221937</v>
      </c>
      <c r="S26" s="57">
        <v>66572.15122845</v>
      </c>
      <c r="T26" s="40">
        <f t="shared" si="4"/>
        <v>0.30332358347389654</v>
      </c>
      <c r="U26" s="40">
        <f t="shared" si="5"/>
        <v>0.36397507309468224</v>
      </c>
      <c r="V26" s="40">
        <f t="shared" si="6"/>
        <v>-0.4336337762431852</v>
      </c>
      <c r="W26" s="40">
        <f t="shared" si="7"/>
        <v>0.3052807094835712</v>
      </c>
      <c r="X26" s="40">
        <f t="shared" si="8"/>
        <v>0.23999287967202187</v>
      </c>
      <c r="Y26" s="40">
        <f t="shared" si="9"/>
        <v>0.1614307121764218</v>
      </c>
      <c r="Z26" s="40">
        <f t="shared" si="10"/>
        <v>-0.05776279534314677</v>
      </c>
      <c r="AA26" s="40">
        <f t="shared" si="11"/>
        <v>0.10031298920334741</v>
      </c>
      <c r="AB26" s="40">
        <f t="shared" si="12"/>
        <v>0.1223369061387729</v>
      </c>
      <c r="AC26" s="40">
        <f t="shared" si="13"/>
        <v>0.2303296145420901</v>
      </c>
      <c r="AD26" s="40">
        <f t="shared" si="14"/>
        <v>-0.01789454777800248</v>
      </c>
      <c r="AE26" s="40">
        <f t="shared" si="15"/>
        <v>-0.11620515699069622</v>
      </c>
      <c r="AF26" s="40">
        <f t="shared" si="16"/>
        <v>-0.06539162210474214</v>
      </c>
      <c r="AG26" s="40">
        <f t="shared" si="17"/>
        <v>-0.37692558304540447</v>
      </c>
      <c r="AH26" s="40">
        <f t="shared" si="17"/>
        <v>0.5012686913294071</v>
      </c>
      <c r="AI26" s="40">
        <f t="shared" si="17"/>
        <v>-0.24518411319498168</v>
      </c>
    </row>
    <row r="27" spans="2:35" ht="12.75">
      <c r="B27" s="33" t="s">
        <v>32</v>
      </c>
      <c r="C27" s="26">
        <v>170046.98655609</v>
      </c>
      <c r="D27" s="26">
        <v>204754.95813056</v>
      </c>
      <c r="E27" s="26">
        <v>236843.50013772</v>
      </c>
      <c r="F27" s="26">
        <v>244145.52217687</v>
      </c>
      <c r="G27" s="57">
        <v>257955.28480687</v>
      </c>
      <c r="H27" s="57">
        <v>260839.43977789002</v>
      </c>
      <c r="I27" s="57">
        <v>283626.93694687996</v>
      </c>
      <c r="J27" s="57">
        <v>348005.37764726</v>
      </c>
      <c r="K27" s="57">
        <v>369885.96886218997</v>
      </c>
      <c r="L27" s="57">
        <v>392377.14263298997</v>
      </c>
      <c r="M27" s="57">
        <v>403765.40557786997</v>
      </c>
      <c r="N27" s="57">
        <v>424034.66508888005</v>
      </c>
      <c r="O27" s="57">
        <v>440173.84903419</v>
      </c>
      <c r="P27" s="57">
        <v>465304.76332873</v>
      </c>
      <c r="Q27" s="57">
        <v>388561.29579812003</v>
      </c>
      <c r="R27" s="57">
        <v>486585.20091259</v>
      </c>
      <c r="S27" s="57">
        <v>468307.36258929</v>
      </c>
      <c r="T27" s="40">
        <f t="shared" si="4"/>
        <v>0.2041081249212351</v>
      </c>
      <c r="U27" s="40">
        <f t="shared" si="5"/>
        <v>0.156716800902565</v>
      </c>
      <c r="V27" s="40">
        <f t="shared" si="6"/>
        <v>0.030830578145079057</v>
      </c>
      <c r="W27" s="40">
        <f t="shared" si="7"/>
        <v>0.05656365313141243</v>
      </c>
      <c r="X27" s="40">
        <f t="shared" si="8"/>
        <v>0.011180833039258653</v>
      </c>
      <c r="Y27" s="40">
        <f t="shared" si="9"/>
        <v>0.08736216113787831</v>
      </c>
      <c r="Z27" s="40">
        <f t="shared" si="10"/>
        <v>0.2269828155018907</v>
      </c>
      <c r="AA27" s="40">
        <f t="shared" si="11"/>
        <v>0.06287429051486759</v>
      </c>
      <c r="AB27" s="40">
        <f t="shared" si="12"/>
        <v>0.06080569598242769</v>
      </c>
      <c r="AC27" s="40">
        <f t="shared" si="13"/>
        <v>0.02902376746122548</v>
      </c>
      <c r="AD27" s="40">
        <f t="shared" si="14"/>
        <v>0.05020058487180368</v>
      </c>
      <c r="AE27" s="40">
        <f t="shared" si="15"/>
        <v>0.0380610013144258</v>
      </c>
      <c r="AF27" s="40">
        <f t="shared" si="16"/>
        <v>0.05709315614655708</v>
      </c>
      <c r="AG27" s="40">
        <f t="shared" si="17"/>
        <v>-0.16493161811110024</v>
      </c>
      <c r="AH27" s="40">
        <f t="shared" si="17"/>
        <v>0.2522739814142452</v>
      </c>
      <c r="AI27" s="40">
        <f t="shared" si="17"/>
        <v>-0.037563489989050125</v>
      </c>
    </row>
    <row r="28" spans="2:35" ht="12.75">
      <c r="B28" s="33" t="s">
        <v>135</v>
      </c>
      <c r="C28" s="26"/>
      <c r="D28" s="26"/>
      <c r="E28" s="26"/>
      <c r="F28" s="26"/>
      <c r="G28" s="57"/>
      <c r="H28" s="57"/>
      <c r="I28" s="57"/>
      <c r="J28" s="57"/>
      <c r="K28" s="57"/>
      <c r="L28" s="57"/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14387.542818009999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2:35" ht="12.75">
      <c r="B29" s="33" t="s">
        <v>136</v>
      </c>
      <c r="C29" s="26"/>
      <c r="D29" s="26"/>
      <c r="E29" s="26"/>
      <c r="F29" s="26"/>
      <c r="G29" s="57"/>
      <c r="H29" s="57"/>
      <c r="I29" s="57"/>
      <c r="J29" s="57"/>
      <c r="K29" s="57"/>
      <c r="L29" s="57"/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217240.9687105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2:35" ht="12.75">
      <c r="B30" s="32" t="s">
        <v>33</v>
      </c>
      <c r="C30" s="26">
        <v>15754.297294700002</v>
      </c>
      <c r="D30" s="26">
        <v>18470.63600264</v>
      </c>
      <c r="E30" s="26">
        <v>20945.89819334</v>
      </c>
      <c r="F30" s="26">
        <v>25925.38340807</v>
      </c>
      <c r="G30" s="57">
        <v>29266.79892128</v>
      </c>
      <c r="H30" s="57">
        <v>32694.593162639998</v>
      </c>
      <c r="I30" s="57">
        <v>35366.70024852</v>
      </c>
      <c r="J30" s="57">
        <v>28362.53930803</v>
      </c>
      <c r="K30" s="57">
        <v>30507.70932949</v>
      </c>
      <c r="L30" s="57">
        <v>32175.661323490003</v>
      </c>
      <c r="M30" s="57">
        <v>58979.90850756</v>
      </c>
      <c r="N30" s="57">
        <v>35470.38201146</v>
      </c>
      <c r="O30" s="57">
        <v>37740.80153794</v>
      </c>
      <c r="P30" s="57">
        <v>37949.21018347</v>
      </c>
      <c r="Q30" s="57">
        <v>36539.23699182</v>
      </c>
      <c r="R30" s="57">
        <v>233354.16340927</v>
      </c>
      <c r="S30" s="57">
        <v>254628.91868141002</v>
      </c>
      <c r="T30" s="40">
        <f t="shared" si="4"/>
        <v>0.17241890622781497</v>
      </c>
      <c r="U30" s="40">
        <f t="shared" si="5"/>
        <v>0.13401066375549875</v>
      </c>
      <c r="V30" s="40">
        <f t="shared" si="6"/>
        <v>0.2377308038436512</v>
      </c>
      <c r="W30" s="40">
        <f t="shared" si="7"/>
        <v>0.1288858668207733</v>
      </c>
      <c r="X30" s="40">
        <f t="shared" si="8"/>
        <v>0.1171222807994774</v>
      </c>
      <c r="Y30" s="40">
        <f t="shared" si="9"/>
        <v>0.08172932669899091</v>
      </c>
      <c r="Z30" s="40">
        <f t="shared" si="10"/>
        <v>-0.19804394787390733</v>
      </c>
      <c r="AA30" s="40">
        <f t="shared" si="11"/>
        <v>0.07563391973343725</v>
      </c>
      <c r="AB30" s="40">
        <f t="shared" si="12"/>
        <v>0.054673131174345135</v>
      </c>
      <c r="AC30" s="40">
        <f t="shared" si="13"/>
        <v>0.8330597128861941</v>
      </c>
      <c r="AD30" s="40">
        <f t="shared" si="14"/>
        <v>-0.3986022883213962</v>
      </c>
      <c r="AE30" s="40">
        <f t="shared" si="15"/>
        <v>0.0640088828405192</v>
      </c>
      <c r="AF30" s="40">
        <f t="shared" si="16"/>
        <v>0.005522104381394444</v>
      </c>
      <c r="AG30" s="40">
        <f t="shared" si="17"/>
        <v>-0.03715421703991517</v>
      </c>
      <c r="AH30" s="40">
        <f t="shared" si="17"/>
        <v>5.386399460435114</v>
      </c>
      <c r="AI30" s="40">
        <f t="shared" si="17"/>
        <v>0.09116938374408656</v>
      </c>
    </row>
    <row r="31" spans="2:35" ht="12.75">
      <c r="B31" s="32" t="s">
        <v>12</v>
      </c>
      <c r="C31" s="26">
        <v>4684.81679341</v>
      </c>
      <c r="D31" s="26">
        <v>11086.974799180001</v>
      </c>
      <c r="E31" s="26">
        <v>5300.82053875</v>
      </c>
      <c r="F31" s="26">
        <v>6846.80871893</v>
      </c>
      <c r="G31" s="57">
        <v>7002.94527064</v>
      </c>
      <c r="H31" s="57">
        <v>8355.363117140001</v>
      </c>
      <c r="I31" s="57">
        <v>7265.73095845</v>
      </c>
      <c r="J31" s="57">
        <v>6798.783998320001</v>
      </c>
      <c r="K31" s="57">
        <v>10438.98816035</v>
      </c>
      <c r="L31" s="57">
        <v>21327.84268523</v>
      </c>
      <c r="M31" s="57">
        <v>20389.84883754</v>
      </c>
      <c r="N31" s="57">
        <v>50517.05719923</v>
      </c>
      <c r="O31" s="57">
        <v>37543.65223968</v>
      </c>
      <c r="P31" s="57">
        <v>52326.08367396</v>
      </c>
      <c r="Q31" s="57">
        <v>30041.69738855</v>
      </c>
      <c r="R31" s="57">
        <v>74489.18550858</v>
      </c>
      <c r="S31" s="57">
        <v>228340.46790700004</v>
      </c>
      <c r="T31" s="40">
        <f t="shared" si="4"/>
        <v>1.3665759597634075</v>
      </c>
      <c r="U31" s="40">
        <f t="shared" si="5"/>
        <v>-0.5218875631302011</v>
      </c>
      <c r="V31" s="40">
        <f t="shared" si="6"/>
        <v>0.2916507300857545</v>
      </c>
      <c r="W31" s="40">
        <f t="shared" si="7"/>
        <v>0.022804281252711833</v>
      </c>
      <c r="X31" s="40">
        <f t="shared" si="8"/>
        <v>0.19312129314647697</v>
      </c>
      <c r="Y31" s="40">
        <f t="shared" si="9"/>
        <v>-0.13041110762197217</v>
      </c>
      <c r="Z31" s="40">
        <f t="shared" si="10"/>
        <v>-0.06426703146597279</v>
      </c>
      <c r="AA31" s="40">
        <f t="shared" si="11"/>
        <v>0.5354198872812408</v>
      </c>
      <c r="AB31" s="40">
        <f t="shared" si="12"/>
        <v>1.0430948246726355</v>
      </c>
      <c r="AC31" s="40">
        <f t="shared" si="13"/>
        <v>-0.043979780868300344</v>
      </c>
      <c r="AD31" s="40">
        <f t="shared" si="14"/>
        <v>1.477559181617003</v>
      </c>
      <c r="AE31" s="40">
        <f t="shared" si="15"/>
        <v>-0.25681236554190545</v>
      </c>
      <c r="AF31" s="40">
        <f t="shared" si="16"/>
        <v>0.39373983489694697</v>
      </c>
      <c r="AG31" s="40">
        <f t="shared" si="17"/>
        <v>-0.425875294322854</v>
      </c>
      <c r="AH31" s="40">
        <f t="shared" si="17"/>
        <v>1.479526524255936</v>
      </c>
      <c r="AI31" s="40">
        <f t="shared" si="17"/>
        <v>2.0654177025562825</v>
      </c>
    </row>
    <row r="32" spans="2:35" ht="12.75">
      <c r="B32" s="32" t="s">
        <v>34</v>
      </c>
      <c r="C32" s="26">
        <v>6137.7346696</v>
      </c>
      <c r="D32" s="26">
        <v>11207.685932420001</v>
      </c>
      <c r="E32" s="26">
        <v>14053.956051990002</v>
      </c>
      <c r="F32" s="26">
        <v>13491.12445098</v>
      </c>
      <c r="G32" s="57">
        <v>64703.19411689</v>
      </c>
      <c r="H32" s="57">
        <v>71187.91741446</v>
      </c>
      <c r="I32" s="57">
        <v>76028.19190915</v>
      </c>
      <c r="J32" s="57">
        <v>83862.03747064999</v>
      </c>
      <c r="K32" s="57">
        <v>92271.61223900001</v>
      </c>
      <c r="L32" s="57">
        <v>90474.28241987</v>
      </c>
      <c r="M32" s="57">
        <v>77343.37519527003</v>
      </c>
      <c r="N32" s="57">
        <v>92028.70550379</v>
      </c>
      <c r="O32" s="57">
        <v>114905.58641216</v>
      </c>
      <c r="P32" s="57">
        <v>97858.18769606</v>
      </c>
      <c r="Q32" s="57">
        <v>126971.68030792999</v>
      </c>
      <c r="R32" s="57">
        <v>123057.89941696999</v>
      </c>
      <c r="S32" s="57">
        <v>6266.654331219999</v>
      </c>
      <c r="T32" s="40">
        <f t="shared" si="4"/>
        <v>0.8260297219968311</v>
      </c>
      <c r="U32" s="40">
        <f t="shared" si="5"/>
        <v>0.25395698422782487</v>
      </c>
      <c r="V32" s="40">
        <f t="shared" si="6"/>
        <v>-0.04004791241184413</v>
      </c>
      <c r="W32" s="40">
        <f t="shared" si="7"/>
        <v>3.7959823031793274</v>
      </c>
      <c r="X32" s="40">
        <f t="shared" si="8"/>
        <v>0.10022261475770389</v>
      </c>
      <c r="Y32" s="40">
        <f t="shared" si="9"/>
        <v>0.06799292169919302</v>
      </c>
      <c r="Z32" s="40">
        <f t="shared" si="10"/>
        <v>0.10303869347387673</v>
      </c>
      <c r="AA32" s="40">
        <f t="shared" si="11"/>
        <v>0.10027868415781338</v>
      </c>
      <c r="AB32" s="40">
        <f t="shared" si="12"/>
        <v>-0.019478686624382457</v>
      </c>
      <c r="AC32" s="40">
        <f t="shared" si="13"/>
        <v>-0.14513414059105212</v>
      </c>
      <c r="AD32" s="40">
        <f t="shared" si="14"/>
        <v>0.18987185743373214</v>
      </c>
      <c r="AE32" s="40">
        <f t="shared" si="15"/>
        <v>0.24858418667453575</v>
      </c>
      <c r="AF32" s="40">
        <f t="shared" si="16"/>
        <v>-0.14836005148567732</v>
      </c>
      <c r="AG32" s="40">
        <f t="shared" si="17"/>
        <v>0.2975069669417365</v>
      </c>
      <c r="AH32" s="40">
        <f t="shared" si="17"/>
        <v>-0.030824045814534018</v>
      </c>
      <c r="AI32" s="40">
        <f t="shared" si="17"/>
        <v>-0.9490755623092018</v>
      </c>
    </row>
    <row r="33" spans="2:35" ht="12.75">
      <c r="B33" s="15"/>
      <c r="C33" s="8"/>
      <c r="D33" s="8"/>
      <c r="E33" s="8"/>
      <c r="F33" s="1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2:35" s="21" customFormat="1" ht="12.75">
      <c r="B34" s="4" t="s">
        <v>11</v>
      </c>
      <c r="C34" s="7">
        <v>90</v>
      </c>
      <c r="D34" s="7">
        <v>95</v>
      </c>
      <c r="E34" s="7">
        <v>185</v>
      </c>
      <c r="F34" s="7">
        <v>0</v>
      </c>
      <c r="G34" s="72">
        <v>103.04488263</v>
      </c>
      <c r="H34" s="72">
        <v>53.5</v>
      </c>
      <c r="I34" s="72">
        <v>30</v>
      </c>
      <c r="J34" s="72">
        <v>0</v>
      </c>
      <c r="K34" s="72">
        <v>0</v>
      </c>
      <c r="L34" s="72">
        <v>839.3072566199999</v>
      </c>
      <c r="M34" s="72">
        <f>4615.88411735-136.4</f>
        <v>4479.484117350001</v>
      </c>
      <c r="N34" s="72">
        <v>5884.78073783</v>
      </c>
      <c r="O34" s="72">
        <v>1470.1682214900002</v>
      </c>
      <c r="P34" s="72">
        <v>30375.675</v>
      </c>
      <c r="Q34" s="72">
        <v>75000</v>
      </c>
      <c r="R34" s="72">
        <v>6534.948945</v>
      </c>
      <c r="S34" s="72">
        <v>7610.13509</v>
      </c>
      <c r="T34" s="40">
        <f t="shared" si="4"/>
        <v>0.05555555555555558</v>
      </c>
      <c r="U34" s="40">
        <f aca="true" t="shared" si="24" ref="U34:AI34">+E34/D34-1</f>
        <v>0.9473684210526316</v>
      </c>
      <c r="V34" s="40">
        <f t="shared" si="24"/>
        <v>-1</v>
      </c>
      <c r="W34" s="40" t="e">
        <f t="shared" si="24"/>
        <v>#DIV/0!</v>
      </c>
      <c r="X34" s="40">
        <f t="shared" si="24"/>
        <v>-0.48080876376849535</v>
      </c>
      <c r="Y34" s="40">
        <f t="shared" si="24"/>
        <v>-0.4392523364485982</v>
      </c>
      <c r="Z34" s="40">
        <f t="shared" si="24"/>
        <v>-1</v>
      </c>
      <c r="AA34" s="66" t="e">
        <f t="shared" si="24"/>
        <v>#DIV/0!</v>
      </c>
      <c r="AB34" s="66" t="e">
        <f t="shared" si="24"/>
        <v>#DIV/0!</v>
      </c>
      <c r="AC34" s="40">
        <f t="shared" si="24"/>
        <v>4.337120681393212</v>
      </c>
      <c r="AD34" s="40">
        <f t="shared" si="24"/>
        <v>0.31371840677746454</v>
      </c>
      <c r="AE34" s="40">
        <f t="shared" si="24"/>
        <v>-0.750174511679067</v>
      </c>
      <c r="AF34" s="40">
        <f t="shared" si="24"/>
        <v>19.661360078382437</v>
      </c>
      <c r="AG34" s="40">
        <f t="shared" si="24"/>
        <v>1.469080934003936</v>
      </c>
      <c r="AH34" s="40">
        <f t="shared" si="24"/>
        <v>-0.9128673474</v>
      </c>
      <c r="AI34" s="40">
        <f t="shared" si="24"/>
        <v>0.1645286220365414</v>
      </c>
    </row>
    <row r="35" spans="2:35" ht="12.75">
      <c r="B35" s="15"/>
      <c r="C35" s="26"/>
      <c r="D35" s="26"/>
      <c r="E35" s="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2.75">
      <c r="A36" s="21">
        <v>2</v>
      </c>
      <c r="B36" s="4" t="s">
        <v>55</v>
      </c>
      <c r="C36" s="29">
        <f>+C40+C56</f>
        <v>780140.41</v>
      </c>
      <c r="D36" s="29">
        <f aca="true" t="shared" si="25" ref="D36:K36">+D40+D56</f>
        <v>929872.0999999999</v>
      </c>
      <c r="E36" s="47">
        <f t="shared" si="25"/>
        <v>1081621.44245584</v>
      </c>
      <c r="F36" s="29">
        <f t="shared" si="25"/>
        <v>1319488.4155341398</v>
      </c>
      <c r="G36" s="29">
        <f t="shared" si="25"/>
        <v>1669268.5</v>
      </c>
      <c r="H36" s="29">
        <f t="shared" si="25"/>
        <v>1837870.16866757</v>
      </c>
      <c r="I36" s="29">
        <f t="shared" si="25"/>
        <v>2029691.7504268598</v>
      </c>
      <c r="J36" s="29">
        <f t="shared" si="25"/>
        <v>2244668.69005623</v>
      </c>
      <c r="K36" s="29">
        <f t="shared" si="25"/>
        <v>2506891.825721</v>
      </c>
      <c r="L36" s="29">
        <f aca="true" t="shared" si="26" ref="L36:S36">+L40+L56+L65</f>
        <v>2755740.46878197</v>
      </c>
      <c r="M36" s="29">
        <f t="shared" si="26"/>
        <v>2837231.2587947305</v>
      </c>
      <c r="N36" s="29">
        <f t="shared" si="26"/>
        <v>3119476.10718017</v>
      </c>
      <c r="O36" s="29">
        <f t="shared" si="26"/>
        <v>3336930.2571293</v>
      </c>
      <c r="P36" s="29">
        <f t="shared" si="26"/>
        <v>3649007.5946838297</v>
      </c>
      <c r="Q36" s="29">
        <f t="shared" si="26"/>
        <v>3675810.1760444203</v>
      </c>
      <c r="R36" s="29">
        <f t="shared" si="26"/>
        <v>3892747.1564754206</v>
      </c>
      <c r="S36" s="29">
        <f t="shared" si="26"/>
        <v>3972678.97084331</v>
      </c>
      <c r="T36" s="53">
        <f t="shared" si="4"/>
        <v>0.1919291554195992</v>
      </c>
      <c r="U36" s="53">
        <f aca="true" t="shared" si="27" ref="U36:AI36">+E36/D36-1</f>
        <v>0.1631937795056333</v>
      </c>
      <c r="V36" s="53">
        <f t="shared" si="27"/>
        <v>0.2199170280298981</v>
      </c>
      <c r="W36" s="53">
        <f t="shared" si="27"/>
        <v>0.2650876509016309</v>
      </c>
      <c r="X36" s="53">
        <f t="shared" si="27"/>
        <v>0.10100332491002506</v>
      </c>
      <c r="Y36" s="53">
        <f t="shared" si="27"/>
        <v>0.10437167163900263</v>
      </c>
      <c r="Z36" s="53">
        <f t="shared" si="27"/>
        <v>0.10591605330423137</v>
      </c>
      <c r="AA36" s="53">
        <f t="shared" si="27"/>
        <v>0.11682041845480606</v>
      </c>
      <c r="AB36" s="53">
        <f t="shared" si="27"/>
        <v>0.09926580816441866</v>
      </c>
      <c r="AC36" s="53">
        <f t="shared" si="27"/>
        <v>0.029571286170057665</v>
      </c>
      <c r="AD36" s="53">
        <f t="shared" si="27"/>
        <v>0.09947897180060616</v>
      </c>
      <c r="AE36" s="53">
        <f t="shared" si="27"/>
        <v>0.06970854799900894</v>
      </c>
      <c r="AF36" s="53">
        <f t="shared" si="27"/>
        <v>0.09352228350825764</v>
      </c>
      <c r="AG36" s="53">
        <f t="shared" si="27"/>
        <v>0.007345170067510676</v>
      </c>
      <c r="AH36" s="53">
        <f t="shared" si="27"/>
        <v>0.05901746010846742</v>
      </c>
      <c r="AI36" s="53">
        <f t="shared" si="27"/>
        <v>0.020533523281861754</v>
      </c>
    </row>
    <row r="37" spans="1:35" ht="12.75">
      <c r="A37" s="21"/>
      <c r="B37" s="22"/>
      <c r="C37" s="35"/>
      <c r="D37" s="35"/>
      <c r="E37" s="4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2.75">
      <c r="A38" s="21">
        <v>3</v>
      </c>
      <c r="B38" s="4" t="s">
        <v>16</v>
      </c>
      <c r="C38" s="30">
        <f>+C36-C46</f>
        <v>571381.91</v>
      </c>
      <c r="D38" s="30">
        <f aca="true" t="shared" si="28" ref="D38:O38">+D36-D46</f>
        <v>704799.4999999999</v>
      </c>
      <c r="E38" s="49">
        <f t="shared" si="28"/>
        <v>903293.54245584</v>
      </c>
      <c r="F38" s="30">
        <f t="shared" si="28"/>
        <v>1145876.4155341398</v>
      </c>
      <c r="G38" s="30">
        <f t="shared" si="28"/>
        <v>1473530.7</v>
      </c>
      <c r="H38" s="30">
        <f t="shared" si="28"/>
        <v>1609902.54031731</v>
      </c>
      <c r="I38" s="30">
        <f t="shared" si="28"/>
        <v>1789688.7850654498</v>
      </c>
      <c r="J38" s="30">
        <f t="shared" si="28"/>
        <v>1946633.17644951</v>
      </c>
      <c r="K38" s="30">
        <f t="shared" si="28"/>
        <v>2189625.52467742</v>
      </c>
      <c r="L38" s="30">
        <f t="shared" si="28"/>
        <v>2376709.76147029</v>
      </c>
      <c r="M38" s="30">
        <f t="shared" si="28"/>
        <v>2424214.0540263606</v>
      </c>
      <c r="N38" s="30">
        <f t="shared" si="28"/>
        <v>2620959.3379830196</v>
      </c>
      <c r="O38" s="30">
        <f t="shared" si="28"/>
        <v>2738389.9323318303</v>
      </c>
      <c r="P38" s="30">
        <f>+P36-P46</f>
        <v>2943009.7232773695</v>
      </c>
      <c r="Q38" s="30">
        <f>+Q36-Q46</f>
        <v>2864347.4166954705</v>
      </c>
      <c r="R38" s="30">
        <f>+R36-R46</f>
        <v>2977508.8219411704</v>
      </c>
      <c r="S38" s="30">
        <f>+S36-S46</f>
        <v>2961534.9494438097</v>
      </c>
      <c r="T38" s="42">
        <f t="shared" si="4"/>
        <v>0.23349984951396152</v>
      </c>
      <c r="U38" s="42">
        <f aca="true" t="shared" si="29" ref="U38:AI38">+E38/D38-1</f>
        <v>0.2816319285922311</v>
      </c>
      <c r="V38" s="42">
        <f t="shared" si="29"/>
        <v>0.26855375542570004</v>
      </c>
      <c r="W38" s="42">
        <f t="shared" si="29"/>
        <v>0.2859420789397493</v>
      </c>
      <c r="X38" s="42">
        <f t="shared" si="29"/>
        <v>0.0925476749940195</v>
      </c>
      <c r="Y38" s="42">
        <f t="shared" si="29"/>
        <v>0.11167523514355349</v>
      </c>
      <c r="Z38" s="42">
        <f t="shared" si="29"/>
        <v>0.08769367763475189</v>
      </c>
      <c r="AA38" s="42">
        <f t="shared" si="29"/>
        <v>0.12482698392673397</v>
      </c>
      <c r="AB38" s="42">
        <f t="shared" si="29"/>
        <v>0.0854412020157791</v>
      </c>
      <c r="AC38" s="42">
        <f t="shared" si="29"/>
        <v>0.019987418458147443</v>
      </c>
      <c r="AD38" s="42">
        <f t="shared" si="29"/>
        <v>0.08115837940543491</v>
      </c>
      <c r="AE38" s="42">
        <f t="shared" si="29"/>
        <v>0.04480443196771611</v>
      </c>
      <c r="AF38" s="42">
        <f t="shared" si="29"/>
        <v>0.07472266404781092</v>
      </c>
      <c r="AG38" s="42">
        <f t="shared" si="29"/>
        <v>-0.026728524190636982</v>
      </c>
      <c r="AH38" s="42">
        <f t="shared" si="29"/>
        <v>0.03950687147310217</v>
      </c>
      <c r="AI38" s="42">
        <f t="shared" si="29"/>
        <v>-0.00536484472511034</v>
      </c>
    </row>
    <row r="39" spans="2:35" ht="12.75">
      <c r="B39" s="15"/>
      <c r="C39" s="26"/>
      <c r="D39" s="26"/>
      <c r="E39" s="4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2:35" ht="12.75">
      <c r="B40" s="22" t="s">
        <v>1</v>
      </c>
      <c r="C40" s="28">
        <f>+C43+C44+C45+C46+C50</f>
        <v>747575.81</v>
      </c>
      <c r="D40" s="28">
        <f aca="true" t="shared" si="30" ref="D40:O40">+D43+D44+D45+D46+D50</f>
        <v>876449.3999999999</v>
      </c>
      <c r="E40" s="50">
        <f t="shared" si="30"/>
        <v>979243.84245584</v>
      </c>
      <c r="F40" s="28">
        <f t="shared" si="30"/>
        <v>1212499.51553414</v>
      </c>
      <c r="G40" s="28">
        <f t="shared" si="30"/>
        <v>1535523.4</v>
      </c>
      <c r="H40" s="28">
        <f t="shared" si="30"/>
        <v>1722172.15175811</v>
      </c>
      <c r="I40" s="28">
        <f t="shared" si="30"/>
        <v>1897388.50573817</v>
      </c>
      <c r="J40" s="28">
        <f t="shared" si="30"/>
        <v>2110916.7553686798</v>
      </c>
      <c r="K40" s="28">
        <f t="shared" si="30"/>
        <v>2310562.32777063</v>
      </c>
      <c r="L40" s="28">
        <f t="shared" si="30"/>
        <v>2540511.7419912303</v>
      </c>
      <c r="M40" s="28">
        <f t="shared" si="30"/>
        <v>2668535.5634095306</v>
      </c>
      <c r="N40" s="28">
        <f t="shared" si="30"/>
        <v>2900888.97550401</v>
      </c>
      <c r="O40" s="28">
        <f t="shared" si="30"/>
        <v>3149017.6023300597</v>
      </c>
      <c r="P40" s="28">
        <f>+P43+P44+P45+P46+P50</f>
        <v>3348522.4168350697</v>
      </c>
      <c r="Q40" s="28">
        <f>+Q43+Q44+Q45+Q46+Q50</f>
        <v>3500657.5368381804</v>
      </c>
      <c r="R40" s="28">
        <f>+R43+R44+R45+R46+R50</f>
        <v>3649896.6429195004</v>
      </c>
      <c r="S40" s="28">
        <f>+S43+S44+S45+S46+S50</f>
        <v>3762089.43303604</v>
      </c>
      <c r="T40" s="38">
        <f t="shared" si="4"/>
        <v>0.17238865714501905</v>
      </c>
      <c r="U40" s="38">
        <f aca="true" t="shared" si="31" ref="U40:AI40">+E40/D40-1</f>
        <v>0.1172850850897269</v>
      </c>
      <c r="V40" s="38">
        <f t="shared" si="31"/>
        <v>0.23819978535000996</v>
      </c>
      <c r="W40" s="38">
        <f t="shared" si="31"/>
        <v>0.2664115575531252</v>
      </c>
      <c r="X40" s="38">
        <f t="shared" si="31"/>
        <v>0.12155383093354999</v>
      </c>
      <c r="Y40" s="38">
        <f t="shared" si="31"/>
        <v>0.10174148606525035</v>
      </c>
      <c r="Z40" s="38">
        <f t="shared" si="31"/>
        <v>0.11253796941677874</v>
      </c>
      <c r="AA40" s="38">
        <f t="shared" si="31"/>
        <v>0.09457766247493793</v>
      </c>
      <c r="AB40" s="38">
        <f t="shared" si="31"/>
        <v>0.09952097437789931</v>
      </c>
      <c r="AC40" s="38">
        <f t="shared" si="31"/>
        <v>0.05039292647313509</v>
      </c>
      <c r="AD40" s="38">
        <f t="shared" si="31"/>
        <v>0.08707150666472896</v>
      </c>
      <c r="AE40" s="38">
        <f t="shared" si="31"/>
        <v>0.08553537516303567</v>
      </c>
      <c r="AF40" s="38">
        <f t="shared" si="31"/>
        <v>0.06335462029726036</v>
      </c>
      <c r="AG40" s="38">
        <f t="shared" si="31"/>
        <v>0.045433507996910594</v>
      </c>
      <c r="AH40" s="38">
        <f t="shared" si="31"/>
        <v>0.04263173546993504</v>
      </c>
      <c r="AI40" s="38">
        <f t="shared" si="31"/>
        <v>0.030738621142651912</v>
      </c>
    </row>
    <row r="41" spans="2:35" ht="12.75">
      <c r="B41" s="15"/>
      <c r="C41" s="27"/>
      <c r="D41" s="26"/>
      <c r="E41" s="4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2:35" ht="12.75">
      <c r="B42" s="44" t="s">
        <v>41</v>
      </c>
      <c r="C42" s="7">
        <f>SUM(C43:C44)</f>
        <v>294750.71</v>
      </c>
      <c r="D42" s="7">
        <f aca="true" t="shared" si="32" ref="D42:J42">SUM(D43:D44)</f>
        <v>329473.9</v>
      </c>
      <c r="E42" s="51">
        <f t="shared" si="32"/>
        <v>396969.7</v>
      </c>
      <c r="F42" s="7">
        <f t="shared" si="32"/>
        <v>531390.7</v>
      </c>
      <c r="G42" s="7">
        <f t="shared" si="32"/>
        <v>654993.2</v>
      </c>
      <c r="H42" s="7">
        <f t="shared" si="32"/>
        <v>739417.6799445299</v>
      </c>
      <c r="I42" s="7">
        <f t="shared" si="32"/>
        <v>809215.58832199</v>
      </c>
      <c r="J42" s="7">
        <f t="shared" si="32"/>
        <v>888226.7037508698</v>
      </c>
      <c r="K42" s="7">
        <f aca="true" t="shared" si="33" ref="K42:S42">SUM(K43:K44)</f>
        <v>956715.9482566899</v>
      </c>
      <c r="L42" s="7">
        <f t="shared" si="33"/>
        <v>1047711.87848555</v>
      </c>
      <c r="M42" s="7">
        <f t="shared" si="33"/>
        <v>1065131.5171282205</v>
      </c>
      <c r="N42" s="7">
        <f t="shared" si="33"/>
        <v>1106893.3402743898</v>
      </c>
      <c r="O42" s="7">
        <f t="shared" si="33"/>
        <v>1170794.8679803798</v>
      </c>
      <c r="P42" s="7">
        <f t="shared" si="33"/>
        <v>1204308.8395105598</v>
      </c>
      <c r="Q42" s="7">
        <f t="shared" si="33"/>
        <v>1231336.85349515</v>
      </c>
      <c r="R42" s="7">
        <f t="shared" si="33"/>
        <v>1301419.1808440902</v>
      </c>
      <c r="S42" s="7">
        <f t="shared" si="33"/>
        <v>1293833.5716647601</v>
      </c>
      <c r="T42" s="42">
        <f t="shared" si="4"/>
        <v>0.11780528026548276</v>
      </c>
      <c r="U42" s="42">
        <f aca="true" t="shared" si="34" ref="U42:AI48">+E42/D42-1</f>
        <v>0.20485932269597074</v>
      </c>
      <c r="V42" s="42">
        <f t="shared" si="34"/>
        <v>0.3386177836746733</v>
      </c>
      <c r="W42" s="42">
        <f t="shared" si="34"/>
        <v>0.23260192547592573</v>
      </c>
      <c r="X42" s="42">
        <f t="shared" si="34"/>
        <v>0.1288936739259734</v>
      </c>
      <c r="Y42" s="42">
        <f t="shared" si="34"/>
        <v>0.09439577963931867</v>
      </c>
      <c r="Z42" s="42">
        <f t="shared" si="34"/>
        <v>0.0976391416195026</v>
      </c>
      <c r="AA42" s="42">
        <f t="shared" si="34"/>
        <v>0.07710784219456435</v>
      </c>
      <c r="AB42" s="42">
        <f t="shared" si="34"/>
        <v>0.09511279747627421</v>
      </c>
      <c r="AC42" s="42">
        <f t="shared" si="34"/>
        <v>0.016626363602797234</v>
      </c>
      <c r="AD42" s="42">
        <f t="shared" si="34"/>
        <v>0.039208137656809194</v>
      </c>
      <c r="AE42" s="42">
        <f t="shared" si="34"/>
        <v>0.057730519627256394</v>
      </c>
      <c r="AF42" s="42">
        <f t="shared" si="34"/>
        <v>0.028624973039035995</v>
      </c>
      <c r="AG42" s="42">
        <f t="shared" si="34"/>
        <v>0.022442759778774635</v>
      </c>
      <c r="AH42" s="42">
        <f t="shared" si="34"/>
        <v>0.056915641848947596</v>
      </c>
      <c r="AI42" s="42">
        <f t="shared" si="34"/>
        <v>-0.005828720900217577</v>
      </c>
    </row>
    <row r="43" spans="2:35" ht="12.75">
      <c r="B43" s="36" t="s">
        <v>2</v>
      </c>
      <c r="C43" s="8">
        <v>245982.41</v>
      </c>
      <c r="D43" s="8">
        <v>275236.9</v>
      </c>
      <c r="E43" s="52">
        <v>331536.9</v>
      </c>
      <c r="F43" s="26">
        <v>443316</v>
      </c>
      <c r="G43" s="26">
        <v>547794.7</v>
      </c>
      <c r="H43" s="26">
        <v>615503.24037749</v>
      </c>
      <c r="I43" s="26">
        <v>672681.05399741</v>
      </c>
      <c r="J43" s="26">
        <v>740000.3952587799</v>
      </c>
      <c r="K43" s="26">
        <v>798840.9728438</v>
      </c>
      <c r="L43" s="26">
        <v>867847.5576479901</v>
      </c>
      <c r="M43" s="26">
        <v>885507.0883165204</v>
      </c>
      <c r="N43" s="26">
        <v>913740.5719071898</v>
      </c>
      <c r="O43" s="26">
        <v>964976.0207268299</v>
      </c>
      <c r="P43" s="26">
        <v>988825.5909111598</v>
      </c>
      <c r="Q43" s="26">
        <v>1013044.2248073102</v>
      </c>
      <c r="R43" s="26">
        <v>1071042.7290609402</v>
      </c>
      <c r="S43" s="26">
        <v>1062481.79490034</v>
      </c>
      <c r="T43" s="40">
        <f t="shared" si="4"/>
        <v>0.11892919497780352</v>
      </c>
      <c r="U43" s="40">
        <f t="shared" si="34"/>
        <v>0.20455106128575062</v>
      </c>
      <c r="V43" s="40">
        <f t="shared" si="34"/>
        <v>0.33715432580807736</v>
      </c>
      <c r="W43" s="40">
        <f t="shared" si="34"/>
        <v>0.2356754549801947</v>
      </c>
      <c r="X43" s="40">
        <f t="shared" si="34"/>
        <v>0.1236020362692265</v>
      </c>
      <c r="Y43" s="40">
        <f t="shared" si="34"/>
        <v>0.09289603997024076</v>
      </c>
      <c r="Z43" s="40">
        <f t="shared" si="34"/>
        <v>0.10007616664885144</v>
      </c>
      <c r="AA43" s="40">
        <f t="shared" si="34"/>
        <v>0.07951425156258662</v>
      </c>
      <c r="AB43" s="40">
        <f t="shared" si="34"/>
        <v>0.08638338186201566</v>
      </c>
      <c r="AC43" s="40">
        <f t="shared" si="34"/>
        <v>0.020348655144448058</v>
      </c>
      <c r="AD43" s="40">
        <f t="shared" si="34"/>
        <v>0.03188397243024377</v>
      </c>
      <c r="AE43" s="40">
        <f t="shared" si="34"/>
        <v>0.05607220516946043</v>
      </c>
      <c r="AF43" s="40">
        <f t="shared" si="34"/>
        <v>0.024715194649465033</v>
      </c>
      <c r="AG43" s="40">
        <f t="shared" si="34"/>
        <v>0.024492321111788673</v>
      </c>
      <c r="AH43" s="40">
        <f t="shared" si="34"/>
        <v>0.05725170020554815</v>
      </c>
      <c r="AI43" s="40">
        <f t="shared" si="34"/>
        <v>-0.007993083682203972</v>
      </c>
    </row>
    <row r="44" spans="2:35" ht="14.25">
      <c r="B44" s="36" t="s">
        <v>61</v>
      </c>
      <c r="C44" s="8">
        <v>48768.3</v>
      </c>
      <c r="D44" s="8">
        <v>54237</v>
      </c>
      <c r="E44" s="48">
        <v>65432.8</v>
      </c>
      <c r="F44" s="26">
        <v>88074.7</v>
      </c>
      <c r="G44" s="26">
        <v>107198.5</v>
      </c>
      <c r="H44" s="26">
        <v>123914.43956704</v>
      </c>
      <c r="I44" s="26">
        <v>136534.53432458002</v>
      </c>
      <c r="J44" s="26">
        <v>148226.30849209</v>
      </c>
      <c r="K44" s="26">
        <v>157874.97541289</v>
      </c>
      <c r="L44" s="26">
        <v>179864.32083756</v>
      </c>
      <c r="M44" s="26">
        <v>179624.42881170003</v>
      </c>
      <c r="N44" s="26">
        <v>193152.76836719998</v>
      </c>
      <c r="O44" s="26">
        <v>205818.84725355</v>
      </c>
      <c r="P44" s="26">
        <v>215483.24859939996</v>
      </c>
      <c r="Q44" s="26">
        <v>218292.62868784</v>
      </c>
      <c r="R44" s="26">
        <v>230376.45178315</v>
      </c>
      <c r="S44" s="26">
        <v>231351.77676442</v>
      </c>
      <c r="T44" s="40">
        <f t="shared" si="4"/>
        <v>0.11213636727136267</v>
      </c>
      <c r="U44" s="40">
        <f t="shared" si="34"/>
        <v>0.20642365912568916</v>
      </c>
      <c r="V44" s="40">
        <f t="shared" si="34"/>
        <v>0.34603287647785197</v>
      </c>
      <c r="W44" s="40">
        <f t="shared" si="34"/>
        <v>0.21713159397647686</v>
      </c>
      <c r="X44" s="40">
        <f t="shared" si="34"/>
        <v>0.1559344539992631</v>
      </c>
      <c r="Y44" s="40">
        <f t="shared" si="34"/>
        <v>0.10184523128728928</v>
      </c>
      <c r="Z44" s="40">
        <f t="shared" si="34"/>
        <v>0.08563235832859273</v>
      </c>
      <c r="AA44" s="40">
        <f t="shared" si="34"/>
        <v>0.0650941591877725</v>
      </c>
      <c r="AB44" s="40">
        <f t="shared" si="34"/>
        <v>0.13928328645601584</v>
      </c>
      <c r="AC44" s="40">
        <f t="shared" si="34"/>
        <v>-0.0013337388134727624</v>
      </c>
      <c r="AD44" s="40">
        <f t="shared" si="34"/>
        <v>0.07531458635663468</v>
      </c>
      <c r="AE44" s="40">
        <f t="shared" si="34"/>
        <v>0.06557544576462249</v>
      </c>
      <c r="AF44" s="40">
        <f t="shared" si="34"/>
        <v>0.046955861792114195</v>
      </c>
      <c r="AG44" s="40">
        <f t="shared" si="34"/>
        <v>0.013037579982205116</v>
      </c>
      <c r="AH44" s="40">
        <f t="shared" si="34"/>
        <v>0.05535607486128136</v>
      </c>
      <c r="AI44" s="40">
        <f t="shared" si="34"/>
        <v>0.0042336140422376545</v>
      </c>
    </row>
    <row r="45" spans="2:35" ht="14.25">
      <c r="B45" s="15" t="s">
        <v>62</v>
      </c>
      <c r="C45" s="26">
        <v>18444.4</v>
      </c>
      <c r="D45" s="26">
        <v>24762</v>
      </c>
      <c r="E45" s="48">
        <v>28643.799999999996</v>
      </c>
      <c r="F45" s="26">
        <v>38406.3</v>
      </c>
      <c r="G45" s="26">
        <v>46007.799999999996</v>
      </c>
      <c r="H45" s="26">
        <v>52883.675589130005</v>
      </c>
      <c r="I45" s="26">
        <v>53517.632727829994</v>
      </c>
      <c r="J45" s="26">
        <v>60319.958381590004</v>
      </c>
      <c r="K45" s="26">
        <v>70391.41099586</v>
      </c>
      <c r="L45" s="26">
        <v>74688.91889377</v>
      </c>
      <c r="M45" s="26">
        <v>69709.07597251999</v>
      </c>
      <c r="N45" s="26">
        <v>81898.12747630003</v>
      </c>
      <c r="O45" s="26">
        <v>83100.85476761001</v>
      </c>
      <c r="P45" s="26">
        <v>82376.20343491001</v>
      </c>
      <c r="Q45" s="26">
        <v>85614.55936245999</v>
      </c>
      <c r="R45" s="26">
        <v>121152.81317665</v>
      </c>
      <c r="S45" s="26">
        <v>129038.99616671001</v>
      </c>
      <c r="T45" s="40">
        <f t="shared" si="4"/>
        <v>0.3425213072802584</v>
      </c>
      <c r="U45" s="40">
        <f t="shared" si="34"/>
        <v>0.15676439706001122</v>
      </c>
      <c r="V45" s="40">
        <f t="shared" si="34"/>
        <v>0.3408241923208515</v>
      </c>
      <c r="W45" s="40">
        <f t="shared" si="34"/>
        <v>0.19792325738225225</v>
      </c>
      <c r="X45" s="40">
        <f t="shared" si="34"/>
        <v>0.1494502147272856</v>
      </c>
      <c r="Y45" s="40">
        <f t="shared" si="34"/>
        <v>0.011987766198881422</v>
      </c>
      <c r="Z45" s="40">
        <f t="shared" si="34"/>
        <v>0.12710438236971378</v>
      </c>
      <c r="AA45" s="40">
        <f t="shared" si="34"/>
        <v>0.16696716782456966</v>
      </c>
      <c r="AB45" s="40">
        <f t="shared" si="34"/>
        <v>0.06105159474872224</v>
      </c>
      <c r="AC45" s="40">
        <f t="shared" si="34"/>
        <v>-0.06667445445733167</v>
      </c>
      <c r="AD45" s="40">
        <f t="shared" si="34"/>
        <v>0.17485601887170454</v>
      </c>
      <c r="AE45" s="40">
        <f t="shared" si="34"/>
        <v>0.01468565067813099</v>
      </c>
      <c r="AF45" s="40">
        <f t="shared" si="34"/>
        <v>-0.008720142948306253</v>
      </c>
      <c r="AG45" s="40">
        <f t="shared" si="34"/>
        <v>0.03931178899387833</v>
      </c>
      <c r="AH45" s="40">
        <f t="shared" si="34"/>
        <v>0.4150959145130253</v>
      </c>
      <c r="AI45" s="40">
        <f t="shared" si="34"/>
        <v>0.06509285903713491</v>
      </c>
    </row>
    <row r="46" spans="2:35" ht="12.75">
      <c r="B46" s="15" t="s">
        <v>17</v>
      </c>
      <c r="C46" s="7">
        <f>+C47+C48</f>
        <v>208758.5</v>
      </c>
      <c r="D46" s="7">
        <f aca="true" t="shared" si="35" ref="D46:O46">+D47+D48</f>
        <v>225072.6</v>
      </c>
      <c r="E46" s="51">
        <f t="shared" si="35"/>
        <v>178327.9</v>
      </c>
      <c r="F46" s="7">
        <f t="shared" si="35"/>
        <v>173612</v>
      </c>
      <c r="G46" s="7">
        <f t="shared" si="35"/>
        <v>195737.8</v>
      </c>
      <c r="H46" s="7">
        <f t="shared" si="35"/>
        <v>227967.62835026003</v>
      </c>
      <c r="I46" s="7">
        <f t="shared" si="35"/>
        <v>240002.96536141</v>
      </c>
      <c r="J46" s="7">
        <f t="shared" si="35"/>
        <v>298035.51360671996</v>
      </c>
      <c r="K46" s="7">
        <f t="shared" si="35"/>
        <v>317266.30104358005</v>
      </c>
      <c r="L46" s="7">
        <f t="shared" si="35"/>
        <v>379030.70731168</v>
      </c>
      <c r="M46" s="7">
        <f t="shared" si="35"/>
        <v>413017.20476837</v>
      </c>
      <c r="N46" s="7">
        <f t="shared" si="35"/>
        <v>498516.76919715</v>
      </c>
      <c r="O46" s="7">
        <f t="shared" si="35"/>
        <v>598540.3247974699</v>
      </c>
      <c r="P46" s="7">
        <f>+P47+P48</f>
        <v>705997.87140646</v>
      </c>
      <c r="Q46" s="7">
        <f>+Q47+Q48</f>
        <v>811462.75934895</v>
      </c>
      <c r="R46" s="7">
        <f>+R47+R48</f>
        <v>915238.3345342501</v>
      </c>
      <c r="S46" s="7">
        <f>+S47+S48</f>
        <v>1011144.0213995001</v>
      </c>
      <c r="T46" s="42">
        <f t="shared" si="4"/>
        <v>0.07814819516331073</v>
      </c>
      <c r="U46" s="42">
        <f t="shared" si="34"/>
        <v>-0.20768720848295175</v>
      </c>
      <c r="V46" s="42">
        <f t="shared" si="34"/>
        <v>-0.026445104776089412</v>
      </c>
      <c r="W46" s="42">
        <f t="shared" si="34"/>
        <v>0.12744395548694776</v>
      </c>
      <c r="X46" s="42">
        <f t="shared" si="34"/>
        <v>0.1646581720559852</v>
      </c>
      <c r="Y46" s="42">
        <f t="shared" si="34"/>
        <v>0.052794061587807084</v>
      </c>
      <c r="Z46" s="42">
        <f t="shared" si="34"/>
        <v>0.24179929676252665</v>
      </c>
      <c r="AA46" s="42">
        <f t="shared" si="34"/>
        <v>0.06452515408025006</v>
      </c>
      <c r="AB46" s="42">
        <f t="shared" si="34"/>
        <v>0.1946768568389996</v>
      </c>
      <c r="AC46" s="42">
        <f t="shared" si="34"/>
        <v>0.08966687078665281</v>
      </c>
      <c r="AD46" s="42">
        <f t="shared" si="34"/>
        <v>0.2070121133978673</v>
      </c>
      <c r="AE46" s="42">
        <f t="shared" si="34"/>
        <v>0.20064230890648993</v>
      </c>
      <c r="AF46" s="42">
        <f t="shared" si="34"/>
        <v>0.1795326766752947</v>
      </c>
      <c r="AG46" s="42">
        <f t="shared" si="34"/>
        <v>0.1493841443634769</v>
      </c>
      <c r="AH46" s="42">
        <f t="shared" si="34"/>
        <v>0.12788704594226963</v>
      </c>
      <c r="AI46" s="42">
        <f t="shared" si="34"/>
        <v>0.10478766376635096</v>
      </c>
    </row>
    <row r="47" spans="2:35" ht="12.75">
      <c r="B47" s="15" t="s">
        <v>3</v>
      </c>
      <c r="C47" s="26">
        <v>165292</v>
      </c>
      <c r="D47" s="26">
        <v>180978.5</v>
      </c>
      <c r="E47" s="48">
        <v>136155.8</v>
      </c>
      <c r="F47" s="26">
        <v>130396.4</v>
      </c>
      <c r="G47" s="26">
        <v>161987</v>
      </c>
      <c r="H47" s="26">
        <v>195619.90437677002</v>
      </c>
      <c r="I47" s="26">
        <v>213728.16221426</v>
      </c>
      <c r="J47" s="26">
        <v>277645.88024484995</v>
      </c>
      <c r="K47" s="26">
        <v>276934.87461093004</v>
      </c>
      <c r="L47" s="26">
        <v>323688.10209943</v>
      </c>
      <c r="M47" s="26">
        <v>324461.91060393</v>
      </c>
      <c r="N47" s="26">
        <v>403430.57290195</v>
      </c>
      <c r="O47" s="26">
        <v>499454.3365404799</v>
      </c>
      <c r="P47" s="26">
        <v>594234.43659382</v>
      </c>
      <c r="Q47" s="26">
        <v>700611.67970568</v>
      </c>
      <c r="R47" s="26">
        <v>791838.42925666</v>
      </c>
      <c r="S47" s="26">
        <v>870155.06382963</v>
      </c>
      <c r="T47" s="40">
        <f t="shared" si="4"/>
        <v>0.0949017496309561</v>
      </c>
      <c r="U47" s="40">
        <f t="shared" si="34"/>
        <v>-0.24766864572311087</v>
      </c>
      <c r="V47" s="40">
        <f t="shared" si="34"/>
        <v>-0.04230007094813437</v>
      </c>
      <c r="W47" s="40">
        <f t="shared" si="34"/>
        <v>0.2422658907761257</v>
      </c>
      <c r="X47" s="40">
        <f t="shared" si="34"/>
        <v>0.20762718228481303</v>
      </c>
      <c r="Y47" s="40">
        <f t="shared" si="34"/>
        <v>0.09256858546772873</v>
      </c>
      <c r="Z47" s="40">
        <f t="shared" si="34"/>
        <v>0.29906081336400203</v>
      </c>
      <c r="AA47" s="40">
        <f t="shared" si="34"/>
        <v>-0.002560836246851106</v>
      </c>
      <c r="AB47" s="40">
        <f t="shared" si="34"/>
        <v>0.168823906899354</v>
      </c>
      <c r="AC47" s="40">
        <f t="shared" si="34"/>
        <v>0.0023905991585144726</v>
      </c>
      <c r="AD47" s="40">
        <f t="shared" si="34"/>
        <v>0.2433834595593467</v>
      </c>
      <c r="AE47" s="40">
        <f t="shared" si="34"/>
        <v>0.2380180633009874</v>
      </c>
      <c r="AF47" s="40">
        <f t="shared" si="34"/>
        <v>0.18976729826763306</v>
      </c>
      <c r="AG47" s="40">
        <f t="shared" si="34"/>
        <v>0.17901561498458318</v>
      </c>
      <c r="AH47" s="40">
        <f t="shared" si="34"/>
        <v>0.13021014663829678</v>
      </c>
      <c r="AI47" s="40">
        <f t="shared" si="34"/>
        <v>0.09890481653749728</v>
      </c>
    </row>
    <row r="48" spans="2:35" ht="12.75">
      <c r="B48" s="15" t="s">
        <v>4</v>
      </c>
      <c r="C48" s="26">
        <v>43466.5</v>
      </c>
      <c r="D48" s="26">
        <v>44094.1</v>
      </c>
      <c r="E48" s="48">
        <v>42172.1</v>
      </c>
      <c r="F48" s="26">
        <v>43215.6</v>
      </c>
      <c r="G48" s="26">
        <v>33750.8</v>
      </c>
      <c r="H48" s="26">
        <v>32347.72397349</v>
      </c>
      <c r="I48" s="26">
        <v>26274.80314715</v>
      </c>
      <c r="J48" s="26">
        <v>20389.63336187</v>
      </c>
      <c r="K48" s="26">
        <v>40331.42643265</v>
      </c>
      <c r="L48" s="26">
        <v>55342.605212250004</v>
      </c>
      <c r="M48" s="26">
        <v>88555.29416444001</v>
      </c>
      <c r="N48" s="26">
        <v>95086.1962952</v>
      </c>
      <c r="O48" s="26">
        <v>99085.98825699001</v>
      </c>
      <c r="P48" s="26">
        <v>111763.43481264</v>
      </c>
      <c r="Q48" s="26">
        <v>110851.07964327</v>
      </c>
      <c r="R48" s="26">
        <v>123399.90527759</v>
      </c>
      <c r="S48" s="26">
        <v>140988.95756987</v>
      </c>
      <c r="T48" s="40">
        <f t="shared" si="4"/>
        <v>0.01443870566988359</v>
      </c>
      <c r="U48" s="40">
        <f t="shared" si="34"/>
        <v>-0.04358859802105042</v>
      </c>
      <c r="V48" s="40">
        <f t="shared" si="34"/>
        <v>0.02474384723549461</v>
      </c>
      <c r="W48" s="40">
        <f t="shared" si="34"/>
        <v>-0.21901350438267653</v>
      </c>
      <c r="X48" s="40">
        <f t="shared" si="34"/>
        <v>-0.04157163760592353</v>
      </c>
      <c r="Y48" s="40">
        <f t="shared" si="34"/>
        <v>-0.187738736466187</v>
      </c>
      <c r="Z48" s="40">
        <f t="shared" si="34"/>
        <v>-0.22398530456424592</v>
      </c>
      <c r="AA48" s="40">
        <f t="shared" si="34"/>
        <v>0.9780358830812772</v>
      </c>
      <c r="AB48" s="40">
        <f t="shared" si="34"/>
        <v>0.3721955831308714</v>
      </c>
      <c r="AC48" s="40">
        <f t="shared" si="34"/>
        <v>0.600128758391707</v>
      </c>
      <c r="AD48" s="40">
        <f t="shared" si="34"/>
        <v>0.07374942619051805</v>
      </c>
      <c r="AE48" s="40">
        <f t="shared" si="34"/>
        <v>0.0420649065546006</v>
      </c>
      <c r="AF48" s="40">
        <f t="shared" si="34"/>
        <v>0.12794388771467569</v>
      </c>
      <c r="AG48" s="40">
        <f t="shared" si="34"/>
        <v>-0.008163270669870437</v>
      </c>
      <c r="AH48" s="40">
        <f t="shared" si="34"/>
        <v>0.11320436097423126</v>
      </c>
      <c r="AI48" s="40">
        <f t="shared" si="34"/>
        <v>0.14253699994917457</v>
      </c>
    </row>
    <row r="49" spans="2:35" ht="12.75">
      <c r="B49" s="15"/>
      <c r="C49" s="26"/>
      <c r="D49" s="26"/>
      <c r="E49" s="48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2:35" ht="14.25">
      <c r="B50" s="15" t="s">
        <v>54</v>
      </c>
      <c r="C50" s="7">
        <f>+C51+C52+C53+C54</f>
        <v>225622.2</v>
      </c>
      <c r="D50" s="7">
        <f aca="true" t="shared" si="36" ref="D50:O50">+D51+D52+D53+D54</f>
        <v>297140.89999999997</v>
      </c>
      <c r="E50" s="51">
        <f t="shared" si="36"/>
        <v>375302.44245584</v>
      </c>
      <c r="F50" s="7">
        <f t="shared" si="36"/>
        <v>469090.51553414</v>
      </c>
      <c r="G50" s="7">
        <f t="shared" si="36"/>
        <v>638784.6</v>
      </c>
      <c r="H50" s="7">
        <f t="shared" si="36"/>
        <v>701903.16787419</v>
      </c>
      <c r="I50" s="7">
        <f t="shared" si="36"/>
        <v>794652.31932694</v>
      </c>
      <c r="J50" s="7">
        <f t="shared" si="36"/>
        <v>864334.5796295</v>
      </c>
      <c r="K50" s="7">
        <f t="shared" si="36"/>
        <v>966188.6674744999</v>
      </c>
      <c r="L50" s="7">
        <f t="shared" si="36"/>
        <v>1039080.23730023</v>
      </c>
      <c r="M50" s="7">
        <f t="shared" si="36"/>
        <v>1120677.76554042</v>
      </c>
      <c r="N50" s="7">
        <f t="shared" si="36"/>
        <v>1213580.7385561701</v>
      </c>
      <c r="O50" s="7">
        <f t="shared" si="36"/>
        <v>1296581.5547846002</v>
      </c>
      <c r="P50" s="7">
        <f>+P51+P52+P53+P54</f>
        <v>1355839.5024831402</v>
      </c>
      <c r="Q50" s="7">
        <f>+Q51+Q52+Q53+Q54</f>
        <v>1372243.3646316202</v>
      </c>
      <c r="R50" s="7">
        <f>+R51+R52+R53+R54</f>
        <v>1312086.3143645101</v>
      </c>
      <c r="S50" s="7">
        <f>+S51+S52+S53+S54</f>
        <v>1328072.8438050696</v>
      </c>
      <c r="T50" s="42">
        <f t="shared" si="4"/>
        <v>0.31698432157828416</v>
      </c>
      <c r="U50" s="42">
        <f aca="true" t="shared" si="37" ref="U50:AI54">+E50/D50-1</f>
        <v>0.2630453850541614</v>
      </c>
      <c r="V50" s="42">
        <f t="shared" si="37"/>
        <v>0.2498999805718971</v>
      </c>
      <c r="W50" s="42">
        <f t="shared" si="37"/>
        <v>0.36175125875788416</v>
      </c>
      <c r="X50" s="42">
        <f t="shared" si="37"/>
        <v>0.09881040944661157</v>
      </c>
      <c r="Y50" s="42">
        <f t="shared" si="37"/>
        <v>0.13213952536167284</v>
      </c>
      <c r="Z50" s="42">
        <f t="shared" si="37"/>
        <v>0.08768899128310603</v>
      </c>
      <c r="AA50" s="42">
        <f t="shared" si="37"/>
        <v>0.11784104239895155</v>
      </c>
      <c r="AB50" s="42">
        <f t="shared" si="37"/>
        <v>0.07544237712522528</v>
      </c>
      <c r="AC50" s="42">
        <f t="shared" si="37"/>
        <v>0.07852861146911927</v>
      </c>
      <c r="AD50" s="42">
        <f t="shared" si="37"/>
        <v>0.08289891695223361</v>
      </c>
      <c r="AE50" s="42">
        <f t="shared" si="37"/>
        <v>0.0683933203547531</v>
      </c>
      <c r="AF50" s="42">
        <f t="shared" si="37"/>
        <v>0.045703216646780565</v>
      </c>
      <c r="AG50" s="42">
        <f t="shared" si="37"/>
        <v>0.012098675483666943</v>
      </c>
      <c r="AH50" s="42">
        <f t="shared" si="37"/>
        <v>-0.04383847050574685</v>
      </c>
      <c r="AI50" s="42">
        <f t="shared" si="37"/>
        <v>0.012184053187310528</v>
      </c>
    </row>
    <row r="51" spans="2:35" ht="12.75">
      <c r="B51" s="15" t="s">
        <v>6</v>
      </c>
      <c r="C51" s="8">
        <v>120148.50000000001</v>
      </c>
      <c r="D51" s="8">
        <v>144181.89999999997</v>
      </c>
      <c r="E51" s="48">
        <v>162379.39999999997</v>
      </c>
      <c r="F51" s="8">
        <v>190845.67032307998</v>
      </c>
      <c r="G51" s="8">
        <v>216063.29999999993</v>
      </c>
      <c r="H51" s="8">
        <v>235468.04003119995</v>
      </c>
      <c r="I51" s="8">
        <v>250706.27316711</v>
      </c>
      <c r="J51" s="8">
        <v>275407.75096848</v>
      </c>
      <c r="K51" s="8">
        <v>306617.96481704</v>
      </c>
      <c r="L51" s="8">
        <v>332395.00172957993</v>
      </c>
      <c r="M51" s="26">
        <v>346087.94874024</v>
      </c>
      <c r="N51" s="26">
        <v>368627.4524522</v>
      </c>
      <c r="O51" s="26">
        <v>382268.80067075003</v>
      </c>
      <c r="P51" s="26">
        <v>392165.83480084</v>
      </c>
      <c r="Q51" s="26">
        <v>440019.91794494</v>
      </c>
      <c r="R51" s="26">
        <v>440888.9611592</v>
      </c>
      <c r="S51" s="26">
        <v>448427.8601966301</v>
      </c>
      <c r="T51" s="40">
        <f t="shared" si="4"/>
        <v>0.20003079522424283</v>
      </c>
      <c r="U51" s="40">
        <f t="shared" si="37"/>
        <v>0.126212097357574</v>
      </c>
      <c r="V51" s="40">
        <f t="shared" si="37"/>
        <v>0.17530715301990285</v>
      </c>
      <c r="W51" s="40">
        <f t="shared" si="37"/>
        <v>0.1321362419919161</v>
      </c>
      <c r="X51" s="40">
        <f t="shared" si="37"/>
        <v>0.08981043995532811</v>
      </c>
      <c r="Y51" s="40">
        <f t="shared" si="37"/>
        <v>0.06471465568699242</v>
      </c>
      <c r="Z51" s="40">
        <f t="shared" si="37"/>
        <v>0.09852756171324484</v>
      </c>
      <c r="AA51" s="40">
        <f t="shared" si="37"/>
        <v>0.11332365824421542</v>
      </c>
      <c r="AB51" s="40">
        <f t="shared" si="37"/>
        <v>0.08406890616445506</v>
      </c>
      <c r="AC51" s="40">
        <f t="shared" si="37"/>
        <v>0.04119480419203159</v>
      </c>
      <c r="AD51" s="40">
        <f t="shared" si="37"/>
        <v>0.06512651999008856</v>
      </c>
      <c r="AE51" s="40">
        <f t="shared" si="37"/>
        <v>0.037005784913208384</v>
      </c>
      <c r="AF51" s="40">
        <f t="shared" si="37"/>
        <v>0.025890248204206268</v>
      </c>
      <c r="AG51" s="40">
        <f t="shared" si="37"/>
        <v>0.12202512023619416</v>
      </c>
      <c r="AH51" s="40">
        <f t="shared" si="37"/>
        <v>0.0019750088094165896</v>
      </c>
      <c r="AI51" s="40">
        <f t="shared" si="37"/>
        <v>0.017099314570291346</v>
      </c>
    </row>
    <row r="52" spans="2:35" ht="12.75">
      <c r="B52" s="15" t="s">
        <v>7</v>
      </c>
      <c r="C52" s="8">
        <v>103963.49999999997</v>
      </c>
      <c r="D52" s="8">
        <v>149509.19999999998</v>
      </c>
      <c r="E52" s="48">
        <v>209777.64245584005</v>
      </c>
      <c r="F52" s="8">
        <v>273769.34521106</v>
      </c>
      <c r="G52" s="8">
        <v>417214.7</v>
      </c>
      <c r="H52" s="8">
        <v>461600.60926998005</v>
      </c>
      <c r="I52" s="8">
        <v>540082.03629332</v>
      </c>
      <c r="J52" s="8">
        <v>584681.31055462</v>
      </c>
      <c r="K52" s="8">
        <v>650885.8965019799</v>
      </c>
      <c r="L52" s="8">
        <v>700733.06268749</v>
      </c>
      <c r="M52" s="26">
        <v>758999.99677255</v>
      </c>
      <c r="N52" s="26">
        <v>822706.22390476</v>
      </c>
      <c r="O52" s="26">
        <v>897201.6862918201</v>
      </c>
      <c r="P52" s="26">
        <v>948264.5678313101</v>
      </c>
      <c r="Q52" s="26">
        <v>860618.9738829401</v>
      </c>
      <c r="R52" s="26">
        <v>867782.7961542802</v>
      </c>
      <c r="S52" s="26">
        <v>876657.5930868996</v>
      </c>
      <c r="T52" s="40">
        <f t="shared" si="4"/>
        <v>0.4380931769322889</v>
      </c>
      <c r="U52" s="40">
        <f t="shared" si="37"/>
        <v>0.4031085876711271</v>
      </c>
      <c r="V52" s="40">
        <f t="shared" si="37"/>
        <v>0.3050453899952221</v>
      </c>
      <c r="W52" s="40">
        <f t="shared" si="37"/>
        <v>0.5239642688203534</v>
      </c>
      <c r="X52" s="40">
        <f t="shared" si="37"/>
        <v>0.1063862545350871</v>
      </c>
      <c r="Y52" s="40">
        <f t="shared" si="37"/>
        <v>0.1700201980830529</v>
      </c>
      <c r="Z52" s="40">
        <f t="shared" si="37"/>
        <v>0.08257870335290685</v>
      </c>
      <c r="AA52" s="40">
        <f t="shared" si="37"/>
        <v>0.11323191754591777</v>
      </c>
      <c r="AB52" s="40">
        <f t="shared" si="37"/>
        <v>0.07658357087379053</v>
      </c>
      <c r="AC52" s="40">
        <f t="shared" si="37"/>
        <v>0.0831513984249459</v>
      </c>
      <c r="AD52" s="40">
        <f t="shared" si="37"/>
        <v>0.083934423456</v>
      </c>
      <c r="AE52" s="40">
        <f t="shared" si="37"/>
        <v>0.09054928748865776</v>
      </c>
      <c r="AF52" s="40">
        <f t="shared" si="37"/>
        <v>0.056913492606701865</v>
      </c>
      <c r="AG52" s="40">
        <f t="shared" si="37"/>
        <v>-0.09242736354561498</v>
      </c>
      <c r="AH52" s="40">
        <f t="shared" si="37"/>
        <v>0.008324034780476941</v>
      </c>
      <c r="AI52" s="40">
        <f t="shared" si="37"/>
        <v>0.0102269795759371</v>
      </c>
    </row>
    <row r="53" spans="2:35" ht="12.75">
      <c r="B53" s="15" t="s">
        <v>8</v>
      </c>
      <c r="C53" s="8">
        <v>1170.7</v>
      </c>
      <c r="D53" s="26">
        <v>1644.7</v>
      </c>
      <c r="E53" s="48">
        <v>2097.8</v>
      </c>
      <c r="F53" s="26">
        <v>2019.4</v>
      </c>
      <c r="G53" s="26">
        <v>2840.9</v>
      </c>
      <c r="H53" s="26">
        <v>2613.40099537</v>
      </c>
      <c r="I53" s="26">
        <v>2130.4623059699998</v>
      </c>
      <c r="J53" s="26">
        <v>2174.26233642</v>
      </c>
      <c r="K53" s="26">
        <v>3109.3252798999997</v>
      </c>
      <c r="L53" s="26">
        <v>2710.4534130200004</v>
      </c>
      <c r="M53" s="26">
        <v>2115.19775618</v>
      </c>
      <c r="N53" s="26">
        <v>2950.9698885000007</v>
      </c>
      <c r="O53" s="26">
        <v>2785.7023220300007</v>
      </c>
      <c r="P53" s="26">
        <v>2667.743122019999</v>
      </c>
      <c r="Q53" s="26">
        <v>3417.41030374</v>
      </c>
      <c r="R53" s="26">
        <v>3414.5570510299995</v>
      </c>
      <c r="S53" s="26">
        <v>2984.6505682699994</v>
      </c>
      <c r="T53" s="40">
        <f t="shared" si="4"/>
        <v>0.40488596566157</v>
      </c>
      <c r="U53" s="40">
        <f t="shared" si="37"/>
        <v>0.27549097099775044</v>
      </c>
      <c r="V53" s="40">
        <f t="shared" si="37"/>
        <v>-0.03737248546095917</v>
      </c>
      <c r="W53" s="40">
        <f t="shared" si="37"/>
        <v>0.4068040011884717</v>
      </c>
      <c r="X53" s="40">
        <f t="shared" si="37"/>
        <v>-0.08007990588545877</v>
      </c>
      <c r="Y53" s="40">
        <f t="shared" si="37"/>
        <v>-0.18479318338654982</v>
      </c>
      <c r="Z53" s="40">
        <f t="shared" si="37"/>
        <v>0.020558932362831905</v>
      </c>
      <c r="AA53" s="40">
        <f t="shared" si="37"/>
        <v>0.4300598542398588</v>
      </c>
      <c r="AB53" s="40">
        <f t="shared" si="37"/>
        <v>-0.1282824506842294</v>
      </c>
      <c r="AC53" s="40">
        <f t="shared" si="37"/>
        <v>-0.21961478990216754</v>
      </c>
      <c r="AD53" s="40">
        <f t="shared" si="37"/>
        <v>0.39512718367732513</v>
      </c>
      <c r="AE53" s="40">
        <f t="shared" si="37"/>
        <v>-0.05600449096890203</v>
      </c>
      <c r="AF53" s="40">
        <f t="shared" si="37"/>
        <v>-0.04234451006381834</v>
      </c>
      <c r="AG53" s="40">
        <f t="shared" si="37"/>
        <v>0.2810117569162196</v>
      </c>
      <c r="AH53" s="40">
        <f t="shared" si="37"/>
        <v>-0.0008349166346451886</v>
      </c>
      <c r="AI53" s="40">
        <f t="shared" si="37"/>
        <v>-0.12590402688697766</v>
      </c>
    </row>
    <row r="54" spans="2:35" ht="12.75">
      <c r="B54" s="24" t="s">
        <v>39</v>
      </c>
      <c r="C54" s="8">
        <v>339.5</v>
      </c>
      <c r="D54" s="26">
        <v>1805.1</v>
      </c>
      <c r="E54" s="48">
        <v>1047.6</v>
      </c>
      <c r="F54" s="26">
        <v>2456.1</v>
      </c>
      <c r="G54" s="26">
        <v>2665.7</v>
      </c>
      <c r="H54" s="26">
        <v>2221.11757764</v>
      </c>
      <c r="I54" s="26">
        <v>1733.54756054</v>
      </c>
      <c r="J54" s="26">
        <v>2071.25576998</v>
      </c>
      <c r="K54" s="26">
        <v>5575.4808755799995</v>
      </c>
      <c r="L54" s="26">
        <v>3241.71947014</v>
      </c>
      <c r="M54" s="26">
        <v>13474.62227145</v>
      </c>
      <c r="N54" s="26">
        <v>19296.09231071</v>
      </c>
      <c r="O54" s="26">
        <v>14325.3655</v>
      </c>
      <c r="P54" s="26">
        <v>12741.35672897</v>
      </c>
      <c r="Q54" s="26">
        <v>68187.0625</v>
      </c>
      <c r="R54" s="26">
        <v>0</v>
      </c>
      <c r="S54" s="26">
        <v>2.73995327</v>
      </c>
      <c r="T54" s="40">
        <f t="shared" si="4"/>
        <v>4.316936671575847</v>
      </c>
      <c r="U54" s="40">
        <f t="shared" si="37"/>
        <v>-0.4196443410337377</v>
      </c>
      <c r="V54" s="40">
        <f t="shared" si="37"/>
        <v>1.3445017182130585</v>
      </c>
      <c r="W54" s="40">
        <f t="shared" si="37"/>
        <v>0.08533854484752257</v>
      </c>
      <c r="X54" s="40">
        <f t="shared" si="37"/>
        <v>-0.16677886572382483</v>
      </c>
      <c r="Y54" s="40">
        <f t="shared" si="37"/>
        <v>-0.21951562673150193</v>
      </c>
      <c r="Z54" s="40">
        <f t="shared" si="37"/>
        <v>0.19480758251293895</v>
      </c>
      <c r="AA54" s="40">
        <f t="shared" si="37"/>
        <v>1.6918360138756965</v>
      </c>
      <c r="AB54" s="40">
        <f t="shared" si="37"/>
        <v>-0.41857580673653116</v>
      </c>
      <c r="AC54" s="40">
        <f t="shared" si="37"/>
        <v>3.1566281091152133</v>
      </c>
      <c r="AD54" s="40">
        <f t="shared" si="37"/>
        <v>0.43203215065957856</v>
      </c>
      <c r="AE54" s="40">
        <f t="shared" si="37"/>
        <v>-0.2576027690306536</v>
      </c>
      <c r="AF54" s="40">
        <f t="shared" si="37"/>
        <v>-0.11057370724886562</v>
      </c>
      <c r="AG54" s="40">
        <f t="shared" si="37"/>
        <v>4.351632793151706</v>
      </c>
      <c r="AH54" s="40">
        <f t="shared" si="37"/>
        <v>-1</v>
      </c>
      <c r="AI54" s="40" t="e">
        <f t="shared" si="37"/>
        <v>#DIV/0!</v>
      </c>
    </row>
    <row r="55" spans="2:35" ht="12.75">
      <c r="B55" s="15"/>
      <c r="C55" s="8"/>
      <c r="D55" s="26"/>
      <c r="E55" s="4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ht="12.75">
      <c r="A56" s="21"/>
      <c r="B56" s="22" t="s">
        <v>9</v>
      </c>
      <c r="C56" s="28">
        <f>+C58+C59</f>
        <v>32564.6</v>
      </c>
      <c r="D56" s="28">
        <f aca="true" t="shared" si="38" ref="D56:O56">+D58+D59</f>
        <v>53422.7</v>
      </c>
      <c r="E56" s="50">
        <f t="shared" si="38"/>
        <v>102377.59999999999</v>
      </c>
      <c r="F56" s="28">
        <f t="shared" si="38"/>
        <v>106988.90000000001</v>
      </c>
      <c r="G56" s="28">
        <f t="shared" si="38"/>
        <v>133745.1</v>
      </c>
      <c r="H56" s="28">
        <f t="shared" si="38"/>
        <v>115698.01690946</v>
      </c>
      <c r="I56" s="28">
        <f t="shared" si="38"/>
        <v>132303.24468869</v>
      </c>
      <c r="J56" s="28">
        <f t="shared" si="38"/>
        <v>133751.93468755</v>
      </c>
      <c r="K56" s="28">
        <f t="shared" si="38"/>
        <v>196329.49795037002</v>
      </c>
      <c r="L56" s="28">
        <f t="shared" si="38"/>
        <v>212701.00968233</v>
      </c>
      <c r="M56" s="28">
        <f t="shared" si="38"/>
        <v>166130.01136221</v>
      </c>
      <c r="N56" s="28">
        <f t="shared" si="38"/>
        <v>218587.13167616003</v>
      </c>
      <c r="O56" s="28">
        <f t="shared" si="38"/>
        <v>187239.51474875002</v>
      </c>
      <c r="P56" s="28">
        <f>+P58+P59</f>
        <v>269641.28508543</v>
      </c>
      <c r="Q56" s="28">
        <f>+Q58+Q59</f>
        <v>175152.63920623998</v>
      </c>
      <c r="R56" s="28">
        <f>+R58+R59</f>
        <v>238949.01355592</v>
      </c>
      <c r="S56" s="28">
        <f>+S58+S59</f>
        <v>206550.91193935002</v>
      </c>
      <c r="T56" s="38">
        <f t="shared" si="4"/>
        <v>0.6405145464707074</v>
      </c>
      <c r="U56" s="38">
        <f aca="true" t="shared" si="39" ref="U56:AI56">+E56/D56-1</f>
        <v>0.916368884388097</v>
      </c>
      <c r="V56" s="38">
        <f t="shared" si="39"/>
        <v>0.045042079517394695</v>
      </c>
      <c r="W56" s="38">
        <f t="shared" si="39"/>
        <v>0.2500838872069906</v>
      </c>
      <c r="X56" s="38">
        <f t="shared" si="39"/>
        <v>-0.13493640582376476</v>
      </c>
      <c r="Y56" s="38">
        <f t="shared" si="39"/>
        <v>0.14352214690269505</v>
      </c>
      <c r="Z56" s="38">
        <f t="shared" si="39"/>
        <v>0.010949769238606244</v>
      </c>
      <c r="AA56" s="38">
        <f t="shared" si="39"/>
        <v>0.4678628642569078</v>
      </c>
      <c r="AB56" s="38">
        <f t="shared" si="39"/>
        <v>0.08338793662121291</v>
      </c>
      <c r="AC56" s="38">
        <f t="shared" si="39"/>
        <v>-0.21895052773691115</v>
      </c>
      <c r="AD56" s="38">
        <f t="shared" si="39"/>
        <v>0.3157594457727375</v>
      </c>
      <c r="AE56" s="38">
        <f t="shared" si="39"/>
        <v>-0.14341016640381166</v>
      </c>
      <c r="AF56" s="38">
        <f t="shared" si="39"/>
        <v>0.44008750208123515</v>
      </c>
      <c r="AG56" s="38">
        <f t="shared" si="39"/>
        <v>-0.3504235111817293</v>
      </c>
      <c r="AH56" s="38">
        <f t="shared" si="39"/>
        <v>0.3642330177769153</v>
      </c>
      <c r="AI56" s="38">
        <f t="shared" si="39"/>
        <v>-0.1355858353815218</v>
      </c>
    </row>
    <row r="57" spans="2:35" ht="12.75">
      <c r="B57" s="15"/>
      <c r="C57" s="26"/>
      <c r="D57" s="26"/>
      <c r="E57" s="48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2:35" ht="12.75">
      <c r="B58" s="15" t="s">
        <v>13</v>
      </c>
      <c r="C58" s="26">
        <v>6715</v>
      </c>
      <c r="D58" s="26">
        <v>11621.8</v>
      </c>
      <c r="E58" s="48">
        <v>14567.9</v>
      </c>
      <c r="F58" s="48">
        <v>26240.5</v>
      </c>
      <c r="G58" s="48">
        <v>20532.8</v>
      </c>
      <c r="H58" s="48">
        <v>18027.44681066</v>
      </c>
      <c r="I58" s="48">
        <v>14826.351172620001</v>
      </c>
      <c r="J58" s="48">
        <v>17823.0823962</v>
      </c>
      <c r="K58" s="48">
        <v>27432.912960240006</v>
      </c>
      <c r="L58" s="48">
        <v>25998.661213779997</v>
      </c>
      <c r="M58" s="48">
        <v>23732.012615049996</v>
      </c>
      <c r="N58" s="48">
        <v>25581.43320698</v>
      </c>
      <c r="O58" s="48">
        <v>21128.25958108</v>
      </c>
      <c r="P58" s="48">
        <v>15036.72325773</v>
      </c>
      <c r="Q58" s="48">
        <v>21381.82374601</v>
      </c>
      <c r="R58" s="48">
        <v>100136.19641604999</v>
      </c>
      <c r="S58" s="48">
        <v>76215.59956536</v>
      </c>
      <c r="T58" s="40">
        <f t="shared" si="4"/>
        <v>0.7307222635889798</v>
      </c>
      <c r="U58" s="40">
        <f aca="true" t="shared" si="40" ref="U58:AI63">+E58/D58-1</f>
        <v>0.2534977370114784</v>
      </c>
      <c r="V58" s="40">
        <f t="shared" si="40"/>
        <v>0.8012548136656623</v>
      </c>
      <c r="W58" s="40">
        <f t="shared" si="40"/>
        <v>-0.21751491015796198</v>
      </c>
      <c r="X58" s="40">
        <f t="shared" si="40"/>
        <v>-0.12201712330222858</v>
      </c>
      <c r="Y58" s="40">
        <f t="shared" si="40"/>
        <v>-0.17756788699257875</v>
      </c>
      <c r="Z58" s="40">
        <f t="shared" si="40"/>
        <v>0.20212196437880792</v>
      </c>
      <c r="AA58" s="40">
        <f t="shared" si="40"/>
        <v>0.5391789338351982</v>
      </c>
      <c r="AB58" s="40">
        <f t="shared" si="40"/>
        <v>-0.05228215277534498</v>
      </c>
      <c r="AC58" s="40">
        <f t="shared" si="40"/>
        <v>-0.08718328148099463</v>
      </c>
      <c r="AD58" s="40">
        <f t="shared" si="40"/>
        <v>0.07792936157286423</v>
      </c>
      <c r="AE58" s="40">
        <f t="shared" si="40"/>
        <v>-0.17407834775593933</v>
      </c>
      <c r="AF58" s="40">
        <f t="shared" si="40"/>
        <v>-0.28831226253982933</v>
      </c>
      <c r="AG58" s="40">
        <f t="shared" si="40"/>
        <v>0.42197361616122997</v>
      </c>
      <c r="AH58" s="40">
        <f>+R58/Q58-1</f>
        <v>3.6832392599221624</v>
      </c>
      <c r="AI58" s="40">
        <f>+S58/R58-1</f>
        <v>-0.238880621661559</v>
      </c>
    </row>
    <row r="59" spans="2:35" ht="12.75">
      <c r="B59" s="15" t="s">
        <v>5</v>
      </c>
      <c r="C59" s="8">
        <f>+C60+C61+C62+C63</f>
        <v>25849.6</v>
      </c>
      <c r="D59" s="8">
        <f aca="true" t="shared" si="41" ref="D59:O59">+D60+D61+D62+D63</f>
        <v>41800.9</v>
      </c>
      <c r="E59" s="48">
        <f t="shared" si="41"/>
        <v>87809.7</v>
      </c>
      <c r="F59" s="8">
        <f t="shared" si="41"/>
        <v>80748.40000000001</v>
      </c>
      <c r="G59" s="8">
        <f t="shared" si="41"/>
        <v>113212.3</v>
      </c>
      <c r="H59" s="8">
        <f t="shared" si="41"/>
        <v>97670.5700988</v>
      </c>
      <c r="I59" s="8">
        <f t="shared" si="41"/>
        <v>117476.89351607</v>
      </c>
      <c r="J59" s="8">
        <f t="shared" si="41"/>
        <v>115928.85229134999</v>
      </c>
      <c r="K59" s="8">
        <f t="shared" si="41"/>
        <v>168896.58499013</v>
      </c>
      <c r="L59" s="8">
        <f t="shared" si="41"/>
        <v>186702.34846855002</v>
      </c>
      <c r="M59" s="8">
        <f t="shared" si="41"/>
        <v>142397.99874716002</v>
      </c>
      <c r="N59" s="8">
        <f t="shared" si="41"/>
        <v>193005.69846918003</v>
      </c>
      <c r="O59" s="8">
        <f t="shared" si="41"/>
        <v>166111.25516767002</v>
      </c>
      <c r="P59" s="8">
        <f>+P60+P61+P62+P63</f>
        <v>254604.5618277</v>
      </c>
      <c r="Q59" s="8">
        <f>+Q60+Q61+Q62+Q63</f>
        <v>153770.81546023</v>
      </c>
      <c r="R59" s="8">
        <f>+R60+R61+R62+R63</f>
        <v>138812.81713987002</v>
      </c>
      <c r="S59" s="8">
        <f>+S60+S61+S62+S63</f>
        <v>130335.31237399</v>
      </c>
      <c r="T59" s="40">
        <f t="shared" si="4"/>
        <v>0.617081115375093</v>
      </c>
      <c r="U59" s="40">
        <f t="shared" si="40"/>
        <v>1.1006652966802148</v>
      </c>
      <c r="V59" s="40">
        <f t="shared" si="40"/>
        <v>-0.08041594493546822</v>
      </c>
      <c r="W59" s="40">
        <f t="shared" si="40"/>
        <v>0.4020376874340543</v>
      </c>
      <c r="X59" s="40">
        <f t="shared" si="40"/>
        <v>-0.1372795173421969</v>
      </c>
      <c r="Y59" s="40">
        <f t="shared" si="40"/>
        <v>0.2027870155486411</v>
      </c>
      <c r="Z59" s="40">
        <f t="shared" si="40"/>
        <v>-0.01317741028373598</v>
      </c>
      <c r="AA59" s="40">
        <f t="shared" si="40"/>
        <v>0.45689862059241837</v>
      </c>
      <c r="AB59" s="40">
        <f t="shared" si="40"/>
        <v>0.10542405863008142</v>
      </c>
      <c r="AC59" s="40">
        <f t="shared" si="40"/>
        <v>-0.2372993702800319</v>
      </c>
      <c r="AD59" s="40">
        <f t="shared" si="40"/>
        <v>0.3553961443789555</v>
      </c>
      <c r="AE59" s="40">
        <f t="shared" si="40"/>
        <v>-0.13934533288303208</v>
      </c>
      <c r="AF59" s="40">
        <f t="shared" si="40"/>
        <v>0.5327351633741269</v>
      </c>
      <c r="AG59" s="40">
        <f t="shared" si="40"/>
        <v>-0.39604061154139025</v>
      </c>
      <c r="AH59" s="40">
        <f t="shared" si="40"/>
        <v>-0.09727462441810741</v>
      </c>
      <c r="AI59" s="40">
        <f t="shared" si="40"/>
        <v>-0.06107148417957653</v>
      </c>
    </row>
    <row r="60" spans="2:35" ht="12.75">
      <c r="B60" s="15" t="s">
        <v>6</v>
      </c>
      <c r="C60" s="26">
        <v>209.2</v>
      </c>
      <c r="D60" s="26">
        <v>61.5</v>
      </c>
      <c r="E60" s="48">
        <v>307.9</v>
      </c>
      <c r="F60" s="26">
        <v>2612.8</v>
      </c>
      <c r="G60" s="26">
        <v>10856</v>
      </c>
      <c r="H60" s="26">
        <v>1863.13846295</v>
      </c>
      <c r="I60" s="26">
        <v>7082.090701</v>
      </c>
      <c r="J60" s="26">
        <v>4761.779920000001</v>
      </c>
      <c r="K60" s="26">
        <v>4099.078648</v>
      </c>
      <c r="L60" s="26">
        <v>4986.5432200000005</v>
      </c>
      <c r="M60" s="26">
        <v>5970.19511982</v>
      </c>
      <c r="N60" s="26">
        <v>6090.16797127</v>
      </c>
      <c r="O60" s="26">
        <v>6655.523172640001</v>
      </c>
      <c r="P60" s="26">
        <v>7420.52339124</v>
      </c>
      <c r="Q60" s="26">
        <v>6611.75745947</v>
      </c>
      <c r="R60" s="26">
        <v>7592.097642059999</v>
      </c>
      <c r="S60" s="26">
        <v>2357.273306</v>
      </c>
      <c r="T60" s="40">
        <f t="shared" si="4"/>
        <v>-0.7060229445506692</v>
      </c>
      <c r="U60" s="40">
        <f t="shared" si="40"/>
        <v>4.00650406504065</v>
      </c>
      <c r="V60" s="40">
        <f t="shared" si="40"/>
        <v>7.485872036375447</v>
      </c>
      <c r="W60" s="40">
        <f t="shared" si="40"/>
        <v>3.154929577464788</v>
      </c>
      <c r="X60" s="40">
        <f t="shared" si="40"/>
        <v>-0.8283770759994473</v>
      </c>
      <c r="Y60" s="40">
        <f t="shared" si="40"/>
        <v>2.8011617718344843</v>
      </c>
      <c r="Z60" s="40">
        <f t="shared" si="40"/>
        <v>-0.32763076314065964</v>
      </c>
      <c r="AA60" s="40">
        <f t="shared" si="40"/>
        <v>-0.13917091573606388</v>
      </c>
      <c r="AB60" s="40">
        <f t="shared" si="40"/>
        <v>0.21650342630849684</v>
      </c>
      <c r="AC60" s="40">
        <f t="shared" si="40"/>
        <v>0.1972612802942877</v>
      </c>
      <c r="AD60" s="40">
        <f t="shared" si="40"/>
        <v>0.02009529823434253</v>
      </c>
      <c r="AE60" s="40">
        <f t="shared" si="40"/>
        <v>0.09283080598713034</v>
      </c>
      <c r="AF60" s="40">
        <f t="shared" si="40"/>
        <v>0.11494216138331792</v>
      </c>
      <c r="AG60" s="40">
        <f t="shared" si="40"/>
        <v>-0.10899041605673743</v>
      </c>
      <c r="AH60" s="40">
        <f t="shared" si="40"/>
        <v>0.14827225417742151</v>
      </c>
      <c r="AI60" s="40">
        <f t="shared" si="40"/>
        <v>-0.6895096168230537</v>
      </c>
    </row>
    <row r="61" spans="2:35" ht="12.75">
      <c r="B61" s="15" t="s">
        <v>7</v>
      </c>
      <c r="C61" s="26">
        <f>22047.5-1000</f>
        <v>21047.5</v>
      </c>
      <c r="D61" s="26">
        <f>43131.2-1750</f>
        <v>41381.2</v>
      </c>
      <c r="E61" s="48">
        <f>86733.6-1750</f>
        <v>84983.6</v>
      </c>
      <c r="F61" s="26">
        <f>77291.6-1818.3</f>
        <v>75473.3</v>
      </c>
      <c r="G61" s="26">
        <f>94837.1-2250</f>
        <v>92587.1</v>
      </c>
      <c r="H61" s="26">
        <f>83780.4942366-2250</f>
        <v>81530.4942366</v>
      </c>
      <c r="I61" s="26">
        <v>107598.12163091001</v>
      </c>
      <c r="J61" s="26">
        <v>80273.9794727</v>
      </c>
      <c r="K61" s="26">
        <v>126046.98292517001</v>
      </c>
      <c r="L61" s="26">
        <v>126617.13599896002</v>
      </c>
      <c r="M61" s="26">
        <f>91041.26475964+519.375</f>
        <v>91560.63975964</v>
      </c>
      <c r="N61" s="26">
        <v>181399.96623699</v>
      </c>
      <c r="O61" s="26">
        <v>146489.56577115</v>
      </c>
      <c r="P61" s="26">
        <v>159048.88954037003</v>
      </c>
      <c r="Q61" s="26">
        <v>140407.82489191</v>
      </c>
      <c r="R61" s="26">
        <v>98612.41628843002</v>
      </c>
      <c r="S61" s="26">
        <v>101258.70665923</v>
      </c>
      <c r="T61" s="40">
        <f t="shared" si="4"/>
        <v>0.9660862335194202</v>
      </c>
      <c r="U61" s="40">
        <f t="shared" si="40"/>
        <v>1.0536765487709396</v>
      </c>
      <c r="V61" s="40">
        <f t="shared" si="40"/>
        <v>-0.1119074739126138</v>
      </c>
      <c r="W61" s="40">
        <f t="shared" si="40"/>
        <v>0.22675303716678608</v>
      </c>
      <c r="X61" s="40">
        <f t="shared" si="40"/>
        <v>-0.11941842614575904</v>
      </c>
      <c r="Y61" s="40">
        <f t="shared" si="40"/>
        <v>0.31972855847852744</v>
      </c>
      <c r="Z61" s="40">
        <f t="shared" si="40"/>
        <v>-0.2539462747494705</v>
      </c>
      <c r="AA61" s="40">
        <f t="shared" si="40"/>
        <v>0.5702097211716872</v>
      </c>
      <c r="AB61" s="40">
        <f t="shared" si="40"/>
        <v>0.004523337731363819</v>
      </c>
      <c r="AC61" s="40">
        <f t="shared" si="40"/>
        <v>-0.2768700773614714</v>
      </c>
      <c r="AD61" s="40">
        <f t="shared" si="40"/>
        <v>0.9812002921035861</v>
      </c>
      <c r="AE61" s="40">
        <f t="shared" si="40"/>
        <v>-0.1924498730073153</v>
      </c>
      <c r="AF61" s="40">
        <f t="shared" si="40"/>
        <v>0.08573527884464172</v>
      </c>
      <c r="AG61" s="40">
        <f t="shared" si="40"/>
        <v>-0.11720336245245233</v>
      </c>
      <c r="AH61" s="40">
        <f t="shared" si="40"/>
        <v>-0.29767150538551024</v>
      </c>
      <c r="AI61" s="40">
        <f t="shared" si="40"/>
        <v>0.026835265480767534</v>
      </c>
    </row>
    <row r="62" spans="2:35" ht="12.75">
      <c r="B62" s="15" t="s">
        <v>8</v>
      </c>
      <c r="C62" s="26">
        <v>7.5</v>
      </c>
      <c r="D62" s="26">
        <v>42.3</v>
      </c>
      <c r="E62" s="48">
        <v>42.5</v>
      </c>
      <c r="F62" s="26">
        <v>50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413.02341776</v>
      </c>
      <c r="P62" s="26">
        <v>0</v>
      </c>
      <c r="Q62" s="26">
        <v>0</v>
      </c>
      <c r="R62" s="26">
        <v>0</v>
      </c>
      <c r="S62" s="26">
        <v>0</v>
      </c>
      <c r="T62" s="40">
        <f t="shared" si="4"/>
        <v>4.64</v>
      </c>
      <c r="U62" s="40">
        <f t="shared" si="40"/>
        <v>0.004728132387706863</v>
      </c>
      <c r="V62" s="40">
        <f t="shared" si="40"/>
        <v>0.17647058823529416</v>
      </c>
      <c r="W62" s="40">
        <f t="shared" si="40"/>
        <v>-1</v>
      </c>
      <c r="X62" s="66" t="e">
        <f t="shared" si="40"/>
        <v>#DIV/0!</v>
      </c>
      <c r="Y62" s="66" t="e">
        <f t="shared" si="40"/>
        <v>#DIV/0!</v>
      </c>
      <c r="Z62" s="66" t="e">
        <f t="shared" si="40"/>
        <v>#DIV/0!</v>
      </c>
      <c r="AA62" s="66" t="e">
        <f t="shared" si="40"/>
        <v>#DIV/0!</v>
      </c>
      <c r="AB62" s="66" t="e">
        <f t="shared" si="40"/>
        <v>#DIV/0!</v>
      </c>
      <c r="AC62" s="66" t="e">
        <f t="shared" si="40"/>
        <v>#DIV/0!</v>
      </c>
      <c r="AD62" s="66" t="e">
        <f t="shared" si="40"/>
        <v>#DIV/0!</v>
      </c>
      <c r="AE62" s="66" t="e">
        <f t="shared" si="40"/>
        <v>#DIV/0!</v>
      </c>
      <c r="AF62" s="40">
        <f t="shared" si="40"/>
        <v>-1</v>
      </c>
      <c r="AG62" s="66" t="e">
        <f t="shared" si="40"/>
        <v>#DIV/0!</v>
      </c>
      <c r="AH62" s="66" t="e">
        <f t="shared" si="40"/>
        <v>#DIV/0!</v>
      </c>
      <c r="AI62" s="66" t="e">
        <f t="shared" si="40"/>
        <v>#DIV/0!</v>
      </c>
    </row>
    <row r="63" spans="2:35" ht="12.75">
      <c r="B63" s="24" t="s">
        <v>39</v>
      </c>
      <c r="C63" s="26">
        <v>4585.4</v>
      </c>
      <c r="D63" s="26">
        <v>315.9</v>
      </c>
      <c r="E63" s="48">
        <v>2475.7</v>
      </c>
      <c r="F63" s="26">
        <v>2612.3</v>
      </c>
      <c r="G63" s="26">
        <v>9769.2</v>
      </c>
      <c r="H63" s="26">
        <v>14276.93739925</v>
      </c>
      <c r="I63" s="26">
        <v>2796.68118416</v>
      </c>
      <c r="J63" s="26">
        <v>30893.09289865</v>
      </c>
      <c r="K63" s="26">
        <v>38750.52341696</v>
      </c>
      <c r="L63" s="26">
        <v>55098.669249590006</v>
      </c>
      <c r="M63" s="26">
        <f>45386.5388677-519.375</f>
        <v>44867.1638677</v>
      </c>
      <c r="N63" s="26">
        <v>5515.56426092</v>
      </c>
      <c r="O63" s="26">
        <v>12553.14280612</v>
      </c>
      <c r="P63" s="26">
        <v>88135.14889609</v>
      </c>
      <c r="Q63" s="26">
        <v>6751.23310885</v>
      </c>
      <c r="R63" s="26">
        <v>32608.303209380003</v>
      </c>
      <c r="S63" s="26">
        <v>26719.33240876</v>
      </c>
      <c r="T63" s="40">
        <f t="shared" si="4"/>
        <v>-0.9311074279234091</v>
      </c>
      <c r="U63" s="40">
        <f t="shared" si="40"/>
        <v>6.836973725862615</v>
      </c>
      <c r="V63" s="40">
        <f t="shared" si="40"/>
        <v>0.05517631376984311</v>
      </c>
      <c r="W63" s="40">
        <f t="shared" si="40"/>
        <v>2.7396929908509744</v>
      </c>
      <c r="X63" s="40">
        <f t="shared" si="40"/>
        <v>0.4614233918079269</v>
      </c>
      <c r="Y63" s="40">
        <f t="shared" si="40"/>
        <v>-0.8041119670170358</v>
      </c>
      <c r="Z63" s="40">
        <f t="shared" si="40"/>
        <v>10.046340595997869</v>
      </c>
      <c r="AA63" s="40">
        <f t="shared" si="40"/>
        <v>0.25434263070025476</v>
      </c>
      <c r="AB63" s="40">
        <f t="shared" si="40"/>
        <v>0.42188193580566935</v>
      </c>
      <c r="AC63" s="40">
        <f t="shared" si="40"/>
        <v>-0.18569423765105064</v>
      </c>
      <c r="AD63" s="40">
        <f t="shared" si="40"/>
        <v>-0.8770690236364445</v>
      </c>
      <c r="AE63" s="40">
        <f t="shared" si="40"/>
        <v>1.2759489713616583</v>
      </c>
      <c r="AF63" s="40">
        <f t="shared" si="40"/>
        <v>6.020962818420396</v>
      </c>
      <c r="AG63" s="40">
        <f t="shared" si="40"/>
        <v>-0.9233990843220836</v>
      </c>
      <c r="AH63" s="40">
        <f t="shared" si="40"/>
        <v>3.8299773809668496</v>
      </c>
      <c r="AI63" s="40">
        <f t="shared" si="40"/>
        <v>-0.18059727802475778</v>
      </c>
    </row>
    <row r="64" spans="2:35" ht="12.75">
      <c r="B64" s="24"/>
      <c r="C64" s="26"/>
      <c r="D64" s="26"/>
      <c r="E64" s="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2:35" ht="12.75">
      <c r="B65" s="3" t="s">
        <v>51</v>
      </c>
      <c r="C65" s="17"/>
      <c r="D65" s="17"/>
      <c r="E65" s="16"/>
      <c r="F65" s="8">
        <v>0</v>
      </c>
      <c r="G65" s="26">
        <f aca="true" t="shared" si="42" ref="G65:O65">+G66-G67</f>
        <v>0</v>
      </c>
      <c r="H65" s="26">
        <f t="shared" si="42"/>
        <v>0</v>
      </c>
      <c r="I65" s="26">
        <f t="shared" si="42"/>
        <v>0</v>
      </c>
      <c r="J65" s="26">
        <f t="shared" si="42"/>
        <v>0</v>
      </c>
      <c r="K65" s="26">
        <f t="shared" si="42"/>
        <v>0</v>
      </c>
      <c r="L65" s="26">
        <f t="shared" si="42"/>
        <v>2527.71710841</v>
      </c>
      <c r="M65" s="26">
        <f t="shared" si="42"/>
        <v>2565.68402299</v>
      </c>
      <c r="N65" s="26">
        <f t="shared" si="42"/>
        <v>0</v>
      </c>
      <c r="O65" s="26">
        <f t="shared" si="42"/>
        <v>673.14005049</v>
      </c>
      <c r="P65" s="26">
        <f>+P66-P67</f>
        <v>30843.89276333</v>
      </c>
      <c r="Q65" s="26">
        <f>+Q66-Q67</f>
        <v>0</v>
      </c>
      <c r="R65" s="26">
        <f>+R66-R67</f>
        <v>3901.5</v>
      </c>
      <c r="S65" s="26">
        <f>+S66-S67</f>
        <v>4038.62586792</v>
      </c>
      <c r="T65" s="84" t="e">
        <f t="shared" si="4"/>
        <v>#DIV/0!</v>
      </c>
      <c r="U65" s="84" t="e">
        <f aca="true" t="shared" si="43" ref="U65:AI67">+E65/D65-1</f>
        <v>#DIV/0!</v>
      </c>
      <c r="V65" s="84" t="e">
        <f t="shared" si="43"/>
        <v>#DIV/0!</v>
      </c>
      <c r="W65" s="84" t="e">
        <f t="shared" si="43"/>
        <v>#DIV/0!</v>
      </c>
      <c r="X65" s="84" t="e">
        <f t="shared" si="43"/>
        <v>#DIV/0!</v>
      </c>
      <c r="Y65" s="84" t="e">
        <f t="shared" si="43"/>
        <v>#DIV/0!</v>
      </c>
      <c r="Z65" s="84" t="e">
        <f t="shared" si="43"/>
        <v>#DIV/0!</v>
      </c>
      <c r="AA65" s="84" t="e">
        <f t="shared" si="43"/>
        <v>#DIV/0!</v>
      </c>
      <c r="AB65" s="84" t="e">
        <f t="shared" si="43"/>
        <v>#DIV/0!</v>
      </c>
      <c r="AC65" s="84">
        <f t="shared" si="43"/>
        <v>0.015020238797165852</v>
      </c>
      <c r="AD65" s="40">
        <f t="shared" si="43"/>
        <v>-1</v>
      </c>
      <c r="AE65" s="84" t="e">
        <f t="shared" si="43"/>
        <v>#DIV/0!</v>
      </c>
      <c r="AF65" s="40">
        <f t="shared" si="43"/>
        <v>44.820914594039905</v>
      </c>
      <c r="AG65" s="40">
        <f t="shared" si="43"/>
        <v>-1</v>
      </c>
      <c r="AH65" s="84" t="e">
        <f t="shared" si="43"/>
        <v>#DIV/0!</v>
      </c>
      <c r="AI65" s="40">
        <f t="shared" si="43"/>
        <v>0.03514696089196456</v>
      </c>
    </row>
    <row r="66" spans="2:35" ht="12.75">
      <c r="B66" s="73" t="s">
        <v>52</v>
      </c>
      <c r="C66" s="17"/>
      <c r="D66" s="17"/>
      <c r="E66" s="16"/>
      <c r="F66" s="15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6">
        <v>2527.71710841</v>
      </c>
      <c r="M66" s="26">
        <v>2565.68402299</v>
      </c>
      <c r="N66" s="26">
        <v>0</v>
      </c>
      <c r="O66" s="26">
        <v>673.14005049</v>
      </c>
      <c r="P66" s="26">
        <v>30843.89276333</v>
      </c>
      <c r="Q66" s="26">
        <v>0</v>
      </c>
      <c r="R66" s="26">
        <v>3901.5</v>
      </c>
      <c r="S66" s="26">
        <v>4038.62586792</v>
      </c>
      <c r="T66" s="84" t="e">
        <f t="shared" si="4"/>
        <v>#DIV/0!</v>
      </c>
      <c r="U66" s="84" t="e">
        <f t="shared" si="43"/>
        <v>#DIV/0!</v>
      </c>
      <c r="V66" s="84" t="e">
        <f t="shared" si="43"/>
        <v>#DIV/0!</v>
      </c>
      <c r="W66" s="84" t="e">
        <f t="shared" si="43"/>
        <v>#DIV/0!</v>
      </c>
      <c r="X66" s="84" t="e">
        <f t="shared" si="43"/>
        <v>#DIV/0!</v>
      </c>
      <c r="Y66" s="84" t="e">
        <f t="shared" si="43"/>
        <v>#DIV/0!</v>
      </c>
      <c r="Z66" s="84" t="e">
        <f t="shared" si="43"/>
        <v>#DIV/0!</v>
      </c>
      <c r="AA66" s="84" t="e">
        <f t="shared" si="43"/>
        <v>#DIV/0!</v>
      </c>
      <c r="AB66" s="84" t="e">
        <f t="shared" si="43"/>
        <v>#DIV/0!</v>
      </c>
      <c r="AC66" s="84">
        <f t="shared" si="43"/>
        <v>0.015020238797165852</v>
      </c>
      <c r="AD66" s="40">
        <f t="shared" si="43"/>
        <v>-1</v>
      </c>
      <c r="AE66" s="84" t="e">
        <f t="shared" si="43"/>
        <v>#DIV/0!</v>
      </c>
      <c r="AF66" s="40">
        <f t="shared" si="43"/>
        <v>44.820914594039905</v>
      </c>
      <c r="AG66" s="40">
        <f t="shared" si="43"/>
        <v>-1</v>
      </c>
      <c r="AH66" s="66" t="e">
        <f t="shared" si="43"/>
        <v>#DIV/0!</v>
      </c>
      <c r="AI66" s="40">
        <f t="shared" si="43"/>
        <v>0.03514696089196456</v>
      </c>
    </row>
    <row r="67" spans="2:35" ht="12.75">
      <c r="B67" s="73" t="s">
        <v>53</v>
      </c>
      <c r="C67" s="17"/>
      <c r="D67" s="17"/>
      <c r="E67" s="15"/>
      <c r="F67" s="3"/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146" t="e">
        <f t="shared" si="4"/>
        <v>#DIV/0!</v>
      </c>
      <c r="U67" s="146" t="e">
        <f t="shared" si="43"/>
        <v>#DIV/0!</v>
      </c>
      <c r="V67" s="146" t="e">
        <f t="shared" si="43"/>
        <v>#DIV/0!</v>
      </c>
      <c r="W67" s="146" t="e">
        <f t="shared" si="43"/>
        <v>#DIV/0!</v>
      </c>
      <c r="X67" s="146" t="e">
        <f t="shared" si="43"/>
        <v>#DIV/0!</v>
      </c>
      <c r="Y67" s="146" t="e">
        <f t="shared" si="43"/>
        <v>#DIV/0!</v>
      </c>
      <c r="Z67" s="146" t="e">
        <f t="shared" si="43"/>
        <v>#DIV/0!</v>
      </c>
      <c r="AA67" s="146" t="e">
        <f t="shared" si="43"/>
        <v>#DIV/0!</v>
      </c>
      <c r="AB67" s="146" t="e">
        <f t="shared" si="43"/>
        <v>#DIV/0!</v>
      </c>
      <c r="AC67" s="146" t="e">
        <f t="shared" si="43"/>
        <v>#DIV/0!</v>
      </c>
      <c r="AD67" s="146" t="e">
        <f t="shared" si="43"/>
        <v>#DIV/0!</v>
      </c>
      <c r="AE67" s="146" t="e">
        <f t="shared" si="43"/>
        <v>#DIV/0!</v>
      </c>
      <c r="AF67" s="146" t="e">
        <f t="shared" si="43"/>
        <v>#DIV/0!</v>
      </c>
      <c r="AG67" s="146" t="e">
        <f t="shared" si="43"/>
        <v>#DIV/0!</v>
      </c>
      <c r="AH67" s="146" t="e">
        <f t="shared" si="43"/>
        <v>#DIV/0!</v>
      </c>
      <c r="AI67" s="146" t="e">
        <f t="shared" si="43"/>
        <v>#DIV/0!</v>
      </c>
    </row>
    <row r="68" spans="2:35" ht="12.75">
      <c r="B68" s="73"/>
      <c r="C68" s="17"/>
      <c r="D68" s="17"/>
      <c r="E68" s="15"/>
      <c r="F68" s="3"/>
      <c r="G68" s="3"/>
      <c r="H68" s="3"/>
      <c r="I68" s="3"/>
      <c r="J68" s="3"/>
      <c r="K68" s="3"/>
      <c r="L68" s="26"/>
      <c r="M68" s="26"/>
      <c r="N68" s="26"/>
      <c r="O68" s="26"/>
      <c r="P68" s="26"/>
      <c r="Q68" s="26"/>
      <c r="R68" s="26"/>
      <c r="S68" s="26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2.75">
      <c r="A69" s="5" t="s">
        <v>18</v>
      </c>
      <c r="B69" s="4" t="s">
        <v>22</v>
      </c>
      <c r="C69" s="31">
        <f>+C9-C38</f>
        <v>175035.22952476016</v>
      </c>
      <c r="D69" s="31">
        <f aca="true" t="shared" si="44" ref="D69:O69">+D9-D38</f>
        <v>264871.7501585401</v>
      </c>
      <c r="E69" s="31">
        <f t="shared" si="44"/>
        <v>311102.27855268994</v>
      </c>
      <c r="F69" s="31">
        <f t="shared" si="44"/>
        <v>-32535.274638079805</v>
      </c>
      <c r="G69" s="31">
        <f t="shared" si="44"/>
        <v>-207153.68696575984</v>
      </c>
      <c r="H69" s="31">
        <f t="shared" si="44"/>
        <v>-222167.68880879995</v>
      </c>
      <c r="I69" s="31">
        <f t="shared" si="44"/>
        <v>-245748.79318229016</v>
      </c>
      <c r="J69" s="31">
        <f t="shared" si="44"/>
        <v>-279010.18052885984</v>
      </c>
      <c r="K69" s="31">
        <f t="shared" si="44"/>
        <v>-382289.2019527904</v>
      </c>
      <c r="L69" s="31">
        <f t="shared" si="44"/>
        <v>-424213.42545603006</v>
      </c>
      <c r="M69" s="31">
        <f t="shared" si="44"/>
        <v>-269005.75308032054</v>
      </c>
      <c r="N69" s="31">
        <f t="shared" si="44"/>
        <v>-307434.79988149926</v>
      </c>
      <c r="O69" s="31">
        <f t="shared" si="44"/>
        <v>-395010.71965259034</v>
      </c>
      <c r="P69" s="31">
        <f>+P9-P38</f>
        <v>-414199.4372558496</v>
      </c>
      <c r="Q69" s="31">
        <f>+Q9-Q38</f>
        <v>-554247.7265405208</v>
      </c>
      <c r="R69" s="31">
        <f>+R9-R38</f>
        <v>170372.2420787192</v>
      </c>
      <c r="S69" s="31">
        <f>+S9-S38</f>
        <v>576969.9038370796</v>
      </c>
      <c r="T69" s="53">
        <f t="shared" si="4"/>
        <v>0.5132482236730054</v>
      </c>
      <c r="U69" s="53">
        <f aca="true" t="shared" si="45" ref="U69:AI69">+E69/D69-1</f>
        <v>0.17453929445657512</v>
      </c>
      <c r="V69" s="53">
        <f t="shared" si="45"/>
        <v>-1.104580637562156</v>
      </c>
      <c r="W69" s="53">
        <f t="shared" si="45"/>
        <v>5.367048972849421</v>
      </c>
      <c r="X69" s="53">
        <f t="shared" si="45"/>
        <v>0.07247759894093386</v>
      </c>
      <c r="Y69" s="53">
        <f t="shared" si="45"/>
        <v>0.10614101672446341</v>
      </c>
      <c r="Z69" s="53">
        <f t="shared" si="45"/>
        <v>0.13534710350295498</v>
      </c>
      <c r="AA69" s="53">
        <f t="shared" si="45"/>
        <v>0.3701621970501816</v>
      </c>
      <c r="AB69" s="53">
        <f t="shared" si="45"/>
        <v>0.1096662508098174</v>
      </c>
      <c r="AC69" s="53">
        <f t="shared" si="45"/>
        <v>-0.36587166520923053</v>
      </c>
      <c r="AD69" s="53">
        <f t="shared" si="45"/>
        <v>0.14285585479543417</v>
      </c>
      <c r="AE69" s="53">
        <f t="shared" si="45"/>
        <v>0.2848601388159284</v>
      </c>
      <c r="AF69" s="53">
        <f t="shared" si="45"/>
        <v>0.048577713587458105</v>
      </c>
      <c r="AG69" s="53">
        <f t="shared" si="45"/>
        <v>0.3381180095572265</v>
      </c>
      <c r="AH69" s="53">
        <f t="shared" si="45"/>
        <v>-1.3073936687880368</v>
      </c>
      <c r="AI69" s="53">
        <f t="shared" si="45"/>
        <v>2.3865252742902516</v>
      </c>
    </row>
    <row r="70" spans="1:35" ht="18">
      <c r="A70" s="6"/>
      <c r="B70" s="67" t="s">
        <v>50</v>
      </c>
      <c r="C70" s="39"/>
      <c r="D70" s="39"/>
      <c r="E70" s="70">
        <f aca="true" t="shared" si="46" ref="E70:O70">+E69/E77</f>
        <v>0.019193211434446248</v>
      </c>
      <c r="F70" s="70">
        <f t="shared" si="46"/>
        <v>-0.001845852831363702</v>
      </c>
      <c r="G70" s="70">
        <f t="shared" si="46"/>
        <v>-0.010461245130621223</v>
      </c>
      <c r="H70" s="70">
        <f t="shared" si="46"/>
        <v>-0.010274351333491671</v>
      </c>
      <c r="I70" s="70">
        <f t="shared" si="46"/>
        <v>-0.010346067976913328</v>
      </c>
      <c r="J70" s="70">
        <f t="shared" si="46"/>
        <v>-0.010957494325063905</v>
      </c>
      <c r="K70" s="70">
        <f t="shared" si="46"/>
        <v>-0.013652538458669022</v>
      </c>
      <c r="L70" s="70">
        <f t="shared" si="46"/>
        <v>-0.013953515431758564</v>
      </c>
      <c r="M70" s="70">
        <f t="shared" si="46"/>
        <v>-0.008391668785917659</v>
      </c>
      <c r="N70" s="70">
        <f t="shared" si="46"/>
        <v>-0.008951722436631091</v>
      </c>
      <c r="O70" s="70">
        <f t="shared" si="46"/>
        <v>-0.010968035678495813</v>
      </c>
      <c r="P70" s="70">
        <f>+P69/P77</f>
        <v>-0.0109483452419574</v>
      </c>
      <c r="Q70" s="70">
        <f>+Q69/Q77</f>
        <v>-0.015244900128579214</v>
      </c>
      <c r="R70" s="70">
        <f>+R69/R77</f>
        <v>0.004260039875786883</v>
      </c>
      <c r="S70" s="70">
        <f>+S69/S77</f>
        <v>0.013123888585773211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>
      <c r="A71" s="5" t="s">
        <v>19</v>
      </c>
      <c r="B71" s="4" t="s">
        <v>21</v>
      </c>
      <c r="C71" s="31">
        <f>+C9-C36</f>
        <v>-33723.27047523984</v>
      </c>
      <c r="D71" s="31">
        <f aca="true" t="shared" si="47" ref="D71:O71">+D9-D36</f>
        <v>39799.15015854011</v>
      </c>
      <c r="E71" s="31">
        <f t="shared" si="47"/>
        <v>132774.37855268992</v>
      </c>
      <c r="F71" s="31">
        <f t="shared" si="47"/>
        <v>-206147.2746380798</v>
      </c>
      <c r="G71" s="31">
        <f t="shared" si="47"/>
        <v>-402891.4869657599</v>
      </c>
      <c r="H71" s="31">
        <f t="shared" si="47"/>
        <v>-450135.3171590599</v>
      </c>
      <c r="I71" s="31">
        <f t="shared" si="47"/>
        <v>-485751.7585437002</v>
      </c>
      <c r="J71" s="31">
        <f t="shared" si="47"/>
        <v>-577045.6941355797</v>
      </c>
      <c r="K71" s="31">
        <f t="shared" si="47"/>
        <v>-699555.5029963702</v>
      </c>
      <c r="L71" s="31">
        <f t="shared" si="47"/>
        <v>-803244.1327677101</v>
      </c>
      <c r="M71" s="31">
        <f t="shared" si="47"/>
        <v>-682022.9578486905</v>
      </c>
      <c r="N71" s="31">
        <f t="shared" si="47"/>
        <v>-805951.5690786494</v>
      </c>
      <c r="O71" s="31">
        <f t="shared" si="47"/>
        <v>-993551.04445006</v>
      </c>
      <c r="P71" s="31">
        <f>+P9-P36</f>
        <v>-1120197.3086623098</v>
      </c>
      <c r="Q71" s="31">
        <f>+Q9-Q36</f>
        <v>-1365710.4858894707</v>
      </c>
      <c r="R71" s="31">
        <f>+R9-R36</f>
        <v>-744866.092455531</v>
      </c>
      <c r="S71" s="31">
        <f>+S9-S36</f>
        <v>-434174.11756242067</v>
      </c>
      <c r="T71" s="53">
        <f t="shared" si="4"/>
        <v>-2.1801687558079896</v>
      </c>
      <c r="U71" s="53">
        <f aca="true" t="shared" si="48" ref="U71:AI71">+E71/D71-1</f>
        <v>2.336110897438325</v>
      </c>
      <c r="V71" s="53">
        <f t="shared" si="48"/>
        <v>-2.5526133647560076</v>
      </c>
      <c r="W71" s="53">
        <f t="shared" si="48"/>
        <v>0.95438667657912</v>
      </c>
      <c r="X71" s="53">
        <f t="shared" si="48"/>
        <v>0.11726192218431031</v>
      </c>
      <c r="Y71" s="53">
        <f t="shared" si="48"/>
        <v>0.07912385459871585</v>
      </c>
      <c r="Z71" s="53">
        <f t="shared" si="48"/>
        <v>0.18794360285093314</v>
      </c>
      <c r="AA71" s="53">
        <f t="shared" si="48"/>
        <v>0.2123052127514986</v>
      </c>
      <c r="AB71" s="53">
        <f t="shared" si="48"/>
        <v>0.14822073349036025</v>
      </c>
      <c r="AC71" s="53">
        <f t="shared" si="48"/>
        <v>-0.1509144853649066</v>
      </c>
      <c r="AD71" s="53">
        <f t="shared" si="48"/>
        <v>0.18170738947097576</v>
      </c>
      <c r="AE71" s="53">
        <f t="shared" si="48"/>
        <v>0.23276767807012422</v>
      </c>
      <c r="AF71" s="53">
        <f t="shared" si="48"/>
        <v>0.1274683016234457</v>
      </c>
      <c r="AG71" s="53">
        <f t="shared" si="48"/>
        <v>0.21916958318739566</v>
      </c>
      <c r="AH71" s="53">
        <f t="shared" si="48"/>
        <v>-0.4545944399259637</v>
      </c>
      <c r="AI71" s="53">
        <f t="shared" si="48"/>
        <v>-0.4171111801704933</v>
      </c>
    </row>
    <row r="72" spans="2:33" ht="18">
      <c r="B72" s="67" t="s">
        <v>50</v>
      </c>
      <c r="C72" s="67"/>
      <c r="D72" s="64"/>
      <c r="E72" s="70">
        <f aca="true" t="shared" si="49" ref="E72:O72">+E71/E77</f>
        <v>0.008191411302078837</v>
      </c>
      <c r="F72" s="70">
        <f t="shared" si="49"/>
        <v>-0.011695537683374786</v>
      </c>
      <c r="G72" s="70">
        <f t="shared" si="49"/>
        <v>-0.020345988854574185</v>
      </c>
      <c r="H72" s="70">
        <f t="shared" si="49"/>
        <v>-0.020816926263679505</v>
      </c>
      <c r="I72" s="70">
        <f t="shared" si="49"/>
        <v>-0.02045023557885973</v>
      </c>
      <c r="J72" s="70">
        <f t="shared" si="49"/>
        <v>-0.022662165612767488</v>
      </c>
      <c r="K72" s="70">
        <f t="shared" si="49"/>
        <v>-0.024982940558731584</v>
      </c>
      <c r="L72" s="70">
        <f t="shared" si="49"/>
        <v>-0.02642085028307406</v>
      </c>
      <c r="M72" s="70">
        <f t="shared" si="49"/>
        <v>-0.02127579317959496</v>
      </c>
      <c r="N72" s="70">
        <f t="shared" si="49"/>
        <v>-0.023467267682579417</v>
      </c>
      <c r="O72" s="70">
        <f t="shared" si="49"/>
        <v>-0.02758736095445499</v>
      </c>
      <c r="P72" s="70">
        <f>+P71/P77</f>
        <v>-0.02960966570983259</v>
      </c>
      <c r="Q72" s="70">
        <f>+Q71/Q77</f>
        <v>-0.03756464657400128</v>
      </c>
      <c r="R72" s="70">
        <f>+R71/R77</f>
        <v>-0.018624860583310202</v>
      </c>
      <c r="S72" s="70">
        <f>+S71/S77</f>
        <v>-0.009875823171748281</v>
      </c>
      <c r="T72" s="64"/>
      <c r="U72" s="64"/>
      <c r="V72" s="64"/>
      <c r="W72" s="64"/>
      <c r="X72" s="64"/>
      <c r="Y72" s="64"/>
      <c r="Z72" s="64"/>
      <c r="AA72" s="39"/>
      <c r="AB72" s="39"/>
      <c r="AC72" s="39"/>
      <c r="AD72" s="39"/>
      <c r="AE72" s="15"/>
      <c r="AF72" s="15"/>
      <c r="AG72" s="15"/>
    </row>
    <row r="73" spans="2:33" ht="12.75">
      <c r="B73" s="3"/>
      <c r="C73" s="3"/>
      <c r="D73" s="25"/>
      <c r="E73" s="1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5"/>
      <c r="U73" s="25"/>
      <c r="V73" s="25"/>
      <c r="W73" s="25"/>
      <c r="X73" s="25"/>
      <c r="Y73" s="25"/>
      <c r="Z73" s="25"/>
      <c r="AA73" s="17"/>
      <c r="AB73" s="17"/>
      <c r="AC73" s="17"/>
      <c r="AD73" s="15"/>
      <c r="AE73" s="15"/>
      <c r="AF73" s="15"/>
      <c r="AG73" s="15"/>
    </row>
    <row r="74" spans="2:33" ht="12.75">
      <c r="B74" s="45" t="s">
        <v>40</v>
      </c>
      <c r="C74" s="45"/>
      <c r="D74" s="26"/>
      <c r="E74" s="15"/>
      <c r="F74" s="54">
        <f aca="true" t="shared" si="50" ref="F74:O74">F75+F76</f>
        <v>207315.72328442102</v>
      </c>
      <c r="G74" s="54">
        <f t="shared" si="50"/>
        <v>382443.51496956014</v>
      </c>
      <c r="H74" s="54">
        <f t="shared" si="50"/>
        <v>468815.4265224458</v>
      </c>
      <c r="I74" s="54">
        <f t="shared" si="50"/>
        <v>485751.7725488044</v>
      </c>
      <c r="J74" s="54">
        <f t="shared" si="50"/>
        <v>577045.669593865</v>
      </c>
      <c r="K74" s="54">
        <f t="shared" si="50"/>
        <v>699555.4813985089</v>
      </c>
      <c r="L74" s="54">
        <f t="shared" si="50"/>
        <v>803244.1117188834</v>
      </c>
      <c r="M74" s="54">
        <f t="shared" si="50"/>
        <v>681886.641560197</v>
      </c>
      <c r="N74" s="54">
        <f t="shared" si="50"/>
        <v>805951.5540730342</v>
      </c>
      <c r="O74" s="54">
        <f t="shared" si="50"/>
        <v>993551.0128692562</v>
      </c>
      <c r="P74" s="54">
        <f>P75+P76</f>
        <v>1120197.2895595827</v>
      </c>
      <c r="Q74" s="54">
        <f>Q75+Q76</f>
        <v>1365710.470403491</v>
      </c>
      <c r="R74" s="54">
        <f>R75+R76</f>
        <v>744866.0546985231</v>
      </c>
      <c r="S74" s="54">
        <f>S75+S76</f>
        <v>0</v>
      </c>
      <c r="T74" s="26"/>
      <c r="U74" s="26"/>
      <c r="V74" s="26"/>
      <c r="W74" s="26"/>
      <c r="X74" s="26"/>
      <c r="Y74" s="26"/>
      <c r="Z74" s="26"/>
      <c r="AA74" s="15"/>
      <c r="AB74" s="15"/>
      <c r="AC74" s="15"/>
      <c r="AD74" s="15"/>
      <c r="AE74" s="15"/>
      <c r="AF74" s="15"/>
      <c r="AG74" s="15"/>
    </row>
    <row r="75" spans="2:33" ht="12.75">
      <c r="B75" s="46" t="s">
        <v>42</v>
      </c>
      <c r="C75" s="46"/>
      <c r="D75" s="25"/>
      <c r="E75" s="15"/>
      <c r="F75" s="56">
        <v>394497.860884211</v>
      </c>
      <c r="G75" s="56">
        <v>387036.74795777013</v>
      </c>
      <c r="H75" s="56">
        <v>605260.6534424094</v>
      </c>
      <c r="I75" s="56">
        <f>629287.227094345-3928.35</f>
        <v>625358.877094345</v>
      </c>
      <c r="J75" s="56">
        <v>204555.55018348503</v>
      </c>
      <c r="K75" s="56">
        <f>269378.198340149+1607-1985.1-1972.2</f>
        <v>267027.898340149</v>
      </c>
      <c r="L75" s="56">
        <v>256068.89505315098</v>
      </c>
      <c r="M75" s="56">
        <v>669222.347325108</v>
      </c>
      <c r="N75" s="56">
        <v>793660.8</v>
      </c>
      <c r="O75" s="56">
        <f>999938.49992458-6687.8</f>
        <v>993250.6999245799</v>
      </c>
      <c r="P75" s="56">
        <v>1118483.90488476</v>
      </c>
      <c r="Q75" s="56">
        <v>904743.2567022891</v>
      </c>
      <c r="R75" s="56">
        <v>504610.928509293</v>
      </c>
      <c r="S75" s="56"/>
      <c r="T75" s="25"/>
      <c r="U75" s="25"/>
      <c r="V75" s="25"/>
      <c r="W75" s="25"/>
      <c r="X75" s="25"/>
      <c r="Y75" s="25"/>
      <c r="Z75" s="25"/>
      <c r="AA75" s="17"/>
      <c r="AB75" s="17"/>
      <c r="AC75" s="17"/>
      <c r="AD75" s="15"/>
      <c r="AE75" s="15"/>
      <c r="AF75" s="15"/>
      <c r="AG75" s="15"/>
    </row>
    <row r="76" spans="2:33" ht="13.5" thickBot="1">
      <c r="B76" s="123" t="s">
        <v>43</v>
      </c>
      <c r="C76" s="123"/>
      <c r="D76" s="13"/>
      <c r="E76" s="12"/>
      <c r="F76" s="124">
        <v>-187182.13759979</v>
      </c>
      <c r="G76" s="124">
        <v>-4593.23298821</v>
      </c>
      <c r="H76" s="124">
        <v>-136445.22691996355</v>
      </c>
      <c r="I76" s="124">
        <v>-139607.10454554064</v>
      </c>
      <c r="J76" s="124">
        <v>372490.11941037996</v>
      </c>
      <c r="K76" s="124">
        <v>432527.5830583598</v>
      </c>
      <c r="L76" s="124">
        <v>547175.2166657324</v>
      </c>
      <c r="M76" s="124">
        <v>12664.294235089</v>
      </c>
      <c r="N76" s="124">
        <v>12290.754073034208</v>
      </c>
      <c r="O76" s="124">
        <v>300.3129446762432</v>
      </c>
      <c r="P76" s="124">
        <v>1713.3846748226897</v>
      </c>
      <c r="Q76" s="124">
        <v>460967.213701202</v>
      </c>
      <c r="R76" s="124">
        <v>240255.12618923018</v>
      </c>
      <c r="S76" s="124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2"/>
      <c r="AF76" s="12"/>
      <c r="AG76" s="12"/>
    </row>
    <row r="77" spans="2:19" ht="13.5" thickTop="1">
      <c r="B77" s="135" t="s">
        <v>126</v>
      </c>
      <c r="C77" s="69">
        <v>11613320</v>
      </c>
      <c r="D77" s="69">
        <v>13889052.9</v>
      </c>
      <c r="E77" s="69">
        <v>16208974.7</v>
      </c>
      <c r="F77" s="69">
        <v>17626147.7</v>
      </c>
      <c r="G77" s="68">
        <v>19802010.6</v>
      </c>
      <c r="H77" s="68">
        <v>21623524.6</v>
      </c>
      <c r="I77" s="68">
        <v>23752868.6</v>
      </c>
      <c r="J77" s="68">
        <v>25462954.6</v>
      </c>
      <c r="K77" s="68">
        <v>28001327.6</v>
      </c>
      <c r="L77" s="68">
        <v>30401903.2</v>
      </c>
      <c r="M77" s="68">
        <v>32056288.2</v>
      </c>
      <c r="N77" s="68">
        <v>34343647.5</v>
      </c>
      <c r="O77" s="68">
        <v>36014718.7</v>
      </c>
      <c r="P77" s="68">
        <v>37832149.8</v>
      </c>
      <c r="Q77" s="68">
        <v>36356271.4</v>
      </c>
      <c r="R77" s="68">
        <v>39993109.7</v>
      </c>
      <c r="S77" s="68">
        <v>43963334.5</v>
      </c>
    </row>
    <row r="79" spans="2:15" ht="14.25">
      <c r="B79" s="2" t="s">
        <v>56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4.25">
      <c r="B80" s="2" t="s">
        <v>57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4.25">
      <c r="B81" s="2" t="s">
        <v>58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4.25">
      <c r="B82" s="2" t="s">
        <v>131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4.25">
      <c r="B83" s="2" t="s">
        <v>59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4.25">
      <c r="B84" s="2" t="s">
        <v>60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4.25">
      <c r="B85" s="1" t="s">
        <v>78</v>
      </c>
    </row>
    <row r="88" spans="2:31" ht="28.5" customHeight="1">
      <c r="B88" s="233" t="s">
        <v>46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</row>
    <row r="89" spans="18:19" ht="12.75">
      <c r="R89" s="43"/>
      <c r="S89" s="43"/>
    </row>
    <row r="90" spans="17:19" ht="12.75">
      <c r="Q90" s="43"/>
      <c r="R90" s="43"/>
      <c r="S90" s="43"/>
    </row>
    <row r="91" spans="17:19" ht="12.75">
      <c r="Q91" s="43"/>
      <c r="R91" s="43"/>
      <c r="S91" s="43"/>
    </row>
    <row r="92" ht="12.75">
      <c r="P92" s="43"/>
    </row>
  </sheetData>
  <sheetProtection/>
  <mergeCells count="6">
    <mergeCell ref="A2:AE2"/>
    <mergeCell ref="A3:AE3"/>
    <mergeCell ref="A4:AE4"/>
    <mergeCell ref="B88:AE88"/>
    <mergeCell ref="C6:R6"/>
    <mergeCell ref="T6:AI6"/>
  </mergeCells>
  <printOptions/>
  <pageMargins left="0.2362204724409449" right="0.2755905511811024" top="0.7874015748031497" bottom="0.1968503937007874" header="0" footer="0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6">
      <selection activeCell="E15" sqref="E15"/>
    </sheetView>
  </sheetViews>
  <sheetFormatPr defaultColWidth="11.421875" defaultRowHeight="12.75"/>
  <cols>
    <col min="1" max="1" width="4.7109375" style="74" customWidth="1"/>
    <col min="2" max="2" width="35.140625" style="74" bestFit="1" customWidth="1"/>
    <col min="3" max="5" width="7.8515625" style="74" bestFit="1" customWidth="1"/>
    <col min="6" max="6" width="7.140625" style="74" bestFit="1" customWidth="1"/>
    <col min="7" max="7" width="7.7109375" style="74" bestFit="1" customWidth="1"/>
    <col min="8" max="8" width="9.140625" style="74" customWidth="1"/>
    <col min="9" max="9" width="35.140625" style="74" bestFit="1" customWidth="1"/>
    <col min="10" max="12" width="9.140625" style="74" bestFit="1" customWidth="1"/>
    <col min="13" max="13" width="6.28125" style="74" bestFit="1" customWidth="1"/>
    <col min="14" max="14" width="7.140625" style="74" bestFit="1" customWidth="1"/>
    <col min="15" max="16384" width="11.421875" style="74" customWidth="1"/>
  </cols>
  <sheetData>
    <row r="1" spans="1:14" ht="11.25">
      <c r="A1" s="161"/>
      <c r="B1" s="162"/>
      <c r="C1" s="163" t="s">
        <v>79</v>
      </c>
      <c r="D1" s="163" t="s">
        <v>79</v>
      </c>
      <c r="E1" s="163" t="s">
        <v>79</v>
      </c>
      <c r="F1" s="164" t="s">
        <v>79</v>
      </c>
      <c r="G1" s="164"/>
      <c r="H1" s="161"/>
      <c r="I1" s="161"/>
      <c r="J1" s="165" t="s">
        <v>79</v>
      </c>
      <c r="K1" s="165" t="s">
        <v>79</v>
      </c>
      <c r="L1" s="165" t="s">
        <v>79</v>
      </c>
      <c r="M1" s="164"/>
      <c r="N1" s="164"/>
    </row>
    <row r="2" spans="1:14" ht="11.25">
      <c r="A2" s="161"/>
      <c r="B2" s="240" t="s">
        <v>80</v>
      </c>
      <c r="C2" s="240"/>
      <c r="D2" s="240"/>
      <c r="E2" s="240"/>
      <c r="F2" s="240"/>
      <c r="G2" s="240"/>
      <c r="H2" s="161"/>
      <c r="I2" s="240" t="s">
        <v>80</v>
      </c>
      <c r="J2" s="240"/>
      <c r="K2" s="240"/>
      <c r="L2" s="240"/>
      <c r="M2" s="240"/>
      <c r="N2" s="240"/>
    </row>
    <row r="3" spans="1:14" ht="14.25" customHeight="1">
      <c r="A3" s="161"/>
      <c r="B3" s="240" t="s">
        <v>81</v>
      </c>
      <c r="C3" s="240"/>
      <c r="D3" s="240"/>
      <c r="E3" s="240"/>
      <c r="F3" s="240"/>
      <c r="G3" s="240"/>
      <c r="H3" s="161"/>
      <c r="I3" s="240" t="s">
        <v>81</v>
      </c>
      <c r="J3" s="240"/>
      <c r="K3" s="240"/>
      <c r="L3" s="240"/>
      <c r="M3" s="240"/>
      <c r="N3" s="240"/>
    </row>
    <row r="4" spans="1:14" ht="12" customHeight="1">
      <c r="A4" s="161"/>
      <c r="B4" s="240" t="s">
        <v>82</v>
      </c>
      <c r="C4" s="240"/>
      <c r="D4" s="240"/>
      <c r="E4" s="240"/>
      <c r="F4" s="240"/>
      <c r="G4" s="240"/>
      <c r="H4" s="161"/>
      <c r="I4" s="240" t="s">
        <v>132</v>
      </c>
      <c r="J4" s="240"/>
      <c r="K4" s="240"/>
      <c r="L4" s="240"/>
      <c r="M4" s="240"/>
      <c r="N4" s="240"/>
    </row>
    <row r="5" spans="1:14" ht="14.25" customHeight="1">
      <c r="A5" s="161"/>
      <c r="B5" s="240" t="s">
        <v>83</v>
      </c>
      <c r="C5" s="240"/>
      <c r="D5" s="240"/>
      <c r="E5" s="240"/>
      <c r="F5" s="240"/>
      <c r="G5" s="240"/>
      <c r="H5" s="161"/>
      <c r="I5" s="240" t="s">
        <v>83</v>
      </c>
      <c r="J5" s="240"/>
      <c r="K5" s="240"/>
      <c r="L5" s="240"/>
      <c r="M5" s="240"/>
      <c r="N5" s="240"/>
    </row>
    <row r="6" spans="1:14" ht="3" customHeight="1">
      <c r="A6" s="161"/>
      <c r="B6" s="166"/>
      <c r="C6" s="166"/>
      <c r="D6" s="166"/>
      <c r="E6" s="166"/>
      <c r="F6" s="166"/>
      <c r="G6" s="166"/>
      <c r="H6" s="161"/>
      <c r="I6" s="166"/>
      <c r="J6" s="166"/>
      <c r="K6" s="166"/>
      <c r="L6" s="166"/>
      <c r="M6" s="166"/>
      <c r="N6" s="166"/>
    </row>
    <row r="7" spans="1:14" ht="15.75" customHeight="1">
      <c r="A7" s="161"/>
      <c r="B7" s="167" t="s">
        <v>0</v>
      </c>
      <c r="C7" s="168">
        <v>2020</v>
      </c>
      <c r="D7" s="168">
        <v>2021</v>
      </c>
      <c r="E7" s="169">
        <v>2022</v>
      </c>
      <c r="F7" s="241" t="s">
        <v>84</v>
      </c>
      <c r="G7" s="242"/>
      <c r="H7" s="161"/>
      <c r="I7" s="167" t="s">
        <v>0</v>
      </c>
      <c r="J7" s="168">
        <v>2020</v>
      </c>
      <c r="K7" s="168">
        <v>2021</v>
      </c>
      <c r="L7" s="169">
        <v>2022</v>
      </c>
      <c r="M7" s="241" t="s">
        <v>84</v>
      </c>
      <c r="N7" s="242"/>
    </row>
    <row r="8" spans="1:14" ht="12" customHeight="1">
      <c r="A8" s="161"/>
      <c r="B8" s="170"/>
      <c r="C8" s="170"/>
      <c r="D8" s="171"/>
      <c r="E8" s="172"/>
      <c r="F8" s="85" t="s">
        <v>77</v>
      </c>
      <c r="G8" s="86" t="s">
        <v>128</v>
      </c>
      <c r="H8" s="161"/>
      <c r="I8" s="170"/>
      <c r="J8" s="168"/>
      <c r="K8" s="168"/>
      <c r="L8" s="169"/>
      <c r="M8" s="86" t="s">
        <v>77</v>
      </c>
      <c r="N8" s="86" t="s">
        <v>128</v>
      </c>
    </row>
    <row r="9" spans="1:14" ht="16.5" customHeight="1">
      <c r="A9" s="165"/>
      <c r="B9" s="173" t="s">
        <v>85</v>
      </c>
      <c r="C9" s="174">
        <v>311243.81511773</v>
      </c>
      <c r="D9" s="175">
        <v>533484.82682668</v>
      </c>
      <c r="E9" s="176">
        <f>E10+E62</f>
        <v>647281.3629507999</v>
      </c>
      <c r="F9" s="87">
        <f>D9/C9-1</f>
        <v>0.7140415356523178</v>
      </c>
      <c r="G9" s="88">
        <f>E9/D9-1</f>
        <v>0.21330791505545554</v>
      </c>
      <c r="H9" s="161"/>
      <c r="I9" s="173" t="s">
        <v>85</v>
      </c>
      <c r="J9" s="177">
        <v>2310099.6901549497</v>
      </c>
      <c r="K9" s="178">
        <v>3147881.0640198896</v>
      </c>
      <c r="L9" s="176">
        <f>L10+L62</f>
        <v>3538504.85328089</v>
      </c>
      <c r="M9" s="88">
        <f>K9/J9-1</f>
        <v>0.36266026848769717</v>
      </c>
      <c r="N9" s="88">
        <f>L9/K9-1</f>
        <v>0.12409102546020856</v>
      </c>
    </row>
    <row r="10" spans="1:14" ht="16.5" customHeight="1">
      <c r="A10" s="165"/>
      <c r="B10" s="179" t="s">
        <v>86</v>
      </c>
      <c r="C10" s="180">
        <v>311243.81511773</v>
      </c>
      <c r="D10" s="181">
        <v>533484.82682668</v>
      </c>
      <c r="E10" s="182">
        <f>E12++E59+E60+E61</f>
        <v>647281.3629507999</v>
      </c>
      <c r="F10" s="89">
        <f aca="true" t="shared" si="0" ref="F10:G61">D10/C10-1</f>
        <v>0.7140415356523178</v>
      </c>
      <c r="G10" s="90">
        <f>E10/D10-1</f>
        <v>0.21330791505545554</v>
      </c>
      <c r="H10" s="161"/>
      <c r="I10" s="179" t="s">
        <v>86</v>
      </c>
      <c r="J10" s="180">
        <v>2235099.6901549497</v>
      </c>
      <c r="K10" s="181">
        <v>3141346.1150748897</v>
      </c>
      <c r="L10" s="182">
        <f>L12++L59+L60+L61</f>
        <v>3530894.71819089</v>
      </c>
      <c r="M10" s="90">
        <f>K10/J10-1</f>
        <v>0.4054612995168525</v>
      </c>
      <c r="N10" s="90">
        <f>L10/K10-1</f>
        <v>0.12400690304281015</v>
      </c>
    </row>
    <row r="11" spans="1:14" ht="9" customHeight="1">
      <c r="A11" s="165"/>
      <c r="B11" s="183"/>
      <c r="C11" s="174"/>
      <c r="D11" s="184"/>
      <c r="E11" s="176"/>
      <c r="F11" s="91"/>
      <c r="G11" s="92"/>
      <c r="H11" s="161"/>
      <c r="I11" s="183"/>
      <c r="J11" s="185"/>
      <c r="K11" s="186"/>
      <c r="L11" s="176"/>
      <c r="M11" s="93"/>
      <c r="N11" s="93"/>
    </row>
    <row r="12" spans="1:14" ht="12.75" customHeight="1">
      <c r="A12" s="165"/>
      <c r="B12" s="227" t="s">
        <v>87</v>
      </c>
      <c r="C12" s="136">
        <v>268898.41598601</v>
      </c>
      <c r="D12" s="147">
        <v>481979.77323895</v>
      </c>
      <c r="E12" s="148">
        <f>E14+E21+E26+E30+E35+E39+E43+E56+E57</f>
        <v>572521.07096857</v>
      </c>
      <c r="F12" s="95">
        <f t="shared" si="0"/>
        <v>0.7924232519987251</v>
      </c>
      <c r="G12" s="96">
        <f>E12/D12-1</f>
        <v>0.18785289913967507</v>
      </c>
      <c r="H12" s="161"/>
      <c r="I12" s="187" t="s">
        <v>87</v>
      </c>
      <c r="J12" s="94">
        <v>2041547.07546665</v>
      </c>
      <c r="K12" s="147">
        <v>2710444.86674007</v>
      </c>
      <c r="L12" s="148">
        <f>L14+L21+L26+L30+L35+L39+L43+L56+L57</f>
        <v>3041658.67727126</v>
      </c>
      <c r="M12" s="95">
        <f>K12/J12-1</f>
        <v>0.3276425997282111</v>
      </c>
      <c r="N12" s="96">
        <f>L12/K12-1</f>
        <v>0.12219905838909417</v>
      </c>
    </row>
    <row r="13" spans="1:14" ht="6.75" customHeight="1">
      <c r="A13" s="165"/>
      <c r="B13" s="228"/>
      <c r="C13" s="125"/>
      <c r="D13" s="125"/>
      <c r="E13" s="149"/>
      <c r="F13" s="98"/>
      <c r="G13" s="99"/>
      <c r="H13" s="161"/>
      <c r="I13" s="188"/>
      <c r="J13" s="97"/>
      <c r="K13" s="125"/>
      <c r="L13" s="149"/>
      <c r="M13" s="98"/>
      <c r="N13" s="99"/>
    </row>
    <row r="14" spans="1:14" s="76" customFormat="1" ht="14.25" customHeight="1">
      <c r="A14" s="165"/>
      <c r="B14" s="229" t="s">
        <v>88</v>
      </c>
      <c r="C14" s="190">
        <v>129351.84205117001</v>
      </c>
      <c r="D14" s="190">
        <v>220813.74193379</v>
      </c>
      <c r="E14" s="191">
        <f>SUM(E15:E19)</f>
        <v>266370.16087828</v>
      </c>
      <c r="F14" s="100">
        <f t="shared" si="0"/>
        <v>0.7070784492302691</v>
      </c>
      <c r="G14" s="101">
        <f>E14/D14-1</f>
        <v>0.2063115209475952</v>
      </c>
      <c r="H14" s="192"/>
      <c r="I14" s="189" t="s">
        <v>88</v>
      </c>
      <c r="J14" s="193">
        <v>821030.48686356</v>
      </c>
      <c r="K14" s="190">
        <v>1074512.73634559</v>
      </c>
      <c r="L14" s="191">
        <f>SUM(L15:L19)</f>
        <v>1264939.37954838</v>
      </c>
      <c r="M14" s="100">
        <f aca="true" t="shared" si="1" ref="M14:N18">K14/J14-1</f>
        <v>0.3087367077565708</v>
      </c>
      <c r="N14" s="101">
        <f t="shared" si="1"/>
        <v>0.17722139232190903</v>
      </c>
    </row>
    <row r="15" spans="1:14" ht="12.75" customHeight="1">
      <c r="A15" s="165"/>
      <c r="B15" s="228" t="s">
        <v>89</v>
      </c>
      <c r="C15" s="128">
        <v>46285.12202537</v>
      </c>
      <c r="D15" s="128">
        <v>50973.5148169</v>
      </c>
      <c r="E15" s="150">
        <v>55876.656542059995</v>
      </c>
      <c r="F15" s="103">
        <f>D15/C15-1</f>
        <v>0.1012937329831427</v>
      </c>
      <c r="G15" s="104">
        <f>E15/D15-1</f>
        <v>0.09618998695248648</v>
      </c>
      <c r="H15" s="161"/>
      <c r="I15" s="188" t="s">
        <v>89</v>
      </c>
      <c r="J15" s="102">
        <v>290690.48019751</v>
      </c>
      <c r="K15" s="128">
        <v>326492.32085265004</v>
      </c>
      <c r="L15" s="150">
        <v>355639.33603531995</v>
      </c>
      <c r="M15" s="105">
        <f t="shared" si="1"/>
        <v>0.12316137986635978</v>
      </c>
      <c r="N15" s="106">
        <f t="shared" si="1"/>
        <v>0.08927320283230888</v>
      </c>
    </row>
    <row r="16" spans="1:14" ht="12.75" customHeight="1">
      <c r="A16" s="165"/>
      <c r="B16" s="228" t="s">
        <v>90</v>
      </c>
      <c r="C16" s="128">
        <v>68165.95415032</v>
      </c>
      <c r="D16" s="128">
        <v>150452.45790164</v>
      </c>
      <c r="E16" s="150">
        <v>191119.93041345</v>
      </c>
      <c r="F16" s="103">
        <f aca="true" t="shared" si="2" ref="F16:G18">D16/C16-1</f>
        <v>1.2071495921536033</v>
      </c>
      <c r="G16" s="104">
        <f t="shared" si="2"/>
        <v>0.2703011508020481</v>
      </c>
      <c r="H16" s="161"/>
      <c r="I16" s="188" t="s">
        <v>90</v>
      </c>
      <c r="J16" s="102">
        <v>435825.15083945007</v>
      </c>
      <c r="K16" s="128">
        <v>649877.89108814</v>
      </c>
      <c r="L16" s="150">
        <v>798518.31978746</v>
      </c>
      <c r="M16" s="105">
        <f t="shared" si="1"/>
        <v>0.49114361536134243</v>
      </c>
      <c r="N16" s="106">
        <f t="shared" si="1"/>
        <v>0.228720550025852</v>
      </c>
    </row>
    <row r="17" spans="1:14" ht="12.75" customHeight="1">
      <c r="A17" s="165"/>
      <c r="B17" s="228" t="s">
        <v>91</v>
      </c>
      <c r="C17" s="128">
        <v>0</v>
      </c>
      <c r="D17" s="128">
        <v>0</v>
      </c>
      <c r="E17" s="150">
        <v>0</v>
      </c>
      <c r="F17" s="160" t="e">
        <f t="shared" si="2"/>
        <v>#DIV/0!</v>
      </c>
      <c r="G17" s="194" t="e">
        <f t="shared" si="2"/>
        <v>#DIV/0!</v>
      </c>
      <c r="H17" s="161"/>
      <c r="I17" s="188" t="s">
        <v>91</v>
      </c>
      <c r="J17" s="102">
        <v>0</v>
      </c>
      <c r="K17" s="128">
        <v>0</v>
      </c>
      <c r="L17" s="150">
        <v>0</v>
      </c>
      <c r="M17" s="159" t="e">
        <f t="shared" si="1"/>
        <v>#DIV/0!</v>
      </c>
      <c r="N17" s="195" t="e">
        <f t="shared" si="1"/>
        <v>#DIV/0!</v>
      </c>
    </row>
    <row r="18" spans="1:14" ht="12.75" customHeight="1">
      <c r="A18" s="165"/>
      <c r="B18" s="228" t="s">
        <v>92</v>
      </c>
      <c r="C18" s="128">
        <v>14900.76587548</v>
      </c>
      <c r="D18" s="128">
        <v>19387.76921525</v>
      </c>
      <c r="E18" s="150">
        <v>19373.57392277</v>
      </c>
      <c r="F18" s="103">
        <f t="shared" si="2"/>
        <v>0.3011256855698674</v>
      </c>
      <c r="G18" s="104">
        <f t="shared" si="2"/>
        <v>-0.0007321777107205385</v>
      </c>
      <c r="H18" s="161"/>
      <c r="I18" s="188" t="s">
        <v>92</v>
      </c>
      <c r="J18" s="102">
        <v>94514.85582659999</v>
      </c>
      <c r="K18" s="128">
        <v>98142.52440479999</v>
      </c>
      <c r="L18" s="150">
        <v>110781.7237256</v>
      </c>
      <c r="M18" s="105">
        <f t="shared" si="1"/>
        <v>0.038381993459900565</v>
      </c>
      <c r="N18" s="106">
        <f t="shared" si="1"/>
        <v>0.1287841269363339</v>
      </c>
    </row>
    <row r="19" spans="1:14" ht="11.25">
      <c r="A19" s="165"/>
      <c r="B19" s="228" t="s">
        <v>93</v>
      </c>
      <c r="C19" s="128">
        <v>0</v>
      </c>
      <c r="D19" s="128">
        <v>0</v>
      </c>
      <c r="E19" s="150">
        <v>0</v>
      </c>
      <c r="F19" s="103">
        <v>0</v>
      </c>
      <c r="G19" s="104">
        <v>0</v>
      </c>
      <c r="H19" s="161"/>
      <c r="I19" s="188" t="s">
        <v>93</v>
      </c>
      <c r="J19" s="102">
        <v>0</v>
      </c>
      <c r="K19" s="128">
        <v>0</v>
      </c>
      <c r="L19" s="150">
        <v>0</v>
      </c>
      <c r="M19" s="105">
        <v>0</v>
      </c>
      <c r="N19" s="106">
        <v>0</v>
      </c>
    </row>
    <row r="20" spans="1:14" ht="6" customHeight="1">
      <c r="A20" s="165"/>
      <c r="B20" s="230"/>
      <c r="C20" s="196"/>
      <c r="D20" s="196"/>
      <c r="E20" s="197"/>
      <c r="F20" s="103"/>
      <c r="G20" s="104"/>
      <c r="H20" s="165"/>
      <c r="I20" s="188"/>
      <c r="J20" s="198"/>
      <c r="K20" s="196"/>
      <c r="L20" s="197"/>
      <c r="M20" s="103"/>
      <c r="N20" s="104"/>
    </row>
    <row r="21" spans="1:14" ht="11.25">
      <c r="A21" s="165"/>
      <c r="B21" s="199" t="s">
        <v>94</v>
      </c>
      <c r="C21" s="200">
        <v>1938.8392096800003</v>
      </c>
      <c r="D21" s="201">
        <v>2165.4325472600003</v>
      </c>
      <c r="E21" s="202">
        <f>SUM(E22:E24)</f>
        <v>1779.02798961</v>
      </c>
      <c r="F21" s="109">
        <f t="shared" si="0"/>
        <v>0.11687061848589209</v>
      </c>
      <c r="G21" s="117">
        <f>E21/D21-1</f>
        <v>-0.17844220460200055</v>
      </c>
      <c r="H21" s="161"/>
      <c r="I21" s="199" t="s">
        <v>94</v>
      </c>
      <c r="J21" s="200">
        <v>46926.74315618</v>
      </c>
      <c r="K21" s="201">
        <v>65062.35292159</v>
      </c>
      <c r="L21" s="202">
        <f>SUM(L22:L24)</f>
        <v>73146.16646325</v>
      </c>
      <c r="M21" s="126">
        <f aca="true" t="shared" si="3" ref="M21:N24">K21/J21-1</f>
        <v>0.38646640584137026</v>
      </c>
      <c r="N21" s="109">
        <f t="shared" si="3"/>
        <v>0.12424717488164361</v>
      </c>
    </row>
    <row r="22" spans="1:14" ht="11.25">
      <c r="A22" s="165"/>
      <c r="B22" s="188" t="s">
        <v>95</v>
      </c>
      <c r="C22" s="102">
        <v>1130.1780096700002</v>
      </c>
      <c r="D22" s="128">
        <v>1119.3959055</v>
      </c>
      <c r="E22" s="150">
        <v>1053.53185861</v>
      </c>
      <c r="F22" s="104">
        <f t="shared" si="0"/>
        <v>-0.009540182234786587</v>
      </c>
      <c r="G22" s="118">
        <f>E22/D22-1</f>
        <v>-0.05883892067711338</v>
      </c>
      <c r="H22" s="161"/>
      <c r="I22" s="188" t="s">
        <v>95</v>
      </c>
      <c r="J22" s="102">
        <v>20008.98998827</v>
      </c>
      <c r="K22" s="128">
        <v>38282.12028149</v>
      </c>
      <c r="L22" s="150">
        <v>48193.50359149999</v>
      </c>
      <c r="M22" s="115">
        <f t="shared" si="3"/>
        <v>0.9132460111146228</v>
      </c>
      <c r="N22" s="104">
        <f t="shared" si="3"/>
        <v>0.25890371894584674</v>
      </c>
    </row>
    <row r="23" spans="1:14" ht="11.25">
      <c r="A23" s="165"/>
      <c r="B23" s="188" t="s">
        <v>96</v>
      </c>
      <c r="C23" s="102">
        <v>50.580709</v>
      </c>
      <c r="D23" s="128">
        <v>98.168615</v>
      </c>
      <c r="E23" s="150">
        <v>83.20713</v>
      </c>
      <c r="F23" s="104">
        <f t="shared" si="0"/>
        <v>0.9408311378158025</v>
      </c>
      <c r="G23" s="118">
        <f>E23/D23-1</f>
        <v>-0.15240599044816916</v>
      </c>
      <c r="H23" s="161"/>
      <c r="I23" s="188" t="s">
        <v>96</v>
      </c>
      <c r="J23" s="102">
        <v>4214.26180289</v>
      </c>
      <c r="K23" s="128">
        <v>4639.005214</v>
      </c>
      <c r="L23" s="150">
        <v>4718.485503</v>
      </c>
      <c r="M23" s="115">
        <f t="shared" si="3"/>
        <v>0.10078714398301636</v>
      </c>
      <c r="N23" s="104">
        <f t="shared" si="3"/>
        <v>0.01713304584356523</v>
      </c>
    </row>
    <row r="24" spans="1:14" ht="11.25">
      <c r="A24" s="165"/>
      <c r="B24" s="203" t="s">
        <v>97</v>
      </c>
      <c r="C24" s="102">
        <v>758.08049101</v>
      </c>
      <c r="D24" s="128">
        <v>947.86802676</v>
      </c>
      <c r="E24" s="150">
        <v>642.289001</v>
      </c>
      <c r="F24" s="104">
        <f t="shared" si="0"/>
        <v>0.2503527501375795</v>
      </c>
      <c r="G24" s="118">
        <f t="shared" si="0"/>
        <v>-0.3223856245099114</v>
      </c>
      <c r="H24" s="161"/>
      <c r="I24" s="203" t="s">
        <v>97</v>
      </c>
      <c r="J24" s="102">
        <v>22703.491365019996</v>
      </c>
      <c r="K24" s="128">
        <v>22141.2274261</v>
      </c>
      <c r="L24" s="150">
        <v>20234.177368750003</v>
      </c>
      <c r="M24" s="115">
        <f t="shared" si="3"/>
        <v>-0.0247655274635995</v>
      </c>
      <c r="N24" s="104">
        <f t="shared" si="3"/>
        <v>-0.08613118056418012</v>
      </c>
    </row>
    <row r="25" spans="1:14" ht="5.25" customHeight="1">
      <c r="A25" s="165"/>
      <c r="B25" s="204"/>
      <c r="C25" s="110"/>
      <c r="D25" s="151"/>
      <c r="E25" s="152"/>
      <c r="F25" s="108"/>
      <c r="G25" s="120"/>
      <c r="H25" s="161"/>
      <c r="I25" s="204"/>
      <c r="J25" s="110"/>
      <c r="K25" s="151"/>
      <c r="L25" s="152"/>
      <c r="M25" s="119"/>
      <c r="N25" s="108"/>
    </row>
    <row r="26" spans="1:14" ht="11.25">
      <c r="A26" s="165"/>
      <c r="B26" s="189" t="s">
        <v>98</v>
      </c>
      <c r="C26" s="193">
        <v>7588.79081289</v>
      </c>
      <c r="D26" s="190">
        <v>14058.034530380002</v>
      </c>
      <c r="E26" s="191">
        <f>SUM(E27:E28)</f>
        <v>3255.75851693</v>
      </c>
      <c r="F26" s="111">
        <f t="shared" si="0"/>
        <v>0.8524735859765191</v>
      </c>
      <c r="G26" s="112">
        <f>E26/D26-1</f>
        <v>-0.7684058529025399</v>
      </c>
      <c r="H26" s="161"/>
      <c r="I26" s="189" t="s">
        <v>98</v>
      </c>
      <c r="J26" s="193">
        <v>54337.39792827999</v>
      </c>
      <c r="K26" s="190">
        <v>82358.43068637</v>
      </c>
      <c r="L26" s="191">
        <f>SUM(L27:L28)</f>
        <v>58141.11194445</v>
      </c>
      <c r="M26" s="112">
        <f aca="true" t="shared" si="4" ref="M26:N28">K26/J26-1</f>
        <v>0.5156859515995782</v>
      </c>
      <c r="N26" s="112">
        <f t="shared" si="4"/>
        <v>-0.2940478411268207</v>
      </c>
    </row>
    <row r="27" spans="1:14" ht="11.25">
      <c r="A27" s="165"/>
      <c r="B27" s="188" t="s">
        <v>99</v>
      </c>
      <c r="C27" s="102">
        <v>6514.7132093</v>
      </c>
      <c r="D27" s="128">
        <v>11718.152021200001</v>
      </c>
      <c r="E27" s="150">
        <v>2347.93865694</v>
      </c>
      <c r="F27" s="103">
        <f t="shared" si="0"/>
        <v>0.7987210863667638</v>
      </c>
      <c r="G27" s="104">
        <f>E27/D27-1</f>
        <v>-0.7996323436756747</v>
      </c>
      <c r="H27" s="161"/>
      <c r="I27" s="188" t="s">
        <v>99</v>
      </c>
      <c r="J27" s="102">
        <v>46293.742568639995</v>
      </c>
      <c r="K27" s="128">
        <v>69117.03431114</v>
      </c>
      <c r="L27" s="150">
        <v>47251.62644565</v>
      </c>
      <c r="M27" s="104">
        <f t="shared" si="4"/>
        <v>0.4930102963410181</v>
      </c>
      <c r="N27" s="104">
        <f t="shared" si="4"/>
        <v>-0.3163533864468172</v>
      </c>
    </row>
    <row r="28" spans="1:14" ht="11.25">
      <c r="A28" s="165"/>
      <c r="B28" s="188" t="s">
        <v>100</v>
      </c>
      <c r="C28" s="102">
        <v>1074.0776035899999</v>
      </c>
      <c r="D28" s="128">
        <v>2339.88250918</v>
      </c>
      <c r="E28" s="150">
        <v>907.81985999</v>
      </c>
      <c r="F28" s="103">
        <f t="shared" si="0"/>
        <v>1.1785041428656275</v>
      </c>
      <c r="G28" s="104">
        <f>E28/D28-1</f>
        <v>-0.6120233146628627</v>
      </c>
      <c r="H28" s="161"/>
      <c r="I28" s="188" t="s">
        <v>100</v>
      </c>
      <c r="J28" s="102">
        <v>8043.65535964</v>
      </c>
      <c r="K28" s="128">
        <v>13241.39637523</v>
      </c>
      <c r="L28" s="150">
        <v>10889.4854988</v>
      </c>
      <c r="M28" s="104">
        <f t="shared" si="4"/>
        <v>0.6461914121371095</v>
      </c>
      <c r="N28" s="104">
        <f t="shared" si="4"/>
        <v>-0.1776180404077019</v>
      </c>
    </row>
    <row r="29" spans="1:14" ht="7.5" customHeight="1">
      <c r="A29" s="165"/>
      <c r="B29" s="188"/>
      <c r="C29" s="198"/>
      <c r="D29" s="196"/>
      <c r="E29" s="197"/>
      <c r="F29" s="103"/>
      <c r="G29" s="104"/>
      <c r="H29" s="161"/>
      <c r="I29" s="188"/>
      <c r="J29" s="198"/>
      <c r="K29" s="196"/>
      <c r="L29" s="197"/>
      <c r="M29" s="104"/>
      <c r="N29" s="104"/>
    </row>
    <row r="30" spans="1:14" ht="11.25">
      <c r="A30" s="165"/>
      <c r="B30" s="199" t="s">
        <v>101</v>
      </c>
      <c r="C30" s="200">
        <v>428.57099554</v>
      </c>
      <c r="D30" s="201">
        <v>608.40503685</v>
      </c>
      <c r="E30" s="202">
        <f>SUM(E31:E33)</f>
        <v>68.64902289</v>
      </c>
      <c r="F30" s="109">
        <f t="shared" si="0"/>
        <v>0.4196131870366282</v>
      </c>
      <c r="G30" s="117">
        <f>E30/D30-1</f>
        <v>-0.8871655907955194</v>
      </c>
      <c r="H30" s="161"/>
      <c r="I30" s="199" t="s">
        <v>101</v>
      </c>
      <c r="J30" s="200">
        <v>2672.15363949</v>
      </c>
      <c r="K30" s="201">
        <v>3173.65168167</v>
      </c>
      <c r="L30" s="202">
        <f>SUM(L31:L33)</f>
        <v>1822.34752274</v>
      </c>
      <c r="M30" s="126">
        <f aca="true" t="shared" si="5" ref="M30:N37">K30/J30-1</f>
        <v>0.1876756017201595</v>
      </c>
      <c r="N30" s="109">
        <f t="shared" si="5"/>
        <v>-0.42578842748708123</v>
      </c>
    </row>
    <row r="31" spans="1:14" ht="11.25">
      <c r="A31" s="165"/>
      <c r="B31" s="188" t="s">
        <v>102</v>
      </c>
      <c r="C31" s="102">
        <v>17.2789515</v>
      </c>
      <c r="D31" s="128">
        <v>20.579109</v>
      </c>
      <c r="E31" s="150">
        <v>1.171818</v>
      </c>
      <c r="F31" s="104">
        <f t="shared" si="0"/>
        <v>0.19099292569922421</v>
      </c>
      <c r="G31" s="118">
        <f>E31/D31-1</f>
        <v>-0.9430578845760523</v>
      </c>
      <c r="H31" s="161"/>
      <c r="I31" s="188" t="s">
        <v>102</v>
      </c>
      <c r="J31" s="102">
        <v>100.96585500000002</v>
      </c>
      <c r="K31" s="128">
        <v>104.16503100000001</v>
      </c>
      <c r="L31" s="150">
        <v>55.161724500000005</v>
      </c>
      <c r="M31" s="115">
        <f t="shared" si="5"/>
        <v>0.031685721871022476</v>
      </c>
      <c r="N31" s="104">
        <f t="shared" si="5"/>
        <v>-0.47043912942338584</v>
      </c>
    </row>
    <row r="32" spans="1:14" ht="11.25">
      <c r="A32" s="165"/>
      <c r="B32" s="188" t="s">
        <v>103</v>
      </c>
      <c r="C32" s="102">
        <v>320.25185954</v>
      </c>
      <c r="D32" s="128">
        <v>409.9667921</v>
      </c>
      <c r="E32" s="150">
        <v>24.88123414</v>
      </c>
      <c r="F32" s="104">
        <f t="shared" si="0"/>
        <v>0.2801386780044426</v>
      </c>
      <c r="G32" s="118">
        <f>E32/D32-1</f>
        <v>-0.9393091474249677</v>
      </c>
      <c r="H32" s="161"/>
      <c r="I32" s="188" t="s">
        <v>103</v>
      </c>
      <c r="J32" s="102">
        <v>1875.12476074</v>
      </c>
      <c r="K32" s="128">
        <v>2062.40730342</v>
      </c>
      <c r="L32" s="150">
        <v>1144.42238999</v>
      </c>
      <c r="M32" s="115">
        <f t="shared" si="5"/>
        <v>0.0998773770157515</v>
      </c>
      <c r="N32" s="104">
        <f t="shared" si="5"/>
        <v>-0.44510359903581875</v>
      </c>
    </row>
    <row r="33" spans="1:14" ht="11.25">
      <c r="A33" s="165"/>
      <c r="B33" s="205" t="s">
        <v>104</v>
      </c>
      <c r="C33" s="102">
        <v>91.0401845</v>
      </c>
      <c r="D33" s="128">
        <v>177.85913575</v>
      </c>
      <c r="E33" s="150">
        <v>42.59597075</v>
      </c>
      <c r="F33" s="104">
        <f t="shared" si="0"/>
        <v>0.9536332964044028</v>
      </c>
      <c r="G33" s="118">
        <f t="shared" si="0"/>
        <v>-0.7605072656494116</v>
      </c>
      <c r="H33" s="161"/>
      <c r="I33" s="205" t="s">
        <v>104</v>
      </c>
      <c r="J33" s="102">
        <v>696.0630237500001</v>
      </c>
      <c r="K33" s="128">
        <v>1007.07934725</v>
      </c>
      <c r="L33" s="150">
        <v>622.76340825</v>
      </c>
      <c r="M33" s="115">
        <f t="shared" si="5"/>
        <v>0.4468220734157333</v>
      </c>
      <c r="N33" s="104">
        <f t="shared" si="5"/>
        <v>-0.3816143584410101</v>
      </c>
    </row>
    <row r="34" spans="1:14" ht="5.25" customHeight="1">
      <c r="A34" s="165"/>
      <c r="B34" s="206"/>
      <c r="C34" s="110"/>
      <c r="D34" s="151"/>
      <c r="E34" s="152"/>
      <c r="F34" s="108"/>
      <c r="G34" s="120"/>
      <c r="H34" s="161"/>
      <c r="I34" s="206"/>
      <c r="J34" s="110"/>
      <c r="K34" s="151"/>
      <c r="L34" s="152"/>
      <c r="M34" s="119"/>
      <c r="N34" s="108"/>
    </row>
    <row r="35" spans="1:14" ht="11.25">
      <c r="A35" s="165"/>
      <c r="B35" s="189" t="s">
        <v>105</v>
      </c>
      <c r="C35" s="193">
        <v>88887.22276505</v>
      </c>
      <c r="D35" s="190">
        <v>163323.83010756</v>
      </c>
      <c r="E35" s="207">
        <f>SUM(E36:E37)</f>
        <v>114132.64191828</v>
      </c>
      <c r="F35" s="114">
        <f t="shared" si="0"/>
        <v>0.8374275292553981</v>
      </c>
      <c r="G35" s="112">
        <f>E35/D35-1</f>
        <v>-0.30118806396399234</v>
      </c>
      <c r="H35" s="161"/>
      <c r="I35" s="189" t="s">
        <v>105</v>
      </c>
      <c r="J35" s="193">
        <v>713194.25786425</v>
      </c>
      <c r="K35" s="190">
        <v>970200.5037784799</v>
      </c>
      <c r="L35" s="207">
        <f>SUM(L36:L37)</f>
        <v>944156.1079844399</v>
      </c>
      <c r="M35" s="112">
        <f>K35/J35-1</f>
        <v>0.3603593874744133</v>
      </c>
      <c r="N35" s="112">
        <f t="shared" si="5"/>
        <v>-0.026844343713087304</v>
      </c>
    </row>
    <row r="36" spans="1:14" ht="11.25">
      <c r="A36" s="165"/>
      <c r="B36" s="188" t="s">
        <v>106</v>
      </c>
      <c r="C36" s="102">
        <v>56184.48619518</v>
      </c>
      <c r="D36" s="128">
        <v>94668.41389323</v>
      </c>
      <c r="E36" s="127">
        <v>96779.82254897</v>
      </c>
      <c r="F36" s="115">
        <f t="shared" si="0"/>
        <v>0.6849564764970921</v>
      </c>
      <c r="G36" s="104">
        <f>E36/D36-1</f>
        <v>0.02230320091896032</v>
      </c>
      <c r="H36" s="161"/>
      <c r="I36" s="188" t="s">
        <v>106</v>
      </c>
      <c r="J36" s="102">
        <v>468381.96951384994</v>
      </c>
      <c r="K36" s="128">
        <v>593158.0080326599</v>
      </c>
      <c r="L36" s="127">
        <v>651879.82763858</v>
      </c>
      <c r="M36" s="104">
        <f>K36/J36-1</f>
        <v>0.2663980397202723</v>
      </c>
      <c r="N36" s="104">
        <f t="shared" si="5"/>
        <v>0.09899861219219486</v>
      </c>
    </row>
    <row r="37" spans="1:14" ht="11.25">
      <c r="A37" s="165"/>
      <c r="B37" s="188" t="s">
        <v>107</v>
      </c>
      <c r="C37" s="102">
        <v>32702.736569869998</v>
      </c>
      <c r="D37" s="128">
        <v>68655.41621433</v>
      </c>
      <c r="E37" s="127">
        <v>17352.81936931</v>
      </c>
      <c r="F37" s="115">
        <f t="shared" si="0"/>
        <v>1.0993783216779565</v>
      </c>
      <c r="G37" s="104">
        <f>E37/D37-1</f>
        <v>-0.7472476269732663</v>
      </c>
      <c r="H37" s="161"/>
      <c r="I37" s="188" t="s">
        <v>107</v>
      </c>
      <c r="J37" s="102">
        <v>244812.28835040002</v>
      </c>
      <c r="K37" s="128">
        <v>377042.49574582</v>
      </c>
      <c r="L37" s="127">
        <v>292276.28034586</v>
      </c>
      <c r="M37" s="104">
        <f>K37/J37-1</f>
        <v>0.5401289628327757</v>
      </c>
      <c r="N37" s="104">
        <f t="shared" si="5"/>
        <v>-0.22481873092921711</v>
      </c>
    </row>
    <row r="38" spans="1:14" ht="6" customHeight="1">
      <c r="A38" s="165"/>
      <c r="B38" s="208" t="s">
        <v>79</v>
      </c>
      <c r="C38" s="209"/>
      <c r="D38" s="210"/>
      <c r="E38" s="211"/>
      <c r="F38" s="115"/>
      <c r="G38" s="108"/>
      <c r="H38" s="161"/>
      <c r="I38" s="208" t="s">
        <v>79</v>
      </c>
      <c r="J38" s="209"/>
      <c r="K38" s="210"/>
      <c r="L38" s="211"/>
      <c r="M38" s="104"/>
      <c r="N38" s="104"/>
    </row>
    <row r="39" spans="1:14" ht="11.25">
      <c r="A39" s="165"/>
      <c r="B39" s="199" t="s">
        <v>108</v>
      </c>
      <c r="C39" s="200">
        <v>5540.593637630001</v>
      </c>
      <c r="D39" s="201">
        <v>16905.03283734</v>
      </c>
      <c r="E39" s="212">
        <f>SUM(E40:E41)</f>
        <v>6086.733614</v>
      </c>
      <c r="F39" s="116">
        <f t="shared" si="0"/>
        <v>2.051123028140205</v>
      </c>
      <c r="G39" s="109">
        <f>E39/D39-1</f>
        <v>-0.6399454723000855</v>
      </c>
      <c r="H39" s="161"/>
      <c r="I39" s="199" t="s">
        <v>108</v>
      </c>
      <c r="J39" s="200">
        <v>61751.48337295</v>
      </c>
      <c r="K39" s="201">
        <v>93614.34333537001</v>
      </c>
      <c r="L39" s="212">
        <f>SUM(L40:L41)</f>
        <v>72663.85615345</v>
      </c>
      <c r="M39" s="109">
        <f aca="true" t="shared" si="6" ref="M39:N41">K39/J39-1</f>
        <v>0.5159853370644276</v>
      </c>
      <c r="N39" s="109">
        <f t="shared" si="6"/>
        <v>-0.22379569663663224</v>
      </c>
    </row>
    <row r="40" spans="1:14" ht="11.25" customHeight="1">
      <c r="A40" s="165"/>
      <c r="B40" s="188" t="s">
        <v>109</v>
      </c>
      <c r="C40" s="102">
        <v>119.090274</v>
      </c>
      <c r="D40" s="128">
        <v>799.596302</v>
      </c>
      <c r="E40" s="127">
        <v>886.531685</v>
      </c>
      <c r="F40" s="103">
        <f t="shared" si="0"/>
        <v>5.714203227041026</v>
      </c>
      <c r="G40" s="104">
        <f>E40/D40-1</f>
        <v>0.1087240933738085</v>
      </c>
      <c r="H40" s="161"/>
      <c r="I40" s="188" t="s">
        <v>109</v>
      </c>
      <c r="J40" s="102">
        <v>3003.477284</v>
      </c>
      <c r="K40" s="128">
        <v>5417.801116</v>
      </c>
      <c r="L40" s="127">
        <v>6091.704924999999</v>
      </c>
      <c r="M40" s="104">
        <f t="shared" si="6"/>
        <v>0.8038428806708429</v>
      </c>
      <c r="N40" s="104">
        <f t="shared" si="6"/>
        <v>0.12438695968550939</v>
      </c>
    </row>
    <row r="41" spans="1:14" ht="11.25" customHeight="1">
      <c r="A41" s="165"/>
      <c r="B41" s="188" t="s">
        <v>110</v>
      </c>
      <c r="C41" s="102">
        <v>5421.50336363</v>
      </c>
      <c r="D41" s="128">
        <v>16105.43653534</v>
      </c>
      <c r="E41" s="127">
        <v>5200.201929</v>
      </c>
      <c r="F41" s="103">
        <f t="shared" si="0"/>
        <v>1.970658773981929</v>
      </c>
      <c r="G41" s="104">
        <f>E41/D41-1</f>
        <v>-0.6771151208730513</v>
      </c>
      <c r="H41" s="161"/>
      <c r="I41" s="188" t="s">
        <v>110</v>
      </c>
      <c r="J41" s="102">
        <v>58748.00608895</v>
      </c>
      <c r="K41" s="128">
        <v>88196.54221937</v>
      </c>
      <c r="L41" s="127">
        <v>66572.15122845</v>
      </c>
      <c r="M41" s="104">
        <f t="shared" si="6"/>
        <v>0.5012686913294071</v>
      </c>
      <c r="N41" s="104">
        <f t="shared" si="6"/>
        <v>-0.24518411319498168</v>
      </c>
    </row>
    <row r="42" spans="1:14" ht="6" customHeight="1">
      <c r="A42" s="165"/>
      <c r="B42" s="213" t="s">
        <v>79</v>
      </c>
      <c r="C42" s="209"/>
      <c r="D42" s="210"/>
      <c r="E42" s="211"/>
      <c r="F42" s="107"/>
      <c r="G42" s="108"/>
      <c r="H42" s="161"/>
      <c r="I42" s="213" t="s">
        <v>79</v>
      </c>
      <c r="J42" s="209"/>
      <c r="K42" s="210"/>
      <c r="L42" s="211"/>
      <c r="M42" s="108"/>
      <c r="N42" s="108"/>
    </row>
    <row r="43" spans="1:14" ht="13.5" customHeight="1">
      <c r="A43" s="165"/>
      <c r="B43" s="199" t="s">
        <v>111</v>
      </c>
      <c r="C43" s="200">
        <v>35162.55651405001</v>
      </c>
      <c r="D43" s="201">
        <v>64105.29624577</v>
      </c>
      <c r="E43" s="212">
        <f>SUM(E44:E55)</f>
        <v>35297.47184279999</v>
      </c>
      <c r="F43" s="114">
        <f t="shared" si="0"/>
        <v>0.8231124980959574</v>
      </c>
      <c r="G43" s="112">
        <f>E43/D43-1</f>
        <v>-0.4493829073424007</v>
      </c>
      <c r="H43" s="161"/>
      <c r="I43" s="199" t="s">
        <v>111</v>
      </c>
      <c r="J43" s="200">
        <v>341634.55264194</v>
      </c>
      <c r="K43" s="201">
        <v>421522.84799099993</v>
      </c>
      <c r="L43" s="212">
        <f>SUM(L44:L55)</f>
        <v>395161.19612604</v>
      </c>
      <c r="M43" s="109">
        <f aca="true" t="shared" si="7" ref="M43:M57">K43/J43-1</f>
        <v>0.2338413803032071</v>
      </c>
      <c r="N43" s="117">
        <f>L43/K43-1</f>
        <v>-0.0625390817854855</v>
      </c>
    </row>
    <row r="44" spans="1:14" ht="11.25">
      <c r="A44" s="165"/>
      <c r="B44" s="188" t="s">
        <v>112</v>
      </c>
      <c r="C44" s="102">
        <v>20970.476552919998</v>
      </c>
      <c r="D44" s="128">
        <v>39286.44140483</v>
      </c>
      <c r="E44" s="127">
        <v>12514.088751399999</v>
      </c>
      <c r="F44" s="115">
        <f>D44/C44-1</f>
        <v>0.873416720201317</v>
      </c>
      <c r="G44" s="104">
        <f>E44/D44-1</f>
        <v>-0.6814654546476313</v>
      </c>
      <c r="H44" s="161"/>
      <c r="I44" s="188" t="s">
        <v>112</v>
      </c>
      <c r="J44" s="102">
        <v>231391.88962544</v>
      </c>
      <c r="K44" s="128">
        <v>270452.77251145</v>
      </c>
      <c r="L44" s="150">
        <v>235302.02568665004</v>
      </c>
      <c r="M44" s="104">
        <f>K44/J44-1</f>
        <v>0.16880834911387277</v>
      </c>
      <c r="N44" s="118">
        <f>L44/K44-1</f>
        <v>-0.12996999993154734</v>
      </c>
    </row>
    <row r="45" spans="1:14" ht="11.25">
      <c r="A45" s="165"/>
      <c r="B45" s="188" t="s">
        <v>113</v>
      </c>
      <c r="C45" s="102">
        <v>3138.41426748</v>
      </c>
      <c r="D45" s="128">
        <v>3304.42403836</v>
      </c>
      <c r="E45" s="127">
        <v>3751.7779791999997</v>
      </c>
      <c r="F45" s="115">
        <f t="shared" si="0"/>
        <v>0.05289606684502424</v>
      </c>
      <c r="G45" s="104">
        <f t="shared" si="0"/>
        <v>0.13538030702077308</v>
      </c>
      <c r="H45" s="161"/>
      <c r="I45" s="188" t="s">
        <v>113</v>
      </c>
      <c r="J45" s="102">
        <v>19964.337565949998</v>
      </c>
      <c r="K45" s="128">
        <v>21647.70345999</v>
      </c>
      <c r="L45" s="150">
        <v>24490.395121399997</v>
      </c>
      <c r="M45" s="104">
        <f>K45/J45-1</f>
        <v>0.08431864510801756</v>
      </c>
      <c r="N45" s="118">
        <f aca="true" t="shared" si="8" ref="N45:N54">L45/K45-1</f>
        <v>0.13131608471374134</v>
      </c>
    </row>
    <row r="46" spans="1:14" ht="11.25">
      <c r="A46" s="165"/>
      <c r="B46" s="188" t="s">
        <v>114</v>
      </c>
      <c r="C46" s="102">
        <v>396.21907772000003</v>
      </c>
      <c r="D46" s="128">
        <v>219.17664435</v>
      </c>
      <c r="E46" s="127">
        <v>103.86129840000001</v>
      </c>
      <c r="F46" s="115">
        <f t="shared" si="0"/>
        <v>-0.4468296539095785</v>
      </c>
      <c r="G46" s="104">
        <f t="shared" si="0"/>
        <v>-0.5261297173883847</v>
      </c>
      <c r="H46" s="161"/>
      <c r="I46" s="188" t="s">
        <v>114</v>
      </c>
      <c r="J46" s="102">
        <v>1557.00231136</v>
      </c>
      <c r="K46" s="128">
        <v>1478.16171828</v>
      </c>
      <c r="L46" s="150">
        <v>1152.4606606900002</v>
      </c>
      <c r="M46" s="104">
        <f t="shared" si="7"/>
        <v>-0.05063614389315507</v>
      </c>
      <c r="N46" s="118">
        <f>L46/K46-1</f>
        <v>-0.22034196499757008</v>
      </c>
    </row>
    <row r="47" spans="1:14" ht="11.25">
      <c r="A47" s="165"/>
      <c r="B47" s="188" t="s">
        <v>115</v>
      </c>
      <c r="C47" s="102">
        <v>3334.50242837</v>
      </c>
      <c r="D47" s="128">
        <v>3752.7345332399996</v>
      </c>
      <c r="E47" s="127">
        <v>3055.68402283</v>
      </c>
      <c r="F47" s="115">
        <f t="shared" si="0"/>
        <v>0.1254256411126513</v>
      </c>
      <c r="G47" s="104">
        <f t="shared" si="0"/>
        <v>-0.18574468943535616</v>
      </c>
      <c r="H47" s="161"/>
      <c r="I47" s="188" t="s">
        <v>115</v>
      </c>
      <c r="J47" s="102">
        <v>19862.00838917</v>
      </c>
      <c r="K47" s="128">
        <v>26766.48525659</v>
      </c>
      <c r="L47" s="150">
        <v>25200.764246019997</v>
      </c>
      <c r="M47" s="104">
        <f t="shared" si="7"/>
        <v>0.34762229136831646</v>
      </c>
      <c r="N47" s="118">
        <f t="shared" si="8"/>
        <v>-0.0584955774193221</v>
      </c>
    </row>
    <row r="48" spans="1:14" ht="11.25">
      <c r="A48" s="165"/>
      <c r="B48" s="203" t="s">
        <v>116</v>
      </c>
      <c r="C48" s="102">
        <v>1702.60598754</v>
      </c>
      <c r="D48" s="128">
        <v>1105.01777003</v>
      </c>
      <c r="E48" s="127">
        <v>906.9705</v>
      </c>
      <c r="F48" s="115">
        <f>D48/C48-1</f>
        <v>-0.3509844449527759</v>
      </c>
      <c r="G48" s="104">
        <f t="shared" si="0"/>
        <v>-0.17922541646060886</v>
      </c>
      <c r="H48" s="161"/>
      <c r="I48" s="203" t="s">
        <v>116</v>
      </c>
      <c r="J48" s="102">
        <v>13770.15457777</v>
      </c>
      <c r="K48" s="128">
        <v>13789.13370911</v>
      </c>
      <c r="L48" s="150">
        <v>7561.548480450001</v>
      </c>
      <c r="M48" s="104">
        <f t="shared" si="7"/>
        <v>0.0013782801952448853</v>
      </c>
      <c r="N48" s="118">
        <f t="shared" si="8"/>
        <v>-0.45162991091642324</v>
      </c>
    </row>
    <row r="49" spans="1:14" ht="11.25">
      <c r="A49" s="165"/>
      <c r="B49" s="188" t="s">
        <v>117</v>
      </c>
      <c r="C49" s="102">
        <v>1888.599386</v>
      </c>
      <c r="D49" s="128">
        <v>2359.258652</v>
      </c>
      <c r="E49" s="127">
        <v>2372.647137</v>
      </c>
      <c r="F49" s="115">
        <f t="shared" si="0"/>
        <v>0.24921074818140387</v>
      </c>
      <c r="G49" s="104">
        <f t="shared" si="0"/>
        <v>0.005674869514052716</v>
      </c>
      <c r="H49" s="161"/>
      <c r="I49" s="188" t="s">
        <v>117</v>
      </c>
      <c r="J49" s="102">
        <v>10884.037236</v>
      </c>
      <c r="K49" s="128">
        <v>14951.627076550001</v>
      </c>
      <c r="L49" s="150">
        <v>14492.51193454</v>
      </c>
      <c r="M49" s="104">
        <f t="shared" si="7"/>
        <v>0.37372068400281244</v>
      </c>
      <c r="N49" s="118">
        <f t="shared" si="8"/>
        <v>-0.030706700993771707</v>
      </c>
    </row>
    <row r="50" spans="1:14" ht="11.25">
      <c r="A50" s="165"/>
      <c r="B50" s="188" t="s">
        <v>118</v>
      </c>
      <c r="C50" s="102">
        <v>2511.046474</v>
      </c>
      <c r="D50" s="128">
        <v>5161.04838599</v>
      </c>
      <c r="E50" s="127">
        <v>6106.6336271</v>
      </c>
      <c r="F50" s="115">
        <f t="shared" si="0"/>
        <v>1.055337660783573</v>
      </c>
      <c r="G50" s="104">
        <f t="shared" si="0"/>
        <v>0.1832157287416356</v>
      </c>
      <c r="H50" s="161"/>
      <c r="I50" s="188" t="s">
        <v>118</v>
      </c>
      <c r="J50" s="102">
        <v>16052.99142651</v>
      </c>
      <c r="K50" s="128">
        <v>26313.63158889</v>
      </c>
      <c r="L50" s="150">
        <v>34554.40034179999</v>
      </c>
      <c r="M50" s="104">
        <f t="shared" si="7"/>
        <v>0.6391730917787397</v>
      </c>
      <c r="N50" s="118">
        <f t="shared" si="8"/>
        <v>0.31317489283346833</v>
      </c>
    </row>
    <row r="51" spans="1:14" ht="11.25">
      <c r="A51" s="165"/>
      <c r="B51" s="188" t="s">
        <v>119</v>
      </c>
      <c r="C51" s="102">
        <v>463.98737372000005</v>
      </c>
      <c r="D51" s="128">
        <v>585.4074522000001</v>
      </c>
      <c r="E51" s="127">
        <v>548.01977016</v>
      </c>
      <c r="F51" s="115">
        <f t="shared" si="0"/>
        <v>0.26168832463374914</v>
      </c>
      <c r="G51" s="104">
        <f t="shared" si="0"/>
        <v>-0.06386608489436663</v>
      </c>
      <c r="H51" s="161"/>
      <c r="I51" s="188" t="s">
        <v>119</v>
      </c>
      <c r="J51" s="102">
        <v>2591.5849047300003</v>
      </c>
      <c r="K51" s="128">
        <v>4325.505140500001</v>
      </c>
      <c r="L51" s="150">
        <v>3459.18683465</v>
      </c>
      <c r="M51" s="104">
        <f t="shared" si="7"/>
        <v>0.669057854367556</v>
      </c>
      <c r="N51" s="118">
        <f t="shared" si="8"/>
        <v>-0.2002814186344627</v>
      </c>
    </row>
    <row r="52" spans="1:14" ht="11.25">
      <c r="A52" s="165"/>
      <c r="B52" s="188" t="s">
        <v>120</v>
      </c>
      <c r="C52" s="102">
        <v>55.70695626</v>
      </c>
      <c r="D52" s="128">
        <v>3120.68099162</v>
      </c>
      <c r="E52" s="127">
        <v>4717.45570456</v>
      </c>
      <c r="F52" s="115">
        <f t="shared" si="0"/>
        <v>55.01959254522731</v>
      </c>
      <c r="G52" s="104">
        <f t="shared" si="0"/>
        <v>0.5116750854149583</v>
      </c>
      <c r="H52" s="161"/>
      <c r="I52" s="188" t="s">
        <v>120</v>
      </c>
      <c r="J52" s="102">
        <v>15485.930107270002</v>
      </c>
      <c r="K52" s="128">
        <v>12364.69129418</v>
      </c>
      <c r="L52" s="150">
        <v>28802.495860400002</v>
      </c>
      <c r="M52" s="104">
        <f t="shared" si="7"/>
        <v>-0.20155320290543666</v>
      </c>
      <c r="N52" s="118">
        <f t="shared" si="8"/>
        <v>1.3294148778269292</v>
      </c>
    </row>
    <row r="53" spans="1:14" ht="11.25">
      <c r="A53" s="165"/>
      <c r="B53" s="188" t="s">
        <v>121</v>
      </c>
      <c r="C53" s="102">
        <v>12.84873843</v>
      </c>
      <c r="D53" s="128">
        <v>-2.6537002000000003</v>
      </c>
      <c r="E53" s="127">
        <v>112.21110358</v>
      </c>
      <c r="F53" s="115">
        <f t="shared" si="0"/>
        <v>-1.2065339110495068</v>
      </c>
      <c r="G53" s="104">
        <f t="shared" si="0"/>
        <v>-43.284770367052005</v>
      </c>
      <c r="H53" s="161"/>
      <c r="I53" s="188" t="s">
        <v>121</v>
      </c>
      <c r="J53" s="102">
        <v>1414.24635245</v>
      </c>
      <c r="K53" s="128">
        <v>280.53453565</v>
      </c>
      <c r="L53" s="150">
        <v>556.9984712199999</v>
      </c>
      <c r="M53" s="104">
        <f t="shared" si="7"/>
        <v>-0.8016367267527259</v>
      </c>
      <c r="N53" s="118">
        <f t="shared" si="8"/>
        <v>0.9854898432716368</v>
      </c>
    </row>
    <row r="54" spans="1:14" ht="11.25">
      <c r="A54" s="165"/>
      <c r="B54" s="188" t="s">
        <v>122</v>
      </c>
      <c r="C54" s="102">
        <v>509.88315786000004</v>
      </c>
      <c r="D54" s="128">
        <v>1528.83747996</v>
      </c>
      <c r="E54" s="127">
        <v>69.25308518000001</v>
      </c>
      <c r="F54" s="115">
        <f t="shared" si="0"/>
        <v>1.9984074907996412</v>
      </c>
      <c r="G54" s="104">
        <f t="shared" si="0"/>
        <v>-0.9547021275395394</v>
      </c>
      <c r="H54" s="161"/>
      <c r="I54" s="188" t="s">
        <v>122</v>
      </c>
      <c r="J54" s="102">
        <v>6589.45714574</v>
      </c>
      <c r="K54" s="128">
        <v>8447.69083951</v>
      </c>
      <c r="L54" s="150">
        <v>1941.63909434</v>
      </c>
      <c r="M54" s="104">
        <f t="shared" si="7"/>
        <v>0.28200102871468324</v>
      </c>
      <c r="N54" s="118">
        <f t="shared" si="8"/>
        <v>-0.7701574156503314</v>
      </c>
    </row>
    <row r="55" spans="1:14" ht="11.25">
      <c r="A55" s="165"/>
      <c r="B55" s="188" t="s">
        <v>123</v>
      </c>
      <c r="C55" s="102">
        <v>178.26611375</v>
      </c>
      <c r="D55" s="128">
        <v>3684.92259339</v>
      </c>
      <c r="E55" s="127">
        <v>1038.86886339</v>
      </c>
      <c r="F55" s="115">
        <f t="shared" si="0"/>
        <v>19.67090887816025</v>
      </c>
      <c r="G55" s="104">
        <f t="shared" si="0"/>
        <v>-0.7180757975069765</v>
      </c>
      <c r="H55" s="161"/>
      <c r="I55" s="188" t="s">
        <v>123</v>
      </c>
      <c r="J55" s="102">
        <v>2070.91299955</v>
      </c>
      <c r="K55" s="128">
        <v>20704.910860300002</v>
      </c>
      <c r="L55" s="150">
        <v>17646.76939388</v>
      </c>
      <c r="M55" s="104">
        <f t="shared" si="7"/>
        <v>8.997962669025249</v>
      </c>
      <c r="N55" s="118">
        <f>L55/K55-1</f>
        <v>-0.14770126213311752</v>
      </c>
    </row>
    <row r="56" spans="1:14" ht="11.25">
      <c r="A56" s="165"/>
      <c r="B56" s="188" t="s">
        <v>133</v>
      </c>
      <c r="C56" s="102">
        <v>0</v>
      </c>
      <c r="D56" s="128">
        <v>0</v>
      </c>
      <c r="E56" s="127">
        <v>-4177.6991573000005</v>
      </c>
      <c r="F56" s="214" t="e">
        <f t="shared" si="0"/>
        <v>#DIV/0!</v>
      </c>
      <c r="G56" s="194" t="e">
        <f t="shared" si="0"/>
        <v>#DIV/0!</v>
      </c>
      <c r="H56" s="161"/>
      <c r="I56" s="188" t="s">
        <v>133</v>
      </c>
      <c r="J56" s="102">
        <v>0</v>
      </c>
      <c r="K56" s="128">
        <v>0</v>
      </c>
      <c r="L56" s="150">
        <v>14387.542818009999</v>
      </c>
      <c r="M56" s="194" t="e">
        <f t="shared" si="7"/>
        <v>#DIV/0!</v>
      </c>
      <c r="N56" s="215" t="e">
        <f>L56/K56-1</f>
        <v>#DIV/0!</v>
      </c>
    </row>
    <row r="57" spans="1:14" ht="11.25">
      <c r="A57" s="165"/>
      <c r="B57" s="188" t="s">
        <v>134</v>
      </c>
      <c r="C57" s="102">
        <v>0</v>
      </c>
      <c r="D57" s="128">
        <v>0</v>
      </c>
      <c r="E57" s="127">
        <v>149708.32634308</v>
      </c>
      <c r="F57" s="214" t="e">
        <f t="shared" si="0"/>
        <v>#DIV/0!</v>
      </c>
      <c r="G57" s="194" t="e">
        <f t="shared" si="0"/>
        <v>#DIV/0!</v>
      </c>
      <c r="H57" s="161"/>
      <c r="I57" s="188" t="s">
        <v>134</v>
      </c>
      <c r="J57" s="102">
        <v>0</v>
      </c>
      <c r="K57" s="128">
        <v>0</v>
      </c>
      <c r="L57" s="150">
        <v>217240.9687105</v>
      </c>
      <c r="M57" s="194" t="e">
        <f t="shared" si="7"/>
        <v>#DIV/0!</v>
      </c>
      <c r="N57" s="215" t="e">
        <f>L57/K57-1</f>
        <v>#DIV/0!</v>
      </c>
    </row>
    <row r="58" spans="1:14" ht="11.25">
      <c r="A58" s="165"/>
      <c r="B58" s="216"/>
      <c r="C58" s="217"/>
      <c r="D58" s="218"/>
      <c r="E58" s="226"/>
      <c r="F58" s="119"/>
      <c r="G58" s="108"/>
      <c r="H58" s="161"/>
      <c r="I58" s="216"/>
      <c r="J58" s="219"/>
      <c r="K58" s="220"/>
      <c r="L58" s="221"/>
      <c r="M58" s="108"/>
      <c r="N58" s="120"/>
    </row>
    <row r="59" spans="1:14" ht="11.25">
      <c r="A59" s="165"/>
      <c r="B59" s="222" t="s">
        <v>33</v>
      </c>
      <c r="C59" s="137">
        <v>5849.05134814</v>
      </c>
      <c r="D59" s="153">
        <v>41110.832271650004</v>
      </c>
      <c r="E59" s="231">
        <v>47832.85625084</v>
      </c>
      <c r="F59" s="129">
        <f t="shared" si="0"/>
        <v>6.0286324781066005</v>
      </c>
      <c r="G59" s="130">
        <f>E59/D59-1</f>
        <v>0.16350980040424767</v>
      </c>
      <c r="H59" s="161"/>
      <c r="I59" s="222" t="s">
        <v>33</v>
      </c>
      <c r="J59" s="137">
        <v>36539.23699182</v>
      </c>
      <c r="K59" s="153">
        <v>233354.16340927</v>
      </c>
      <c r="L59" s="138">
        <v>254628.91868141002</v>
      </c>
      <c r="M59" s="130">
        <f aca="true" t="shared" si="9" ref="M59:N61">K59/J59-1</f>
        <v>5.386399460435114</v>
      </c>
      <c r="N59" s="130">
        <f t="shared" si="9"/>
        <v>0.09116938374408656</v>
      </c>
    </row>
    <row r="60" spans="1:14" ht="15.75" customHeight="1">
      <c r="A60" s="165"/>
      <c r="B60" s="222" t="s">
        <v>12</v>
      </c>
      <c r="C60" s="139">
        <v>2187.93936686</v>
      </c>
      <c r="D60" s="154">
        <v>7666.21199806</v>
      </c>
      <c r="E60" s="231">
        <v>26213.73342915</v>
      </c>
      <c r="F60" s="131">
        <f t="shared" si="0"/>
        <v>2.5038502959348867</v>
      </c>
      <c r="G60" s="132">
        <f t="shared" si="0"/>
        <v>2.4193854064802287</v>
      </c>
      <c r="H60" s="161"/>
      <c r="I60" s="222" t="s">
        <v>12</v>
      </c>
      <c r="J60" s="139">
        <v>30041.69738855</v>
      </c>
      <c r="K60" s="154">
        <v>74489.18550858</v>
      </c>
      <c r="L60" s="140">
        <v>228340.46790700004</v>
      </c>
      <c r="M60" s="132">
        <f t="shared" si="9"/>
        <v>1.479526524255936</v>
      </c>
      <c r="N60" s="132">
        <f t="shared" si="9"/>
        <v>2.0654177025562825</v>
      </c>
    </row>
    <row r="61" spans="1:14" s="121" customFormat="1" ht="11.25">
      <c r="A61" s="165"/>
      <c r="B61" s="223" t="s">
        <v>124</v>
      </c>
      <c r="C61" s="141">
        <v>34308.40841672</v>
      </c>
      <c r="D61" s="155">
        <v>2728.00931802</v>
      </c>
      <c r="E61" s="232">
        <v>713.70230224</v>
      </c>
      <c r="F61" s="133">
        <f t="shared" si="0"/>
        <v>-0.9204856930439675</v>
      </c>
      <c r="G61" s="134">
        <f t="shared" si="0"/>
        <v>-0.7383798150814207</v>
      </c>
      <c r="H61" s="161"/>
      <c r="I61" s="222" t="s">
        <v>124</v>
      </c>
      <c r="J61" s="141">
        <v>126971.68030792999</v>
      </c>
      <c r="K61" s="155">
        <v>123057.89941696999</v>
      </c>
      <c r="L61" s="142">
        <v>6266.654331219999</v>
      </c>
      <c r="M61" s="134">
        <f t="shared" si="9"/>
        <v>-0.030824045814534018</v>
      </c>
      <c r="N61" s="134">
        <f t="shared" si="9"/>
        <v>-0.9490755623092018</v>
      </c>
    </row>
    <row r="62" spans="1:14" ht="11.25">
      <c r="A62" s="165"/>
      <c r="B62" s="223" t="s">
        <v>125</v>
      </c>
      <c r="C62" s="141">
        <v>0</v>
      </c>
      <c r="D62" s="155">
        <v>0</v>
      </c>
      <c r="E62" s="232">
        <v>0</v>
      </c>
      <c r="F62" s="133">
        <v>0</v>
      </c>
      <c r="G62" s="134">
        <v>0</v>
      </c>
      <c r="H62" s="224"/>
      <c r="I62" s="225" t="s">
        <v>125</v>
      </c>
      <c r="J62" s="141">
        <v>75000</v>
      </c>
      <c r="K62" s="155">
        <v>6534.948945</v>
      </c>
      <c r="L62" s="142">
        <v>7610.13509</v>
      </c>
      <c r="M62" s="143">
        <v>0</v>
      </c>
      <c r="N62" s="134">
        <v>0</v>
      </c>
    </row>
    <row r="63" spans="2:14" ht="11.25">
      <c r="B63" s="77"/>
      <c r="C63" s="75"/>
      <c r="D63" s="75"/>
      <c r="E63" s="75"/>
      <c r="F63" s="75"/>
      <c r="G63" s="75"/>
      <c r="I63" s="77"/>
      <c r="J63" s="77"/>
      <c r="K63" s="77"/>
      <c r="L63" s="75"/>
      <c r="M63" s="75"/>
      <c r="N63" s="75"/>
    </row>
    <row r="64" spans="2:11" ht="11.25">
      <c r="B64" s="77"/>
      <c r="I64" s="77"/>
      <c r="J64" s="77"/>
      <c r="K64" s="77"/>
    </row>
    <row r="65" spans="2:14" ht="11.25">
      <c r="B65" s="77"/>
      <c r="C65" s="75"/>
      <c r="D65" s="75"/>
      <c r="E65" s="75"/>
      <c r="F65" s="75"/>
      <c r="G65" s="75"/>
      <c r="I65" s="77"/>
      <c r="J65" s="77"/>
      <c r="K65" s="77"/>
      <c r="L65" s="75"/>
      <c r="M65" s="75"/>
      <c r="N65" s="75"/>
    </row>
    <row r="66" spans="2:14" ht="11.25">
      <c r="B66" s="78"/>
      <c r="C66" s="75"/>
      <c r="D66" s="75"/>
      <c r="E66" s="75"/>
      <c r="F66" s="75"/>
      <c r="G66" s="75"/>
      <c r="I66" s="78"/>
      <c r="J66" s="78"/>
      <c r="K66" s="78"/>
      <c r="L66" s="75"/>
      <c r="M66" s="75"/>
      <c r="N66" s="75"/>
    </row>
    <row r="67" spans="2:14" ht="11.25">
      <c r="B67" s="79"/>
      <c r="C67" s="75"/>
      <c r="D67" s="75"/>
      <c r="E67" s="75"/>
      <c r="F67" s="75"/>
      <c r="G67" s="75"/>
      <c r="I67" s="79"/>
      <c r="J67" s="79"/>
      <c r="K67" s="79"/>
      <c r="L67" s="75"/>
      <c r="M67" s="75"/>
      <c r="N67" s="75"/>
    </row>
    <row r="68" spans="2:14" s="76" customFormat="1" ht="11.25">
      <c r="B68" s="80"/>
      <c r="C68" s="81"/>
      <c r="D68" s="81"/>
      <c r="E68" s="81"/>
      <c r="F68" s="81"/>
      <c r="G68" s="81"/>
      <c r="I68" s="80"/>
      <c r="J68" s="80"/>
      <c r="K68" s="80"/>
      <c r="L68" s="81"/>
      <c r="M68" s="81"/>
      <c r="N68" s="81"/>
    </row>
    <row r="69" spans="2:14" ht="11.25">
      <c r="B69" s="82"/>
      <c r="C69" s="75"/>
      <c r="D69" s="75"/>
      <c r="E69" s="75"/>
      <c r="F69" s="75"/>
      <c r="G69" s="75"/>
      <c r="I69" s="82"/>
      <c r="J69" s="82"/>
      <c r="K69" s="82"/>
      <c r="L69" s="75"/>
      <c r="M69" s="75"/>
      <c r="N69" s="75"/>
    </row>
    <row r="70" spans="2:14" ht="11.25">
      <c r="B70" s="82"/>
      <c r="C70" s="75"/>
      <c r="D70" s="75"/>
      <c r="E70" s="75"/>
      <c r="F70" s="75"/>
      <c r="G70" s="75"/>
      <c r="I70" s="82"/>
      <c r="J70" s="82"/>
      <c r="K70" s="82"/>
      <c r="L70" s="75"/>
      <c r="M70" s="75"/>
      <c r="N70" s="75"/>
    </row>
    <row r="71" spans="2:14" s="76" customFormat="1" ht="11.25">
      <c r="B71" s="80"/>
      <c r="C71" s="81"/>
      <c r="D71" s="81"/>
      <c r="E71" s="81"/>
      <c r="F71" s="81"/>
      <c r="G71" s="81"/>
      <c r="I71" s="80"/>
      <c r="J71" s="80"/>
      <c r="K71" s="80"/>
      <c r="L71" s="81"/>
      <c r="M71" s="81"/>
      <c r="N71" s="81"/>
    </row>
    <row r="72" spans="2:14" ht="11.25">
      <c r="B72" s="82"/>
      <c r="C72" s="75"/>
      <c r="D72" s="75"/>
      <c r="E72" s="75"/>
      <c r="F72" s="75"/>
      <c r="G72" s="75"/>
      <c r="I72" s="82"/>
      <c r="J72" s="82"/>
      <c r="K72" s="82"/>
      <c r="L72" s="75"/>
      <c r="M72" s="75"/>
      <c r="N72" s="75"/>
    </row>
    <row r="73" spans="2:14" ht="11.25">
      <c r="B73" s="82"/>
      <c r="C73" s="75"/>
      <c r="D73" s="75"/>
      <c r="E73" s="75"/>
      <c r="F73" s="75"/>
      <c r="G73" s="75"/>
      <c r="I73" s="82"/>
      <c r="J73" s="82"/>
      <c r="K73" s="82"/>
      <c r="L73" s="75"/>
      <c r="M73" s="75"/>
      <c r="N73" s="75"/>
    </row>
    <row r="74" spans="2:14" ht="11.25">
      <c r="B74" s="113"/>
      <c r="C74" s="75"/>
      <c r="D74" s="75"/>
      <c r="E74" s="75"/>
      <c r="F74" s="75"/>
      <c r="G74" s="75"/>
      <c r="I74" s="113"/>
      <c r="J74" s="82"/>
      <c r="K74" s="82"/>
      <c r="L74" s="75"/>
      <c r="M74" s="75"/>
      <c r="N74" s="75"/>
    </row>
    <row r="75" spans="2:14" s="76" customFormat="1" ht="11.25">
      <c r="B75" s="80"/>
      <c r="C75" s="81"/>
      <c r="D75" s="81"/>
      <c r="E75" s="81"/>
      <c r="F75" s="81"/>
      <c r="G75" s="81"/>
      <c r="I75" s="80"/>
      <c r="J75" s="80"/>
      <c r="K75" s="80"/>
      <c r="L75" s="81"/>
      <c r="M75" s="81"/>
      <c r="N75" s="81"/>
    </row>
    <row r="76" spans="2:14" ht="11.25">
      <c r="B76" s="82"/>
      <c r="C76" s="75"/>
      <c r="D76" s="75"/>
      <c r="E76" s="75"/>
      <c r="F76" s="75"/>
      <c r="G76" s="75"/>
      <c r="I76" s="82"/>
      <c r="J76" s="82"/>
      <c r="K76" s="82"/>
      <c r="L76" s="75"/>
      <c r="M76" s="75"/>
      <c r="N76" s="75"/>
    </row>
    <row r="77" spans="2:14" ht="11.25">
      <c r="B77" s="82"/>
      <c r="C77" s="75"/>
      <c r="D77" s="75"/>
      <c r="E77" s="75"/>
      <c r="F77" s="75"/>
      <c r="G77" s="75"/>
      <c r="I77" s="82"/>
      <c r="J77" s="82"/>
      <c r="K77" s="82"/>
      <c r="L77" s="75"/>
      <c r="M77" s="75"/>
      <c r="N77" s="75"/>
    </row>
    <row r="78" spans="2:14" s="76" customFormat="1" ht="11.25">
      <c r="B78" s="80"/>
      <c r="C78" s="81"/>
      <c r="D78" s="81"/>
      <c r="E78" s="81"/>
      <c r="F78" s="81"/>
      <c r="G78" s="81"/>
      <c r="I78" s="80"/>
      <c r="J78" s="80"/>
      <c r="K78" s="80"/>
      <c r="L78" s="81"/>
      <c r="M78" s="81"/>
      <c r="N78" s="81"/>
    </row>
    <row r="79" spans="2:14" ht="11.25">
      <c r="B79" s="82"/>
      <c r="C79" s="75"/>
      <c r="D79" s="75"/>
      <c r="E79" s="75"/>
      <c r="F79" s="75"/>
      <c r="G79" s="75"/>
      <c r="I79" s="82"/>
      <c r="J79" s="82"/>
      <c r="K79" s="82"/>
      <c r="L79" s="75"/>
      <c r="M79" s="75"/>
      <c r="N79" s="75"/>
    </row>
    <row r="80" spans="2:14" ht="11.25">
      <c r="B80" s="82"/>
      <c r="C80" s="75"/>
      <c r="D80" s="75"/>
      <c r="E80" s="75"/>
      <c r="F80" s="75"/>
      <c r="G80" s="75"/>
      <c r="I80" s="82"/>
      <c r="J80" s="82"/>
      <c r="K80" s="82"/>
      <c r="L80" s="75"/>
      <c r="M80" s="75"/>
      <c r="N80" s="75"/>
    </row>
    <row r="81" spans="2:14" ht="11.25">
      <c r="B81" s="79"/>
      <c r="C81" s="75"/>
      <c r="D81" s="75"/>
      <c r="E81" s="75"/>
      <c r="F81" s="75"/>
      <c r="G81" s="75"/>
      <c r="I81" s="79"/>
      <c r="J81" s="79"/>
      <c r="K81" s="79"/>
      <c r="L81" s="75"/>
      <c r="M81" s="75"/>
      <c r="N81" s="75"/>
    </row>
    <row r="82" spans="2:14" ht="11.25">
      <c r="B82" s="78"/>
      <c r="C82" s="75"/>
      <c r="D82" s="75"/>
      <c r="E82" s="75"/>
      <c r="F82" s="75"/>
      <c r="G82" s="75"/>
      <c r="I82" s="78"/>
      <c r="J82" s="78"/>
      <c r="K82" s="78"/>
      <c r="L82" s="75"/>
      <c r="M82" s="75"/>
      <c r="N82" s="75"/>
    </row>
    <row r="83" spans="2:14" ht="11.25">
      <c r="B83" s="78"/>
      <c r="C83" s="75"/>
      <c r="D83" s="75"/>
      <c r="E83" s="75"/>
      <c r="F83" s="75"/>
      <c r="G83" s="75"/>
      <c r="I83" s="78"/>
      <c r="J83" s="78"/>
      <c r="K83" s="78"/>
      <c r="L83" s="75"/>
      <c r="M83" s="75"/>
      <c r="N83" s="75"/>
    </row>
    <row r="84" spans="2:14" ht="11.25">
      <c r="B84" s="78"/>
      <c r="C84" s="75"/>
      <c r="D84" s="75"/>
      <c r="E84" s="75"/>
      <c r="F84" s="75"/>
      <c r="G84" s="75"/>
      <c r="I84" s="78"/>
      <c r="J84" s="78"/>
      <c r="K84" s="78"/>
      <c r="L84" s="75"/>
      <c r="M84" s="75"/>
      <c r="N84" s="75"/>
    </row>
    <row r="85" spans="2:11" ht="11.25">
      <c r="B85" s="83"/>
      <c r="I85" s="83"/>
      <c r="J85" s="83"/>
      <c r="K85" s="83"/>
    </row>
    <row r="86" spans="2:14" ht="11.25">
      <c r="B86" s="77"/>
      <c r="C86" s="75"/>
      <c r="D86" s="75"/>
      <c r="E86" s="75"/>
      <c r="F86" s="75"/>
      <c r="G86" s="75"/>
      <c r="I86" s="77"/>
      <c r="J86" s="77"/>
      <c r="K86" s="77"/>
      <c r="L86" s="75"/>
      <c r="M86" s="75"/>
      <c r="N86" s="75"/>
    </row>
  </sheetData>
  <sheetProtection/>
  <mergeCells count="10">
    <mergeCell ref="B5:G5"/>
    <mergeCell ref="I5:N5"/>
    <mergeCell ref="F7:G7"/>
    <mergeCell ref="M7:N7"/>
    <mergeCell ref="B2:G2"/>
    <mergeCell ref="I2:N2"/>
    <mergeCell ref="B3:G3"/>
    <mergeCell ref="I3:N3"/>
    <mergeCell ref="B4:G4"/>
    <mergeCell ref="I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Wilson Murillo Loria</cp:lastModifiedBy>
  <cp:lastPrinted>2016-07-19T21:39:17Z</cp:lastPrinted>
  <dcterms:created xsi:type="dcterms:W3CDTF">1996-11-27T10:00:04Z</dcterms:created>
  <dcterms:modified xsi:type="dcterms:W3CDTF">2022-09-02T19:44:00Z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