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05_INGRESOS Y GASTOS RECONOCIDO/2026/05 Mayo 2026/"/>
    </mc:Choice>
  </mc:AlternateContent>
  <xr:revisionPtr revIDLastSave="371" documentId="8_{04F0B915-E711-4259-93BE-D03BC346CF47}" xr6:coauthVersionLast="47" xr6:coauthVersionMax="47" xr10:uidLastSave="{4D8CB782-FB5A-478D-B8BE-19F68C2072AC}"/>
  <bookViews>
    <workbookView xWindow="-120" yWindow="-120" windowWidth="29040" windowHeight="15720" tabRatio="642" xr2:uid="{662E2F09-C1A1-41B8-BB9A-34569A4D7821}"/>
  </bookViews>
  <sheets>
    <sheet name="SIMPLE" sheetId="1" r:id="rId1"/>
    <sheet name="ACUMULADO" sheetId="10" r:id="rId2"/>
    <sheet name="machote" sheetId="20" state="hidden" r:id="rId3"/>
    <sheet name="Ingresos" sheetId="21" r:id="rId4"/>
  </sheets>
  <definedNames>
    <definedName name="\a">#REF!</definedName>
    <definedName name="ANITA">#REF!</definedName>
    <definedName name="_xlnm.Print_Area" localSheetId="2">machote!$A$2:$I$78</definedName>
    <definedName name="BERNA">#REF!</definedName>
    <definedName name="INGRE">#REF!</definedName>
    <definedName name="J">#REF!</definedName>
    <definedName name="NOTAS">#REF!</definedName>
    <definedName name="PASA">#REF!</definedName>
    <definedName name="REES">#REF!</definedName>
    <definedName name="RESU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" l="1"/>
  <c r="N63" i="21"/>
  <c r="M63" i="21"/>
  <c r="F63" i="21"/>
  <c r="G63" i="21"/>
  <c r="N62" i="21"/>
  <c r="M62" i="21"/>
  <c r="G62" i="21"/>
  <c r="F62" i="21"/>
  <c r="N61" i="21"/>
  <c r="M61" i="21"/>
  <c r="G61" i="21"/>
  <c r="F61" i="21"/>
  <c r="N59" i="21"/>
  <c r="M59" i="21"/>
  <c r="G59" i="21"/>
  <c r="F59" i="21"/>
  <c r="N58" i="21"/>
  <c r="M58" i="21"/>
  <c r="G58" i="21"/>
  <c r="F58" i="21"/>
  <c r="N57" i="21"/>
  <c r="M57" i="21"/>
  <c r="G57" i="21"/>
  <c r="F57" i="21"/>
  <c r="N56" i="21"/>
  <c r="M56" i="21"/>
  <c r="G56" i="21"/>
  <c r="F56" i="21"/>
  <c r="N55" i="21"/>
  <c r="M55" i="21"/>
  <c r="G55" i="21"/>
  <c r="F55" i="21"/>
  <c r="N54" i="21"/>
  <c r="M54" i="21"/>
  <c r="G54" i="21"/>
  <c r="F54" i="21"/>
  <c r="N53" i="21"/>
  <c r="M53" i="21"/>
  <c r="G53" i="21"/>
  <c r="F53" i="21"/>
  <c r="N52" i="21"/>
  <c r="M52" i="21"/>
  <c r="G52" i="21"/>
  <c r="F52" i="21"/>
  <c r="N51" i="21"/>
  <c r="M51" i="21"/>
  <c r="G51" i="21"/>
  <c r="F51" i="21"/>
  <c r="N50" i="21"/>
  <c r="M50" i="21"/>
  <c r="G50" i="21"/>
  <c r="F50" i="21"/>
  <c r="N49" i="21"/>
  <c r="M49" i="21"/>
  <c r="G49" i="21"/>
  <c r="F49" i="21"/>
  <c r="N48" i="21"/>
  <c r="M48" i="21"/>
  <c r="G48" i="21"/>
  <c r="F48" i="21"/>
  <c r="N47" i="21"/>
  <c r="M47" i="21"/>
  <c r="G47" i="21"/>
  <c r="F47" i="21"/>
  <c r="N46" i="21"/>
  <c r="M46" i="21"/>
  <c r="G46" i="21"/>
  <c r="F46" i="21"/>
  <c r="E43" i="21"/>
  <c r="G43" i="21" s="1"/>
  <c r="N45" i="21"/>
  <c r="M45" i="21"/>
  <c r="G45" i="21"/>
  <c r="F45" i="21"/>
  <c r="N44" i="21"/>
  <c r="M44" i="21"/>
  <c r="G44" i="21"/>
  <c r="F44" i="21"/>
  <c r="M43" i="21"/>
  <c r="L43" i="21"/>
  <c r="N43" i="21" s="1"/>
  <c r="F43" i="21"/>
  <c r="N41" i="21"/>
  <c r="M41" i="21"/>
  <c r="G41" i="21"/>
  <c r="F41" i="21"/>
  <c r="N40" i="21"/>
  <c r="M40" i="21"/>
  <c r="L39" i="21"/>
  <c r="N39" i="21" s="1"/>
  <c r="G40" i="21"/>
  <c r="F40" i="21"/>
  <c r="M39" i="21"/>
  <c r="F39" i="21"/>
  <c r="E39" i="21"/>
  <c r="G39" i="21" s="1"/>
  <c r="N37" i="21"/>
  <c r="M37" i="21"/>
  <c r="G37" i="21"/>
  <c r="F37" i="21"/>
  <c r="M36" i="21"/>
  <c r="N36" i="21"/>
  <c r="G36" i="21"/>
  <c r="F36" i="21"/>
  <c r="E35" i="21"/>
  <c r="G35" i="21" s="1"/>
  <c r="M35" i="21"/>
  <c r="F35" i="21"/>
  <c r="M33" i="21"/>
  <c r="N33" i="21"/>
  <c r="G33" i="21"/>
  <c r="F33" i="21"/>
  <c r="M32" i="21"/>
  <c r="L30" i="21"/>
  <c r="N30" i="21" s="1"/>
  <c r="G32" i="21"/>
  <c r="F32" i="21"/>
  <c r="M31" i="21"/>
  <c r="N31" i="21"/>
  <c r="G31" i="21"/>
  <c r="F31" i="21"/>
  <c r="E30" i="21"/>
  <c r="G30" i="21" s="1"/>
  <c r="M30" i="21"/>
  <c r="F30" i="21"/>
  <c r="M28" i="21"/>
  <c r="N28" i="21"/>
  <c r="G28" i="21"/>
  <c r="F28" i="21"/>
  <c r="M27" i="21"/>
  <c r="L26" i="21"/>
  <c r="N26" i="21" s="1"/>
  <c r="G27" i="21"/>
  <c r="F27" i="21"/>
  <c r="M26" i="21"/>
  <c r="F26" i="21"/>
  <c r="E26" i="21"/>
  <c r="G26" i="21" s="1"/>
  <c r="M24" i="21"/>
  <c r="N24" i="21"/>
  <c r="G24" i="21"/>
  <c r="F24" i="21"/>
  <c r="M23" i="21"/>
  <c r="N23" i="21"/>
  <c r="G23" i="21"/>
  <c r="F23" i="21"/>
  <c r="M22" i="21"/>
  <c r="N22" i="21"/>
  <c r="G22" i="21"/>
  <c r="F22" i="21"/>
  <c r="M21" i="21"/>
  <c r="F21" i="21"/>
  <c r="E21" i="21"/>
  <c r="G21" i="21" s="1"/>
  <c r="L14" i="21"/>
  <c r="N18" i="21"/>
  <c r="M18" i="21"/>
  <c r="G18" i="21"/>
  <c r="F18" i="21"/>
  <c r="N17" i="21"/>
  <c r="M17" i="21"/>
  <c r="G17" i="21"/>
  <c r="F17" i="21"/>
  <c r="N16" i="21"/>
  <c r="M16" i="21"/>
  <c r="G16" i="21"/>
  <c r="F16" i="21"/>
  <c r="N15" i="21"/>
  <c r="M15" i="21"/>
  <c r="G15" i="21"/>
  <c r="F15" i="21"/>
  <c r="M14" i="21"/>
  <c r="F14" i="21"/>
  <c r="E14" i="21"/>
  <c r="G14" i="21" s="1"/>
  <c r="M12" i="21"/>
  <c r="F12" i="21"/>
  <c r="M10" i="21"/>
  <c r="F10" i="21"/>
  <c r="M9" i="21"/>
  <c r="F9" i="21"/>
  <c r="E12" i="21" l="1"/>
  <c r="N14" i="21"/>
  <c r="L35" i="21"/>
  <c r="N35" i="21" s="1"/>
  <c r="N32" i="21"/>
  <c r="N27" i="21"/>
  <c r="L21" i="21"/>
  <c r="N21" i="21" s="1"/>
  <c r="L12" i="21" l="1"/>
  <c r="E10" i="21"/>
  <c r="G12" i="21"/>
  <c r="G10" i="21" l="1"/>
  <c r="E9" i="21"/>
  <c r="G9" i="21" s="1"/>
  <c r="L10" i="21"/>
  <c r="N12" i="21"/>
  <c r="L9" i="21" l="1"/>
  <c r="N9" i="21" s="1"/>
  <c r="N10" i="21"/>
  <c r="W74" i="1" l="1"/>
  <c r="AQ63" i="1" l="1"/>
  <c r="AQ62" i="1"/>
  <c r="AQ61" i="1"/>
  <c r="AQ60" i="1"/>
  <c r="AQ58" i="1"/>
  <c r="AQ54" i="1"/>
  <c r="AQ53" i="1"/>
  <c r="AQ52" i="1"/>
  <c r="AQ51" i="1"/>
  <c r="AQ48" i="1"/>
  <c r="AQ47" i="1"/>
  <c r="AQ45" i="1"/>
  <c r="AQ44" i="1"/>
  <c r="AQ43" i="1"/>
  <c r="AQ34" i="1"/>
  <c r="AQ32" i="1"/>
  <c r="AQ31" i="1"/>
  <c r="AQ30" i="1"/>
  <c r="AQ27" i="1"/>
  <c r="AQ26" i="1"/>
  <c r="AQ25" i="1"/>
  <c r="AQ23" i="1"/>
  <c r="AQ22" i="1"/>
  <c r="AQ20" i="1"/>
  <c r="AQ19" i="1"/>
  <c r="AQ18" i="1"/>
  <c r="AQ16" i="1"/>
  <c r="AQ15" i="1"/>
  <c r="AQ13" i="1"/>
  <c r="AQ68" i="10"/>
  <c r="AQ67" i="10"/>
  <c r="AQ64" i="10"/>
  <c r="AQ63" i="10"/>
  <c r="AQ62" i="10"/>
  <c r="AQ61" i="10"/>
  <c r="AQ59" i="10"/>
  <c r="AQ55" i="10"/>
  <c r="AQ54" i="10"/>
  <c r="AQ53" i="10"/>
  <c r="AQ52" i="10"/>
  <c r="AQ49" i="10"/>
  <c r="AQ48" i="10"/>
  <c r="AQ46" i="10"/>
  <c r="AQ45" i="10"/>
  <c r="AQ44" i="10"/>
  <c r="AQ35" i="10"/>
  <c r="AQ33" i="10"/>
  <c r="AQ32" i="10"/>
  <c r="AQ31" i="10"/>
  <c r="AQ28" i="10"/>
  <c r="AQ27" i="10"/>
  <c r="AQ26" i="10"/>
  <c r="AQ24" i="10"/>
  <c r="AQ23" i="10"/>
  <c r="AQ21" i="10"/>
  <c r="AQ20" i="10"/>
  <c r="AQ19" i="10"/>
  <c r="AQ17" i="10"/>
  <c r="AQ16" i="10"/>
  <c r="AQ14" i="10"/>
  <c r="W74" i="10"/>
  <c r="W66" i="10"/>
  <c r="W60" i="10"/>
  <c r="W57" i="10" s="1"/>
  <c r="W51" i="10"/>
  <c r="W47" i="10"/>
  <c r="W43" i="10"/>
  <c r="W25" i="10"/>
  <c r="W22" i="10"/>
  <c r="W18" i="10"/>
  <c r="W15" i="10"/>
  <c r="W41" i="10" l="1"/>
  <c r="W13" i="10"/>
  <c r="W65" i="1"/>
  <c r="V65" i="1"/>
  <c r="U65" i="1"/>
  <c r="W59" i="1"/>
  <c r="AQ59" i="1" s="1"/>
  <c r="W50" i="1"/>
  <c r="AQ50" i="1" s="1"/>
  <c r="W46" i="1"/>
  <c r="AQ46" i="1" s="1"/>
  <c r="W42" i="1"/>
  <c r="AQ42" i="1" s="1"/>
  <c r="W24" i="1"/>
  <c r="AQ24" i="1" s="1"/>
  <c r="W21" i="1"/>
  <c r="AQ21" i="1" s="1"/>
  <c r="W17" i="1"/>
  <c r="AQ17" i="1" s="1"/>
  <c r="W14" i="1"/>
  <c r="AQ14" i="1" s="1"/>
  <c r="V74" i="10"/>
  <c r="V60" i="10"/>
  <c r="AQ60" i="10" s="1"/>
  <c r="AP63" i="1"/>
  <c r="AP62" i="1"/>
  <c r="AP61" i="1"/>
  <c r="AP60" i="1"/>
  <c r="AP58" i="1"/>
  <c r="AP54" i="1"/>
  <c r="AP53" i="1"/>
  <c r="AP52" i="1"/>
  <c r="AP51" i="1"/>
  <c r="AP48" i="1"/>
  <c r="AP47" i="1"/>
  <c r="AP45" i="1"/>
  <c r="AP44" i="1"/>
  <c r="AP43" i="1"/>
  <c r="AP34" i="1"/>
  <c r="AP32" i="1"/>
  <c r="AP31" i="1"/>
  <c r="AP30" i="1"/>
  <c r="AP27" i="1"/>
  <c r="AP26" i="1"/>
  <c r="AP25" i="1"/>
  <c r="AP23" i="1"/>
  <c r="AP22" i="1"/>
  <c r="AP20" i="1"/>
  <c r="AP19" i="1"/>
  <c r="AP18" i="1"/>
  <c r="AP16" i="1"/>
  <c r="AP15" i="1"/>
  <c r="AP13" i="1"/>
  <c r="V74" i="1"/>
  <c r="V59" i="1"/>
  <c r="V56" i="1"/>
  <c r="V50" i="1"/>
  <c r="AP50" i="1" s="1"/>
  <c r="V46" i="1"/>
  <c r="AP46" i="1"/>
  <c r="V42" i="1"/>
  <c r="AP42" i="1"/>
  <c r="V24" i="1"/>
  <c r="V21" i="1"/>
  <c r="AP21" i="1"/>
  <c r="V17" i="1"/>
  <c r="AP17" i="1"/>
  <c r="V14" i="1"/>
  <c r="AP14" i="1" s="1"/>
  <c r="AP68" i="10"/>
  <c r="AP67" i="10"/>
  <c r="AP64" i="10"/>
  <c r="AP63" i="10"/>
  <c r="AP62" i="10"/>
  <c r="AP61" i="10"/>
  <c r="AP59" i="10"/>
  <c r="AP55" i="10"/>
  <c r="AP54" i="10"/>
  <c r="AP53" i="10"/>
  <c r="AP52" i="10"/>
  <c r="AP49" i="10"/>
  <c r="AP48" i="10"/>
  <c r="AP46" i="10"/>
  <c r="AP45" i="10"/>
  <c r="AP44" i="10"/>
  <c r="AP35" i="10"/>
  <c r="AP33" i="10"/>
  <c r="AP32" i="10"/>
  <c r="AP31" i="10"/>
  <c r="AP28" i="10"/>
  <c r="AP27" i="10"/>
  <c r="AP26" i="10"/>
  <c r="AP24" i="10"/>
  <c r="AP23" i="10"/>
  <c r="AP21" i="10"/>
  <c r="AP20" i="10"/>
  <c r="AP19" i="10"/>
  <c r="AP17" i="10"/>
  <c r="AP16" i="10"/>
  <c r="AP14" i="10"/>
  <c r="V66" i="10"/>
  <c r="V51" i="10"/>
  <c r="V47" i="10"/>
  <c r="V43" i="10"/>
  <c r="AP43" i="10" s="1"/>
  <c r="V25" i="10"/>
  <c r="V22" i="10"/>
  <c r="AQ22" i="10" s="1"/>
  <c r="V18" i="10"/>
  <c r="AQ18" i="10" s="1"/>
  <c r="V15" i="10"/>
  <c r="U75" i="10"/>
  <c r="U74" i="10" s="1"/>
  <c r="U75" i="1"/>
  <c r="U25" i="10"/>
  <c r="U24" i="1"/>
  <c r="AO24" i="1" s="1"/>
  <c r="AO68" i="10"/>
  <c r="AN68" i="10"/>
  <c r="AM68" i="10"/>
  <c r="AO67" i="10"/>
  <c r="AN67" i="10"/>
  <c r="AM67" i="10"/>
  <c r="AO18" i="1"/>
  <c r="AO19" i="1"/>
  <c r="AN18" i="1"/>
  <c r="U15" i="10"/>
  <c r="AO64" i="10"/>
  <c r="AO63" i="10"/>
  <c r="AO62" i="10"/>
  <c r="AO61" i="10"/>
  <c r="AO59" i="10"/>
  <c r="AO55" i="10"/>
  <c r="AO54" i="10"/>
  <c r="AO53" i="10"/>
  <c r="AO52" i="10"/>
  <c r="AO49" i="10"/>
  <c r="AO48" i="10"/>
  <c r="AO46" i="10"/>
  <c r="AO45" i="10"/>
  <c r="AO44" i="10"/>
  <c r="AO35" i="10"/>
  <c r="AO33" i="10"/>
  <c r="AO32" i="10"/>
  <c r="AO31" i="10"/>
  <c r="AO28" i="10"/>
  <c r="AO27" i="10"/>
  <c r="AO26" i="10"/>
  <c r="AO24" i="10"/>
  <c r="AO23" i="10"/>
  <c r="AO21" i="10"/>
  <c r="AO20" i="10"/>
  <c r="AO19" i="10"/>
  <c r="AO17" i="10"/>
  <c r="AO16" i="10"/>
  <c r="AO14" i="10"/>
  <c r="U66" i="10"/>
  <c r="U60" i="10"/>
  <c r="U57" i="10" s="1"/>
  <c r="U51" i="10"/>
  <c r="U47" i="10"/>
  <c r="U43" i="10"/>
  <c r="U22" i="10"/>
  <c r="U18" i="10"/>
  <c r="AO63" i="1"/>
  <c r="AO62" i="1"/>
  <c r="AO61" i="1"/>
  <c r="AO60" i="1"/>
  <c r="AO58" i="1"/>
  <c r="AO54" i="1"/>
  <c r="AO53" i="1"/>
  <c r="AO52" i="1"/>
  <c r="AO51" i="1"/>
  <c r="AO48" i="1"/>
  <c r="AO47" i="1"/>
  <c r="AO45" i="1"/>
  <c r="AO44" i="1"/>
  <c r="AO43" i="1"/>
  <c r="AO34" i="1"/>
  <c r="AO32" i="1"/>
  <c r="AO31" i="1"/>
  <c r="AO30" i="1"/>
  <c r="AO27" i="1"/>
  <c r="AO26" i="1"/>
  <c r="AO25" i="1"/>
  <c r="AO23" i="1"/>
  <c r="AO22" i="1"/>
  <c r="AO20" i="1"/>
  <c r="AO16" i="1"/>
  <c r="AO15" i="1"/>
  <c r="AO13" i="1"/>
  <c r="U74" i="1"/>
  <c r="U59" i="1"/>
  <c r="U56" i="1" s="1"/>
  <c r="U50" i="1"/>
  <c r="U46" i="1"/>
  <c r="U42" i="1"/>
  <c r="U21" i="1"/>
  <c r="U17" i="1"/>
  <c r="U14" i="1"/>
  <c r="AN61" i="1"/>
  <c r="T59" i="1"/>
  <c r="T56" i="1"/>
  <c r="AN56" i="1" s="1"/>
  <c r="T74" i="1"/>
  <c r="T18" i="10"/>
  <c r="T65" i="1"/>
  <c r="AN64" i="10"/>
  <c r="AN63" i="10"/>
  <c r="AN62" i="10"/>
  <c r="AN61" i="10"/>
  <c r="AN59" i="10"/>
  <c r="AN55" i="10"/>
  <c r="AN54" i="10"/>
  <c r="AN53" i="10"/>
  <c r="AN52" i="10"/>
  <c r="AN49" i="10"/>
  <c r="AN48" i="10"/>
  <c r="AN46" i="10"/>
  <c r="AN45" i="10"/>
  <c r="AN44" i="10"/>
  <c r="AN35" i="10"/>
  <c r="AN33" i="10"/>
  <c r="AN32" i="10"/>
  <c r="AN31" i="10"/>
  <c r="AN28" i="10"/>
  <c r="AN27" i="10"/>
  <c r="AN26" i="10"/>
  <c r="AN24" i="10"/>
  <c r="AN23" i="10"/>
  <c r="AN21" i="10"/>
  <c r="AN20" i="10"/>
  <c r="AN19" i="10"/>
  <c r="AN17" i="10"/>
  <c r="AN16" i="10"/>
  <c r="AN14" i="10"/>
  <c r="T74" i="10"/>
  <c r="T66" i="10"/>
  <c r="T60" i="10"/>
  <c r="AN60" i="10" s="1"/>
  <c r="T51" i="10"/>
  <c r="T47" i="10"/>
  <c r="AN47" i="10" s="1"/>
  <c r="T43" i="10"/>
  <c r="T25" i="10"/>
  <c r="AO25" i="10"/>
  <c r="T22" i="10"/>
  <c r="AN22" i="10" s="1"/>
  <c r="T15" i="10"/>
  <c r="AN63" i="1"/>
  <c r="AN62" i="1"/>
  <c r="AN60" i="1"/>
  <c r="AN58" i="1"/>
  <c r="AN54" i="1"/>
  <c r="AN53" i="1"/>
  <c r="AN52" i="1"/>
  <c r="AN51" i="1"/>
  <c r="AN48" i="1"/>
  <c r="AN47" i="1"/>
  <c r="AN45" i="1"/>
  <c r="AN44" i="1"/>
  <c r="AN43" i="1"/>
  <c r="AN34" i="1"/>
  <c r="AN32" i="1"/>
  <c r="AN31" i="1"/>
  <c r="AN30" i="1"/>
  <c r="AN27" i="1"/>
  <c r="AN26" i="1"/>
  <c r="AN25" i="1"/>
  <c r="AN23" i="1"/>
  <c r="AN22" i="1"/>
  <c r="AN20" i="1"/>
  <c r="AN19" i="1"/>
  <c r="AN16" i="1"/>
  <c r="AN15" i="1"/>
  <c r="AN13" i="1"/>
  <c r="T50" i="1"/>
  <c r="AO50" i="1"/>
  <c r="T46" i="1"/>
  <c r="AN46" i="1" s="1"/>
  <c r="T42" i="1"/>
  <c r="AN42" i="1" s="1"/>
  <c r="T24" i="1"/>
  <c r="AN24" i="1" s="1"/>
  <c r="T21" i="1"/>
  <c r="T17" i="1"/>
  <c r="T14" i="1"/>
  <c r="AM61" i="1"/>
  <c r="S43" i="10"/>
  <c r="S42" i="1"/>
  <c r="AH28" i="1"/>
  <c r="S25" i="10"/>
  <c r="S18" i="10"/>
  <c r="AM13" i="1"/>
  <c r="AM64" i="10"/>
  <c r="AM63" i="10"/>
  <c r="AM62" i="10"/>
  <c r="AM61" i="10"/>
  <c r="AM59" i="10"/>
  <c r="AM55" i="10"/>
  <c r="AM54" i="10"/>
  <c r="AM53" i="10"/>
  <c r="AM52" i="10"/>
  <c r="AM49" i="10"/>
  <c r="AM48" i="10"/>
  <c r="AM46" i="10"/>
  <c r="AM45" i="10"/>
  <c r="AM44" i="10"/>
  <c r="AM35" i="10"/>
  <c r="AM33" i="10"/>
  <c r="AM32" i="10"/>
  <c r="AM31" i="10"/>
  <c r="AM28" i="10"/>
  <c r="AM27" i="10"/>
  <c r="AM26" i="10"/>
  <c r="AM24" i="10"/>
  <c r="AM23" i="10"/>
  <c r="AM21" i="10"/>
  <c r="AM20" i="10"/>
  <c r="AM19" i="10"/>
  <c r="AM17" i="10"/>
  <c r="AM16" i="10"/>
  <c r="AM14" i="10"/>
  <c r="S74" i="10"/>
  <c r="S66" i="10"/>
  <c r="AM66" i="10" s="1"/>
  <c r="S60" i="10"/>
  <c r="S57" i="10" s="1"/>
  <c r="S51" i="10"/>
  <c r="S47" i="10"/>
  <c r="S22" i="10"/>
  <c r="S15" i="10"/>
  <c r="AM63" i="1"/>
  <c r="AM62" i="1"/>
  <c r="AM60" i="1"/>
  <c r="AM58" i="1"/>
  <c r="AM54" i="1"/>
  <c r="AM53" i="1"/>
  <c r="AM52" i="1"/>
  <c r="AM51" i="1"/>
  <c r="AM48" i="1"/>
  <c r="AM47" i="1"/>
  <c r="AM45" i="1"/>
  <c r="AM44" i="1"/>
  <c r="AM43" i="1"/>
  <c r="AM34" i="1"/>
  <c r="AM32" i="1"/>
  <c r="AM31" i="1"/>
  <c r="AM30" i="1"/>
  <c r="AM27" i="1"/>
  <c r="AM26" i="1"/>
  <c r="AM25" i="1"/>
  <c r="AM23" i="1"/>
  <c r="AM22" i="1"/>
  <c r="AM20" i="1"/>
  <c r="AM19" i="1"/>
  <c r="AM18" i="1"/>
  <c r="AM16" i="1"/>
  <c r="AM15" i="1"/>
  <c r="S74" i="1"/>
  <c r="S65" i="1"/>
  <c r="S59" i="1"/>
  <c r="S56" i="1"/>
  <c r="S50" i="1"/>
  <c r="AM50" i="1" s="1"/>
  <c r="S46" i="1"/>
  <c r="S40" i="1" s="1"/>
  <c r="S24" i="1"/>
  <c r="S21" i="1"/>
  <c r="AN21" i="1" s="1"/>
  <c r="S17" i="1"/>
  <c r="S14" i="1"/>
  <c r="AM14" i="1" s="1"/>
  <c r="R25" i="10"/>
  <c r="AL49" i="10"/>
  <c r="R47" i="10"/>
  <c r="R74" i="1"/>
  <c r="R65" i="1"/>
  <c r="AL68" i="10"/>
  <c r="R66" i="10"/>
  <c r="AL63" i="1"/>
  <c r="AL62" i="1"/>
  <c r="AL61" i="1"/>
  <c r="AL60" i="1"/>
  <c r="AL58" i="1"/>
  <c r="AL54" i="1"/>
  <c r="AL53" i="1"/>
  <c r="AL52" i="1"/>
  <c r="AL51" i="1"/>
  <c r="AL48" i="1"/>
  <c r="AL47" i="1"/>
  <c r="AL45" i="1"/>
  <c r="AL44" i="1"/>
  <c r="AL43" i="1"/>
  <c r="AL34" i="1"/>
  <c r="AL32" i="1"/>
  <c r="AL31" i="1"/>
  <c r="AL30" i="1"/>
  <c r="AL27" i="1"/>
  <c r="AL26" i="1"/>
  <c r="AL25" i="1"/>
  <c r="AL23" i="1"/>
  <c r="AL22" i="1"/>
  <c r="AL20" i="1"/>
  <c r="AL19" i="1"/>
  <c r="AL18" i="1"/>
  <c r="AL16" i="1"/>
  <c r="AL15" i="1"/>
  <c r="AL13" i="1"/>
  <c r="R59" i="1"/>
  <c r="AL59" i="1" s="1"/>
  <c r="R50" i="1"/>
  <c r="AL50" i="1" s="1"/>
  <c r="R46" i="1"/>
  <c r="R42" i="1"/>
  <c r="R24" i="1"/>
  <c r="R21" i="1"/>
  <c r="R17" i="1"/>
  <c r="R14" i="1"/>
  <c r="R12" i="1" s="1"/>
  <c r="AL67" i="10"/>
  <c r="AL64" i="10"/>
  <c r="AL63" i="10"/>
  <c r="AL62" i="10"/>
  <c r="AL61" i="10"/>
  <c r="AL59" i="10"/>
  <c r="AL55" i="10"/>
  <c r="AL54" i="10"/>
  <c r="AL53" i="10"/>
  <c r="AL52" i="10"/>
  <c r="AL46" i="10"/>
  <c r="AL45" i="10"/>
  <c r="AL44" i="10"/>
  <c r="AL35" i="10"/>
  <c r="AL33" i="10"/>
  <c r="AL32" i="10"/>
  <c r="AL31" i="10"/>
  <c r="AL28" i="10"/>
  <c r="AL27" i="10"/>
  <c r="AL26" i="10"/>
  <c r="AL24" i="10"/>
  <c r="AL23" i="10"/>
  <c r="AL21" i="10"/>
  <c r="AL20" i="10"/>
  <c r="AL19" i="10"/>
  <c r="AL17" i="10"/>
  <c r="AL16" i="10"/>
  <c r="AL14" i="10"/>
  <c r="R74" i="10"/>
  <c r="R60" i="10"/>
  <c r="R57" i="10" s="1"/>
  <c r="R51" i="10"/>
  <c r="R41" i="10" s="1"/>
  <c r="R43" i="10"/>
  <c r="AL43" i="10" s="1"/>
  <c r="R22" i="10"/>
  <c r="R18" i="10"/>
  <c r="X18" i="10"/>
  <c r="R15" i="10"/>
  <c r="AE19" i="1"/>
  <c r="AE20" i="1"/>
  <c r="AJ25" i="1"/>
  <c r="AF25" i="1"/>
  <c r="AK67" i="10"/>
  <c r="AJ67" i="10"/>
  <c r="AI67" i="10"/>
  <c r="AH67" i="10"/>
  <c r="AG67" i="10"/>
  <c r="AK64" i="10"/>
  <c r="AJ64" i="10"/>
  <c r="AI64" i="10"/>
  <c r="AF64" i="10"/>
  <c r="AE64" i="10"/>
  <c r="AD64" i="10"/>
  <c r="AC64" i="10"/>
  <c r="AB64" i="10"/>
  <c r="AA64" i="10"/>
  <c r="Z64" i="10"/>
  <c r="Y64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AK62" i="10"/>
  <c r="AJ62" i="10"/>
  <c r="AI62" i="10"/>
  <c r="AF62" i="10"/>
  <c r="AE62" i="10"/>
  <c r="AD62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Y61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Y53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Y52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Y49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Y48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Y46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Y45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Y44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Y25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Y22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Y18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Y15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Y13" i="10"/>
  <c r="X64" i="10"/>
  <c r="X63" i="10"/>
  <c r="X61" i="10"/>
  <c r="X59" i="10"/>
  <c r="X55" i="10"/>
  <c r="X54" i="10"/>
  <c r="X53" i="10"/>
  <c r="X52" i="10"/>
  <c r="X49" i="10"/>
  <c r="X48" i="10"/>
  <c r="X46" i="10"/>
  <c r="X45" i="10"/>
  <c r="X44" i="10"/>
  <c r="X35" i="10"/>
  <c r="X33" i="10"/>
  <c r="X32" i="10"/>
  <c r="X31" i="10"/>
  <c r="X28" i="10"/>
  <c r="X27" i="10"/>
  <c r="X26" i="10"/>
  <c r="X25" i="10"/>
  <c r="X24" i="10"/>
  <c r="X23" i="10"/>
  <c r="X22" i="10"/>
  <c r="X21" i="10"/>
  <c r="X20" i="10"/>
  <c r="X19" i="10"/>
  <c r="X17" i="10"/>
  <c r="X16" i="10"/>
  <c r="X15" i="10"/>
  <c r="X14" i="10"/>
  <c r="X13" i="10"/>
  <c r="O74" i="10"/>
  <c r="O66" i="10"/>
  <c r="O60" i="10"/>
  <c r="O51" i="10"/>
  <c r="AI51" i="10" s="1"/>
  <c r="O47" i="10"/>
  <c r="O43" i="10"/>
  <c r="AI43" i="10" s="1"/>
  <c r="O25" i="10"/>
  <c r="AI25" i="10" s="1"/>
  <c r="O22" i="10"/>
  <c r="O18" i="10"/>
  <c r="AI18" i="10" s="1"/>
  <c r="O15" i="10"/>
  <c r="AJ15" i="10" s="1"/>
  <c r="N74" i="10"/>
  <c r="N66" i="10"/>
  <c r="N60" i="10"/>
  <c r="N57" i="10" s="1"/>
  <c r="N51" i="10"/>
  <c r="N47" i="10"/>
  <c r="N43" i="10"/>
  <c r="AH43" i="10" s="1"/>
  <c r="N25" i="10"/>
  <c r="N22" i="10"/>
  <c r="N18" i="10"/>
  <c r="N15" i="10"/>
  <c r="AH15" i="10" s="1"/>
  <c r="M74" i="10"/>
  <c r="M66" i="10"/>
  <c r="AH66" i="10" s="1"/>
  <c r="M64" i="10"/>
  <c r="AG64" i="10" s="1"/>
  <c r="M62" i="10"/>
  <c r="M60" i="10"/>
  <c r="M57" i="10" s="1"/>
  <c r="AG57" i="10" s="1"/>
  <c r="M51" i="10"/>
  <c r="AG51" i="10" s="1"/>
  <c r="M47" i="10"/>
  <c r="M43" i="10"/>
  <c r="M25" i="10"/>
  <c r="AH25" i="10" s="1"/>
  <c r="M22" i="10"/>
  <c r="M18" i="10"/>
  <c r="M15" i="10"/>
  <c r="L75" i="10"/>
  <c r="L74" i="10" s="1"/>
  <c r="L66" i="10"/>
  <c r="L60" i="10"/>
  <c r="L57" i="10" s="1"/>
  <c r="L51" i="10"/>
  <c r="L47" i="10"/>
  <c r="L41" i="10" s="1"/>
  <c r="L43" i="10"/>
  <c r="L25" i="10"/>
  <c r="L22" i="10"/>
  <c r="L18" i="10"/>
  <c r="L15" i="10"/>
  <c r="K75" i="10"/>
  <c r="K74" i="10"/>
  <c r="K66" i="10"/>
  <c r="K60" i="10"/>
  <c r="AE60" i="10" s="1"/>
  <c r="K51" i="10"/>
  <c r="K47" i="10"/>
  <c r="K41" i="10" s="1"/>
  <c r="K43" i="10"/>
  <c r="K25" i="10"/>
  <c r="K22" i="10"/>
  <c r="K18" i="10"/>
  <c r="K15" i="10"/>
  <c r="J74" i="10"/>
  <c r="J66" i="10"/>
  <c r="J60" i="10"/>
  <c r="J57" i="10" s="1"/>
  <c r="J51" i="10"/>
  <c r="J47" i="10"/>
  <c r="J43" i="10"/>
  <c r="J25" i="10"/>
  <c r="J22" i="10"/>
  <c r="AE22" i="10" s="1"/>
  <c r="J18" i="10"/>
  <c r="J15" i="10"/>
  <c r="Q18" i="10"/>
  <c r="AL18" i="10"/>
  <c r="I75" i="10"/>
  <c r="I74" i="10" s="1"/>
  <c r="I66" i="10"/>
  <c r="I60" i="10"/>
  <c r="I57" i="10" s="1"/>
  <c r="I51" i="10"/>
  <c r="I47" i="10"/>
  <c r="I41" i="10" s="1"/>
  <c r="I43" i="10"/>
  <c r="I25" i="10"/>
  <c r="I22" i="10"/>
  <c r="I18" i="10"/>
  <c r="AC18" i="10" s="1"/>
  <c r="I15" i="10"/>
  <c r="H74" i="10"/>
  <c r="H66" i="10"/>
  <c r="H62" i="10"/>
  <c r="H60" i="10"/>
  <c r="H51" i="10"/>
  <c r="H41" i="10" s="1"/>
  <c r="AB41" i="10" s="1"/>
  <c r="H47" i="10"/>
  <c r="H43" i="10"/>
  <c r="H25" i="10"/>
  <c r="AB25" i="10" s="1"/>
  <c r="H22" i="10"/>
  <c r="H18" i="10"/>
  <c r="H15" i="10"/>
  <c r="H13" i="10" s="1"/>
  <c r="G74" i="10"/>
  <c r="G62" i="10"/>
  <c r="G60" i="10" s="1"/>
  <c r="G51" i="10"/>
  <c r="G47" i="10"/>
  <c r="G41" i="10" s="1"/>
  <c r="AB47" i="10"/>
  <c r="G43" i="10"/>
  <c r="G25" i="10"/>
  <c r="G22" i="10"/>
  <c r="AA22" i="10" s="1"/>
  <c r="G18" i="10"/>
  <c r="G15" i="10"/>
  <c r="F74" i="10"/>
  <c r="F62" i="10"/>
  <c r="F60" i="10" s="1"/>
  <c r="F57" i="10" s="1"/>
  <c r="F51" i="10"/>
  <c r="F41" i="10" s="1"/>
  <c r="F47" i="10"/>
  <c r="F43" i="10"/>
  <c r="Z43" i="10" s="1"/>
  <c r="F25" i="10"/>
  <c r="Z25" i="10" s="1"/>
  <c r="F22" i="10"/>
  <c r="Z22" i="10"/>
  <c r="F18" i="10"/>
  <c r="Z18" i="10" s="1"/>
  <c r="F15" i="10"/>
  <c r="E62" i="10"/>
  <c r="E51" i="10"/>
  <c r="Y51" i="10" s="1"/>
  <c r="E47" i="10"/>
  <c r="E41" i="10" s="1"/>
  <c r="E43" i="10"/>
  <c r="E12" i="10"/>
  <c r="Y12" i="10" s="1"/>
  <c r="E10" i="10"/>
  <c r="D62" i="10"/>
  <c r="D60" i="10" s="1"/>
  <c r="D51" i="10"/>
  <c r="D47" i="10"/>
  <c r="X47" i="10" s="1"/>
  <c r="D43" i="10"/>
  <c r="D12" i="10"/>
  <c r="D10" i="10" s="1"/>
  <c r="C62" i="10"/>
  <c r="C60" i="10" s="1"/>
  <c r="C57" i="10" s="1"/>
  <c r="C37" i="10" s="1"/>
  <c r="C51" i="10"/>
  <c r="C41" i="10" s="1"/>
  <c r="C47" i="10"/>
  <c r="C43" i="10"/>
  <c r="C12" i="10"/>
  <c r="X12" i="10" s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AK25" i="1"/>
  <c r="AI25" i="1"/>
  <c r="AH25" i="1"/>
  <c r="AG25" i="1"/>
  <c r="AE25" i="1"/>
  <c r="AD25" i="1"/>
  <c r="AC25" i="1"/>
  <c r="AB25" i="1"/>
  <c r="AA25" i="1"/>
  <c r="Z25" i="1"/>
  <c r="Y25" i="1"/>
  <c r="Y24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Y21" i="1"/>
  <c r="AK20" i="1"/>
  <c r="AJ20" i="1"/>
  <c r="AI20" i="1"/>
  <c r="AH20" i="1"/>
  <c r="AG20" i="1"/>
  <c r="AF20" i="1"/>
  <c r="AD20" i="1"/>
  <c r="AC20" i="1"/>
  <c r="AB20" i="1"/>
  <c r="AA20" i="1"/>
  <c r="Z20" i="1"/>
  <c r="Y20" i="1"/>
  <c r="AK19" i="1"/>
  <c r="AJ19" i="1"/>
  <c r="AI19" i="1"/>
  <c r="AH19" i="1"/>
  <c r="AG19" i="1"/>
  <c r="AF19" i="1"/>
  <c r="AD19" i="1"/>
  <c r="AC19" i="1"/>
  <c r="AB19" i="1"/>
  <c r="AA19" i="1"/>
  <c r="Z19" i="1"/>
  <c r="Y19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Y17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Y14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Y12" i="1"/>
  <c r="X63" i="1"/>
  <c r="X62" i="1"/>
  <c r="X60" i="1"/>
  <c r="X58" i="1"/>
  <c r="X54" i="1"/>
  <c r="X53" i="1"/>
  <c r="X52" i="1"/>
  <c r="X51" i="1"/>
  <c r="X48" i="1"/>
  <c r="X47" i="1"/>
  <c r="X45" i="1"/>
  <c r="X44" i="1"/>
  <c r="X43" i="1"/>
  <c r="X34" i="1"/>
  <c r="X32" i="1"/>
  <c r="X31" i="1"/>
  <c r="X30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O74" i="1"/>
  <c r="O65" i="1"/>
  <c r="O59" i="1"/>
  <c r="AI59" i="1" s="1"/>
  <c r="O50" i="1"/>
  <c r="AI50" i="1" s="1"/>
  <c r="O46" i="1"/>
  <c r="O42" i="1"/>
  <c r="O24" i="1"/>
  <c r="O21" i="1"/>
  <c r="AI21" i="1" s="1"/>
  <c r="O17" i="1"/>
  <c r="O14" i="1"/>
  <c r="AI14" i="1" s="1"/>
  <c r="N74" i="1"/>
  <c r="N65" i="1"/>
  <c r="N59" i="1"/>
  <c r="AH59" i="1" s="1"/>
  <c r="N50" i="1"/>
  <c r="N46" i="1"/>
  <c r="AI46" i="1"/>
  <c r="N40" i="1"/>
  <c r="N42" i="1"/>
  <c r="N24" i="1"/>
  <c r="AI24" i="1" s="1"/>
  <c r="N21" i="1"/>
  <c r="N17" i="1"/>
  <c r="N14" i="1"/>
  <c r="AH14" i="1" s="1"/>
  <c r="M75" i="1"/>
  <c r="M74" i="1"/>
  <c r="M65" i="1"/>
  <c r="M59" i="1"/>
  <c r="M56" i="1"/>
  <c r="M50" i="1"/>
  <c r="M46" i="1"/>
  <c r="M40" i="1" s="1"/>
  <c r="M42" i="1"/>
  <c r="M24" i="1"/>
  <c r="M21" i="1"/>
  <c r="AH21" i="1" s="1"/>
  <c r="M17" i="1"/>
  <c r="AH17" i="1" s="1"/>
  <c r="M14" i="1"/>
  <c r="M12" i="1" s="1"/>
  <c r="L75" i="1"/>
  <c r="L74" i="1" s="1"/>
  <c r="L65" i="1"/>
  <c r="L59" i="1"/>
  <c r="L56" i="1" s="1"/>
  <c r="L50" i="1"/>
  <c r="L46" i="1"/>
  <c r="L42" i="1"/>
  <c r="L24" i="1"/>
  <c r="L12" i="1" s="1"/>
  <c r="L21" i="1"/>
  <c r="AF21" i="1"/>
  <c r="L17" i="1"/>
  <c r="L14" i="1"/>
  <c r="AF14" i="1" s="1"/>
  <c r="K75" i="1"/>
  <c r="K74" i="1"/>
  <c r="K65" i="1"/>
  <c r="K59" i="1"/>
  <c r="K50" i="1"/>
  <c r="K46" i="1"/>
  <c r="AF46" i="1" s="1"/>
  <c r="K42" i="1"/>
  <c r="K24" i="1"/>
  <c r="AE24" i="1" s="1"/>
  <c r="K21" i="1"/>
  <c r="AE21" i="1" s="1"/>
  <c r="K17" i="1"/>
  <c r="K14" i="1"/>
  <c r="K12" i="1" s="1"/>
  <c r="J74" i="1"/>
  <c r="J65" i="1"/>
  <c r="J59" i="1"/>
  <c r="J56" i="1" s="1"/>
  <c r="J50" i="1"/>
  <c r="J40" i="1" s="1"/>
  <c r="J46" i="1"/>
  <c r="J42" i="1"/>
  <c r="AE42" i="1" s="1"/>
  <c r="J24" i="1"/>
  <c r="J21" i="1"/>
  <c r="J17" i="1"/>
  <c r="J14" i="1"/>
  <c r="I75" i="1"/>
  <c r="I74" i="1" s="1"/>
  <c r="I65" i="1"/>
  <c r="I59" i="1"/>
  <c r="I56" i="1"/>
  <c r="I50" i="1"/>
  <c r="I46" i="1"/>
  <c r="I42" i="1"/>
  <c r="I24" i="1"/>
  <c r="I21" i="1"/>
  <c r="AC21" i="1" s="1"/>
  <c r="I17" i="1"/>
  <c r="AD17" i="1" s="1"/>
  <c r="I14" i="1"/>
  <c r="H74" i="1"/>
  <c r="H65" i="1"/>
  <c r="H59" i="1"/>
  <c r="H56" i="1" s="1"/>
  <c r="AB56" i="1" s="1"/>
  <c r="H50" i="1"/>
  <c r="H46" i="1"/>
  <c r="H40" i="1" s="1"/>
  <c r="H42" i="1"/>
  <c r="H24" i="1"/>
  <c r="H21" i="1"/>
  <c r="H17" i="1"/>
  <c r="H14" i="1"/>
  <c r="G74" i="1"/>
  <c r="G59" i="1"/>
  <c r="AA59" i="1"/>
  <c r="G50" i="1"/>
  <c r="G46" i="1"/>
  <c r="G40" i="1"/>
  <c r="G42" i="1"/>
  <c r="AA42" i="1" s="1"/>
  <c r="G24" i="1"/>
  <c r="G21" i="1"/>
  <c r="AA21" i="1" s="1"/>
  <c r="G17" i="1"/>
  <c r="AB17" i="1" s="1"/>
  <c r="G14" i="1"/>
  <c r="G12" i="1" s="1"/>
  <c r="F74" i="1"/>
  <c r="F59" i="1"/>
  <c r="F56" i="1"/>
  <c r="Z56" i="1" s="1"/>
  <c r="F50" i="1"/>
  <c r="F46" i="1"/>
  <c r="F40" i="1"/>
  <c r="AA40" i="1" s="1"/>
  <c r="F42" i="1"/>
  <c r="F24" i="1"/>
  <c r="Z24" i="1"/>
  <c r="F21" i="1"/>
  <c r="F17" i="1"/>
  <c r="Z17" i="1" s="1"/>
  <c r="F14" i="1"/>
  <c r="Z14" i="1" s="1"/>
  <c r="E59" i="1"/>
  <c r="E56" i="1"/>
  <c r="E50" i="1"/>
  <c r="E46" i="1"/>
  <c r="E40" i="1" s="1"/>
  <c r="E42" i="1"/>
  <c r="Z42" i="1"/>
  <c r="E11" i="1"/>
  <c r="E9" i="1"/>
  <c r="D61" i="1"/>
  <c r="Y61" i="1" s="1"/>
  <c r="D59" i="1"/>
  <c r="D56" i="1" s="1"/>
  <c r="D50" i="1"/>
  <c r="D46" i="1"/>
  <c r="D42" i="1"/>
  <c r="X42" i="1" s="1"/>
  <c r="D11" i="1"/>
  <c r="D9" i="1" s="1"/>
  <c r="C59" i="1"/>
  <c r="C56" i="1"/>
  <c r="C50" i="1"/>
  <c r="X50" i="1"/>
  <c r="C46" i="1"/>
  <c r="X46" i="1"/>
  <c r="C42" i="1"/>
  <c r="C11" i="1"/>
  <c r="C9" i="1" s="1"/>
  <c r="P74" i="10"/>
  <c r="P66" i="10"/>
  <c r="AJ66" i="10" s="1"/>
  <c r="P60" i="10"/>
  <c r="AJ60" i="10" s="1"/>
  <c r="P51" i="10"/>
  <c r="AJ51" i="10" s="1"/>
  <c r="P47" i="10"/>
  <c r="P43" i="10"/>
  <c r="AJ43" i="10" s="1"/>
  <c r="P15" i="10"/>
  <c r="P18" i="10"/>
  <c r="AJ18" i="10" s="1"/>
  <c r="P25" i="10"/>
  <c r="AJ25" i="10" s="1"/>
  <c r="P22" i="10"/>
  <c r="P74" i="1"/>
  <c r="P65" i="1"/>
  <c r="P59" i="1"/>
  <c r="P56" i="1"/>
  <c r="P50" i="1"/>
  <c r="P46" i="1"/>
  <c r="P42" i="1"/>
  <c r="AJ42" i="1" s="1"/>
  <c r="P24" i="1"/>
  <c r="P21" i="1"/>
  <c r="P17" i="1"/>
  <c r="AJ17" i="1"/>
  <c r="P14" i="1"/>
  <c r="Q74" i="1"/>
  <c r="Q65" i="1"/>
  <c r="Q59" i="1"/>
  <c r="Q56" i="1" s="1"/>
  <c r="AK56" i="1" s="1"/>
  <c r="Q50" i="1"/>
  <c r="Q46" i="1"/>
  <c r="Q40" i="1" s="1"/>
  <c r="Q42" i="1"/>
  <c r="Q24" i="1"/>
  <c r="Q21" i="1"/>
  <c r="Q17" i="1"/>
  <c r="AK17" i="1"/>
  <c r="Q14" i="1"/>
  <c r="AK14" i="1" s="1"/>
  <c r="Q74" i="10"/>
  <c r="Q66" i="10"/>
  <c r="AL66" i="10" s="1"/>
  <c r="Q60" i="10"/>
  <c r="Q51" i="10"/>
  <c r="Q47" i="10"/>
  <c r="Q43" i="10"/>
  <c r="Q25" i="10"/>
  <c r="Q22" i="10"/>
  <c r="AL22" i="10" s="1"/>
  <c r="Q15" i="10"/>
  <c r="C11" i="20"/>
  <c r="C105" i="20"/>
  <c r="C106" i="20"/>
  <c r="C96" i="20"/>
  <c r="D11" i="20"/>
  <c r="D105" i="20"/>
  <c r="D106" i="20"/>
  <c r="D96" i="20"/>
  <c r="E11" i="20"/>
  <c r="F11" i="20"/>
  <c r="F105" i="20"/>
  <c r="F106" i="20"/>
  <c r="F96" i="20"/>
  <c r="G12" i="20"/>
  <c r="H12" i="20"/>
  <c r="I12" i="20"/>
  <c r="G13" i="20"/>
  <c r="H13" i="20"/>
  <c r="I13" i="20"/>
  <c r="G14" i="20"/>
  <c r="H14" i="20"/>
  <c r="I14" i="20"/>
  <c r="G15" i="20"/>
  <c r="H15" i="20"/>
  <c r="I15" i="20"/>
  <c r="G16" i="20"/>
  <c r="H16" i="20"/>
  <c r="I16" i="20"/>
  <c r="G17" i="20"/>
  <c r="H17" i="20"/>
  <c r="I17" i="20"/>
  <c r="G18" i="20"/>
  <c r="H18" i="20"/>
  <c r="I18" i="20"/>
  <c r="G19" i="20"/>
  <c r="H19" i="20"/>
  <c r="I19" i="20"/>
  <c r="G20" i="20"/>
  <c r="H20" i="20"/>
  <c r="I20" i="20"/>
  <c r="G21" i="20"/>
  <c r="H21" i="20"/>
  <c r="I21" i="20"/>
  <c r="G22" i="20"/>
  <c r="H22" i="20"/>
  <c r="I22" i="20"/>
  <c r="G23" i="20"/>
  <c r="H23" i="20"/>
  <c r="I23" i="20"/>
  <c r="G24" i="20"/>
  <c r="H24" i="20"/>
  <c r="I24" i="20"/>
  <c r="G25" i="20"/>
  <c r="H25" i="20"/>
  <c r="I25" i="20"/>
  <c r="G26" i="20"/>
  <c r="H26" i="20"/>
  <c r="I26" i="20"/>
  <c r="G27" i="20"/>
  <c r="H27" i="20"/>
  <c r="I27" i="20"/>
  <c r="G28" i="20"/>
  <c r="H28" i="20"/>
  <c r="I28" i="20"/>
  <c r="G29" i="20"/>
  <c r="H29" i="20"/>
  <c r="I29" i="20"/>
  <c r="G31" i="20"/>
  <c r="H31" i="20"/>
  <c r="C39" i="20"/>
  <c r="G39" i="20"/>
  <c r="D39" i="20"/>
  <c r="H39" i="20"/>
  <c r="E39" i="20"/>
  <c r="F39" i="20"/>
  <c r="I39" i="20"/>
  <c r="G40" i="20"/>
  <c r="H40" i="20"/>
  <c r="I40" i="20"/>
  <c r="G41" i="20"/>
  <c r="H41" i="20"/>
  <c r="I41" i="20"/>
  <c r="G42" i="20"/>
  <c r="H42" i="20"/>
  <c r="I42" i="20"/>
  <c r="C43" i="20"/>
  <c r="D43" i="20"/>
  <c r="E43" i="20"/>
  <c r="I43" i="20"/>
  <c r="F43" i="20"/>
  <c r="G44" i="20"/>
  <c r="H44" i="20"/>
  <c r="I44" i="20"/>
  <c r="G45" i="20"/>
  <c r="H45" i="20"/>
  <c r="I45" i="20"/>
  <c r="C48" i="20"/>
  <c r="G48" i="20"/>
  <c r="D48" i="20"/>
  <c r="H48" i="20"/>
  <c r="E48" i="20"/>
  <c r="E47" i="20"/>
  <c r="I47" i="20"/>
  <c r="F48" i="20"/>
  <c r="C49" i="20"/>
  <c r="D49" i="20"/>
  <c r="H49" i="20"/>
  <c r="E49" i="20"/>
  <c r="F49" i="20"/>
  <c r="F47" i="20"/>
  <c r="G50" i="20"/>
  <c r="H50" i="20"/>
  <c r="I50" i="20"/>
  <c r="G51" i="20"/>
  <c r="H51" i="20"/>
  <c r="I51" i="20"/>
  <c r="G55" i="20"/>
  <c r="H55" i="20"/>
  <c r="I55" i="20"/>
  <c r="C56" i="20"/>
  <c r="C53" i="20"/>
  <c r="D56" i="20"/>
  <c r="D53" i="20"/>
  <c r="E56" i="20"/>
  <c r="F56" i="20"/>
  <c r="F53" i="20"/>
  <c r="G57" i="20"/>
  <c r="I57" i="20"/>
  <c r="G58" i="20"/>
  <c r="H58" i="20"/>
  <c r="I58" i="20"/>
  <c r="H59" i="20"/>
  <c r="G60" i="20"/>
  <c r="H60" i="20"/>
  <c r="I60" i="20"/>
  <c r="C74" i="20"/>
  <c r="C73" i="20"/>
  <c r="D74" i="20"/>
  <c r="D73" i="20"/>
  <c r="E74" i="20"/>
  <c r="E73" i="20"/>
  <c r="F74" i="20"/>
  <c r="F73" i="20"/>
  <c r="F71" i="20"/>
  <c r="C82" i="20"/>
  <c r="C81" i="20"/>
  <c r="C71" i="20"/>
  <c r="D82" i="20"/>
  <c r="D81" i="20"/>
  <c r="E82" i="20"/>
  <c r="E81" i="20"/>
  <c r="E71" i="20"/>
  <c r="F82" i="20"/>
  <c r="F81" i="20"/>
  <c r="K49" i="20"/>
  <c r="D9" i="20"/>
  <c r="G11" i="20"/>
  <c r="C9" i="20"/>
  <c r="G9" i="20"/>
  <c r="F37" i="20"/>
  <c r="F33" i="20"/>
  <c r="G49" i="20"/>
  <c r="AE46" i="1"/>
  <c r="C47" i="20"/>
  <c r="C37" i="20"/>
  <c r="D47" i="20"/>
  <c r="H47" i="20"/>
  <c r="I48" i="20"/>
  <c r="AI15" i="10"/>
  <c r="F9" i="20"/>
  <c r="AL48" i="10"/>
  <c r="T41" i="10"/>
  <c r="T40" i="1"/>
  <c r="AN40" i="1" s="1"/>
  <c r="C33" i="20"/>
  <c r="I56" i="20"/>
  <c r="E53" i="20"/>
  <c r="I53" i="20"/>
  <c r="I11" i="20"/>
  <c r="E105" i="20"/>
  <c r="E106" i="20"/>
  <c r="E96" i="20"/>
  <c r="H53" i="20"/>
  <c r="G53" i="20"/>
  <c r="F111" i="20"/>
  <c r="F112" i="20"/>
  <c r="F98" i="20"/>
  <c r="F35" i="20"/>
  <c r="F63" i="20"/>
  <c r="F64" i="20"/>
  <c r="H56" i="20"/>
  <c r="F66" i="20"/>
  <c r="AM47" i="10"/>
  <c r="AH24" i="1"/>
  <c r="E37" i="20"/>
  <c r="G47" i="20"/>
  <c r="D71" i="20"/>
  <c r="D37" i="20"/>
  <c r="H11" i="20"/>
  <c r="E9" i="20"/>
  <c r="H43" i="20"/>
  <c r="I49" i="20"/>
  <c r="G43" i="20"/>
  <c r="G56" i="20"/>
  <c r="H37" i="20"/>
  <c r="D33" i="20"/>
  <c r="I9" i="20"/>
  <c r="E66" i="20"/>
  <c r="C35" i="20"/>
  <c r="C66" i="20"/>
  <c r="C111" i="20"/>
  <c r="C112" i="20"/>
  <c r="C98" i="20"/>
  <c r="G33" i="20"/>
  <c r="F67" i="20"/>
  <c r="F69" i="20"/>
  <c r="F95" i="20"/>
  <c r="F100" i="20"/>
  <c r="G37" i="20"/>
  <c r="I37" i="20"/>
  <c r="E33" i="20"/>
  <c r="H9" i="20"/>
  <c r="I66" i="20"/>
  <c r="E67" i="20"/>
  <c r="E69" i="20"/>
  <c r="E95" i="20"/>
  <c r="D111" i="20"/>
  <c r="D112" i="20"/>
  <c r="D98" i="20"/>
  <c r="D35" i="20"/>
  <c r="D66" i="20"/>
  <c r="H33" i="20"/>
  <c r="C69" i="20"/>
  <c r="C95" i="20"/>
  <c r="C100" i="20"/>
  <c r="G66" i="20"/>
  <c r="C67" i="20"/>
  <c r="C63" i="20"/>
  <c r="E35" i="20"/>
  <c r="E111" i="20"/>
  <c r="E112" i="20"/>
  <c r="E98" i="20"/>
  <c r="I33" i="20"/>
  <c r="H35" i="20"/>
  <c r="D63" i="20"/>
  <c r="G63" i="20"/>
  <c r="C64" i="20"/>
  <c r="G35" i="20"/>
  <c r="E100" i="20"/>
  <c r="I35" i="20"/>
  <c r="E63" i="20"/>
  <c r="D67" i="20"/>
  <c r="D69" i="20"/>
  <c r="D95" i="20"/>
  <c r="D100" i="20"/>
  <c r="H66" i="20"/>
  <c r="I63" i="20"/>
  <c r="E64" i="20"/>
  <c r="H63" i="20"/>
  <c r="D64" i="20"/>
  <c r="AC42" i="1"/>
  <c r="L40" i="1"/>
  <c r="AJ21" i="1"/>
  <c r="AB24" i="1"/>
  <c r="AB42" i="1"/>
  <c r="Y11" i="1"/>
  <c r="D40" i="1"/>
  <c r="AA18" i="10"/>
  <c r="AL47" i="10"/>
  <c r="AG25" i="10"/>
  <c r="AH47" i="10"/>
  <c r="O57" i="10"/>
  <c r="AH62" i="10"/>
  <c r="AG62" i="10"/>
  <c r="Z15" i="10"/>
  <c r="S41" i="10"/>
  <c r="AM22" i="10"/>
  <c r="AE18" i="10"/>
  <c r="AM43" i="10"/>
  <c r="AD25" i="10"/>
  <c r="AM18" i="10"/>
  <c r="AC47" i="10"/>
  <c r="AM15" i="10"/>
  <c r="Y43" i="10"/>
  <c r="D41" i="10"/>
  <c r="X41" i="10" s="1"/>
  <c r="AC24" i="1"/>
  <c r="AF42" i="1"/>
  <c r="AL24" i="1"/>
  <c r="AL42" i="1"/>
  <c r="AD59" i="1"/>
  <c r="X11" i="1"/>
  <c r="AA50" i="1"/>
  <c r="AN50" i="1"/>
  <c r="AM46" i="1"/>
  <c r="AJ14" i="1"/>
  <c r="AI17" i="1"/>
  <c r="AD14" i="1"/>
  <c r="AD24" i="1"/>
  <c r="AI42" i="1"/>
  <c r="AJ46" i="1"/>
  <c r="Z46" i="1"/>
  <c r="AH42" i="1"/>
  <c r="AB21" i="1"/>
  <c r="AG42" i="1"/>
  <c r="AL14" i="1"/>
  <c r="K56" i="1"/>
  <c r="AA24" i="1"/>
  <c r="AB50" i="1"/>
  <c r="AG46" i="1"/>
  <c r="AF50" i="1"/>
  <c r="K40" i="1"/>
  <c r="AN59" i="1"/>
  <c r="AM24" i="1"/>
  <c r="Z59" i="1"/>
  <c r="AK50" i="1"/>
  <c r="P40" i="1"/>
  <c r="AF59" i="1"/>
  <c r="AK21" i="1"/>
  <c r="AN14" i="1"/>
  <c r="K36" i="1"/>
  <c r="K38" i="1"/>
  <c r="S13" i="10"/>
  <c r="S12" i="10" s="1"/>
  <c r="AO60" i="10"/>
  <c r="AN51" i="10"/>
  <c r="AM51" i="10"/>
  <c r="U13" i="10"/>
  <c r="U12" i="10" s="1"/>
  <c r="U10" i="10" s="1"/>
  <c r="U40" i="1"/>
  <c r="AO40" i="1" s="1"/>
  <c r="O12" i="1"/>
  <c r="O11" i="1" s="1"/>
  <c r="AC17" i="1"/>
  <c r="AD21" i="1"/>
  <c r="P12" i="1"/>
  <c r="AJ12" i="1" s="1"/>
  <c r="AB14" i="1"/>
  <c r="AM17" i="1"/>
  <c r="G56" i="1"/>
  <c r="G36" i="1" s="1"/>
  <c r="AM21" i="1"/>
  <c r="AO14" i="1"/>
  <c r="AK42" i="1"/>
  <c r="AD46" i="1"/>
  <c r="AO17" i="1"/>
  <c r="AA46" i="1"/>
  <c r="T12" i="1"/>
  <c r="T11" i="1"/>
  <c r="AG21" i="1"/>
  <c r="AG59" i="1"/>
  <c r="AO21" i="1"/>
  <c r="Q12" i="1"/>
  <c r="Q11" i="1" s="1"/>
  <c r="AE59" i="1"/>
  <c r="AL21" i="1"/>
  <c r="AM42" i="1"/>
  <c r="AO42" i="1"/>
  <c r="Y42" i="1"/>
  <c r="AO46" i="1"/>
  <c r="AF40" i="1"/>
  <c r="N12" i="1"/>
  <c r="N11" i="1" s="1"/>
  <c r="C40" i="1"/>
  <c r="C36" i="1"/>
  <c r="C38" i="1" s="1"/>
  <c r="J12" i="1"/>
  <c r="J11" i="1" s="1"/>
  <c r="AF17" i="1"/>
  <c r="AN17" i="1"/>
  <c r="AA47" i="10"/>
  <c r="AN25" i="10"/>
  <c r="AC62" i="10"/>
  <c r="AI47" i="10"/>
  <c r="AB62" i="10"/>
  <c r="AI66" i="10"/>
  <c r="AG66" i="10"/>
  <c r="AK18" i="10"/>
  <c r="Q57" i="10"/>
  <c r="AN15" i="10"/>
  <c r="AO43" i="10"/>
  <c r="P36" i="1"/>
  <c r="Y59" i="1"/>
  <c r="P11" i="1"/>
  <c r="AE17" i="1"/>
  <c r="AC50" i="1"/>
  <c r="H12" i="1"/>
  <c r="AB12" i="1" s="1"/>
  <c r="U12" i="1"/>
  <c r="U11" i="1" s="1"/>
  <c r="AG50" i="1"/>
  <c r="I12" i="1"/>
  <c r="AD12" i="1"/>
  <c r="Z50" i="1"/>
  <c r="AJ59" i="1"/>
  <c r="I40" i="1"/>
  <c r="AJ50" i="1"/>
  <c r="O40" i="1"/>
  <c r="AJ40" i="1" s="1"/>
  <c r="Z21" i="1"/>
  <c r="S12" i="1"/>
  <c r="S11" i="1" s="1"/>
  <c r="AC46" i="1"/>
  <c r="AG17" i="1"/>
  <c r="AH50" i="1"/>
  <c r="AA14" i="1"/>
  <c r="Y50" i="1"/>
  <c r="AH46" i="1"/>
  <c r="AE14" i="1"/>
  <c r="AJ24" i="1"/>
  <c r="AK24" i="1"/>
  <c r="AK46" i="1"/>
  <c r="AC14" i="1"/>
  <c r="AL46" i="1"/>
  <c r="AL17" i="1"/>
  <c r="X61" i="1"/>
  <c r="AB46" i="1"/>
  <c r="AG60" i="10"/>
  <c r="H57" i="10"/>
  <c r="Z62" i="10"/>
  <c r="AH64" i="10"/>
  <c r="AN66" i="10"/>
  <c r="AJ47" i="10"/>
  <c r="Z51" i="10"/>
  <c r="AO15" i="10"/>
  <c r="AD51" i="10"/>
  <c r="AK12" i="1"/>
  <c r="X40" i="1"/>
  <c r="AI40" i="1"/>
  <c r="AC12" i="1"/>
  <c r="I11" i="1"/>
  <c r="H11" i="1"/>
  <c r="AC11" i="1" s="1"/>
  <c r="P9" i="1"/>
  <c r="I9" i="1"/>
  <c r="V40" i="1"/>
  <c r="V36" i="1" s="1"/>
  <c r="V57" i="10"/>
  <c r="V12" i="1"/>
  <c r="V11" i="1" s="1"/>
  <c r="V13" i="10"/>
  <c r="V12" i="10" s="1"/>
  <c r="W40" i="1" l="1"/>
  <c r="AQ40" i="1" s="1"/>
  <c r="W56" i="1"/>
  <c r="AQ56" i="1" s="1"/>
  <c r="AF15" i="10"/>
  <c r="T57" i="10"/>
  <c r="AO57" i="10" s="1"/>
  <c r="AD18" i="10"/>
  <c r="X62" i="10"/>
  <c r="I13" i="10"/>
  <c r="O41" i="10"/>
  <c r="O37" i="10" s="1"/>
  <c r="O39" i="10" s="1"/>
  <c r="AK43" i="10"/>
  <c r="AB15" i="10"/>
  <c r="AE15" i="10"/>
  <c r="AG47" i="10"/>
  <c r="AE25" i="10"/>
  <c r="N41" i="10"/>
  <c r="N37" i="10" s="1"/>
  <c r="N39" i="10" s="1"/>
  <c r="AF43" i="10"/>
  <c r="AH60" i="10"/>
  <c r="P41" i="10"/>
  <c r="J13" i="10"/>
  <c r="J12" i="10" s="1"/>
  <c r="J10" i="10" s="1"/>
  <c r="K57" i="10"/>
  <c r="AE57" i="10" s="1"/>
  <c r="X51" i="10"/>
  <c r="AC43" i="10"/>
  <c r="AE43" i="10"/>
  <c r="AE51" i="10"/>
  <c r="AF51" i="10"/>
  <c r="AL57" i="10"/>
  <c r="Q41" i="10"/>
  <c r="AL41" i="10" s="1"/>
  <c r="AP60" i="10"/>
  <c r="AA51" i="10"/>
  <c r="AC51" i="10"/>
  <c r="AN43" i="10"/>
  <c r="T13" i="10"/>
  <c r="AN13" i="10" s="1"/>
  <c r="AK22" i="10"/>
  <c r="C10" i="10"/>
  <c r="AA43" i="10"/>
  <c r="AC60" i="10"/>
  <c r="AD57" i="10"/>
  <c r="AK66" i="10"/>
  <c r="X43" i="10"/>
  <c r="Z47" i="10"/>
  <c r="AG15" i="10"/>
  <c r="Q13" i="10"/>
  <c r="AA62" i="10"/>
  <c r="AF47" i="10"/>
  <c r="AH18" i="10"/>
  <c r="AL51" i="10"/>
  <c r="Z41" i="10"/>
  <c r="Y41" i="10"/>
  <c r="F37" i="10"/>
  <c r="S37" i="10"/>
  <c r="AM57" i="10"/>
  <c r="AN57" i="10"/>
  <c r="AF41" i="10"/>
  <c r="I37" i="10"/>
  <c r="I39" i="10" s="1"/>
  <c r="AC41" i="10"/>
  <c r="AA41" i="10"/>
  <c r="AB22" i="10"/>
  <c r="Y47" i="10"/>
  <c r="AB43" i="10"/>
  <c r="K13" i="10"/>
  <c r="M41" i="10"/>
  <c r="AF60" i="10"/>
  <c r="AL60" i="10"/>
  <c r="AD43" i="10"/>
  <c r="AP25" i="10"/>
  <c r="AQ25" i="10"/>
  <c r="AJ41" i="10"/>
  <c r="AG22" i="10"/>
  <c r="AD60" i="10"/>
  <c r="AB51" i="10"/>
  <c r="AJ22" i="10"/>
  <c r="AG18" i="10"/>
  <c r="O13" i="10"/>
  <c r="AM25" i="10"/>
  <c r="AP47" i="10"/>
  <c r="AQ47" i="10"/>
  <c r="AE47" i="10"/>
  <c r="AI22" i="10"/>
  <c r="AP66" i="10"/>
  <c r="AQ66" i="10"/>
  <c r="P13" i="10"/>
  <c r="P12" i="10" s="1"/>
  <c r="AG43" i="10"/>
  <c r="AP51" i="10"/>
  <c r="AQ51" i="10"/>
  <c r="N13" i="10"/>
  <c r="N12" i="10" s="1"/>
  <c r="AL15" i="10"/>
  <c r="AF25" i="10"/>
  <c r="AD22" i="10"/>
  <c r="AN18" i="10"/>
  <c r="F13" i="10"/>
  <c r="AK15" i="10"/>
  <c r="AK25" i="10"/>
  <c r="AO66" i="10"/>
  <c r="AO18" i="10"/>
  <c r="AO22" i="10"/>
  <c r="AQ43" i="10"/>
  <c r="AP15" i="10"/>
  <c r="AA25" i="10"/>
  <c r="AM60" i="10"/>
  <c r="AP57" i="10"/>
  <c r="AQ57" i="10"/>
  <c r="M13" i="10"/>
  <c r="M12" i="10" s="1"/>
  <c r="M10" i="10" s="1"/>
  <c r="AH22" i="10"/>
  <c r="AN41" i="10"/>
  <c r="AK47" i="10"/>
  <c r="Y62" i="10"/>
  <c r="AB18" i="10"/>
  <c r="AC22" i="10"/>
  <c r="AI60" i="10"/>
  <c r="AO47" i="10"/>
  <c r="AP18" i="10"/>
  <c r="AH51" i="10"/>
  <c r="AK51" i="10"/>
  <c r="AA15" i="10"/>
  <c r="AC25" i="10"/>
  <c r="AF18" i="10"/>
  <c r="AO51" i="10"/>
  <c r="AP22" i="10"/>
  <c r="AQ15" i="10"/>
  <c r="W37" i="10"/>
  <c r="W12" i="1"/>
  <c r="W11" i="1" s="1"/>
  <c r="W12" i="10"/>
  <c r="AQ13" i="10"/>
  <c r="R37" i="10"/>
  <c r="AM41" i="10"/>
  <c r="D57" i="10"/>
  <c r="X60" i="10"/>
  <c r="AI13" i="10"/>
  <c r="O12" i="10"/>
  <c r="Q12" i="10"/>
  <c r="AJ13" i="10"/>
  <c r="F39" i="10"/>
  <c r="S10" i="10"/>
  <c r="AA60" i="10"/>
  <c r="G57" i="10"/>
  <c r="AA57" i="10" s="1"/>
  <c r="AB60" i="10"/>
  <c r="V10" i="10"/>
  <c r="AP12" i="10"/>
  <c r="C72" i="10"/>
  <c r="C73" i="10" s="1"/>
  <c r="C39" i="10"/>
  <c r="C70" i="10" s="1"/>
  <c r="C71" i="10" s="1"/>
  <c r="AD13" i="10"/>
  <c r="AC13" i="10"/>
  <c r="I12" i="10"/>
  <c r="AF57" i="10"/>
  <c r="L37" i="10"/>
  <c r="X10" i="10"/>
  <c r="AI57" i="10"/>
  <c r="AH57" i="10"/>
  <c r="AP13" i="10"/>
  <c r="H37" i="10"/>
  <c r="P57" i="10"/>
  <c r="P37" i="10" s="1"/>
  <c r="AC15" i="10"/>
  <c r="AK60" i="10"/>
  <c r="R13" i="10"/>
  <c r="AD47" i="10"/>
  <c r="Y10" i="10"/>
  <c r="L13" i="10"/>
  <c r="AD15" i="10"/>
  <c r="AC57" i="10"/>
  <c r="AH41" i="10"/>
  <c r="V41" i="10"/>
  <c r="AQ41" i="10" s="1"/>
  <c r="U41" i="10"/>
  <c r="J41" i="10"/>
  <c r="G13" i="10"/>
  <c r="AB13" i="10" s="1"/>
  <c r="AK41" i="10"/>
  <c r="E60" i="10"/>
  <c r="AF22" i="10"/>
  <c r="AL25" i="10"/>
  <c r="H12" i="10"/>
  <c r="N9" i="1"/>
  <c r="AN11" i="1"/>
  <c r="G38" i="1"/>
  <c r="Y40" i="1"/>
  <c r="E36" i="1"/>
  <c r="Z40" i="1"/>
  <c r="L11" i="1"/>
  <c r="AF12" i="1"/>
  <c r="X9" i="1"/>
  <c r="G11" i="1"/>
  <c r="R11" i="1"/>
  <c r="AL12" i="1"/>
  <c r="AM12" i="1"/>
  <c r="U36" i="1"/>
  <c r="AO56" i="1"/>
  <c r="AP56" i="1"/>
  <c r="O9" i="1"/>
  <c r="AI11" i="1"/>
  <c r="AJ11" i="1"/>
  <c r="AG56" i="1"/>
  <c r="L36" i="1"/>
  <c r="AF56" i="1"/>
  <c r="C69" i="1"/>
  <c r="C70" i="1" s="1"/>
  <c r="C71" i="1"/>
  <c r="C72" i="1" s="1"/>
  <c r="X56" i="1"/>
  <c r="Y56" i="1"/>
  <c r="D36" i="1"/>
  <c r="J36" i="1"/>
  <c r="AD40" i="1"/>
  <c r="AE40" i="1"/>
  <c r="AD56" i="1"/>
  <c r="AE56" i="1"/>
  <c r="AM40" i="1"/>
  <c r="S36" i="1"/>
  <c r="V9" i="1"/>
  <c r="AP11" i="1"/>
  <c r="AB40" i="1"/>
  <c r="AC40" i="1"/>
  <c r="H36" i="1"/>
  <c r="AC56" i="1"/>
  <c r="AG12" i="1"/>
  <c r="M11" i="1"/>
  <c r="AH11" i="1" s="1"/>
  <c r="AK11" i="1"/>
  <c r="Q9" i="1"/>
  <c r="AO11" i="1"/>
  <c r="U9" i="1"/>
  <c r="Q36" i="1"/>
  <c r="AK40" i="1"/>
  <c r="S9" i="1"/>
  <c r="AM11" i="1"/>
  <c r="AD11" i="1"/>
  <c r="J9" i="1"/>
  <c r="AH40" i="1"/>
  <c r="M36" i="1"/>
  <c r="AG40" i="1"/>
  <c r="V38" i="1"/>
  <c r="AJ56" i="1"/>
  <c r="K11" i="1"/>
  <c r="AE12" i="1"/>
  <c r="AG14" i="1"/>
  <c r="AM59" i="1"/>
  <c r="AA17" i="1"/>
  <c r="AG24" i="1"/>
  <c r="AF24" i="1"/>
  <c r="O56" i="1"/>
  <c r="R56" i="1"/>
  <c r="AP40" i="1"/>
  <c r="H9" i="1"/>
  <c r="AO12" i="1"/>
  <c r="AA56" i="1"/>
  <c r="T36" i="1"/>
  <c r="AB59" i="1"/>
  <c r="P71" i="1"/>
  <c r="P38" i="1"/>
  <c r="AO59" i="1"/>
  <c r="AD42" i="1"/>
  <c r="AP24" i="1"/>
  <c r="AP12" i="1"/>
  <c r="I36" i="1"/>
  <c r="AN12" i="1"/>
  <c r="AK59" i="1"/>
  <c r="F36" i="1"/>
  <c r="N56" i="1"/>
  <c r="AH12" i="1"/>
  <c r="T9" i="1"/>
  <c r="E71" i="1"/>
  <c r="AC59" i="1"/>
  <c r="R40" i="1"/>
  <c r="Y9" i="1"/>
  <c r="O36" i="1"/>
  <c r="Y46" i="1"/>
  <c r="AP59" i="1"/>
  <c r="AE50" i="1"/>
  <c r="X59" i="1"/>
  <c r="F12" i="1"/>
  <c r="AD50" i="1"/>
  <c r="AI12" i="1"/>
  <c r="W36" i="1" l="1"/>
  <c r="W38" i="1" s="1"/>
  <c r="AQ38" i="1" s="1"/>
  <c r="AO13" i="10"/>
  <c r="T37" i="10"/>
  <c r="T39" i="10" s="1"/>
  <c r="AI41" i="10"/>
  <c r="Q37" i="10"/>
  <c r="Q39" i="10" s="1"/>
  <c r="T12" i="10"/>
  <c r="AI37" i="10"/>
  <c r="K37" i="10"/>
  <c r="K39" i="10" s="1"/>
  <c r="AC37" i="10"/>
  <c r="S39" i="10"/>
  <c r="M37" i="10"/>
  <c r="AG41" i="10"/>
  <c r="F12" i="10"/>
  <c r="Z13" i="10"/>
  <c r="AH13" i="10"/>
  <c r="AE13" i="10"/>
  <c r="K12" i="10"/>
  <c r="AK13" i="10"/>
  <c r="W39" i="10"/>
  <c r="AQ12" i="1"/>
  <c r="W9" i="1"/>
  <c r="AQ11" i="1"/>
  <c r="W10" i="10"/>
  <c r="AQ12" i="10"/>
  <c r="AO12" i="10"/>
  <c r="AN12" i="10"/>
  <c r="T10" i="10"/>
  <c r="AD41" i="10"/>
  <c r="J37" i="10"/>
  <c r="AE41" i="10"/>
  <c r="V37" i="10"/>
  <c r="AQ37" i="10" s="1"/>
  <c r="AP41" i="10"/>
  <c r="L39" i="10"/>
  <c r="AF37" i="10"/>
  <c r="AG37" i="10"/>
  <c r="AI12" i="10"/>
  <c r="O10" i="10"/>
  <c r="AJ37" i="10"/>
  <c r="P39" i="10"/>
  <c r="P10" i="10"/>
  <c r="AJ12" i="10"/>
  <c r="AH12" i="10"/>
  <c r="N10" i="10"/>
  <c r="AK57" i="10"/>
  <c r="AJ57" i="10"/>
  <c r="G37" i="10"/>
  <c r="AB37" i="10" s="1"/>
  <c r="AC12" i="10"/>
  <c r="I10" i="10"/>
  <c r="AD12" i="10"/>
  <c r="M72" i="10"/>
  <c r="G12" i="10"/>
  <c r="AB12" i="10" s="1"/>
  <c r="AA13" i="10"/>
  <c r="AG13" i="10"/>
  <c r="L12" i="10"/>
  <c r="AF13" i="10"/>
  <c r="AI39" i="10"/>
  <c r="AP10" i="10"/>
  <c r="V72" i="10"/>
  <c r="AM37" i="10"/>
  <c r="R39" i="10"/>
  <c r="H39" i="10"/>
  <c r="AC39" i="10" s="1"/>
  <c r="D37" i="10"/>
  <c r="X57" i="10"/>
  <c r="Z60" i="10"/>
  <c r="Y60" i="10"/>
  <c r="E57" i="10"/>
  <c r="S72" i="10"/>
  <c r="H10" i="10"/>
  <c r="Q10" i="10"/>
  <c r="AK12" i="10"/>
  <c r="U37" i="10"/>
  <c r="AO41" i="10"/>
  <c r="AL13" i="10"/>
  <c r="AM13" i="10"/>
  <c r="R12" i="10"/>
  <c r="AB57" i="10"/>
  <c r="J69" i="1"/>
  <c r="J71" i="1"/>
  <c r="AD9" i="1"/>
  <c r="AF11" i="1"/>
  <c r="L9" i="1"/>
  <c r="O71" i="1"/>
  <c r="AJ9" i="1"/>
  <c r="AI9" i="1"/>
  <c r="P72" i="1"/>
  <c r="AJ71" i="1"/>
  <c r="X36" i="1"/>
  <c r="D38" i="1"/>
  <c r="AO36" i="1"/>
  <c r="U38" i="1"/>
  <c r="U69" i="1" s="1"/>
  <c r="F38" i="1"/>
  <c r="Z36" i="1"/>
  <c r="AN36" i="1"/>
  <c r="T38" i="1"/>
  <c r="E38" i="1"/>
  <c r="Y36" i="1"/>
  <c r="AN9" i="1"/>
  <c r="T69" i="1"/>
  <c r="T71" i="1"/>
  <c r="R9" i="1"/>
  <c r="AM9" i="1" s="1"/>
  <c r="AL11" i="1"/>
  <c r="P69" i="1"/>
  <c r="I38" i="1"/>
  <c r="AC36" i="1"/>
  <c r="I71" i="1"/>
  <c r="G9" i="1"/>
  <c r="AB11" i="1"/>
  <c r="AA11" i="1"/>
  <c r="AA36" i="1"/>
  <c r="E72" i="1"/>
  <c r="Z12" i="1"/>
  <c r="F11" i="1"/>
  <c r="S71" i="1"/>
  <c r="AA38" i="1"/>
  <c r="O38" i="1"/>
  <c r="AK9" i="1"/>
  <c r="Q69" i="1"/>
  <c r="Q71" i="1"/>
  <c r="AF36" i="1"/>
  <c r="L38" i="1"/>
  <c r="AF38" i="1" s="1"/>
  <c r="AA12" i="1"/>
  <c r="AB36" i="1"/>
  <c r="H38" i="1"/>
  <c r="AB38" i="1" s="1"/>
  <c r="AK36" i="1"/>
  <c r="Q38" i="1"/>
  <c r="AK38" i="1" s="1"/>
  <c r="V71" i="1"/>
  <c r="V69" i="1"/>
  <c r="AP9" i="1"/>
  <c r="H69" i="1"/>
  <c r="AB9" i="1"/>
  <c r="H71" i="1"/>
  <c r="AM56" i="1"/>
  <c r="AL56" i="1"/>
  <c r="AC9" i="1"/>
  <c r="K9" i="1"/>
  <c r="AE11" i="1"/>
  <c r="S38" i="1"/>
  <c r="AP38" i="1"/>
  <c r="AI56" i="1"/>
  <c r="AG11" i="1"/>
  <c r="M9" i="1"/>
  <c r="D71" i="1"/>
  <c r="AE36" i="1"/>
  <c r="J38" i="1"/>
  <c r="AD36" i="1"/>
  <c r="AH56" i="1"/>
  <c r="N36" i="1"/>
  <c r="AO9" i="1"/>
  <c r="U71" i="1"/>
  <c r="AP36" i="1"/>
  <c r="R36" i="1"/>
  <c r="AL40" i="1"/>
  <c r="AG36" i="1"/>
  <c r="M38" i="1"/>
  <c r="AJ36" i="1"/>
  <c r="AQ36" i="1" l="1"/>
  <c r="AN39" i="10"/>
  <c r="AN37" i="10"/>
  <c r="AK37" i="10"/>
  <c r="AL37" i="10"/>
  <c r="M39" i="10"/>
  <c r="AH37" i="10"/>
  <c r="Z12" i="10"/>
  <c r="F10" i="10"/>
  <c r="K10" i="10"/>
  <c r="AE12" i="10"/>
  <c r="S70" i="10"/>
  <c r="S71" i="10" s="1"/>
  <c r="AQ9" i="1"/>
  <c r="W71" i="1"/>
  <c r="W69" i="1"/>
  <c r="W70" i="10"/>
  <c r="AQ10" i="10"/>
  <c r="W72" i="10"/>
  <c r="AC10" i="10"/>
  <c r="I70" i="10"/>
  <c r="I72" i="10"/>
  <c r="AD10" i="10"/>
  <c r="Q70" i="10"/>
  <c r="AK10" i="10"/>
  <c r="Q72" i="10"/>
  <c r="D39" i="10"/>
  <c r="X37" i="10"/>
  <c r="D72" i="10"/>
  <c r="O72" i="10"/>
  <c r="AI10" i="10"/>
  <c r="O70" i="10"/>
  <c r="AA37" i="10"/>
  <c r="G39" i="10"/>
  <c r="AA39" i="10" s="1"/>
  <c r="H72" i="10"/>
  <c r="H70" i="10"/>
  <c r="AF12" i="10"/>
  <c r="L10" i="10"/>
  <c r="AG12" i="10"/>
  <c r="AH10" i="10"/>
  <c r="N72" i="10"/>
  <c r="N70" i="10"/>
  <c r="AF39" i="10"/>
  <c r="AG39" i="10"/>
  <c r="AL12" i="10"/>
  <c r="R10" i="10"/>
  <c r="AM12" i="10"/>
  <c r="AM39" i="10"/>
  <c r="AL39" i="10"/>
  <c r="AA12" i="10"/>
  <c r="G10" i="10"/>
  <c r="AP37" i="10"/>
  <c r="V39" i="10"/>
  <c r="AQ39" i="10" s="1"/>
  <c r="M73" i="10"/>
  <c r="P70" i="10"/>
  <c r="AJ10" i="10"/>
  <c r="P72" i="10"/>
  <c r="E37" i="10"/>
  <c r="Z57" i="10"/>
  <c r="Y57" i="10"/>
  <c r="AJ39" i="10"/>
  <c r="AK39" i="10"/>
  <c r="AE37" i="10"/>
  <c r="J39" i="10"/>
  <c r="AD37" i="10"/>
  <c r="J72" i="10"/>
  <c r="S73" i="10"/>
  <c r="V73" i="10"/>
  <c r="U39" i="10"/>
  <c r="AO37" i="10"/>
  <c r="U72" i="10"/>
  <c r="T70" i="10"/>
  <c r="T72" i="10"/>
  <c r="AN10" i="10"/>
  <c r="AO10" i="10"/>
  <c r="AL36" i="1"/>
  <c r="R38" i="1"/>
  <c r="AL38" i="1" s="1"/>
  <c r="T72" i="1"/>
  <c r="AN71" i="1"/>
  <c r="H70" i="1"/>
  <c r="AG9" i="1"/>
  <c r="M71" i="1"/>
  <c r="M69" i="1"/>
  <c r="AP71" i="1"/>
  <c r="V72" i="1"/>
  <c r="O72" i="1"/>
  <c r="U72" i="1"/>
  <c r="AO71" i="1"/>
  <c r="AK71" i="1"/>
  <c r="Q72" i="1"/>
  <c r="U70" i="1"/>
  <c r="AO69" i="1"/>
  <c r="AK69" i="1"/>
  <c r="Q70" i="1"/>
  <c r="AP69" i="1"/>
  <c r="V70" i="1"/>
  <c r="AI38" i="1"/>
  <c r="O69" i="1"/>
  <c r="AJ69" i="1" s="1"/>
  <c r="N38" i="1"/>
  <c r="AH36" i="1"/>
  <c r="G71" i="1"/>
  <c r="G69" i="1"/>
  <c r="AB69" i="1" s="1"/>
  <c r="AM36" i="1"/>
  <c r="AN38" i="1"/>
  <c r="AE38" i="1"/>
  <c r="AD38" i="1"/>
  <c r="S72" i="1"/>
  <c r="S69" i="1"/>
  <c r="AC38" i="1"/>
  <c r="I69" i="1"/>
  <c r="L71" i="1"/>
  <c r="L69" i="1"/>
  <c r="AF9" i="1"/>
  <c r="AH9" i="1"/>
  <c r="P70" i="1"/>
  <c r="Z38" i="1"/>
  <c r="T70" i="1"/>
  <c r="AN69" i="1"/>
  <c r="AI36" i="1"/>
  <c r="Y38" i="1"/>
  <c r="E69" i="1"/>
  <c r="I72" i="1"/>
  <c r="AC71" i="1"/>
  <c r="AG38" i="1"/>
  <c r="K69" i="1"/>
  <c r="K71" i="1"/>
  <c r="AE9" i="1"/>
  <c r="N71" i="1"/>
  <c r="Z11" i="1"/>
  <c r="F9" i="1"/>
  <c r="AJ38" i="1"/>
  <c r="AO38" i="1"/>
  <c r="J72" i="1"/>
  <c r="AD71" i="1"/>
  <c r="D72" i="1"/>
  <c r="X71" i="1"/>
  <c r="AB71" i="1"/>
  <c r="H72" i="1"/>
  <c r="Y71" i="1"/>
  <c r="R69" i="1"/>
  <c r="R71" i="1"/>
  <c r="AM71" i="1" s="1"/>
  <c r="AL9" i="1"/>
  <c r="X38" i="1"/>
  <c r="D69" i="1"/>
  <c r="J70" i="1"/>
  <c r="AD69" i="1"/>
  <c r="K70" i="10" l="1"/>
  <c r="K71" i="10" s="1"/>
  <c r="AE10" i="10"/>
  <c r="K72" i="10"/>
  <c r="K73" i="10" s="1"/>
  <c r="AB39" i="10"/>
  <c r="Z10" i="10"/>
  <c r="F72" i="10"/>
  <c r="F73" i="10" s="1"/>
  <c r="F70" i="10"/>
  <c r="F71" i="10" s="1"/>
  <c r="M70" i="10"/>
  <c r="M71" i="10" s="1"/>
  <c r="AH39" i="10"/>
  <c r="W72" i="1"/>
  <c r="AQ71" i="1"/>
  <c r="W70" i="1"/>
  <c r="AQ69" i="1"/>
  <c r="W71" i="10"/>
  <c r="AQ70" i="10"/>
  <c r="W73" i="10"/>
  <c r="AQ72" i="10"/>
  <c r="U73" i="10"/>
  <c r="AO72" i="10"/>
  <c r="I73" i="10"/>
  <c r="AC72" i="10"/>
  <c r="I71" i="10"/>
  <c r="AC70" i="10"/>
  <c r="AH70" i="10"/>
  <c r="N71" i="10"/>
  <c r="AI70" i="10"/>
  <c r="O71" i="10"/>
  <c r="N73" i="10"/>
  <c r="AH72" i="10"/>
  <c r="J73" i="10"/>
  <c r="AD72" i="10"/>
  <c r="X39" i="10"/>
  <c r="D70" i="10"/>
  <c r="G72" i="10"/>
  <c r="AB72" i="10" s="1"/>
  <c r="G70" i="10"/>
  <c r="AA10" i="10"/>
  <c r="AP72" i="10"/>
  <c r="P73" i="10"/>
  <c r="AJ72" i="10"/>
  <c r="AJ70" i="10"/>
  <c r="P71" i="10"/>
  <c r="AB10" i="10"/>
  <c r="AN72" i="10"/>
  <c r="T73" i="10"/>
  <c r="H73" i="10"/>
  <c r="AK70" i="10"/>
  <c r="Q71" i="10"/>
  <c r="O73" i="10"/>
  <c r="AI72" i="10"/>
  <c r="E39" i="10"/>
  <c r="Y37" i="10"/>
  <c r="Z37" i="10"/>
  <c r="E72" i="10"/>
  <c r="D73" i="10"/>
  <c r="X72" i="10"/>
  <c r="R72" i="10"/>
  <c r="AL10" i="10"/>
  <c r="R70" i="10"/>
  <c r="AM10" i="10"/>
  <c r="L70" i="10"/>
  <c r="AF10" i="10"/>
  <c r="L72" i="10"/>
  <c r="AG10" i="10"/>
  <c r="AK72" i="10"/>
  <c r="Q73" i="10"/>
  <c r="AD39" i="10"/>
  <c r="AE39" i="10"/>
  <c r="J70" i="10"/>
  <c r="H71" i="10"/>
  <c r="T71" i="10"/>
  <c r="AN70" i="10"/>
  <c r="AP39" i="10"/>
  <c r="V70" i="10"/>
  <c r="AO39" i="10"/>
  <c r="U70" i="10"/>
  <c r="F69" i="1"/>
  <c r="AA69" i="1" s="1"/>
  <c r="Z9" i="1"/>
  <c r="F71" i="1"/>
  <c r="R70" i="1"/>
  <c r="AL69" i="1"/>
  <c r="K72" i="1"/>
  <c r="AE71" i="1"/>
  <c r="AG69" i="1"/>
  <c r="M70" i="1"/>
  <c r="AF69" i="1"/>
  <c r="L70" i="1"/>
  <c r="K70" i="1"/>
  <c r="AE69" i="1"/>
  <c r="AA9" i="1"/>
  <c r="R72" i="1"/>
  <c r="AL71" i="1"/>
  <c r="AM38" i="1"/>
  <c r="AA71" i="1"/>
  <c r="G72" i="1"/>
  <c r="L72" i="1"/>
  <c r="AF71" i="1"/>
  <c r="E70" i="1"/>
  <c r="Y69" i="1"/>
  <c r="I70" i="1"/>
  <c r="AC69" i="1"/>
  <c r="AH71" i="1"/>
  <c r="N72" i="1"/>
  <c r="M72" i="1"/>
  <c r="AG71" i="1"/>
  <c r="G70" i="1"/>
  <c r="X69" i="1"/>
  <c r="D70" i="1"/>
  <c r="AH38" i="1"/>
  <c r="N69" i="1"/>
  <c r="S70" i="1"/>
  <c r="AM69" i="1"/>
  <c r="O70" i="1"/>
  <c r="AI71" i="1"/>
  <c r="AE72" i="10" l="1"/>
  <c r="E73" i="10"/>
  <c r="Y72" i="10"/>
  <c r="Z72" i="10"/>
  <c r="AO70" i="10"/>
  <c r="U71" i="10"/>
  <c r="AF72" i="10"/>
  <c r="L73" i="10"/>
  <c r="AG72" i="10"/>
  <c r="L71" i="10"/>
  <c r="AF70" i="10"/>
  <c r="AG70" i="10"/>
  <c r="AL72" i="10"/>
  <c r="R73" i="10"/>
  <c r="AM72" i="10"/>
  <c r="X70" i="10"/>
  <c r="D71" i="10"/>
  <c r="AP70" i="10"/>
  <c r="V71" i="10"/>
  <c r="Y39" i="10"/>
  <c r="E70" i="10"/>
  <c r="Z39" i="10"/>
  <c r="AL70" i="10"/>
  <c r="R71" i="10"/>
  <c r="AM70" i="10"/>
  <c r="G71" i="10"/>
  <c r="AA70" i="10"/>
  <c r="AB70" i="10"/>
  <c r="G73" i="10"/>
  <c r="AA72" i="10"/>
  <c r="AD70" i="10"/>
  <c r="J71" i="10"/>
  <c r="AE70" i="10"/>
  <c r="N70" i="1"/>
  <c r="AH69" i="1"/>
  <c r="AI69" i="1"/>
  <c r="F72" i="1"/>
  <c r="Z71" i="1"/>
  <c r="Z69" i="1"/>
  <c r="F70" i="1"/>
  <c r="Y70" i="10" l="1"/>
  <c r="E71" i="10"/>
  <c r="Z7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MARTINEZVIV</author>
    <author>martinezviv</author>
  </authors>
  <commentList>
    <comment ref="B79" authorId="0" shapeId="0" xr:uid="{2154E937-A300-4758-9DB1-C005BF86B6C6}">
      <text>
        <r>
          <rPr>
            <b/>
            <sz val="8"/>
            <color indexed="81"/>
            <rFont val="Tahoma"/>
            <family val="2"/>
          </rPr>
          <t>Sale de 8.01.03  y 8.01.04</t>
        </r>
      </text>
    </comment>
    <comment ref="B83" authorId="0" shapeId="0" xr:uid="{4DF17211-9722-4F78-BEC6-8E8CDDF55F33}">
      <text>
        <r>
          <rPr>
            <sz val="8"/>
            <color indexed="81"/>
            <rFont val="Tahoma"/>
            <family val="2"/>
          </rPr>
          <t>Colocaciones brutas, menos Renta, menos primas.</t>
        </r>
      </text>
    </comment>
    <comment ref="B84" authorId="0" shapeId="0" xr:uid="{FEB5E2D9-F9D2-4E38-9822-B0D05F561B68}">
      <text>
        <r>
          <rPr>
            <b/>
            <sz val="8"/>
            <color indexed="81"/>
            <rFont val="Tahoma"/>
            <family val="2"/>
          </rPr>
          <t>sale de 8.01.01 y la partida 8.01.02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5" authorId="1" shapeId="0" xr:uid="{8EE42939-0D2E-4844-ADC5-45D8DE845FFC}">
      <text>
        <r>
          <rPr>
            <b/>
            <sz val="8"/>
            <color indexed="81"/>
            <rFont val="Tahoma"/>
            <family val="2"/>
          </rPr>
          <t>esto esta en caja pero no en sigaf</t>
        </r>
      </text>
    </comment>
    <comment ref="C106" authorId="1" shapeId="0" xr:uid="{E65000DF-E4A9-4679-A5E1-E40BF4CEE9E4}">
      <text>
        <r>
          <rPr>
            <b/>
            <sz val="8"/>
            <color indexed="81"/>
            <rFont val="Tahoma"/>
            <family val="2"/>
          </rPr>
          <t xml:space="preserve">Diferencia de ingresos en sigaf, y las deducciones 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6" authorId="1" shapeId="0" xr:uid="{BA5C32CD-99B9-4E63-8840-072B466E978A}">
      <text>
        <r>
          <rPr>
            <b/>
            <sz val="8"/>
            <color indexed="81"/>
            <rFont val="Tahoma"/>
            <family val="2"/>
          </rPr>
          <t>esto esta registrado en caja, pero no en sigaf, se resta porque ya esta en billetes y monedas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<sst xmlns="http://schemas.openxmlformats.org/spreadsheetml/2006/main" count="380" uniqueCount="174">
  <si>
    <t xml:space="preserve">GASTO RECONOCIDO GOBIERNO CENTRAL </t>
  </si>
  <si>
    <t>CONCEPTO</t>
  </si>
  <si>
    <t>GASTOS TOTALES</t>
  </si>
  <si>
    <t>GASTOS CORRIENTES</t>
  </si>
  <si>
    <t xml:space="preserve">    Sueldos y Salarios</t>
  </si>
  <si>
    <t xml:space="preserve">    Cargas Sociales</t>
  </si>
  <si>
    <t xml:space="preserve">    Bienes y Servicios</t>
  </si>
  <si>
    <t xml:space="preserve">         Deuda Interna</t>
  </si>
  <si>
    <t xml:space="preserve">         Deuda externa</t>
  </si>
  <si>
    <t xml:space="preserve">    Transferencias</t>
  </si>
  <si>
    <t xml:space="preserve">         Sector Privado </t>
  </si>
  <si>
    <t xml:space="preserve">         Sector Publico</t>
  </si>
  <si>
    <t xml:space="preserve">         Sector Externo</t>
  </si>
  <si>
    <t>GASTOS DE CAPITAL</t>
  </si>
  <si>
    <t xml:space="preserve">INGRESOS TOTALES </t>
  </si>
  <si>
    <t xml:space="preserve"> II- Ingresos de Capital:</t>
  </si>
  <si>
    <t>I-3  Ingresos no Tributarios</t>
  </si>
  <si>
    <t xml:space="preserve">    Inversion </t>
  </si>
  <si>
    <t>Transferencias ctes con recurso externo</t>
  </si>
  <si>
    <t>Transferencias capital con recurso externo</t>
  </si>
  <si>
    <t>% PIB</t>
  </si>
  <si>
    <t xml:space="preserve"> %  PIB </t>
  </si>
  <si>
    <t>Gasto Total sin Intereses</t>
  </si>
  <si>
    <t xml:space="preserve">    Intereses    </t>
  </si>
  <si>
    <t>1 - 3</t>
  </si>
  <si>
    <t>1 - 2</t>
  </si>
  <si>
    <t xml:space="preserve">P.I.B. Nominal </t>
  </si>
  <si>
    <t>07/06</t>
  </si>
  <si>
    <t>08/07</t>
  </si>
  <si>
    <t>06/05</t>
  </si>
  <si>
    <t>VARIACION</t>
  </si>
  <si>
    <t>SUP/ DÉFICIT  FINANCIERO.</t>
  </si>
  <si>
    <t>DEF/SUPERÁVIT PRIMARIO</t>
  </si>
  <si>
    <t>Impuesto a los ingresos y utilidades</t>
  </si>
  <si>
    <t>Sobre importaciones</t>
  </si>
  <si>
    <t>Sobre exportaciones</t>
  </si>
  <si>
    <t>Ventas</t>
  </si>
  <si>
    <t>Interno</t>
  </si>
  <si>
    <t>Aduanas</t>
  </si>
  <si>
    <t>Consumo</t>
  </si>
  <si>
    <t>I-1  Ingresos Tributarios</t>
  </si>
  <si>
    <t>I-   Ingresos Corrientes</t>
  </si>
  <si>
    <t>Otros ingresos tributarios</t>
  </si>
  <si>
    <t>I-2 Contribuciones Sociales</t>
  </si>
  <si>
    <t>I-4  Transferencias</t>
  </si>
  <si>
    <t>Arancel:</t>
  </si>
  <si>
    <t>1% Valor Aduanero:</t>
  </si>
  <si>
    <t xml:space="preserve"> Por Caja Banano Exportada</t>
  </si>
  <si>
    <t>Der.de Exp.ad/valorem</t>
  </si>
  <si>
    <t>Transferencias con recurso externo</t>
  </si>
  <si>
    <t>FINANCIAMIENTO</t>
  </si>
  <si>
    <t>Remuneraciones</t>
  </si>
  <si>
    <t>Residuo</t>
  </si>
  <si>
    <t>1-Externo neto</t>
  </si>
  <si>
    <t xml:space="preserve">   1-1   Desembolsos</t>
  </si>
  <si>
    <t xml:space="preserve">           de Prestamos</t>
  </si>
  <si>
    <t xml:space="preserve">           Colocaciones de Titulos valores  (eurobonos)</t>
  </si>
  <si>
    <t xml:space="preserve">            Diferencias por tipo de cambio</t>
  </si>
  <si>
    <t xml:space="preserve"> 1-2     Amortizaciones</t>
  </si>
  <si>
    <t>2- Interno neto</t>
  </si>
  <si>
    <t xml:space="preserve">     Titulos valores </t>
  </si>
  <si>
    <t xml:space="preserve">       Colocaciones netas  (títulos Valores)</t>
  </si>
  <si>
    <t xml:space="preserve">        Redenciones de titulos valores  (amortizaciones)</t>
  </si>
  <si>
    <t xml:space="preserve">      Amortización bonos deuda interna</t>
  </si>
  <si>
    <t xml:space="preserve">      Caja Única</t>
  </si>
  <si>
    <t xml:space="preserve">      Retenciones</t>
  </si>
  <si>
    <t xml:space="preserve">      Billetes y monedas y depósitos</t>
  </si>
  <si>
    <t>Diferencia ingresos devengados y caja</t>
  </si>
  <si>
    <t>Desembolsos registrados en sigaf</t>
  </si>
  <si>
    <t>Diferencia en gasto devengado y caja</t>
  </si>
  <si>
    <t>Ingresos - Caja</t>
  </si>
  <si>
    <t>Ingresos- devengado</t>
  </si>
  <si>
    <t>Gasto - Caja</t>
  </si>
  <si>
    <t>Gasto- devengado</t>
  </si>
  <si>
    <t>CIFRAS ACUMULADAS AL MES DE MAYO 2008 (ACUMULADO)</t>
  </si>
  <si>
    <t xml:space="preserve">   Interno Neto</t>
  </si>
  <si>
    <t xml:space="preserve">   Externo Neto</t>
  </si>
  <si>
    <t>en millones de colones</t>
  </si>
  <si>
    <r>
      <rPr>
        <b/>
        <sz val="10"/>
        <rFont val="Arial"/>
        <family val="2"/>
      </rPr>
      <t xml:space="preserve">Fuente:  </t>
    </r>
    <r>
      <rPr>
        <sz val="10"/>
        <rFont val="Arial"/>
        <family val="2"/>
      </rPr>
      <t>Cuadro elaborado en la Secretaría Técnica de la Autoridad Presupuestaria, con información suministrada por la Contabilidad Nacional y la Dirección de Crédito Público.</t>
    </r>
  </si>
  <si>
    <t>Acumulado al mes de mayo</t>
  </si>
  <si>
    <t xml:space="preserve">INGRESO, GASTO Y FINANCIAMIENTO DEL GOBIERNO CENTRAL </t>
  </si>
  <si>
    <t>Mes de mayo</t>
  </si>
  <si>
    <t>13/12</t>
  </si>
  <si>
    <t xml:space="preserve"> Impuesto Exportaciones Vía Terrestre</t>
  </si>
  <si>
    <t xml:space="preserve">    Inversión </t>
  </si>
  <si>
    <t>Concesión Neta de Préstamos</t>
  </si>
  <si>
    <t xml:space="preserve">Concesión </t>
  </si>
  <si>
    <t xml:space="preserve">Recuperación </t>
  </si>
  <si>
    <t xml:space="preserve">I-3  Ingresos no Tributarios </t>
  </si>
  <si>
    <t>GASTOS TOTALES Y CONCESIÓN NETA</t>
  </si>
  <si>
    <t>06/07</t>
  </si>
  <si>
    <t>07/08</t>
  </si>
  <si>
    <t>08/09</t>
  </si>
  <si>
    <t>09/10</t>
  </si>
  <si>
    <t>10/11</t>
  </si>
  <si>
    <t>11/12</t>
  </si>
  <si>
    <t>13/14</t>
  </si>
  <si>
    <t>14/15</t>
  </si>
  <si>
    <t>15/16</t>
  </si>
  <si>
    <t>16/17</t>
  </si>
  <si>
    <t>17/18</t>
  </si>
  <si>
    <t>18/19</t>
  </si>
  <si>
    <t>19/20</t>
  </si>
  <si>
    <t>20/21</t>
  </si>
  <si>
    <t>21/22</t>
  </si>
  <si>
    <t>Otros Ingresos tributarios diversos internos</t>
  </si>
  <si>
    <t>Otros Ingresos tributarios diversos aduanas</t>
  </si>
  <si>
    <t>22/23</t>
  </si>
  <si>
    <t>23/24</t>
  </si>
  <si>
    <t>24/25</t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</si>
  <si>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 A partir de enero 2020 los egresos de las cargas sociales de los programas 327-328- 329 del Ministerio de Obras Públicas y Transportes (MOPT), se capitalizan, por lo que se incluyen en el rubro de inversión.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</si>
  <si>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</t>
    </r>
  </si>
  <si>
    <r>
      <t>PIB</t>
    </r>
    <r>
      <rPr>
        <b/>
        <vertAlign val="superscript"/>
        <sz val="8"/>
        <rFont val="Arial"/>
        <family val="2"/>
      </rPr>
      <t xml:space="preserve"> 1/</t>
    </r>
  </si>
  <si>
    <r>
      <t xml:space="preserve">    Transferencias</t>
    </r>
    <r>
      <rPr>
        <b/>
        <vertAlign val="superscript"/>
        <sz val="10"/>
        <rFont val="Arial"/>
        <family val="2"/>
      </rPr>
      <t xml:space="preserve"> </t>
    </r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</si>
  <si>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</si>
  <si>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>3/</t>
    </r>
  </si>
  <si>
    <t xml:space="preserve">Cifras del mes de mayo 2020 - 2026 </t>
  </si>
  <si>
    <t>Cifras acumuladas al mes de mayo 2020 - 2026</t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</si>
  <si>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cifras preliminares 2023-2026, proyección 2026-2027 utilizada en el informe de Política Monetaria  de abril 2026, aprobado por la Junta Directiva en el artículo 5 del acta de la sesión 6320-2026, el 28 de abril de 2026 </t>
    </r>
  </si>
  <si>
    <t>25/26</t>
  </si>
  <si>
    <t xml:space="preserve">    Transferencias </t>
  </si>
  <si>
    <t xml:space="preserve"> </t>
  </si>
  <si>
    <t>GOBIERNO CENTRAL DE COSTA RICA</t>
  </si>
  <si>
    <t>PRINCIPALES INGRESOS</t>
  </si>
  <si>
    <t>COMPARATIVOS MES MAYO</t>
  </si>
  <si>
    <t>COMPARATIVOS ACUMULADO AL MES DE MAYO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</si>
  <si>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</si>
  <si>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</si>
  <si>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</si>
  <si>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</si>
  <si>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</si>
  <si>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</si>
  <si>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</si>
  <si>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</si>
  <si>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</si>
  <si>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</si>
  <si>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</si>
  <si>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</si>
  <si>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</si>
  <si>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</si>
  <si>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</si>
  <si>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</si>
  <si>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</si>
  <si>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</si>
  <si>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</si>
  <si>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</si>
  <si>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</si>
  <si>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</si>
  <si>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</si>
  <si>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</si>
  <si>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</si>
  <si>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</si>
  <si>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</si>
  <si>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</si>
  <si>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</si>
  <si>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</si>
  <si>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</si>
  <si>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</si>
  <si>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</si>
  <si>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</si>
  <si>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</si>
  <si>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</si>
  <si>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</si>
  <si>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</si>
  <si>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</si>
  <si>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</si>
  <si>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</si>
  <si>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</si>
  <si>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</si>
  <si>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</si>
  <si>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</si>
  <si>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</si>
  <si>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</si>
  <si>
    <r>
      <t xml:space="preserve">PIB </t>
    </r>
    <r>
      <rPr>
        <b/>
        <vertAlign val="superscript"/>
        <sz val="8"/>
        <rFont val="Arial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</si>
</sst>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(* #,##0_);_(* \(#,##0\);_(* &quot;-&quot;_);_(@_)"/>
    <numFmt numFmtId="165" formatCode="_(&quot;₡&quot;* #,##0.00_);_(&quot;₡&quot;* \(#,##0.00\);_(&quot;₡&quot;* &quot;-&quot;??_);_(@_)"/>
    <numFmt numFmtId="166" formatCode="_(* #,##0.00_);_(* \(#,##0.00\);_(* &quot;-&quot;??_);_(@_)"/>
    <numFmt numFmtId="167" formatCode="_-* #,##0.00\ _P_t_s_-;\-* #,##0.00\ _P_t_s_-;_-* &quot;-&quot;??\ _P_t_s_-;_-@_-"/>
    <numFmt numFmtId="168" formatCode="#,##0.0\ _p_t_a"/>
    <numFmt numFmtId="169" formatCode="0.0"/>
    <numFmt numFmtId="170" formatCode="#,##0.0"/>
    <numFmt numFmtId="171" formatCode="#,##0.0_);\(#,##0.0\)"/>
    <numFmt numFmtId="172" formatCode="0.0%"/>
    <numFmt numFmtId="173" formatCode="_-* #,##0.00\ _€_-;\-* #,##0.00\ _€_-;_-* &quot;-&quot;??\ _€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   &quot;@"/>
    <numFmt numFmtId="177" formatCode="&quot;      &quot;@"/>
    <numFmt numFmtId="178" formatCode="&quot;         &quot;@"/>
    <numFmt numFmtId="179" formatCode="&quot;            &quot;@"/>
    <numFmt numFmtId="180" formatCode="&quot;               &quot;@"/>
    <numFmt numFmtId="181" formatCode="[Black][&gt;0.05]#,##0.0;[Black][&lt;-0.05]\-#,##0.0;;"/>
    <numFmt numFmtId="182" formatCode="[Black][&gt;0.5]#,##0;[Black][&lt;-0.5]\-#,##0;;"/>
    <numFmt numFmtId="183" formatCode="_([$€-2]* #,##0.00_);_([$€-2]* \(#,##0.00\);_([$€-2]* &quot;-&quot;??_)"/>
    <numFmt numFmtId="184" formatCode="#,##0.0____"/>
    <numFmt numFmtId="185" formatCode="\$#,##0.00\ ;\(\$#,##0.00\)"/>
    <numFmt numFmtId="186" formatCode="[&gt;=0.05]#,##0.0;[&lt;=-0.05]\-#,##0.0;?0.0"/>
    <numFmt numFmtId="187" formatCode="[Black]#,##0.0;[Black]\-#,##0.0;;"/>
    <numFmt numFmtId="188" formatCode="_-* #,##0.00\ _P_t_a_-;\-* #,##0.00\ _P_t_a_-;_-* &quot;-&quot;??\ _P_t_a_-;_-@_-"/>
    <numFmt numFmtId="189" formatCode="_-* #,##0.00\ [$€]_-;\-* #,##0.00\ [$€]_-;_-* &quot;-&quot;??\ [$€]_-;_-@_-"/>
  </numFmts>
  <fonts count="7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10"/>
      <color indexed="49"/>
      <name val="Arial"/>
      <family val="2"/>
    </font>
    <font>
      <sz val="8"/>
      <color indexed="12"/>
      <name val="Arial"/>
      <family val="2"/>
    </font>
    <font>
      <b/>
      <sz val="8"/>
      <color indexed="17"/>
      <name val="Arial"/>
      <family val="2"/>
    </font>
    <font>
      <b/>
      <i/>
      <u/>
      <sz val="8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9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u val="double"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sz val="8"/>
      <color indexed="8"/>
      <name val="Helv"/>
    </font>
    <font>
      <sz val="10"/>
      <name val="Courier"/>
      <family val="3"/>
    </font>
    <font>
      <sz val="10"/>
      <name val="Helv"/>
    </font>
    <font>
      <sz val="12"/>
      <name val="Tms Rmn"/>
    </font>
    <font>
      <sz val="10"/>
      <name val="Tms Rmn"/>
    </font>
    <font>
      <sz val="10"/>
      <name val="MS Sans Serif"/>
      <family val="2"/>
    </font>
    <font>
      <sz val="10"/>
      <color indexed="10"/>
      <name val="MS Sans Serif"/>
      <family val="2"/>
    </font>
    <font>
      <sz val="12"/>
      <name val="Helv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 tint="-4.9989318521683403E-2"/>
      <name val="Arial"/>
      <family val="2"/>
    </font>
    <font>
      <b/>
      <u/>
      <sz val="8"/>
      <color theme="0"/>
      <name val="Arial"/>
      <family val="2"/>
    </font>
    <font>
      <b/>
      <sz val="8"/>
      <color rgb="FF0070C0"/>
      <name val="Arial"/>
      <family val="2"/>
    </font>
    <font>
      <b/>
      <sz val="8"/>
      <color rgb="FF0000FF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87">
    <xf numFmtId="0" fontId="0" fillId="0" borderId="0"/>
    <xf numFmtId="176" fontId="51" fillId="0" borderId="0" applyFont="0" applyFill="0" applyBorder="0" applyAlignment="0" applyProtection="0"/>
    <xf numFmtId="177" fontId="51" fillId="0" borderId="0" applyFont="0" applyFill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178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180" fontId="51" fillId="0" borderId="0" applyFont="0" applyFill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52" fillId="0" borderId="1">
      <protection hidden="1"/>
    </xf>
    <xf numFmtId="0" fontId="53" fillId="20" borderId="1" applyNumberFormat="0" applyFont="0" applyBorder="0" applyAlignment="0" applyProtection="0">
      <protection hidden="1"/>
    </xf>
    <xf numFmtId="0" fontId="40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20" borderId="2" applyNumberFormat="0" applyAlignment="0" applyProtection="0"/>
    <xf numFmtId="0" fontId="35" fillId="20" borderId="2" applyNumberFormat="0" applyAlignment="0" applyProtection="0"/>
    <xf numFmtId="0" fontId="36" fillId="21" borderId="3" applyNumberFormat="0" applyAlignment="0" applyProtection="0"/>
    <xf numFmtId="0" fontId="37" fillId="0" borderId="4" applyNumberFormat="0" applyFill="0" applyAlignment="0" applyProtection="0"/>
    <xf numFmtId="0" fontId="36" fillId="21" borderId="3" applyNumberFormat="0" applyAlignment="0" applyProtection="0"/>
    <xf numFmtId="0" fontId="38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9" fillId="7" borderId="2" applyNumberFormat="0" applyAlignment="0" applyProtection="0"/>
    <xf numFmtId="0" fontId="50" fillId="0" borderId="0"/>
    <xf numFmtId="0" fontId="14" fillId="0" borderId="0">
      <alignment vertical="top"/>
    </xf>
    <xf numFmtId="0" fontId="1" fillId="0" borderId="0"/>
    <xf numFmtId="189" fontId="50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34" fillId="4" borderId="0" applyNumberFormat="0" applyBorder="0" applyAlignment="0" applyProtection="0"/>
    <xf numFmtId="38" fontId="2" fillId="22" borderId="0" applyNumberFormat="0" applyBorder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170" fontId="51" fillId="0" borderId="0" applyFont="0" applyFill="0" applyBorder="0" applyAlignment="0" applyProtection="0"/>
    <xf numFmtId="3" fontId="51" fillId="0" borderId="0" applyFont="0" applyFill="0" applyBorder="0" applyAlignment="0" applyProtection="0"/>
    <xf numFmtId="0" fontId="40" fillId="3" borderId="0" applyNumberFormat="0" applyBorder="0" applyAlignment="0" applyProtection="0"/>
    <xf numFmtId="0" fontId="39" fillId="7" borderId="2" applyNumberFormat="0" applyAlignment="0" applyProtection="0"/>
    <xf numFmtId="10" fontId="2" fillId="23" borderId="8" applyNumberFormat="0" applyBorder="0" applyAlignment="0" applyProtection="0"/>
    <xf numFmtId="0" fontId="37" fillId="0" borderId="4" applyNumberFormat="0" applyFill="0" applyAlignment="0" applyProtection="0"/>
    <xf numFmtId="0" fontId="54" fillId="0" borderId="1">
      <alignment horizontal="left"/>
      <protection locked="0"/>
    </xf>
    <xf numFmtId="167" fontId="1" fillId="0" borderId="0" applyFont="0" applyFill="0" applyBorder="0" applyAlignment="0" applyProtection="0"/>
    <xf numFmtId="166" fontId="69" fillId="0" borderId="0" applyFont="0" applyFill="0" applyBorder="0" applyAlignment="0" applyProtection="0"/>
    <xf numFmtId="173" fontId="50" fillId="0" borderId="0" applyFont="0" applyFill="0" applyBorder="0" applyAlignment="0" applyProtection="0"/>
    <xf numFmtId="167" fontId="29" fillId="0" borderId="0" applyFont="0" applyFill="0" applyBorder="0" applyAlignment="0" applyProtection="0"/>
    <xf numFmtId="166" fontId="3" fillId="0" borderId="0" applyFont="0" applyFill="0" applyBorder="0" applyAlignment="0" applyProtection="0"/>
    <xf numFmtId="188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73" fontId="69" fillId="0" borderId="0" applyFont="0" applyFill="0" applyBorder="0" applyAlignment="0" applyProtection="0"/>
    <xf numFmtId="188" fontId="50" fillId="0" borderId="0" applyFont="0" applyFill="0" applyBorder="0" applyAlignment="0" applyProtection="0"/>
    <xf numFmtId="173" fontId="69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69" fillId="0" borderId="0" applyFont="0" applyFill="0" applyBorder="0" applyAlignment="0" applyProtection="0"/>
    <xf numFmtId="166" fontId="69" fillId="0" borderId="0" applyFont="0" applyFill="0" applyBorder="0" applyAlignment="0" applyProtection="0"/>
    <xf numFmtId="173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5" fontId="69" fillId="0" borderId="0" applyFont="0" applyFill="0" applyBorder="0" applyAlignment="0" applyProtection="0"/>
    <xf numFmtId="174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0" fontId="41" fillId="24" borderId="0" applyNumberFormat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5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9" fillId="0" borderId="0"/>
    <xf numFmtId="0" fontId="49" fillId="0" borderId="0"/>
    <xf numFmtId="0" fontId="49" fillId="0" borderId="0"/>
    <xf numFmtId="0" fontId="25" fillId="0" borderId="0"/>
    <xf numFmtId="0" fontId="3" fillId="0" borderId="0"/>
    <xf numFmtId="0" fontId="3" fillId="0" borderId="0"/>
    <xf numFmtId="0" fontId="50" fillId="0" borderId="0"/>
    <xf numFmtId="0" fontId="5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5" fillId="0" borderId="0"/>
    <xf numFmtId="0" fontId="3" fillId="0" borderId="0"/>
    <xf numFmtId="0" fontId="5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186" fontId="50" fillId="0" borderId="0" applyFill="0" applyBorder="0" applyAlignment="0" applyProtection="0">
      <alignment horizontal="right"/>
    </xf>
    <xf numFmtId="0" fontId="3" fillId="0" borderId="0"/>
    <xf numFmtId="0" fontId="3" fillId="0" borderId="0"/>
    <xf numFmtId="0" fontId="1" fillId="0" borderId="0"/>
    <xf numFmtId="0" fontId="3" fillId="0" borderId="0"/>
    <xf numFmtId="0" fontId="3" fillId="25" borderId="9" applyNumberFormat="0" applyFont="0" applyAlignment="0" applyProtection="0"/>
    <xf numFmtId="0" fontId="32" fillId="25" borderId="9" applyNumberFormat="0" applyFont="0" applyAlignment="0" applyProtection="0"/>
    <xf numFmtId="0" fontId="42" fillId="20" borderId="10" applyNumberFormat="0" applyAlignment="0" applyProtection="0"/>
    <xf numFmtId="10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81" fontId="51" fillId="0" borderId="0" applyFont="0" applyFill="0" applyBorder="0" applyAlignment="0" applyProtection="0"/>
    <xf numFmtId="182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50" fillId="0" borderId="0" applyFill="0" applyBorder="0" applyAlignment="0">
      <alignment horizontal="centerContinuous"/>
    </xf>
    <xf numFmtId="0" fontId="51" fillId="0" borderId="0"/>
    <xf numFmtId="0" fontId="60" fillId="0" borderId="1" applyNumberFormat="0" applyFill="0" applyBorder="0" applyAlignment="0" applyProtection="0">
      <protection hidden="1"/>
    </xf>
    <xf numFmtId="0" fontId="42" fillId="20" borderId="10" applyNumberFormat="0" applyAlignment="0" applyProtection="0"/>
    <xf numFmtId="0" fontId="61" fillId="0" borderId="0"/>
    <xf numFmtId="0" fontId="3" fillId="0" borderId="0" applyNumberFormat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38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62" fillId="20" borderId="1"/>
    <xf numFmtId="0" fontId="48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63" fillId="0" borderId="0" applyProtection="0"/>
    <xf numFmtId="185" fontId="63" fillId="0" borderId="0" applyProtection="0"/>
    <xf numFmtId="0" fontId="64" fillId="0" borderId="0" applyProtection="0"/>
    <xf numFmtId="0" fontId="65" fillId="0" borderId="0" applyProtection="0"/>
    <xf numFmtId="0" fontId="63" fillId="0" borderId="12" applyProtection="0"/>
    <xf numFmtId="0" fontId="63" fillId="0" borderId="0"/>
    <xf numFmtId="10" fontId="63" fillId="0" borderId="0" applyProtection="0"/>
    <xf numFmtId="0" fontId="63" fillId="0" borderId="0"/>
    <xf numFmtId="2" fontId="63" fillId="0" borderId="0" applyProtection="0"/>
    <xf numFmtId="4" fontId="63" fillId="0" borderId="0" applyProtection="0"/>
  </cellStyleXfs>
  <cellXfs count="259">
    <xf numFmtId="0" fontId="0" fillId="0" borderId="0" xfId="0"/>
    <xf numFmtId="0" fontId="3" fillId="0" borderId="0" xfId="0" applyFont="1"/>
    <xf numFmtId="170" fontId="3" fillId="0" borderId="0" xfId="0" applyNumberFormat="1" applyFont="1"/>
    <xf numFmtId="170" fontId="4" fillId="0" borderId="0" xfId="0" applyNumberFormat="1" applyFont="1" applyAlignment="1">
      <alignment horizontal="left" wrapText="1"/>
    </xf>
    <xf numFmtId="170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70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70" fontId="4" fillId="0" borderId="0" xfId="0" applyNumberFormat="1" applyFont="1"/>
    <xf numFmtId="0" fontId="4" fillId="0" borderId="0" xfId="0" applyFont="1"/>
    <xf numFmtId="168" fontId="3" fillId="0" borderId="0" xfId="0" applyNumberFormat="1" applyFont="1"/>
    <xf numFmtId="167" fontId="3" fillId="0" borderId="0" xfId="84" applyFont="1"/>
    <xf numFmtId="4" fontId="3" fillId="0" borderId="0" xfId="0" applyNumberFormat="1" applyFont="1" applyAlignment="1">
      <alignment horizontal="left" indent="2"/>
    </xf>
    <xf numFmtId="0" fontId="3" fillId="0" borderId="13" xfId="0" applyFont="1" applyBorder="1"/>
    <xf numFmtId="168" fontId="3" fillId="0" borderId="13" xfId="0" applyNumberFormat="1" applyFont="1" applyBorder="1"/>
    <xf numFmtId="168" fontId="3" fillId="0" borderId="13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left" indent="2"/>
    </xf>
    <xf numFmtId="168" fontId="3" fillId="0" borderId="0" xfId="0" applyNumberFormat="1" applyFont="1" applyAlignment="1">
      <alignment horizontal="center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170" fontId="6" fillId="0" borderId="0" xfId="0" applyNumberFormat="1" applyFont="1" applyAlignment="1">
      <alignment horizontal="left"/>
    </xf>
    <xf numFmtId="0" fontId="7" fillId="0" borderId="0" xfId="0" applyFont="1"/>
    <xf numFmtId="168" fontId="7" fillId="0" borderId="0" xfId="0" applyNumberFormat="1" applyFont="1"/>
    <xf numFmtId="0" fontId="3" fillId="0" borderId="0" xfId="0" applyFont="1" applyAlignment="1">
      <alignment horizontal="left" indent="2"/>
    </xf>
    <xf numFmtId="167" fontId="3" fillId="0" borderId="0" xfId="84" applyFont="1" applyBorder="1"/>
    <xf numFmtId="168" fontId="9" fillId="0" borderId="0" xfId="0" applyNumberFormat="1" applyFont="1"/>
    <xf numFmtId="4" fontId="7" fillId="0" borderId="0" xfId="0" applyNumberFormat="1" applyFont="1" applyAlignment="1">
      <alignment horizontal="left" indent="2"/>
    </xf>
    <xf numFmtId="0" fontId="11" fillId="0" borderId="0" xfId="0" applyFont="1"/>
    <xf numFmtId="4" fontId="11" fillId="0" borderId="0" xfId="0" applyNumberFormat="1" applyFont="1" applyAlignment="1">
      <alignment horizontal="left" indent="2"/>
    </xf>
    <xf numFmtId="170" fontId="8" fillId="0" borderId="0" xfId="0" applyNumberFormat="1" applyFont="1"/>
    <xf numFmtId="170" fontId="12" fillId="0" borderId="0" xfId="0" applyNumberFormat="1" applyFont="1"/>
    <xf numFmtId="170" fontId="13" fillId="0" borderId="0" xfId="0" applyNumberFormat="1" applyFont="1"/>
    <xf numFmtId="170" fontId="3" fillId="0" borderId="0" xfId="0" applyNumberFormat="1" applyFont="1" applyAlignment="1">
      <alignment horizontal="left" indent="1"/>
    </xf>
    <xf numFmtId="170" fontId="3" fillId="0" borderId="0" xfId="0" applyNumberFormat="1" applyFont="1" applyAlignment="1">
      <alignment horizontal="left" indent="2"/>
    </xf>
    <xf numFmtId="170" fontId="3" fillId="0" borderId="0" xfId="0" applyNumberFormat="1" applyFont="1" applyAlignment="1">
      <alignment horizontal="left" indent="3"/>
    </xf>
    <xf numFmtId="0" fontId="3" fillId="0" borderId="0" xfId="0" applyFont="1" applyAlignment="1">
      <alignment horizontal="left" indent="1"/>
    </xf>
    <xf numFmtId="170" fontId="3" fillId="0" borderId="0" xfId="0" applyNumberFormat="1" applyFont="1" applyAlignment="1">
      <alignment horizontal="left" wrapText="1" indent="1"/>
    </xf>
    <xf numFmtId="170" fontId="13" fillId="0" borderId="0" xfId="0" applyNumberFormat="1" applyFont="1" applyAlignment="1">
      <alignment horizontal="left" wrapText="1"/>
    </xf>
    <xf numFmtId="0" fontId="3" fillId="0" borderId="13" xfId="0" applyFont="1" applyBorder="1" applyAlignment="1">
      <alignment horizontal="left"/>
    </xf>
    <xf numFmtId="170" fontId="3" fillId="0" borderId="0" xfId="0" applyNumberFormat="1" applyFont="1" applyAlignment="1">
      <alignment horizontal="right"/>
    </xf>
    <xf numFmtId="170" fontId="14" fillId="0" borderId="0" xfId="0" applyNumberFormat="1" applyFont="1"/>
    <xf numFmtId="172" fontId="7" fillId="0" borderId="0" xfId="153" applyNumberFormat="1" applyFont="1" applyBorder="1"/>
    <xf numFmtId="172" fontId="3" fillId="0" borderId="0" xfId="153" applyNumberFormat="1" applyFont="1" applyBorder="1"/>
    <xf numFmtId="172" fontId="2" fillId="0" borderId="0" xfId="153" applyNumberFormat="1" applyFont="1" applyBorder="1"/>
    <xf numFmtId="0" fontId="17" fillId="0" borderId="0" xfId="0" applyFont="1"/>
    <xf numFmtId="4" fontId="17" fillId="0" borderId="0" xfId="0" applyNumberFormat="1" applyFont="1" applyAlignment="1">
      <alignment horizontal="left" indent="2"/>
    </xf>
    <xf numFmtId="172" fontId="5" fillId="0" borderId="0" xfId="153" applyNumberFormat="1" applyFont="1" applyBorder="1"/>
    <xf numFmtId="4" fontId="4" fillId="0" borderId="0" xfId="0" applyNumberFormat="1" applyFont="1" applyAlignment="1">
      <alignment horizontal="left" indent="2"/>
    </xf>
    <xf numFmtId="168" fontId="18" fillId="0" borderId="0" xfId="0" applyNumberFormat="1" applyFont="1"/>
    <xf numFmtId="10" fontId="3" fillId="0" borderId="0" xfId="153" applyNumberFormat="1" applyFont="1" applyBorder="1"/>
    <xf numFmtId="170" fontId="0" fillId="0" borderId="0" xfId="0" applyNumberFormat="1"/>
    <xf numFmtId="170" fontId="9" fillId="0" borderId="0" xfId="0" applyNumberFormat="1" applyFont="1"/>
    <xf numFmtId="170" fontId="3" fillId="0" borderId="0" xfId="0" applyNumberFormat="1" applyFont="1" applyAlignment="1">
      <alignment horizontal="left" wrapText="1"/>
    </xf>
    <xf numFmtId="170" fontId="19" fillId="0" borderId="0" xfId="0" applyNumberFormat="1" applyFont="1" applyProtection="1">
      <protection locked="0"/>
    </xf>
    <xf numFmtId="170" fontId="19" fillId="0" borderId="0" xfId="0" applyNumberFormat="1" applyFont="1"/>
    <xf numFmtId="0" fontId="20" fillId="0" borderId="0" xfId="0" applyFont="1" applyAlignment="1">
      <alignment horizontal="left"/>
    </xf>
    <xf numFmtId="170" fontId="3" fillId="0" borderId="13" xfId="0" applyNumberFormat="1" applyFont="1" applyBorder="1"/>
    <xf numFmtId="170" fontId="9" fillId="0" borderId="13" xfId="0" applyNumberFormat="1" applyFont="1" applyBorder="1"/>
    <xf numFmtId="170" fontId="15" fillId="0" borderId="0" xfId="0" applyNumberFormat="1" applyFont="1" applyAlignment="1">
      <alignment horizontal="right"/>
    </xf>
    <xf numFmtId="0" fontId="10" fillId="0" borderId="0" xfId="0" applyFont="1"/>
    <xf numFmtId="170" fontId="21" fillId="0" borderId="0" xfId="0" applyNumberFormat="1" applyFont="1"/>
    <xf numFmtId="170" fontId="7" fillId="0" borderId="0" xfId="0" applyNumberFormat="1" applyFont="1"/>
    <xf numFmtId="170" fontId="11" fillId="0" borderId="0" xfId="0" applyNumberFormat="1" applyFont="1"/>
    <xf numFmtId="170" fontId="3" fillId="0" borderId="12" xfId="0" applyNumberFormat="1" applyFont="1" applyBorder="1"/>
    <xf numFmtId="170" fontId="22" fillId="0" borderId="0" xfId="0" applyNumberFormat="1" applyFont="1"/>
    <xf numFmtId="170" fontId="14" fillId="0" borderId="0" xfId="0" applyNumberFormat="1" applyFont="1" applyProtection="1">
      <protection locked="0"/>
    </xf>
    <xf numFmtId="170" fontId="13" fillId="0" borderId="0" xfId="144" applyNumberFormat="1" applyFont="1" applyAlignment="1">
      <alignment horizontal="left" wrapText="1"/>
    </xf>
    <xf numFmtId="0" fontId="4" fillId="0" borderId="0" xfId="144" applyFont="1" applyAlignment="1">
      <alignment horizontal="left" vertical="center" wrapText="1"/>
    </xf>
    <xf numFmtId="3" fontId="3" fillId="0" borderId="0" xfId="144" applyNumberFormat="1" applyFont="1"/>
    <xf numFmtId="0" fontId="5" fillId="0" borderId="0" xfId="0" applyFont="1"/>
    <xf numFmtId="0" fontId="3" fillId="0" borderId="0" xfId="120" applyFont="1"/>
    <xf numFmtId="168" fontId="3" fillId="0" borderId="0" xfId="120" applyNumberFormat="1" applyFont="1"/>
    <xf numFmtId="170" fontId="13" fillId="0" borderId="0" xfId="122" applyNumberFormat="1" applyFont="1"/>
    <xf numFmtId="170" fontId="3" fillId="0" borderId="0" xfId="122" applyNumberFormat="1"/>
    <xf numFmtId="170" fontId="4" fillId="0" borderId="0" xfId="122" applyNumberFormat="1" applyFont="1"/>
    <xf numFmtId="170" fontId="12" fillId="0" borderId="0" xfId="122" applyNumberFormat="1" applyFont="1"/>
    <xf numFmtId="170" fontId="3" fillId="0" borderId="0" xfId="122" applyNumberFormat="1" applyAlignment="1">
      <alignment horizontal="right"/>
    </xf>
    <xf numFmtId="170" fontId="0" fillId="0" borderId="0" xfId="122" applyNumberFormat="1" applyFont="1"/>
    <xf numFmtId="3" fontId="13" fillId="0" borderId="0" xfId="144" applyNumberFormat="1" applyFont="1"/>
    <xf numFmtId="170" fontId="3" fillId="0" borderId="0" xfId="142" applyNumberFormat="1"/>
    <xf numFmtId="170" fontId="3" fillId="0" borderId="0" xfId="142" applyNumberFormat="1" applyAlignment="1">
      <alignment horizontal="right"/>
    </xf>
    <xf numFmtId="172" fontId="27" fillId="0" borderId="0" xfId="153" applyNumberFormat="1" applyFont="1" applyFill="1" applyBorder="1" applyAlignment="1">
      <alignment horizontal="right" wrapText="1"/>
    </xf>
    <xf numFmtId="170" fontId="13" fillId="0" borderId="0" xfId="144" applyNumberFormat="1" applyFont="1"/>
    <xf numFmtId="170" fontId="3" fillId="0" borderId="0" xfId="144" applyNumberFormat="1" applyFont="1"/>
    <xf numFmtId="170" fontId="3" fillId="0" borderId="0" xfId="153" applyNumberFormat="1" applyFont="1" applyFill="1" applyBorder="1"/>
    <xf numFmtId="170" fontId="2" fillId="0" borderId="0" xfId="144" applyNumberFormat="1" applyFont="1"/>
    <xf numFmtId="170" fontId="27" fillId="0" borderId="0" xfId="0" applyNumberFormat="1" applyFont="1" applyAlignment="1">
      <alignment horizontal="right" wrapText="1"/>
    </xf>
    <xf numFmtId="172" fontId="28" fillId="0" borderId="0" xfId="153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170" fontId="3" fillId="0" borderId="0" xfId="120" applyNumberFormat="1" applyFont="1"/>
    <xf numFmtId="1" fontId="5" fillId="0" borderId="14" xfId="0" applyNumberFormat="1" applyFont="1" applyBorder="1" applyAlignment="1">
      <alignment horizontal="center"/>
    </xf>
    <xf numFmtId="0" fontId="30" fillId="0" borderId="0" xfId="0" applyFont="1" applyAlignment="1">
      <alignment horizontal="right"/>
    </xf>
    <xf numFmtId="170" fontId="2" fillId="0" borderId="0" xfId="145" applyNumberFormat="1" applyFont="1"/>
    <xf numFmtId="170" fontId="4" fillId="0" borderId="0" xfId="0" applyNumberFormat="1" applyFont="1" applyAlignment="1">
      <alignment horizontal="right" wrapText="1"/>
    </xf>
    <xf numFmtId="170" fontId="3" fillId="0" borderId="0" xfId="0" applyNumberFormat="1" applyFont="1" applyAlignment="1">
      <alignment horizontal="right" wrapText="1"/>
    </xf>
    <xf numFmtId="0" fontId="4" fillId="0" borderId="13" xfId="144" applyFont="1" applyBorder="1" applyAlignment="1">
      <alignment horizontal="left" vertical="center" wrapText="1"/>
    </xf>
    <xf numFmtId="170" fontId="3" fillId="0" borderId="13" xfId="144" applyNumberFormat="1" applyFont="1" applyBorder="1"/>
    <xf numFmtId="3" fontId="3" fillId="0" borderId="13" xfId="144" applyNumberFormat="1" applyFont="1" applyBorder="1"/>
    <xf numFmtId="3" fontId="3" fillId="0" borderId="0" xfId="145" applyNumberFormat="1"/>
    <xf numFmtId="3" fontId="4" fillId="0" borderId="0" xfId="145" applyNumberFormat="1" applyFont="1"/>
    <xf numFmtId="172" fontId="26" fillId="0" borderId="0" xfId="155" applyNumberFormat="1" applyFont="1" applyBorder="1"/>
    <xf numFmtId="172" fontId="7" fillId="0" borderId="0" xfId="155" applyNumberFormat="1" applyFont="1" applyBorder="1"/>
    <xf numFmtId="172" fontId="2" fillId="0" borderId="0" xfId="155" applyNumberFormat="1" applyFont="1" applyBorder="1"/>
    <xf numFmtId="172" fontId="70" fillId="0" borderId="0" xfId="155" applyNumberFormat="1" applyFont="1" applyBorder="1"/>
    <xf numFmtId="172" fontId="16" fillId="0" borderId="0" xfId="155" applyNumberFormat="1" applyFont="1" applyBorder="1"/>
    <xf numFmtId="172" fontId="5" fillId="0" borderId="0" xfId="155" applyNumberFormat="1" applyFont="1" applyBorder="1"/>
    <xf numFmtId="172" fontId="71" fillId="0" borderId="0" xfId="155" applyNumberFormat="1" applyFont="1" applyBorder="1"/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26" borderId="15" xfId="142" applyNumberFormat="1" applyFont="1" applyFill="1" applyBorder="1" applyAlignment="1">
      <alignment horizontal="center" wrapText="1"/>
    </xf>
    <xf numFmtId="170" fontId="7" fillId="27" borderId="20" xfId="143" applyNumberFormat="1" applyFont="1" applyFill="1" applyBorder="1"/>
    <xf numFmtId="170" fontId="7" fillId="27" borderId="21" xfId="143" applyNumberFormat="1" applyFont="1" applyFill="1" applyBorder="1"/>
    <xf numFmtId="170" fontId="7" fillId="26" borderId="19" xfId="142" applyNumberFormat="1" applyFont="1" applyFill="1" applyBorder="1"/>
    <xf numFmtId="170" fontId="7" fillId="27" borderId="19" xfId="143" applyNumberFormat="1" applyFont="1" applyFill="1" applyBorder="1"/>
    <xf numFmtId="170" fontId="5" fillId="0" borderId="20" xfId="159" applyNumberFormat="1" applyFont="1" applyFill="1" applyBorder="1"/>
    <xf numFmtId="170" fontId="5" fillId="0" borderId="1" xfId="158" applyNumberFormat="1" applyFont="1" applyFill="1" applyBorder="1"/>
    <xf numFmtId="170" fontId="5" fillId="0" borderId="1" xfId="159" applyNumberFormat="1" applyFont="1" applyFill="1" applyBorder="1"/>
    <xf numFmtId="170" fontId="2" fillId="0" borderId="20" xfId="159" applyNumberFormat="1" applyFont="1" applyFill="1" applyBorder="1"/>
    <xf numFmtId="170" fontId="2" fillId="0" borderId="1" xfId="158" applyNumberFormat="1" applyFont="1" applyFill="1" applyBorder="1"/>
    <xf numFmtId="170" fontId="2" fillId="0" borderId="1" xfId="159" applyNumberFormat="1" applyFont="1" applyFill="1" applyBorder="1"/>
    <xf numFmtId="170" fontId="2" fillId="0" borderId="17" xfId="159" applyNumberFormat="1" applyFont="1" applyFill="1" applyBorder="1"/>
    <xf numFmtId="170" fontId="2" fillId="0" borderId="15" xfId="159" applyNumberFormat="1" applyFont="1" applyFill="1" applyBorder="1"/>
    <xf numFmtId="170" fontId="2" fillId="0" borderId="17" xfId="158" applyNumberFormat="1" applyFont="1" applyFill="1" applyBorder="1"/>
    <xf numFmtId="170" fontId="2" fillId="0" borderId="20" xfId="158" applyNumberFormat="1" applyFont="1" applyFill="1" applyBorder="1"/>
    <xf numFmtId="170" fontId="2" fillId="27" borderId="19" xfId="159" applyNumberFormat="1" applyFont="1" applyFill="1" applyBorder="1"/>
    <xf numFmtId="170" fontId="2" fillId="27" borderId="21" xfId="159" applyNumberFormat="1" applyFont="1" applyFill="1" applyBorder="1"/>
    <xf numFmtId="170" fontId="2" fillId="26" borderId="21" xfId="158" applyNumberFormat="1" applyFont="1" applyFill="1" applyBorder="1"/>
    <xf numFmtId="170" fontId="2" fillId="27" borderId="1" xfId="159" applyNumberFormat="1" applyFont="1" applyFill="1" applyBorder="1"/>
    <xf numFmtId="170" fontId="2" fillId="27" borderId="20" xfId="159" applyNumberFormat="1" applyFont="1" applyFill="1" applyBorder="1"/>
    <xf numFmtId="170" fontId="2" fillId="26" borderId="20" xfId="158" applyNumberFormat="1" applyFont="1" applyFill="1" applyBorder="1"/>
    <xf numFmtId="170" fontId="2" fillId="27" borderId="17" xfId="159" applyNumberFormat="1" applyFont="1" applyFill="1" applyBorder="1"/>
    <xf numFmtId="170" fontId="2" fillId="27" borderId="15" xfId="159" applyNumberFormat="1" applyFont="1" applyFill="1" applyBorder="1"/>
    <xf numFmtId="170" fontId="2" fillId="26" borderId="15" xfId="158" applyNumberFormat="1" applyFont="1" applyFill="1" applyBorder="1"/>
    <xf numFmtId="172" fontId="72" fillId="0" borderId="0" xfId="155" applyNumberFormat="1" applyFont="1" applyBorder="1"/>
    <xf numFmtId="0" fontId="2" fillId="0" borderId="0" xfId="142" applyFont="1"/>
    <xf numFmtId="0" fontId="73" fillId="0" borderId="0" xfId="142" applyFont="1"/>
    <xf numFmtId="170" fontId="73" fillId="0" borderId="0" xfId="142" applyNumberFormat="1" applyFont="1"/>
    <xf numFmtId="171" fontId="2" fillId="0" borderId="0" xfId="142" applyNumberFormat="1" applyFont="1"/>
    <xf numFmtId="170" fontId="2" fillId="0" borderId="0" xfId="142" applyNumberFormat="1" applyFont="1"/>
    <xf numFmtId="0" fontId="5" fillId="0" borderId="0" xfId="142" applyFont="1" applyAlignment="1">
      <alignment horizontal="center"/>
    </xf>
    <xf numFmtId="0" fontId="5" fillId="26" borderId="18" xfId="142" applyFont="1" applyFill="1" applyBorder="1" applyAlignment="1">
      <alignment horizontal="center"/>
    </xf>
    <xf numFmtId="0" fontId="5" fillId="26" borderId="8" xfId="142" applyFont="1" applyFill="1" applyBorder="1" applyAlignment="1">
      <alignment horizontal="center"/>
    </xf>
    <xf numFmtId="0" fontId="5" fillId="26" borderId="25" xfId="142" applyFont="1" applyFill="1" applyBorder="1" applyAlignment="1">
      <alignment horizontal="center"/>
    </xf>
    <xf numFmtId="0" fontId="5" fillId="26" borderId="16" xfId="142" applyFont="1" applyFill="1" applyBorder="1" applyAlignment="1">
      <alignment horizontal="center"/>
    </xf>
    <xf numFmtId="0" fontId="5" fillId="26" borderId="17" xfId="142" applyFont="1" applyFill="1" applyBorder="1" applyAlignment="1">
      <alignment horizontal="center"/>
    </xf>
    <xf numFmtId="0" fontId="5" fillId="26" borderId="14" xfId="142" applyFont="1" applyFill="1" applyBorder="1" applyAlignment="1">
      <alignment horizontal="center"/>
    </xf>
    <xf numFmtId="0" fontId="5" fillId="0" borderId="16" xfId="142" applyFont="1" applyBorder="1" applyAlignment="1">
      <alignment horizontal="center"/>
    </xf>
    <xf numFmtId="170" fontId="5" fillId="0" borderId="8" xfId="143" applyNumberFormat="1" applyFont="1" applyBorder="1"/>
    <xf numFmtId="170" fontId="5" fillId="0" borderId="25" xfId="143" applyNumberFormat="1" applyFont="1" applyBorder="1"/>
    <xf numFmtId="170" fontId="5" fillId="0" borderId="8" xfId="142" applyNumberFormat="1" applyFont="1" applyBorder="1"/>
    <xf numFmtId="170" fontId="5" fillId="0" borderId="17" xfId="143" applyNumberFormat="1" applyFont="1" applyBorder="1"/>
    <xf numFmtId="170" fontId="5" fillId="0" borderId="15" xfId="143" applyNumberFormat="1" applyFont="1" applyBorder="1"/>
    <xf numFmtId="0" fontId="66" fillId="0" borderId="18" xfId="142" applyFont="1" applyBorder="1" applyAlignment="1">
      <alignment horizontal="center"/>
    </xf>
    <xf numFmtId="170" fontId="74" fillId="0" borderId="8" xfId="143" applyNumberFormat="1" applyFont="1" applyBorder="1"/>
    <xf numFmtId="170" fontId="74" fillId="0" borderId="25" xfId="143" applyNumberFormat="1" applyFont="1" applyBorder="1"/>
    <xf numFmtId="170" fontId="66" fillId="0" borderId="8" xfId="142" applyNumberFormat="1" applyFont="1" applyBorder="1"/>
    <xf numFmtId="0" fontId="2" fillId="0" borderId="18" xfId="142" applyFont="1" applyBorder="1" applyAlignment="1">
      <alignment horizontal="left"/>
    </xf>
    <xf numFmtId="170" fontId="5" fillId="0" borderId="26" xfId="143" applyNumberFormat="1" applyFont="1" applyBorder="1"/>
    <xf numFmtId="170" fontId="5" fillId="0" borderId="19" xfId="143" applyNumberFormat="1" applyFont="1" applyBorder="1"/>
    <xf numFmtId="170" fontId="5" fillId="0" borderId="21" xfId="143" applyNumberFormat="1" applyFont="1" applyBorder="1"/>
    <xf numFmtId="0" fontId="5" fillId="26" borderId="22" xfId="142" applyFont="1" applyFill="1" applyBorder="1" applyAlignment="1">
      <alignment horizontal="left"/>
    </xf>
    <xf numFmtId="0" fontId="2" fillId="0" borderId="23" xfId="142" applyFont="1" applyBorder="1" applyAlignment="1">
      <alignment horizontal="left"/>
    </xf>
    <xf numFmtId="0" fontId="5" fillId="0" borderId="23" xfId="142" applyFont="1" applyBorder="1" applyAlignment="1">
      <alignment horizontal="left"/>
    </xf>
    <xf numFmtId="170" fontId="7" fillId="0" borderId="20" xfId="143" applyNumberFormat="1" applyFont="1" applyBorder="1"/>
    <xf numFmtId="170" fontId="7" fillId="0" borderId="1" xfId="142" applyNumberFormat="1" applyFont="1" applyBorder="1"/>
    <xf numFmtId="0" fontId="5" fillId="0" borderId="0" xfId="142" applyFont="1"/>
    <xf numFmtId="170" fontId="7" fillId="0" borderId="1" xfId="143" applyNumberFormat="1" applyFont="1" applyBorder="1"/>
    <xf numFmtId="170" fontId="2" fillId="0" borderId="20" xfId="143" applyNumberFormat="1" applyFont="1" applyBorder="1"/>
    <xf numFmtId="170" fontId="2" fillId="0" borderId="1" xfId="142" applyNumberFormat="1" applyFont="1" applyBorder="1"/>
    <xf numFmtId="170" fontId="2" fillId="0" borderId="1" xfId="143" applyNumberFormat="1" applyFont="1" applyBorder="1"/>
    <xf numFmtId="0" fontId="5" fillId="0" borderId="22" xfId="142" applyFont="1" applyBorder="1" applyAlignment="1">
      <alignment horizontal="left"/>
    </xf>
    <xf numFmtId="170" fontId="7" fillId="0" borderId="19" xfId="143" applyNumberFormat="1" applyFont="1" applyBorder="1"/>
    <xf numFmtId="170" fontId="7" fillId="0" borderId="21" xfId="143" applyNumberFormat="1" applyFont="1" applyBorder="1"/>
    <xf numFmtId="170" fontId="7" fillId="0" borderId="19" xfId="142" applyNumberFormat="1" applyFont="1" applyBorder="1"/>
    <xf numFmtId="0" fontId="2" fillId="0" borderId="23" xfId="143" applyFont="1" applyBorder="1" applyAlignment="1">
      <alignment horizontal="left"/>
    </xf>
    <xf numFmtId="0" fontId="2" fillId="0" borderId="16" xfId="143" applyFont="1" applyBorder="1" applyAlignment="1">
      <alignment horizontal="left"/>
    </xf>
    <xf numFmtId="0" fontId="67" fillId="0" borderId="23" xfId="142" applyFont="1" applyBorder="1" applyAlignment="1">
      <alignment horizontal="left"/>
    </xf>
    <xf numFmtId="0" fontId="67" fillId="0" borderId="16" xfId="142" applyFont="1" applyBorder="1" applyAlignment="1">
      <alignment horizontal="left"/>
    </xf>
    <xf numFmtId="170" fontId="7" fillId="0" borderId="20" xfId="142" applyNumberFormat="1" applyFont="1" applyBorder="1"/>
    <xf numFmtId="171" fontId="2" fillId="0" borderId="16" xfId="142" applyNumberFormat="1" applyFont="1" applyBorder="1" applyAlignment="1">
      <alignment horizontal="left"/>
    </xf>
    <xf numFmtId="170" fontId="2" fillId="0" borderId="17" xfId="143" applyNumberFormat="1" applyFont="1" applyBorder="1"/>
    <xf numFmtId="170" fontId="2" fillId="0" borderId="15" xfId="143" applyNumberFormat="1" applyFont="1" applyBorder="1"/>
    <xf numFmtId="170" fontId="2" fillId="0" borderId="15" xfId="142" applyNumberFormat="1" applyFont="1" applyBorder="1"/>
    <xf numFmtId="170" fontId="7" fillId="0" borderId="21" xfId="142" applyNumberFormat="1" applyFont="1" applyBorder="1"/>
    <xf numFmtId="169" fontId="2" fillId="0" borderId="23" xfId="142" applyNumberFormat="1" applyFont="1" applyBorder="1" applyAlignment="1">
      <alignment horizontal="left"/>
    </xf>
    <xf numFmtId="172" fontId="70" fillId="0" borderId="0" xfId="155" applyNumberFormat="1" applyFont="1" applyFill="1" applyBorder="1"/>
    <xf numFmtId="0" fontId="2" fillId="0" borderId="16" xfId="142" applyFont="1" applyBorder="1" applyAlignment="1">
      <alignment horizontal="left"/>
    </xf>
    <xf numFmtId="170" fontId="68" fillId="0" borderId="1" xfId="143" applyNumberFormat="1" applyFont="1" applyBorder="1"/>
    <xf numFmtId="170" fontId="68" fillId="0" borderId="20" xfId="143" applyNumberFormat="1" applyFont="1" applyBorder="1"/>
    <xf numFmtId="170" fontId="68" fillId="0" borderId="20" xfId="142" applyNumberFormat="1" applyFont="1" applyBorder="1"/>
    <xf numFmtId="170" fontId="7" fillId="0" borderId="17" xfId="143" applyNumberFormat="1" applyFont="1" applyBorder="1"/>
    <xf numFmtId="170" fontId="7" fillId="0" borderId="15" xfId="143" applyNumberFormat="1" applyFont="1" applyBorder="1"/>
    <xf numFmtId="170" fontId="7" fillId="0" borderId="17" xfId="142" applyNumberFormat="1" applyFont="1" applyBorder="1"/>
    <xf numFmtId="0" fontId="5" fillId="26" borderId="23" xfId="142" applyFont="1" applyFill="1" applyBorder="1" applyAlignment="1">
      <alignment horizontal="left"/>
    </xf>
    <xf numFmtId="0" fontId="5" fillId="26" borderId="16" xfId="142" applyFont="1" applyFill="1" applyBorder="1" applyAlignment="1">
      <alignment horizontal="left"/>
    </xf>
    <xf numFmtId="0" fontId="2" fillId="0" borderId="14" xfId="142" applyFont="1" applyBorder="1"/>
    <xf numFmtId="0" fontId="5" fillId="26" borderId="18" xfId="142" applyFont="1" applyFill="1" applyBorder="1" applyAlignment="1">
      <alignment horizontal="left"/>
    </xf>
    <xf numFmtId="172" fontId="70" fillId="28" borderId="0" xfId="155" applyNumberFormat="1" applyFont="1" applyFill="1" applyBorder="1"/>
    <xf numFmtId="0" fontId="5" fillId="26" borderId="19" xfId="143" applyFont="1" applyFill="1" applyBorder="1" applyAlignment="1">
      <alignment horizontal="left"/>
    </xf>
    <xf numFmtId="0" fontId="2" fillId="0" borderId="1" xfId="143" applyFont="1" applyBorder="1" applyAlignment="1">
      <alignment horizontal="left"/>
    </xf>
    <xf numFmtId="0" fontId="5" fillId="0" borderId="1" xfId="143" applyFont="1" applyBorder="1" applyAlignment="1">
      <alignment horizontal="left"/>
    </xf>
    <xf numFmtId="0" fontId="2" fillId="0" borderId="17" xfId="143" applyFont="1" applyBorder="1" applyAlignment="1">
      <alignment horizontal="left"/>
    </xf>
    <xf numFmtId="172" fontId="5" fillId="0" borderId="16" xfId="153" applyNumberFormat="1" applyFont="1" applyFill="1" applyBorder="1" applyAlignment="1">
      <alignment horizontal="right"/>
    </xf>
    <xf numFmtId="172" fontId="5" fillId="0" borderId="17" xfId="153" applyNumberFormat="1" applyFont="1" applyFill="1" applyBorder="1" applyAlignment="1">
      <alignment horizontal="right"/>
    </xf>
    <xf numFmtId="172" fontId="66" fillId="0" borderId="16" xfId="153" applyNumberFormat="1" applyFont="1" applyFill="1" applyBorder="1"/>
    <xf numFmtId="172" fontId="66" fillId="0" borderId="17" xfId="153" applyNumberFormat="1" applyFont="1" applyFill="1" applyBorder="1"/>
    <xf numFmtId="172" fontId="5" fillId="0" borderId="18" xfId="153" applyNumberFormat="1" applyFont="1" applyFill="1" applyBorder="1"/>
    <xf numFmtId="172" fontId="5" fillId="0" borderId="8" xfId="153" applyNumberFormat="1" applyFont="1" applyFill="1" applyBorder="1"/>
    <xf numFmtId="172" fontId="5" fillId="0" borderId="19" xfId="153" applyNumberFormat="1" applyFont="1" applyFill="1" applyBorder="1"/>
    <xf numFmtId="172" fontId="7" fillId="26" borderId="22" xfId="153" applyNumberFormat="1" applyFont="1" applyFill="1" applyBorder="1"/>
    <xf numFmtId="172" fontId="7" fillId="26" borderId="19" xfId="153" applyNumberFormat="1" applyFont="1" applyFill="1" applyBorder="1"/>
    <xf numFmtId="172" fontId="5" fillId="0" borderId="23" xfId="153" applyNumberFormat="1" applyFont="1" applyFill="1" applyBorder="1" applyAlignment="1"/>
    <xf numFmtId="172" fontId="5" fillId="0" borderId="1" xfId="153" applyNumberFormat="1" applyFont="1" applyFill="1" applyBorder="1" applyAlignment="1"/>
    <xf numFmtId="172" fontId="7" fillId="0" borderId="23" xfId="153" applyNumberFormat="1" applyFont="1" applyFill="1" applyBorder="1" applyAlignment="1"/>
    <xf numFmtId="172" fontId="7" fillId="0" borderId="1" xfId="153" applyNumberFormat="1" applyFont="1" applyFill="1" applyBorder="1" applyAlignment="1"/>
    <xf numFmtId="172" fontId="2" fillId="0" borderId="23" xfId="153" applyNumberFormat="1" applyFont="1" applyFill="1" applyBorder="1"/>
    <xf numFmtId="172" fontId="2" fillId="0" borderId="1" xfId="153" applyNumberFormat="1" applyFont="1" applyFill="1" applyBorder="1"/>
    <xf numFmtId="172" fontId="2" fillId="0" borderId="23" xfId="153" applyNumberFormat="1" applyFont="1" applyFill="1" applyBorder="1" applyAlignment="1"/>
    <xf numFmtId="172" fontId="2" fillId="0" borderId="1" xfId="153" applyNumberFormat="1" applyFont="1" applyFill="1" applyBorder="1" applyAlignment="1"/>
    <xf numFmtId="172" fontId="70" fillId="0" borderId="23" xfId="153" applyNumberFormat="1" applyFont="1" applyFill="1" applyBorder="1"/>
    <xf numFmtId="172" fontId="70" fillId="0" borderId="1" xfId="153" applyNumberFormat="1" applyFont="1" applyFill="1" applyBorder="1"/>
    <xf numFmtId="172" fontId="70" fillId="0" borderId="23" xfId="153" applyNumberFormat="1" applyFont="1" applyFill="1" applyBorder="1" applyAlignment="1"/>
    <xf numFmtId="172" fontId="70" fillId="0" borderId="1" xfId="153" applyNumberFormat="1" applyFont="1" applyFill="1" applyBorder="1" applyAlignment="1"/>
    <xf numFmtId="172" fontId="7" fillId="0" borderId="19" xfId="153" applyNumberFormat="1" applyFont="1" applyFill="1" applyBorder="1"/>
    <xf numFmtId="172" fontId="7" fillId="0" borderId="21" xfId="153" applyNumberFormat="1" applyFont="1" applyFill="1" applyBorder="1"/>
    <xf numFmtId="172" fontId="7" fillId="0" borderId="24" xfId="153" applyNumberFormat="1" applyFont="1" applyFill="1" applyBorder="1"/>
    <xf numFmtId="172" fontId="2" fillId="0" borderId="20" xfId="153" applyNumberFormat="1" applyFont="1" applyFill="1" applyBorder="1"/>
    <xf numFmtId="172" fontId="2" fillId="0" borderId="0" xfId="153" applyNumberFormat="1" applyFont="1" applyFill="1" applyBorder="1"/>
    <xf numFmtId="172" fontId="2" fillId="0" borderId="17" xfId="153" applyNumberFormat="1" applyFont="1" applyFill="1" applyBorder="1"/>
    <xf numFmtId="172" fontId="2" fillId="0" borderId="15" xfId="153" applyNumberFormat="1" applyFont="1" applyFill="1" applyBorder="1"/>
    <xf numFmtId="172" fontId="2" fillId="0" borderId="14" xfId="153" applyNumberFormat="1" applyFont="1" applyFill="1" applyBorder="1"/>
    <xf numFmtId="172" fontId="7" fillId="0" borderId="23" xfId="153" applyNumberFormat="1" applyFont="1" applyFill="1" applyBorder="1"/>
    <xf numFmtId="172" fontId="7" fillId="0" borderId="1" xfId="153" applyNumberFormat="1" applyFont="1" applyFill="1" applyBorder="1"/>
    <xf numFmtId="172" fontId="7" fillId="0" borderId="0" xfId="153" applyNumberFormat="1" applyFont="1" applyFill="1" applyBorder="1"/>
    <xf numFmtId="172" fontId="7" fillId="0" borderId="22" xfId="153" applyNumberFormat="1" applyFont="1" applyFill="1" applyBorder="1"/>
    <xf numFmtId="172" fontId="2" fillId="0" borderId="16" xfId="153" applyNumberFormat="1" applyFont="1" applyFill="1" applyBorder="1"/>
    <xf numFmtId="172" fontId="70" fillId="0" borderId="0" xfId="153" applyNumberFormat="1" applyFont="1" applyFill="1" applyBorder="1"/>
    <xf numFmtId="172" fontId="70" fillId="0" borderId="20" xfId="153" applyNumberFormat="1" applyFont="1" applyFill="1" applyBorder="1"/>
    <xf numFmtId="172" fontId="2" fillId="26" borderId="24" xfId="153" applyNumberFormat="1" applyFont="1" applyFill="1" applyBorder="1"/>
    <xf numFmtId="172" fontId="2" fillId="26" borderId="19" xfId="153" applyNumberFormat="1" applyFont="1" applyFill="1" applyBorder="1"/>
    <xf numFmtId="170" fontId="2" fillId="27" borderId="0" xfId="159" applyNumberFormat="1" applyFont="1" applyFill="1" applyBorder="1"/>
    <xf numFmtId="172" fontId="2" fillId="26" borderId="0" xfId="153" applyNumberFormat="1" applyFont="1" applyFill="1" applyBorder="1"/>
    <xf numFmtId="172" fontId="2" fillId="26" borderId="1" xfId="153" applyNumberFormat="1" applyFont="1" applyFill="1" applyBorder="1"/>
    <xf numFmtId="172" fontId="2" fillId="26" borderId="14" xfId="153" applyNumberFormat="1" applyFont="1" applyFill="1" applyBorder="1"/>
    <xf numFmtId="172" fontId="2" fillId="26" borderId="17" xfId="153" applyNumberFormat="1" applyFont="1" applyFill="1" applyBorder="1"/>
    <xf numFmtId="172" fontId="2" fillId="26" borderId="8" xfId="153" applyNumberFormat="1" applyFont="1" applyFill="1" applyBorder="1"/>
    <xf numFmtId="49" fontId="3" fillId="0" borderId="0" xfId="12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131" applyFont="1" applyAlignment="1">
      <alignment horizontal="center"/>
    </xf>
    <xf numFmtId="0" fontId="5" fillId="0" borderId="0" xfId="131" applyFont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120" applyFont="1" applyAlignment="1">
      <alignment horizontal="center"/>
    </xf>
    <xf numFmtId="0" fontId="4" fillId="0" borderId="0" xfId="122" applyFont="1" applyAlignment="1">
      <alignment horizontal="center"/>
    </xf>
    <xf numFmtId="0" fontId="5" fillId="0" borderId="0" xfId="12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142" applyFont="1" applyAlignment="1">
      <alignment horizontal="center"/>
    </xf>
    <xf numFmtId="49" fontId="5" fillId="26" borderId="18" xfId="142" applyNumberFormat="1" applyFont="1" applyFill="1" applyBorder="1" applyAlignment="1">
      <alignment horizontal="center" wrapText="1"/>
    </xf>
    <xf numFmtId="49" fontId="5" fillId="26" borderId="25" xfId="142" applyNumberFormat="1" applyFont="1" applyFill="1" applyBorder="1" applyAlignment="1">
      <alignment horizontal="center" wrapText="1"/>
    </xf>
  </cellXfs>
  <cellStyles count="187">
    <cellStyle name="1 indent" xfId="1" xr:uid="{CBF6327D-B129-4886-9060-7BE5A945B689}"/>
    <cellStyle name="2 indents" xfId="2" xr:uid="{9C52EAAF-67D0-4337-B9F6-EC5B3B1898F3}"/>
    <cellStyle name="20% - Accent1" xfId="3" xr:uid="{3487597C-BFA9-4D51-9CC0-7A04159CE8B3}"/>
    <cellStyle name="20% - Accent2" xfId="4" xr:uid="{AFAA39FF-A573-4DA1-941A-4038C5A014CB}"/>
    <cellStyle name="20% - Accent3" xfId="5" xr:uid="{4F32E6E6-8CFC-4121-945C-ED1EA192C769}"/>
    <cellStyle name="20% - Accent4" xfId="6" xr:uid="{7823F504-B35E-46E9-8297-FB5935E4C686}"/>
    <cellStyle name="20% - Accent5" xfId="7" xr:uid="{D7167EEB-0176-414E-B32F-AED673383E67}"/>
    <cellStyle name="20% - Accent6" xfId="8" xr:uid="{7171BDE5-312D-4692-B32B-25340FDC0740}"/>
    <cellStyle name="20% - Énfasis1 2" xfId="9" xr:uid="{1D22A654-AC89-4BF7-9EC7-1D42E3A63657}"/>
    <cellStyle name="20% - Énfasis2 2" xfId="10" xr:uid="{3C7AC874-9541-4E79-ACEE-AA41B9BEEAAE}"/>
    <cellStyle name="20% - Énfasis3 2" xfId="11" xr:uid="{E6527EB9-03DC-4ABD-AE06-493A2053467A}"/>
    <cellStyle name="20% - Énfasis4 2" xfId="12" xr:uid="{6F8F8314-80B9-4C1A-ADFB-0CD9D08E7F98}"/>
    <cellStyle name="20% - Énfasis5 2" xfId="13" xr:uid="{DFB745F9-3269-4422-825D-C241C00A64BB}"/>
    <cellStyle name="20% - Énfasis6 2" xfId="14" xr:uid="{EE4D4813-D013-4B84-A22E-D402D831DD25}"/>
    <cellStyle name="3 indents" xfId="15" xr:uid="{8A146EBD-B058-417F-91D9-B79EBA6BD0B3}"/>
    <cellStyle name="4 indents" xfId="16" xr:uid="{32D3EE44-81B5-41C8-88C6-244DCC46893C}"/>
    <cellStyle name="40% - Accent1" xfId="17" xr:uid="{8D1F2D39-7859-413A-854A-65AFA6E8733C}"/>
    <cellStyle name="40% - Accent2" xfId="18" xr:uid="{EDEEAA3B-7979-45C1-81D1-4490BEA8022B}"/>
    <cellStyle name="40% - Accent3" xfId="19" xr:uid="{83D9D870-B42F-43C0-AE88-4842C1DA26FB}"/>
    <cellStyle name="40% - Accent4" xfId="20" xr:uid="{3E06D38B-F262-4B61-AFF1-6E263D0BD015}"/>
    <cellStyle name="40% - Accent5" xfId="21" xr:uid="{653C7737-EAE4-4EB0-AFAC-CDE54E635E82}"/>
    <cellStyle name="40% - Accent6" xfId="22" xr:uid="{0AB4A3CF-442E-4A79-B975-49F5E8BABE5A}"/>
    <cellStyle name="40% - Énfasis1 2" xfId="23" xr:uid="{81E927F9-15A3-4456-8EE9-E319CA48FA21}"/>
    <cellStyle name="40% - Énfasis2 2" xfId="24" xr:uid="{F86D2ACD-9B80-4668-92B5-36E3E7D71FDE}"/>
    <cellStyle name="40% - Énfasis3 2" xfId="25" xr:uid="{FC99EA19-3139-49A7-8C82-E3601811F1CE}"/>
    <cellStyle name="40% - Énfasis4 2" xfId="26" xr:uid="{543BC710-40FE-4F4B-B7C5-E1A56EB6FC92}"/>
    <cellStyle name="40% - Énfasis5 2" xfId="27" xr:uid="{C2047829-BCAC-4536-BED3-256B9C059A65}"/>
    <cellStyle name="40% - Énfasis6 2" xfId="28" xr:uid="{4CCF8717-5552-429E-B80A-0DEFF97706C4}"/>
    <cellStyle name="5 indents" xfId="29" xr:uid="{264B34AF-37C4-4C3E-9049-A67C6713906D}"/>
    <cellStyle name="60% - Accent1" xfId="30" xr:uid="{4915D239-C5FC-4397-8DD5-985ACE018D92}"/>
    <cellStyle name="60% - Accent2" xfId="31" xr:uid="{89EAC82D-81E1-40FD-A7AF-30A7B2A01333}"/>
    <cellStyle name="60% - Accent3" xfId="32" xr:uid="{C9967762-1D3D-4B73-BF83-9D0682D4D941}"/>
    <cellStyle name="60% - Accent4" xfId="33" xr:uid="{7E962063-C7E6-4BEB-94D5-1D217F423907}"/>
    <cellStyle name="60% - Accent5" xfId="34" xr:uid="{0A4337E9-CA90-454E-BB35-47C16EB03B64}"/>
    <cellStyle name="60% - Accent6" xfId="35" xr:uid="{EDE8B7C2-1885-4484-A395-805CA20140EC}"/>
    <cellStyle name="60% - Énfasis1 2" xfId="36" xr:uid="{929D2C52-785B-4897-AC7D-12B6A663CA40}"/>
    <cellStyle name="60% - Énfasis2 2" xfId="37" xr:uid="{BF35AD09-28B6-4719-BDED-F8AECE429E29}"/>
    <cellStyle name="60% - Énfasis3 2" xfId="38" xr:uid="{8831C135-1F83-4485-A32F-F77DD12A938C}"/>
    <cellStyle name="60% - Énfasis4 2" xfId="39" xr:uid="{AA536D37-8D2A-4144-880C-A1C605EF3DC5}"/>
    <cellStyle name="60% - Énfasis5 2" xfId="40" xr:uid="{7C1B3EBA-F1BF-4D56-972E-9C94BD5A6C4F}"/>
    <cellStyle name="60% - Énfasis6 2" xfId="41" xr:uid="{C7AEC6C9-D564-4034-BAA4-9B485C25484C}"/>
    <cellStyle name="Accent1" xfId="42" xr:uid="{E5283E7F-127F-4D5C-BF57-A7DCCF6F0189}"/>
    <cellStyle name="Accent2" xfId="43" xr:uid="{7F395257-C54D-4B76-8B66-9223B9B82006}"/>
    <cellStyle name="Accent3" xfId="44" xr:uid="{852D1BD0-7037-4008-94A6-7EAAD15129EB}"/>
    <cellStyle name="Accent4" xfId="45" xr:uid="{937B6D68-3D18-4326-A81F-C5A30824BAD7}"/>
    <cellStyle name="Accent5" xfId="46" xr:uid="{9DBD12EB-BD5D-436F-85D0-591F56B2231F}"/>
    <cellStyle name="Accent6" xfId="47" xr:uid="{BB1A4D12-5E02-473A-A0BC-2BB8CDEB32EA}"/>
    <cellStyle name="Array" xfId="48" xr:uid="{720E4F72-C940-4B3F-9A4D-BBCB8B249DEC}"/>
    <cellStyle name="Array Enter" xfId="49" xr:uid="{4CB57B51-CFFF-447B-B11C-918F64045676}"/>
    <cellStyle name="Bad" xfId="50" xr:uid="{642F3C01-B46F-4D0B-A654-1CF77DA0B121}"/>
    <cellStyle name="Buena 2" xfId="51" xr:uid="{5EAA60E7-2C00-4228-B1C6-61ABB4860AB8}"/>
    <cellStyle name="Calculation" xfId="52" xr:uid="{C2348465-6989-4613-BBAD-B549098CBA38}"/>
    <cellStyle name="Cálculo 2" xfId="53" xr:uid="{030325B2-F216-42FF-A5D4-B9CF25F8C31A}"/>
    <cellStyle name="Celda de comprobación 2" xfId="54" xr:uid="{481C135F-E5BD-44BF-ABD8-921779A691D8}"/>
    <cellStyle name="Celda vinculada 2" xfId="55" xr:uid="{4BBC9F7B-115C-4A02-BFF4-7067A5D0EC8E}"/>
    <cellStyle name="Check Cell" xfId="56" xr:uid="{57AD3802-EE40-436E-B979-DCE84D19D60D}"/>
    <cellStyle name="Encabezado 4 2" xfId="57" xr:uid="{ADAC11FE-3E5E-4300-83C2-7F2256D26216}"/>
    <cellStyle name="Énfasis1 2" xfId="58" xr:uid="{BAC8CB86-AE70-4AE6-98BD-DEBDA62860AE}"/>
    <cellStyle name="Énfasis2 2" xfId="59" xr:uid="{7C1B4194-69FA-42A3-9E08-9C0B5F24B2DB}"/>
    <cellStyle name="Énfasis3 2" xfId="60" xr:uid="{A8F0EAFA-49F0-4370-87B0-2240C425D337}"/>
    <cellStyle name="Énfasis4 2" xfId="61" xr:uid="{809F27FC-EAA9-40CD-94E3-A97CE7B5D933}"/>
    <cellStyle name="Énfasis5 2" xfId="62" xr:uid="{19515404-075D-4C9D-9FF3-2E98AA146AD2}"/>
    <cellStyle name="Énfasis6 2" xfId="63" xr:uid="{59CD88FC-7CC3-4F54-A8D7-78DD7C8C130C}"/>
    <cellStyle name="Entrada 2" xfId="64" xr:uid="{3CC5EDFA-4C75-4F3A-879C-42948151810A}"/>
    <cellStyle name="Est.Fin." xfId="65" xr:uid="{F5CD6D52-88DE-457E-9FCD-03267B75F402}"/>
    <cellStyle name="Estilo 1" xfId="66" xr:uid="{F956509C-7CA9-41ED-9B61-38A4D499841C}"/>
    <cellStyle name="Euro" xfId="67" xr:uid="{725AD75C-B849-47EB-8A2A-B2FA7227544F}"/>
    <cellStyle name="Euro 2" xfId="68" xr:uid="{489395CD-FF09-4BA9-8567-BFB5B73CC596}"/>
    <cellStyle name="Euro 3" xfId="69" xr:uid="{C9A3B834-D332-4905-8B0E-B7F120673B5C}"/>
    <cellStyle name="Explanatory Text" xfId="70" xr:uid="{ABC75789-A5C6-480E-8F78-CB0A6BEE9BCF}"/>
    <cellStyle name="Good" xfId="71" xr:uid="{9413B09B-3A27-4ABA-8DA9-24106CA4192F}"/>
    <cellStyle name="Grey" xfId="72" xr:uid="{E3A30BB3-D6CD-4522-B399-AEE60CE25E00}"/>
    <cellStyle name="Heading 1" xfId="73" xr:uid="{3D105690-A850-482C-A112-0211AD64CCCE}"/>
    <cellStyle name="Heading 2" xfId="74" xr:uid="{47E5CF6F-5453-4564-9CB6-EDC05CDCA403}"/>
    <cellStyle name="Heading 3" xfId="75" xr:uid="{9D891EB3-9445-414F-9FB7-70A18E011C32}"/>
    <cellStyle name="Heading 4" xfId="76" xr:uid="{1172BF85-7F9F-457B-B9B1-78EDB38EE8D8}"/>
    <cellStyle name="imf-one decimal" xfId="77" xr:uid="{77496FF1-B20C-4AB7-A5BA-A368EF17A802}"/>
    <cellStyle name="imf-zero decimal" xfId="78" xr:uid="{8A4C58DF-5ED8-4964-A0E2-7E0D10C7A2F8}"/>
    <cellStyle name="Incorrecto 2" xfId="79" xr:uid="{F00F7976-961F-4F5C-9435-D561AB6162F5}"/>
    <cellStyle name="Input" xfId="80" xr:uid="{5A451456-314B-49B8-AB5B-C22E5D133C66}"/>
    <cellStyle name="Input [yellow]" xfId="81" xr:uid="{D678359D-5E53-415A-BCE7-AF976654EA70}"/>
    <cellStyle name="Linked Cell" xfId="82" xr:uid="{DCFBF752-9542-4133-BCB7-AA73665AC070}"/>
    <cellStyle name="MacroCode" xfId="83" xr:uid="{74D237E9-FD54-4CAD-B4A7-55AC5D1485EB}"/>
    <cellStyle name="Millares" xfId="84" builtinId="3"/>
    <cellStyle name="Millares 10" xfId="85" xr:uid="{A280FFC1-CF88-49B5-BC1A-31AD7EA3FAF0}"/>
    <cellStyle name="Millares 11" xfId="86" xr:uid="{EDFC3967-AF92-4443-B03B-7A25693D9D01}"/>
    <cellStyle name="Millares 2" xfId="87" xr:uid="{92825ACF-2103-47E4-9DD6-78A426B17542}"/>
    <cellStyle name="Millares 2 2" xfId="88" xr:uid="{C9C8316A-89C6-4956-B5EE-A6E542E5BFCD}"/>
    <cellStyle name="Millares 2 3" xfId="89" xr:uid="{4B5E899A-0475-4F28-8119-338977D8A062}"/>
    <cellStyle name="Millares 2 4" xfId="90" xr:uid="{A2F16BCF-14BA-4460-B648-E38AC03BCAC3}"/>
    <cellStyle name="Millares 3" xfId="91" xr:uid="{B4CB155F-E6BA-42EA-8DCA-E70961C7AFD1}"/>
    <cellStyle name="Millares 3 2" xfId="92" xr:uid="{1EC0DB3D-E445-4910-A3AC-605AC0BC3166}"/>
    <cellStyle name="Millares 4" xfId="93" xr:uid="{12836641-D2D5-4113-AFF2-90263035C714}"/>
    <cellStyle name="Millares 5" xfId="94" xr:uid="{19E2721B-5CD1-4D6E-8717-B31A532DA932}"/>
    <cellStyle name="Millares 6" xfId="95" xr:uid="{8B22602D-600C-4B29-BF9D-D3FD26871823}"/>
    <cellStyle name="Millares 7" xfId="96" xr:uid="{0767CAB6-16EE-4DBE-A5DA-394363CF0B3C}"/>
    <cellStyle name="Millares 8" xfId="97" xr:uid="{630F5E45-DD1E-42BD-882A-70A786B7CB77}"/>
    <cellStyle name="Millares 9" xfId="98" xr:uid="{5424491E-9591-4B6D-A8F4-B9CC30A043BC}"/>
    <cellStyle name="Milliers [0]_Encours - Apr rééch" xfId="99" xr:uid="{FFB70A4C-D4D3-46B5-A583-50A1421F79A9}"/>
    <cellStyle name="Milliers_Encours - Apr rééch" xfId="100" xr:uid="{15B9EA60-7E0C-4EC7-9D13-5E3B177F6B88}"/>
    <cellStyle name="Moneda 2" xfId="101" xr:uid="{703F10F3-2C1F-4205-BC62-BD34F50D57EE}"/>
    <cellStyle name="Monétaire [0]_Encours - Apr rééch" xfId="102" xr:uid="{C5B9E662-E875-4CA3-8D26-AA62C15E581A}"/>
    <cellStyle name="Monétaire_Encours - Apr rééch" xfId="103" xr:uid="{7FA4E643-0C99-4FF4-B087-0949F2355CB7}"/>
    <cellStyle name="Neutral 2" xfId="104" xr:uid="{0B2EA5F5-4E84-4A07-B3CF-E347E969FCFC}"/>
    <cellStyle name="No-definido" xfId="105" xr:uid="{27963AC9-4148-46BA-95FF-944E886D6233}"/>
    <cellStyle name="Normal" xfId="0" builtinId="0"/>
    <cellStyle name="Normal - Modelo1" xfId="106" xr:uid="{9FEAF575-A7CD-4BCA-86C9-A931C3A30BD4}"/>
    <cellStyle name="Normal - Style1" xfId="107" xr:uid="{8388A77D-4B51-47C3-8491-4C71CFF6B066}"/>
    <cellStyle name="Normal - Style2" xfId="108" xr:uid="{C218FAA2-8BF4-41B2-B3B7-839F62FA86C9}"/>
    <cellStyle name="Normal - Style3" xfId="109" xr:uid="{D7AEFF44-46CE-4C66-B0D8-72C05982D89F}"/>
    <cellStyle name="Normal 10" xfId="110" xr:uid="{6CF1E3AD-ED2F-4E0F-8A10-67584EFAB344}"/>
    <cellStyle name="Normal 11" xfId="111" xr:uid="{37DBD6D0-BEC7-4F1E-B326-BAFD70C36F0B}"/>
    <cellStyle name="Normal 12" xfId="112" xr:uid="{31BEB623-A34F-49A7-9E31-D0CD36E37773}"/>
    <cellStyle name="Normal 13" xfId="113" xr:uid="{4F238F24-DE54-4D65-900A-8B873CE65524}"/>
    <cellStyle name="Normal 14" xfId="114" xr:uid="{36D37E0C-C37B-4F4E-9B54-0E5B7466127A}"/>
    <cellStyle name="Normal 15" xfId="115" xr:uid="{A30E6822-20EC-4399-BC31-8E5BFF0384FC}"/>
    <cellStyle name="Normal 16" xfId="116" xr:uid="{857420A7-7A1B-4DEB-8853-494C6DD49D11}"/>
    <cellStyle name="Normal 17" xfId="117" xr:uid="{2811E5D3-6FE5-4641-8168-12E939DF8BF3}"/>
    <cellStyle name="Normal 18" xfId="118" xr:uid="{416D41E5-F1EB-4C51-8EA9-949CA67820AD}"/>
    <cellStyle name="Normal 19" xfId="119" xr:uid="{2A095A4C-D4BD-42DA-B384-1BDA44017E83}"/>
    <cellStyle name="Normal 2" xfId="120" xr:uid="{CD72CEA0-C875-4F46-B55F-972AD6A32256}"/>
    <cellStyle name="Normal 2 2" xfId="121" xr:uid="{726D6572-F28B-4982-9690-50605304B621}"/>
    <cellStyle name="Normal 2 3" xfId="122" xr:uid="{50316511-2F1C-4ABA-AF25-B4EE63F9541A}"/>
    <cellStyle name="Normal 2 3 2" xfId="123" xr:uid="{00160DFE-4127-4E4A-8CD3-A443883799D6}"/>
    <cellStyle name="Normal 2 4" xfId="124" xr:uid="{0434101F-EC22-46D5-8FBD-FFB45E2542BA}"/>
    <cellStyle name="Normal 20" xfId="125" xr:uid="{53BA2CEC-A7C6-414C-A141-CDEF7487665F}"/>
    <cellStyle name="Normal 21" xfId="126" xr:uid="{44441AEA-C3A2-418E-93F6-22A6EBB32682}"/>
    <cellStyle name="Normal 22" xfId="127" xr:uid="{42ACE51A-0008-4B3B-A656-AB7B181DAD98}"/>
    <cellStyle name="Normal 23" xfId="128" xr:uid="{23CDB6F0-3E85-4CEE-918A-E0A072F8FF28}"/>
    <cellStyle name="Normal 24" xfId="129" xr:uid="{B59CE08E-3534-4F07-97B0-3A8EFAB80766}"/>
    <cellStyle name="Normal 25" xfId="130" xr:uid="{6084CC37-DD39-46C4-9851-9E1AC237B388}"/>
    <cellStyle name="Normal 3" xfId="131" xr:uid="{882833E6-BFF8-4997-9231-A3D57C542999}"/>
    <cellStyle name="Normal 3 2" xfId="132" xr:uid="{6AA46D10-92B5-4C1E-92B8-88BAE1F3044E}"/>
    <cellStyle name="Normal 3 2 2" xfId="133" xr:uid="{7F769564-AC16-4CAA-9CCC-FE7C14465724}"/>
    <cellStyle name="Normal 3 3" xfId="134" xr:uid="{9E8C5EFA-057C-49C2-97A4-EB09083D4933}"/>
    <cellStyle name="Normal 4" xfId="135" xr:uid="{8584C3FA-722F-4221-9383-5F1EA7CB0914}"/>
    <cellStyle name="Normal 5" xfId="136" xr:uid="{C90A7662-4D01-44F6-BD11-5280B645B416}"/>
    <cellStyle name="Normal 6" xfId="137" xr:uid="{8B8EB7A1-8AFE-45EC-A940-54C782E5B503}"/>
    <cellStyle name="Normal 7" xfId="138" xr:uid="{1F95D513-3051-4EFF-AD0D-7B77EA7F7C00}"/>
    <cellStyle name="Normal 8" xfId="139" xr:uid="{B88C7FA2-8272-4205-86BD-EF430CFE6547}"/>
    <cellStyle name="Normal 9" xfId="140" xr:uid="{0E3A1CE7-51E0-47E1-B123-18E994EFD14F}"/>
    <cellStyle name="Normal Table" xfId="141" xr:uid="{F781E218-D039-4206-8FDE-4B0F597A6033}"/>
    <cellStyle name="Normal_Cuadro Resumen 05-06 2" xfId="142" xr:uid="{3741572C-FE68-428C-A123-4666C8D62C7F}"/>
    <cellStyle name="Normal_Cuadro Resumen 05-06 2 2" xfId="143" xr:uid="{7415BDC9-AA12-4E58-869A-27982707B16F}"/>
    <cellStyle name="Normal_plantilla para datos fiscales" xfId="144" xr:uid="{0595F5FE-2463-4317-BAE1-8EC4E994D525}"/>
    <cellStyle name="Normal_plantilla para datos fiscales 2" xfId="145" xr:uid="{FA194F72-4A31-4CDC-8318-7859D445A540}"/>
    <cellStyle name="Notas 2" xfId="146" xr:uid="{7CCCE186-CC11-4C90-8894-CB2CED60DAD8}"/>
    <cellStyle name="Note" xfId="147" xr:uid="{04815DB3-FDA5-494D-ADD1-B457D5DD0B39}"/>
    <cellStyle name="Output" xfId="148" xr:uid="{EAAA5F90-55D9-4C4D-A443-D7BDA201656C}"/>
    <cellStyle name="Percent [2]" xfId="149" xr:uid="{5EED17BD-1C20-4827-AAA4-5CF6DF4FB574}"/>
    <cellStyle name="percentage difference" xfId="150" xr:uid="{3ADE814F-FACD-4E4B-ACB0-65FC54C81333}"/>
    <cellStyle name="percentage difference one decimal" xfId="151" xr:uid="{4A54A071-68E3-4B75-B903-5E71F2FC37EA}"/>
    <cellStyle name="percentage difference zero decimal" xfId="152" xr:uid="{73B65AE9-32B1-4159-9EB4-0E1B0F847E36}"/>
    <cellStyle name="Porcentaje" xfId="153" builtinId="5"/>
    <cellStyle name="Porcentaje 2" xfId="154" xr:uid="{C371A594-16F4-49AA-8CD9-9F7D48D07F6F}"/>
    <cellStyle name="Porcentaje 2 2" xfId="155" xr:uid="{B3C06067-0ED5-4773-A5F9-9E4AF2CAD29B}"/>
    <cellStyle name="Porcentaje 3" xfId="156" xr:uid="{D96AFE74-C686-419D-B2BF-4971962981B0}"/>
    <cellStyle name="Porcentaje 4" xfId="157" xr:uid="{F24004DB-1F75-4A36-BD0A-D8CF90B9284A}"/>
    <cellStyle name="Porcentual 2" xfId="158" xr:uid="{B7464963-8111-49FC-9749-AE7076D244F0}"/>
    <cellStyle name="Porcentual 2 10" xfId="159" xr:uid="{5263D40A-3676-42F9-BA31-B55CA652BBEC}"/>
    <cellStyle name="Porcentual 2 2" xfId="160" xr:uid="{10F27876-7980-4AFE-9C5A-2C77BC14734C}"/>
    <cellStyle name="Presentation" xfId="161" xr:uid="{7D47A448-859F-4696-BF57-52C40D11F5F0}"/>
    <cellStyle name="Publication" xfId="162" xr:uid="{8A16EA04-C704-4A4D-AC5E-3BEA5E69401C}"/>
    <cellStyle name="Red Text" xfId="163" xr:uid="{2911352A-399B-4C7B-A377-E9371CC42CA3}"/>
    <cellStyle name="Salida 2" xfId="164" xr:uid="{12E467E9-5539-48ED-B30D-CAE5BC598C8F}"/>
    <cellStyle name="Style1" xfId="165" xr:uid="{E1D64DD7-1665-45EB-84D7-E8988EE35F0A}"/>
    <cellStyle name="Text" xfId="166" xr:uid="{C6DD7775-A4C6-465A-895A-5AAA780987B6}"/>
    <cellStyle name="Texto de advertencia 2" xfId="167" xr:uid="{1AFB0E91-E2A8-4187-B139-BB1BD3C87B4B}"/>
    <cellStyle name="Texto explicativo 2" xfId="168" xr:uid="{6B53439F-6FD2-4EDD-9139-490CFFD5DEB6}"/>
    <cellStyle name="Title" xfId="169" xr:uid="{CDC5CC1B-A7D0-4175-8DBB-CB35BF409E69}"/>
    <cellStyle name="Título 1 2" xfId="170" xr:uid="{5A7D0756-57A6-4907-8C8F-489014556D10}"/>
    <cellStyle name="Título 2 2" xfId="171" xr:uid="{9DD3B652-18B7-4506-9DBF-74E6A26664A1}"/>
    <cellStyle name="Título 3 2" xfId="172" xr:uid="{91E8F92B-A72B-4B40-A0C8-D45B4E56A367}"/>
    <cellStyle name="Título 4" xfId="173" xr:uid="{41BAE479-54B7-43A4-8D29-FFCB7280016A}"/>
    <cellStyle name="TopGrey" xfId="174" xr:uid="{99C32C3D-AC74-4B15-A0BC-A59B1DB0A8D6}"/>
    <cellStyle name="Total 2" xfId="175" xr:uid="{23DA6A1B-76BC-4666-888D-AE367AA49D23}"/>
    <cellStyle name="Warning Text" xfId="176" xr:uid="{D29F0B62-DA9B-45DD-BFF0-9BAB3860A8DF}"/>
    <cellStyle name="ДАТА" xfId="177" xr:uid="{5A6BEB6F-8EA0-43E2-8FE5-1C273F406FB1}"/>
    <cellStyle name="ДЕНЕЖНЫЙ_BOPENGC" xfId="178" xr:uid="{9E26B4AA-5846-4AA4-9EA3-BE39659C00C6}"/>
    <cellStyle name="ЗАГОЛОВОК1" xfId="179" xr:uid="{421BBE6F-A823-4F4D-AB2D-7F5B37E0B6A9}"/>
    <cellStyle name="ЗАГОЛОВОК2" xfId="180" xr:uid="{C7CB55B4-F29B-4D7D-9E9B-89FE8C2CA157}"/>
    <cellStyle name="ИТОГОВЫЙ" xfId="181" xr:uid="{1B959CBE-0356-4E96-8020-D2AFDC951991}"/>
    <cellStyle name="Обычный_BOPENGC" xfId="182" xr:uid="{BE776D8F-4FA7-4216-BCA4-1BC48F9BA92E}"/>
    <cellStyle name="ПРОЦЕНТНЫЙ_BOPENGC" xfId="183" xr:uid="{D6FBA6A1-A782-4299-9F90-777C89BC1280}"/>
    <cellStyle name="ТЕКСТ" xfId="184" xr:uid="{5D41E10D-DC01-43FC-AA0A-52523080239D}"/>
    <cellStyle name="ФИКСИРОВАННЫЙ" xfId="185" xr:uid="{FE3B85E4-032B-4D73-A346-96B99DEEBB9E}"/>
    <cellStyle name="ФИНАНСОВЫЙ_BOPENGC" xfId="186" xr:uid="{5B7D7F16-546F-4ECB-BCA3-1B6A9F304C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2495550</xdr:colOff>
      <xdr:row>3</xdr:row>
      <xdr:rowOff>95250</xdr:rowOff>
    </xdr:to>
    <xdr:pic>
      <xdr:nvPicPr>
        <xdr:cNvPr id="1898" name="Imagen 4">
          <a:extLst>
            <a:ext uri="{FF2B5EF4-FFF2-40B4-BE49-F238E27FC236}">
              <a16:creationId xmlns:a16="http://schemas.microsoft.com/office/drawing/2014/main" id="{7CB84E15-DD13-138C-8BEB-CBE56661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752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180975</xdr:colOff>
      <xdr:row>3</xdr:row>
      <xdr:rowOff>142875</xdr:rowOff>
    </xdr:to>
    <xdr:pic>
      <xdr:nvPicPr>
        <xdr:cNvPr id="2914" name="Imagen 4">
          <a:extLst>
            <a:ext uri="{FF2B5EF4-FFF2-40B4-BE49-F238E27FC236}">
              <a16:creationId xmlns:a16="http://schemas.microsoft.com/office/drawing/2014/main" id="{EBDB7630-9886-E450-D136-FC1B8F2A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0</xdr:row>
      <xdr:rowOff>123825</xdr:rowOff>
    </xdr:from>
    <xdr:to>
      <xdr:col>8</xdr:col>
      <xdr:colOff>1295400</xdr:colOff>
      <xdr:row>4</xdr:row>
      <xdr:rowOff>19050</xdr:rowOff>
    </xdr:to>
    <xdr:pic>
      <xdr:nvPicPr>
        <xdr:cNvPr id="6184" name="Imagen 1">
          <a:extLst>
            <a:ext uri="{FF2B5EF4-FFF2-40B4-BE49-F238E27FC236}">
              <a16:creationId xmlns:a16="http://schemas.microsoft.com/office/drawing/2014/main" id="{22B5EDAF-15C4-54F9-AD08-917824A4D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2733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0EC8-2AC7-4CCE-AAA3-63337B038EA8}">
  <dimension ref="A1:AR90"/>
  <sheetViews>
    <sheetView tabSelected="1" workbookViewId="0">
      <pane xSplit="2" ySplit="7" topLeftCell="Q8" activePane="bottomRight" state="frozen"/>
      <selection pane="topRight" activeCell="C1" sqref="C1"/>
      <selection pane="bottomLeft" activeCell="A8" sqref="A8"/>
      <selection pane="bottomRight" activeCell="AN79" sqref="AN79"/>
    </sheetView>
  </sheetViews>
  <sheetFormatPr baseColWidth="10" defaultRowHeight="12.75"/>
  <cols>
    <col min="1" max="1" width="3.85546875" style="1" customWidth="1"/>
    <col min="2" max="2" width="40" style="1" customWidth="1"/>
    <col min="3" max="15" width="10" style="1" hidden="1" customWidth="1"/>
    <col min="16" max="17" width="10" style="1" bestFit="1" customWidth="1"/>
    <col min="18" max="23" width="10" style="1" customWidth="1"/>
    <col min="24" max="24" width="11.28515625" style="10" hidden="1" customWidth="1"/>
    <col min="25" max="25" width="6.5703125" style="10" hidden="1" customWidth="1"/>
    <col min="26" max="26" width="7.140625" style="10" hidden="1" customWidth="1"/>
    <col min="27" max="27" width="6.5703125" style="10" hidden="1" customWidth="1"/>
    <col min="28" max="28" width="6.85546875" style="10" hidden="1" customWidth="1"/>
    <col min="29" max="29" width="6.28515625" style="10" hidden="1" customWidth="1"/>
    <col min="30" max="30" width="6.85546875" style="10" hidden="1" customWidth="1"/>
    <col min="31" max="31" width="6.140625" style="10" hidden="1" customWidth="1"/>
    <col min="32" max="32" width="7.140625" style="10" hidden="1" customWidth="1"/>
    <col min="33" max="33" width="6.85546875" style="10" hidden="1" customWidth="1"/>
    <col min="34" max="34" width="7.140625" style="1" hidden="1" customWidth="1"/>
    <col min="35" max="35" width="6.5703125" style="1" hidden="1" customWidth="1"/>
    <col min="36" max="36" width="7.5703125" style="1" hidden="1" customWidth="1"/>
    <col min="37" max="38" width="6.85546875" style="1" bestFit="1" customWidth="1"/>
    <col min="39" max="39" width="6.85546875" style="2" bestFit="1" customWidth="1"/>
    <col min="40" max="40" width="7.5703125" style="1" customWidth="1"/>
    <col min="41" max="41" width="8" style="1" bestFit="1" customWidth="1"/>
    <col min="42" max="42" width="7.5703125" style="1" bestFit="1" customWidth="1"/>
    <col min="43" max="43" width="6.85546875" style="1" bestFit="1" customWidth="1"/>
    <col min="44" max="16384" width="11.42578125" style="1"/>
  </cols>
  <sheetData>
    <row r="1" spans="1:44" s="71" customFormat="1">
      <c r="X1" s="72"/>
      <c r="Y1" s="72"/>
      <c r="Z1" s="72"/>
      <c r="AA1" s="72"/>
      <c r="AB1" s="72"/>
      <c r="AC1" s="72"/>
      <c r="AD1" s="72"/>
      <c r="AE1" s="72"/>
      <c r="AF1" s="72"/>
      <c r="AG1" s="72"/>
      <c r="AM1" s="90"/>
    </row>
    <row r="2" spans="1:44">
      <c r="A2" s="253" t="s">
        <v>80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</row>
    <row r="3" spans="1:44">
      <c r="A3" s="252" t="s">
        <v>116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</row>
    <row r="4" spans="1:44">
      <c r="A4" s="254" t="s">
        <v>77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</row>
    <row r="5" spans="1:44" ht="13.5" thickBo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5"/>
      <c r="AI5" s="13"/>
      <c r="AJ5" s="13"/>
      <c r="AK5" s="13"/>
      <c r="AL5" s="13"/>
      <c r="AM5" s="13"/>
      <c r="AN5" s="13"/>
      <c r="AO5" s="13"/>
      <c r="AP5" s="13"/>
      <c r="AQ5" s="13"/>
    </row>
    <row r="6" spans="1:44" ht="13.5" thickTop="1">
      <c r="K6" s="251" t="s">
        <v>81</v>
      </c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 t="s">
        <v>30</v>
      </c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9"/>
    </row>
    <row r="7" spans="1:44">
      <c r="B7" s="70" t="s">
        <v>1</v>
      </c>
      <c r="C7" s="108">
        <v>2006</v>
      </c>
      <c r="D7" s="108">
        <v>2007</v>
      </c>
      <c r="E7" s="108">
        <v>2008</v>
      </c>
      <c r="F7" s="108">
        <v>2009</v>
      </c>
      <c r="G7" s="108">
        <v>2010</v>
      </c>
      <c r="H7" s="108">
        <v>2011</v>
      </c>
      <c r="I7" s="108">
        <v>2012</v>
      </c>
      <c r="J7" s="108">
        <v>2013</v>
      </c>
      <c r="K7" s="108">
        <v>2014</v>
      </c>
      <c r="L7" s="108">
        <v>2015</v>
      </c>
      <c r="M7" s="108">
        <v>2016</v>
      </c>
      <c r="N7" s="108">
        <v>2017</v>
      </c>
      <c r="O7" s="108">
        <v>2018</v>
      </c>
      <c r="P7" s="108">
        <v>2019</v>
      </c>
      <c r="Q7" s="108">
        <v>2020</v>
      </c>
      <c r="R7" s="108">
        <v>2021</v>
      </c>
      <c r="S7" s="108">
        <v>2022</v>
      </c>
      <c r="T7" s="108">
        <v>2023</v>
      </c>
      <c r="U7" s="108">
        <v>2024</v>
      </c>
      <c r="V7" s="108">
        <v>2025</v>
      </c>
      <c r="W7" s="108">
        <v>2026</v>
      </c>
      <c r="X7" s="109" t="s">
        <v>90</v>
      </c>
      <c r="Y7" s="109" t="s">
        <v>91</v>
      </c>
      <c r="Z7" s="109" t="s">
        <v>92</v>
      </c>
      <c r="AA7" s="109" t="s">
        <v>93</v>
      </c>
      <c r="AB7" s="109" t="s">
        <v>94</v>
      </c>
      <c r="AC7" s="109" t="s">
        <v>95</v>
      </c>
      <c r="AD7" s="109" t="s">
        <v>82</v>
      </c>
      <c r="AE7" s="109" t="s">
        <v>96</v>
      </c>
      <c r="AF7" s="109" t="s">
        <v>97</v>
      </c>
      <c r="AG7" s="109" t="s">
        <v>98</v>
      </c>
      <c r="AH7" s="109" t="s">
        <v>99</v>
      </c>
      <c r="AI7" s="109" t="s">
        <v>100</v>
      </c>
      <c r="AJ7" s="109" t="s">
        <v>101</v>
      </c>
      <c r="AK7" s="109" t="s">
        <v>102</v>
      </c>
      <c r="AL7" s="109" t="s">
        <v>103</v>
      </c>
      <c r="AM7" s="109" t="s">
        <v>104</v>
      </c>
      <c r="AN7" s="109" t="s">
        <v>107</v>
      </c>
      <c r="AO7" s="109" t="s">
        <v>108</v>
      </c>
      <c r="AP7" s="109" t="s">
        <v>109</v>
      </c>
      <c r="AQ7" s="109" t="s">
        <v>119</v>
      </c>
    </row>
    <row r="8" spans="1:44">
      <c r="C8" s="10"/>
      <c r="D8" s="10"/>
    </row>
    <row r="9" spans="1:44">
      <c r="A9" s="1">
        <v>1</v>
      </c>
      <c r="B9" s="6" t="s">
        <v>14</v>
      </c>
      <c r="C9" s="32">
        <f>+C11+C34</f>
        <v>117688.86678611999</v>
      </c>
      <c r="D9" s="32">
        <f t="shared" ref="D9:L9" si="0">+D11+D34</f>
        <v>152767.52929959999</v>
      </c>
      <c r="E9" s="32">
        <f t="shared" si="0"/>
        <v>174314.39886082997</v>
      </c>
      <c r="F9" s="32">
        <f t="shared" si="0"/>
        <v>154803.16587553994</v>
      </c>
      <c r="G9" s="32">
        <f t="shared" si="0"/>
        <v>184317.85814816001</v>
      </c>
      <c r="H9" s="32">
        <f t="shared" si="0"/>
        <v>227885.60627354</v>
      </c>
      <c r="I9" s="32">
        <f t="shared" si="0"/>
        <v>250029.85416592</v>
      </c>
      <c r="J9" s="32">
        <f t="shared" si="0"/>
        <v>252803.36626076003</v>
      </c>
      <c r="K9" s="32">
        <f t="shared" si="0"/>
        <v>263601.70064351003</v>
      </c>
      <c r="L9" s="32">
        <f t="shared" si="0"/>
        <v>259799.29573997002</v>
      </c>
      <c r="M9" s="32">
        <f t="shared" ref="M9:R9" si="1">+M11+M34</f>
        <v>319258.6539696299</v>
      </c>
      <c r="N9" s="32">
        <f t="shared" si="1"/>
        <v>345518.5958798799</v>
      </c>
      <c r="O9" s="32">
        <f t="shared" si="1"/>
        <v>320032.42418477999</v>
      </c>
      <c r="P9" s="32">
        <f t="shared" si="1"/>
        <v>367476.60762872</v>
      </c>
      <c r="Q9" s="32">
        <f t="shared" si="1"/>
        <v>325943.20434812002</v>
      </c>
      <c r="R9" s="32">
        <f t="shared" si="1"/>
        <v>420257.68496774003</v>
      </c>
      <c r="S9" s="32">
        <f>+S11+S34</f>
        <v>494671.90083449002</v>
      </c>
      <c r="T9" s="32">
        <f>+T11+T34</f>
        <v>514806.09025051998</v>
      </c>
      <c r="U9" s="32">
        <f>+U11+U34</f>
        <v>527244.47884091001</v>
      </c>
      <c r="V9" s="32">
        <f>+V11+V34</f>
        <v>531956.73898828996</v>
      </c>
      <c r="W9" s="32">
        <f>+W11+W34</f>
        <v>526986.93332319998</v>
      </c>
      <c r="X9" s="101">
        <f>+D9/C9-1</f>
        <v>0.2980627095104047</v>
      </c>
      <c r="Y9" s="101">
        <f t="shared" ref="Y9:AQ9" si="2">+E9/D9-1</f>
        <v>0.14104351664268489</v>
      </c>
      <c r="Z9" s="101">
        <f t="shared" si="2"/>
        <v>-0.11193127540122205</v>
      </c>
      <c r="AA9" s="101">
        <f t="shared" si="2"/>
        <v>0.19065948752204176</v>
      </c>
      <c r="AB9" s="101">
        <f t="shared" si="2"/>
        <v>0.23637290799223032</v>
      </c>
      <c r="AC9" s="101">
        <f t="shared" si="2"/>
        <v>9.7172648393595296E-2</v>
      </c>
      <c r="AD9" s="101">
        <f t="shared" si="2"/>
        <v>1.1092723723302056E-2</v>
      </c>
      <c r="AE9" s="101">
        <f t="shared" si="2"/>
        <v>4.2714361531134948E-2</v>
      </c>
      <c r="AF9" s="101">
        <f t="shared" si="2"/>
        <v>-1.4424811730187947E-2</v>
      </c>
      <c r="AG9" s="101">
        <f t="shared" si="2"/>
        <v>0.22886651043570194</v>
      </c>
      <c r="AH9" s="101">
        <f t="shared" si="2"/>
        <v>8.2252874225135386E-2</v>
      </c>
      <c r="AI9" s="101">
        <f t="shared" si="2"/>
        <v>-7.3762084006500861E-2</v>
      </c>
      <c r="AJ9" s="101">
        <f t="shared" si="2"/>
        <v>0.14824805194284552</v>
      </c>
      <c r="AK9" s="101">
        <f t="shared" si="2"/>
        <v>-0.11302325758531884</v>
      </c>
      <c r="AL9" s="101">
        <f t="shared" si="2"/>
        <v>0.28935863476045509</v>
      </c>
      <c r="AM9" s="101">
        <f t="shared" si="2"/>
        <v>0.1770680668753557</v>
      </c>
      <c r="AN9" s="101">
        <f t="shared" si="2"/>
        <v>4.0702108573509976E-2</v>
      </c>
      <c r="AO9" s="101">
        <f t="shared" si="2"/>
        <v>2.4161308162335748E-2</v>
      </c>
      <c r="AP9" s="101">
        <f t="shared" si="2"/>
        <v>8.937523931477287E-3</v>
      </c>
      <c r="AQ9" s="101">
        <f t="shared" si="2"/>
        <v>-9.3424996824776896E-3</v>
      </c>
    </row>
    <row r="10" spans="1:44">
      <c r="B10" s="6"/>
      <c r="C10" s="2"/>
      <c r="D10" s="2"/>
      <c r="E10" s="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</row>
    <row r="11" spans="1:44">
      <c r="B11" s="6" t="s">
        <v>41</v>
      </c>
      <c r="C11" s="31">
        <f>+C12+C30+C31+C32</f>
        <v>117688.86678611999</v>
      </c>
      <c r="D11" s="31">
        <f t="shared" ref="D11:L11" si="3">+D12+D30+D31+D32</f>
        <v>152767.52929959999</v>
      </c>
      <c r="E11" s="31">
        <f t="shared" si="3"/>
        <v>174175.39886082997</v>
      </c>
      <c r="F11" s="31">
        <f t="shared" si="3"/>
        <v>154803.16587553994</v>
      </c>
      <c r="G11" s="31">
        <f t="shared" si="3"/>
        <v>184317.85814816001</v>
      </c>
      <c r="H11" s="31">
        <f t="shared" si="3"/>
        <v>227885.60627354</v>
      </c>
      <c r="I11" s="31">
        <f t="shared" si="3"/>
        <v>250029.85416592</v>
      </c>
      <c r="J11" s="31">
        <f t="shared" si="3"/>
        <v>252803.36626076003</v>
      </c>
      <c r="K11" s="31">
        <f t="shared" si="3"/>
        <v>263601.70064351003</v>
      </c>
      <c r="L11" s="31">
        <f t="shared" si="3"/>
        <v>259755.47112111002</v>
      </c>
      <c r="M11" s="31">
        <f t="shared" ref="M11:R11" si="4">+M12+M30+M31+M32</f>
        <v>319258.6539696299</v>
      </c>
      <c r="N11" s="31">
        <f t="shared" si="4"/>
        <v>345518.5958798799</v>
      </c>
      <c r="O11" s="31">
        <f t="shared" si="4"/>
        <v>320032.42418477999</v>
      </c>
      <c r="P11" s="31">
        <f t="shared" si="4"/>
        <v>367476.60762872</v>
      </c>
      <c r="Q11" s="31">
        <f t="shared" si="4"/>
        <v>250943.20434812002</v>
      </c>
      <c r="R11" s="31">
        <f t="shared" si="4"/>
        <v>420257.68496774003</v>
      </c>
      <c r="S11" s="31">
        <f>+S12+S30+S31+S32</f>
        <v>493339.12154185004</v>
      </c>
      <c r="T11" s="31">
        <f>+T12+T30+T31+T32</f>
        <v>514806.09025051998</v>
      </c>
      <c r="U11" s="31">
        <f>+U12+U30+U31+U32</f>
        <v>527244.47884091001</v>
      </c>
      <c r="V11" s="31">
        <f>+V12+V30+V31+V32</f>
        <v>531956.73898828996</v>
      </c>
      <c r="W11" s="31">
        <f>+W12+W30+W31+W32</f>
        <v>526986.93332319998</v>
      </c>
      <c r="X11" s="102">
        <f>+D11/C11-1</f>
        <v>0.2980627095104047</v>
      </c>
      <c r="Y11" s="102">
        <f t="shared" ref="Y11:AP26" si="5">+E11/D11-1</f>
        <v>0.14013363742530616</v>
      </c>
      <c r="Z11" s="102">
        <f t="shared" si="5"/>
        <v>-0.11122255560768879</v>
      </c>
      <c r="AA11" s="102">
        <f t="shared" si="5"/>
        <v>0.19065948752204176</v>
      </c>
      <c r="AB11" s="102">
        <f t="shared" si="5"/>
        <v>0.23637290799223032</v>
      </c>
      <c r="AC11" s="102">
        <f t="shared" si="5"/>
        <v>9.7172648393595296E-2</v>
      </c>
      <c r="AD11" s="102">
        <f t="shared" si="5"/>
        <v>1.1092723723302056E-2</v>
      </c>
      <c r="AE11" s="102">
        <f t="shared" si="5"/>
        <v>4.2714361531134948E-2</v>
      </c>
      <c r="AF11" s="102">
        <f t="shared" si="5"/>
        <v>-1.4591064902125139E-2</v>
      </c>
      <c r="AG11" s="102">
        <f t="shared" si="5"/>
        <v>0.22907383852860885</v>
      </c>
      <c r="AH11" s="102">
        <f t="shared" si="5"/>
        <v>8.2252874225135386E-2</v>
      </c>
      <c r="AI11" s="102">
        <f t="shared" si="5"/>
        <v>-7.3762084006500861E-2</v>
      </c>
      <c r="AJ11" s="102">
        <f t="shared" si="5"/>
        <v>0.14824805194284552</v>
      </c>
      <c r="AK11" s="102">
        <f t="shared" si="5"/>
        <v>-0.31711788141448038</v>
      </c>
      <c r="AL11" s="102">
        <f t="shared" si="5"/>
        <v>0.67471235596696655</v>
      </c>
      <c r="AM11" s="102">
        <f t="shared" si="5"/>
        <v>0.1738967285743267</v>
      </c>
      <c r="AN11" s="102">
        <f t="shared" si="5"/>
        <v>4.3513615221875135E-2</v>
      </c>
      <c r="AO11" s="102">
        <f t="shared" si="5"/>
        <v>2.4161308162335748E-2</v>
      </c>
      <c r="AP11" s="102">
        <f t="shared" si="5"/>
        <v>8.937523931477287E-3</v>
      </c>
      <c r="AQ11" s="102">
        <f t="shared" ref="AQ11:AQ12" si="6">+W11/V11-1</f>
        <v>-9.3424996824776896E-3</v>
      </c>
    </row>
    <row r="12" spans="1:44">
      <c r="B12" s="33" t="s">
        <v>40</v>
      </c>
      <c r="C12" s="2">
        <v>112300.79537003</v>
      </c>
      <c r="D12" s="2">
        <v>141432.41370464998</v>
      </c>
      <c r="E12" s="2">
        <v>164942.43670597</v>
      </c>
      <c r="F12" s="2">
        <f t="shared" ref="F12:O12" si="7">+F13+F14+F17+F21+F24+F27</f>
        <v>146656.22548111997</v>
      </c>
      <c r="G12" s="2">
        <f t="shared" si="7"/>
        <v>164717.47081749002</v>
      </c>
      <c r="H12" s="2">
        <f t="shared" si="7"/>
        <v>181516.34002808001</v>
      </c>
      <c r="I12" s="2">
        <f t="shared" si="7"/>
        <v>220598.81869104999</v>
      </c>
      <c r="J12" s="2">
        <f t="shared" si="7"/>
        <v>215043.01874935001</v>
      </c>
      <c r="K12" s="2">
        <f t="shared" si="7"/>
        <v>233846.50739996001</v>
      </c>
      <c r="L12" s="2">
        <f t="shared" si="7"/>
        <v>242031.01339163003</v>
      </c>
      <c r="M12" s="2">
        <f t="shared" si="7"/>
        <v>271137.67905007995</v>
      </c>
      <c r="N12" s="2">
        <f t="shared" si="7"/>
        <v>300587.59776112996</v>
      </c>
      <c r="O12" s="2">
        <f t="shared" si="7"/>
        <v>268299.82720563997</v>
      </c>
      <c r="P12" s="2">
        <f>+P13+P14+P17+P21+P24+P27</f>
        <v>305368.95862300997</v>
      </c>
      <c r="Q12" s="2">
        <f>+Q13+Q14+Q17+Q21+Q24+Q27</f>
        <v>213855.80576362004</v>
      </c>
      <c r="R12" s="2">
        <f>+R13+R14+R17+R21+R24+R27</f>
        <v>371921.80983775004</v>
      </c>
      <c r="S12" s="2">
        <f>+S13+S14+S17+S21+S24+S27+S28+S29</f>
        <v>378269.46113414998</v>
      </c>
      <c r="T12" s="2">
        <f>+T13+T14+T17+T21+T24+T27+T28+T29</f>
        <v>456580.59188305994</v>
      </c>
      <c r="U12" s="2">
        <f>+U13+U14+U17+U21+U24+U27+U28+U29</f>
        <v>463124.42165948998</v>
      </c>
      <c r="V12" s="2">
        <f>+V13+V14+V17+V21+V24+V27+V28+V29</f>
        <v>466192.60197465995</v>
      </c>
      <c r="W12" s="2">
        <f>+W13+W14+W17+W21+W24+W27+W28+W29</f>
        <v>463348.01252999</v>
      </c>
      <c r="X12" s="103">
        <f t="shared" ref="X12:X71" si="8">+D12/C12-1</f>
        <v>0.25940705262711261</v>
      </c>
      <c r="Y12" s="103">
        <f t="shared" si="5"/>
        <v>0.16622796985148991</v>
      </c>
      <c r="Z12" s="103">
        <f t="shared" si="5"/>
        <v>-0.11086419959617444</v>
      </c>
      <c r="AA12" s="103">
        <f t="shared" si="5"/>
        <v>0.12315362186036349</v>
      </c>
      <c r="AB12" s="103">
        <f t="shared" si="5"/>
        <v>0.10198595891023277</v>
      </c>
      <c r="AC12" s="103">
        <f t="shared" si="5"/>
        <v>0.21531107699132779</v>
      </c>
      <c r="AD12" s="103">
        <f t="shared" si="5"/>
        <v>-2.5185084737379793E-2</v>
      </c>
      <c r="AE12" s="103">
        <f t="shared" si="5"/>
        <v>8.7440591003453916E-2</v>
      </c>
      <c r="AF12" s="103">
        <f t="shared" si="5"/>
        <v>3.4999479285237278E-2</v>
      </c>
      <c r="AG12" s="103">
        <f t="shared" si="5"/>
        <v>0.12026006605753659</v>
      </c>
      <c r="AH12" s="103">
        <f t="shared" si="5"/>
        <v>0.10861610534628241</v>
      </c>
      <c r="AI12" s="103">
        <f t="shared" si="5"/>
        <v>-0.10741551147146244</v>
      </c>
      <c r="AJ12" s="103">
        <f t="shared" si="5"/>
        <v>0.13816308345572703</v>
      </c>
      <c r="AK12" s="103">
        <f t="shared" si="5"/>
        <v>-0.29968060038599575</v>
      </c>
      <c r="AL12" s="103">
        <f t="shared" si="5"/>
        <v>0.739124212736334</v>
      </c>
      <c r="AM12" s="103">
        <f t="shared" si="5"/>
        <v>1.7067166077647133E-2</v>
      </c>
      <c r="AN12" s="103">
        <f t="shared" si="5"/>
        <v>0.20702472389421245</v>
      </c>
      <c r="AO12" s="103">
        <f t="shared" si="5"/>
        <v>1.4332255669128546E-2</v>
      </c>
      <c r="AP12" s="103">
        <f t="shared" si="5"/>
        <v>6.6249590211111542E-3</v>
      </c>
      <c r="AQ12" s="103">
        <f t="shared" si="6"/>
        <v>-6.1017472877541445E-3</v>
      </c>
    </row>
    <row r="13" spans="1:44">
      <c r="B13" s="34" t="s">
        <v>33</v>
      </c>
      <c r="C13" s="2">
        <v>12224.733690470002</v>
      </c>
      <c r="D13" s="2">
        <v>18361.84379024</v>
      </c>
      <c r="E13" s="2">
        <v>22521.354608630001</v>
      </c>
      <c r="F13" s="2">
        <v>28636.011988229991</v>
      </c>
      <c r="G13" s="2">
        <v>26181.542071040003</v>
      </c>
      <c r="H13" s="2">
        <v>31492.846784409994</v>
      </c>
      <c r="I13" s="2">
        <v>33013.831815720005</v>
      </c>
      <c r="J13" s="2">
        <v>42689.499853090012</v>
      </c>
      <c r="K13" s="2">
        <v>46143.057502470001</v>
      </c>
      <c r="L13" s="2">
        <v>52504.141151520002</v>
      </c>
      <c r="M13" s="2">
        <v>65541.757024970007</v>
      </c>
      <c r="N13" s="2">
        <v>65211.617973149994</v>
      </c>
      <c r="O13" s="2">
        <v>56567.809598689993</v>
      </c>
      <c r="P13" s="2">
        <v>75786.574457540002</v>
      </c>
      <c r="Q13" s="2">
        <v>90414.309227589998</v>
      </c>
      <c r="R13" s="2">
        <v>103648.48168846</v>
      </c>
      <c r="S13" s="2">
        <v>129710.4521157</v>
      </c>
      <c r="T13" s="2">
        <v>125898.83158873001</v>
      </c>
      <c r="U13" s="2">
        <v>133243.45615652</v>
      </c>
      <c r="V13" s="2">
        <v>140794.11646332999</v>
      </c>
      <c r="W13" s="2">
        <v>135804.70060683999</v>
      </c>
      <c r="X13" s="103">
        <f t="shared" si="8"/>
        <v>0.50202403219256109</v>
      </c>
      <c r="Y13" s="103">
        <f t="shared" si="5"/>
        <v>0.22653012768799052</v>
      </c>
      <c r="Z13" s="103">
        <f t="shared" si="5"/>
        <v>0.27150486664140994</v>
      </c>
      <c r="AA13" s="103">
        <f t="shared" si="5"/>
        <v>-8.5712700434642519E-2</v>
      </c>
      <c r="AB13" s="103">
        <f t="shared" si="5"/>
        <v>0.20286447219031256</v>
      </c>
      <c r="AC13" s="103">
        <f t="shared" si="5"/>
        <v>4.8296206491657889E-2</v>
      </c>
      <c r="AD13" s="103">
        <f t="shared" si="5"/>
        <v>0.29307921877650078</v>
      </c>
      <c r="AE13" s="103">
        <f t="shared" si="5"/>
        <v>8.0899463832205365E-2</v>
      </c>
      <c r="AF13" s="103">
        <f t="shared" si="5"/>
        <v>0.13785570340044107</v>
      </c>
      <c r="AG13" s="103">
        <f t="shared" si="5"/>
        <v>0.24831595351355573</v>
      </c>
      <c r="AH13" s="103">
        <f t="shared" si="5"/>
        <v>-5.0370796695949904E-3</v>
      </c>
      <c r="AI13" s="103">
        <f t="shared" si="5"/>
        <v>-0.13255012899724361</v>
      </c>
      <c r="AJ13" s="103">
        <f t="shared" si="5"/>
        <v>0.33974737567521229</v>
      </c>
      <c r="AK13" s="103">
        <f t="shared" si="5"/>
        <v>0.19301221720009654</v>
      </c>
      <c r="AL13" s="103">
        <f t="shared" si="5"/>
        <v>0.14637254405778921</v>
      </c>
      <c r="AM13" s="103">
        <f t="shared" si="5"/>
        <v>0.25144575205235919</v>
      </c>
      <c r="AN13" s="103">
        <f t="shared" si="5"/>
        <v>-2.9385608212745051E-2</v>
      </c>
      <c r="AO13" s="103">
        <f t="shared" si="5"/>
        <v>5.8337511755331084E-2</v>
      </c>
      <c r="AP13" s="103">
        <f>+V13/U13-1</f>
        <v>5.6668151101846975E-2</v>
      </c>
      <c r="AQ13" s="103">
        <f>+W13/V13-1</f>
        <v>-3.5437672978256174E-2</v>
      </c>
    </row>
    <row r="14" spans="1:44">
      <c r="B14" s="34" t="s">
        <v>34</v>
      </c>
      <c r="C14" s="2">
        <v>8855.1558195399994</v>
      </c>
      <c r="D14" s="2">
        <v>10567.008706860001</v>
      </c>
      <c r="E14" s="2">
        <v>12437.309914790001</v>
      </c>
      <c r="F14" s="2">
        <f t="shared" ref="F14:O14" si="9">+F15+F16</f>
        <v>8199.9467757800048</v>
      </c>
      <c r="G14" s="2">
        <f t="shared" si="9"/>
        <v>9498.208534899999</v>
      </c>
      <c r="H14" s="2">
        <f t="shared" si="9"/>
        <v>12361.910272940002</v>
      </c>
      <c r="I14" s="2">
        <f t="shared" si="9"/>
        <v>12571.47409611</v>
      </c>
      <c r="J14" s="2">
        <f t="shared" si="9"/>
        <v>12411.089074490001</v>
      </c>
      <c r="K14" s="2">
        <f t="shared" si="9"/>
        <v>14909.395967259999</v>
      </c>
      <c r="L14" s="2">
        <f t="shared" si="9"/>
        <v>13066.51185449</v>
      </c>
      <c r="M14" s="2">
        <f t="shared" si="9"/>
        <v>16669.673214660001</v>
      </c>
      <c r="N14" s="2">
        <f t="shared" si="9"/>
        <v>15234.551079249999</v>
      </c>
      <c r="O14" s="2">
        <f t="shared" si="9"/>
        <v>13715.493075260001</v>
      </c>
      <c r="P14" s="2">
        <f t="shared" ref="P14:W14" si="10">+P15+P16</f>
        <v>13995.37491731</v>
      </c>
      <c r="Q14" s="2">
        <f t="shared" si="10"/>
        <v>5426.4147452499992</v>
      </c>
      <c r="R14" s="2">
        <f t="shared" si="10"/>
        <v>13903.118418919999</v>
      </c>
      <c r="S14" s="2">
        <f t="shared" si="10"/>
        <v>7224.57666952</v>
      </c>
      <c r="T14" s="2">
        <f t="shared" si="10"/>
        <v>14011.54940407</v>
      </c>
      <c r="U14" s="2">
        <f t="shared" si="10"/>
        <v>14767.661569350001</v>
      </c>
      <c r="V14" s="2">
        <f t="shared" si="10"/>
        <v>15876.357554540002</v>
      </c>
      <c r="W14" s="2">
        <f t="shared" si="10"/>
        <v>14977.517672359998</v>
      </c>
      <c r="X14" s="103">
        <f t="shared" si="8"/>
        <v>0.1933170824100674</v>
      </c>
      <c r="Y14" s="103">
        <f t="shared" si="5"/>
        <v>0.17699438505391019</v>
      </c>
      <c r="Z14" s="103">
        <f t="shared" si="5"/>
        <v>-0.3406977206518812</v>
      </c>
      <c r="AA14" s="103">
        <f t="shared" si="5"/>
        <v>0.15832563242418107</v>
      </c>
      <c r="AB14" s="103">
        <f t="shared" si="5"/>
        <v>0.30149914349823792</v>
      </c>
      <c r="AC14" s="103">
        <f t="shared" si="5"/>
        <v>1.6952381836060404E-2</v>
      </c>
      <c r="AD14" s="103">
        <f t="shared" si="5"/>
        <v>-1.2757853247267747E-2</v>
      </c>
      <c r="AE14" s="103">
        <f t="shared" si="5"/>
        <v>0.20129634698255994</v>
      </c>
      <c r="AF14" s="103">
        <f t="shared" si="5"/>
        <v>-0.12360555161435416</v>
      </c>
      <c r="AG14" s="103">
        <f t="shared" si="5"/>
        <v>0.27575541202542575</v>
      </c>
      <c r="AH14" s="103">
        <f t="shared" si="5"/>
        <v>-8.6091797777289147E-2</v>
      </c>
      <c r="AI14" s="103">
        <f t="shared" si="5"/>
        <v>-9.971137292381449E-2</v>
      </c>
      <c r="AJ14" s="103">
        <f t="shared" si="5"/>
        <v>2.0406254482739028E-2</v>
      </c>
      <c r="AK14" s="103">
        <f t="shared" si="5"/>
        <v>-0.61227085538534531</v>
      </c>
      <c r="AL14" s="103">
        <f t="shared" si="5"/>
        <v>1.5621186495356008</v>
      </c>
      <c r="AM14" s="103">
        <f t="shared" si="5"/>
        <v>-0.48036286163768371</v>
      </c>
      <c r="AN14" s="103">
        <f t="shared" si="5"/>
        <v>0.93942843228223705</v>
      </c>
      <c r="AO14" s="103">
        <f t="shared" ref="AO14:AQ26" si="11">+U14/T14-1</f>
        <v>5.3963494220016006E-2</v>
      </c>
      <c r="AP14" s="103">
        <f t="shared" si="11"/>
        <v>7.5075933991545218E-2</v>
      </c>
      <c r="AQ14" s="103">
        <f t="shared" si="11"/>
        <v>-5.6614993652808754E-2</v>
      </c>
    </row>
    <row r="15" spans="1:44">
      <c r="B15" s="35" t="s">
        <v>45</v>
      </c>
      <c r="C15" s="2">
        <v>7085.7032841800001</v>
      </c>
      <c r="D15" s="2">
        <v>8378.0006739199998</v>
      </c>
      <c r="E15" s="2">
        <v>9695.4352649200009</v>
      </c>
      <c r="F15" s="2">
        <v>6861.587648540004</v>
      </c>
      <c r="G15" s="2">
        <v>7656.6887240799997</v>
      </c>
      <c r="H15" s="2">
        <v>10237.225412950002</v>
      </c>
      <c r="I15" s="2">
        <v>10504.638619679999</v>
      </c>
      <c r="J15" s="2">
        <v>10429.460002620001</v>
      </c>
      <c r="K15" s="2">
        <v>12497.61675976</v>
      </c>
      <c r="L15" s="2">
        <v>11078.07735172</v>
      </c>
      <c r="M15" s="2">
        <v>14482.735989140001</v>
      </c>
      <c r="N15" s="2">
        <v>12871.98423201</v>
      </c>
      <c r="O15" s="2">
        <v>11471.13971863</v>
      </c>
      <c r="P15" s="2">
        <v>11909.55524811</v>
      </c>
      <c r="Q15" s="2">
        <v>4578.8345671499992</v>
      </c>
      <c r="R15" s="2">
        <v>11442.92580714</v>
      </c>
      <c r="S15" s="2">
        <v>5849.30426145</v>
      </c>
      <c r="T15" s="2">
        <v>11599.082449149999</v>
      </c>
      <c r="U15" s="2">
        <v>11913.35251801</v>
      </c>
      <c r="V15" s="2">
        <v>13113.410646120001</v>
      </c>
      <c r="W15" s="2">
        <v>12488.585457969999</v>
      </c>
      <c r="X15" s="103">
        <f t="shared" si="8"/>
        <v>0.18238096317485764</v>
      </c>
      <c r="Y15" s="103">
        <f t="shared" si="5"/>
        <v>0.15724928205139244</v>
      </c>
      <c r="Z15" s="103">
        <f t="shared" si="5"/>
        <v>-0.29228678640487826</v>
      </c>
      <c r="AA15" s="103">
        <f t="shared" si="5"/>
        <v>0.1158771287734226</v>
      </c>
      <c r="AB15" s="103">
        <f t="shared" si="5"/>
        <v>0.33703037721179796</v>
      </c>
      <c r="AC15" s="103">
        <f t="shared" si="5"/>
        <v>2.6121648781096685E-2</v>
      </c>
      <c r="AD15" s="103">
        <f t="shared" si="5"/>
        <v>-7.1567066494943044E-3</v>
      </c>
      <c r="AE15" s="103">
        <f t="shared" si="5"/>
        <v>0.1982995051153611</v>
      </c>
      <c r="AF15" s="103">
        <f t="shared" si="5"/>
        <v>-0.11358480863412723</v>
      </c>
      <c r="AG15" s="103">
        <f t="shared" si="5"/>
        <v>0.30733299013220816</v>
      </c>
      <c r="AH15" s="103">
        <f t="shared" si="5"/>
        <v>-0.1112187475030848</v>
      </c>
      <c r="AI15" s="103">
        <f t="shared" si="5"/>
        <v>-0.10882894883419647</v>
      </c>
      <c r="AJ15" s="103">
        <f t="shared" si="5"/>
        <v>3.8219003537022678E-2</v>
      </c>
      <c r="AK15" s="103">
        <f t="shared" si="5"/>
        <v>-0.61553269859706616</v>
      </c>
      <c r="AL15" s="103">
        <f t="shared" si="5"/>
        <v>1.4990913384893072</v>
      </c>
      <c r="AM15" s="103">
        <f t="shared" si="5"/>
        <v>-0.48882791341701859</v>
      </c>
      <c r="AN15" s="103">
        <f t="shared" si="5"/>
        <v>0.98298497234860394</v>
      </c>
      <c r="AO15" s="103">
        <f t="shared" si="11"/>
        <v>2.7094390460430828E-2</v>
      </c>
      <c r="AP15" s="103">
        <f t="shared" si="11"/>
        <v>0.10073219325087646</v>
      </c>
      <c r="AQ15" s="103">
        <f t="shared" si="11"/>
        <v>-4.7647801553051705E-2</v>
      </c>
    </row>
    <row r="16" spans="1:44">
      <c r="B16" s="35" t="s">
        <v>46</v>
      </c>
      <c r="C16" s="2">
        <v>1769.45253536</v>
      </c>
      <c r="D16" s="2">
        <v>2189.0080329400002</v>
      </c>
      <c r="E16" s="2">
        <v>2741.8746498699998</v>
      </c>
      <c r="F16" s="2">
        <v>1338.3591272399999</v>
      </c>
      <c r="G16" s="2">
        <v>1841.51981082</v>
      </c>
      <c r="H16" s="2">
        <v>2124.6848599899999</v>
      </c>
      <c r="I16" s="2">
        <v>2066.8354764300002</v>
      </c>
      <c r="J16" s="2">
        <v>1981.62907187</v>
      </c>
      <c r="K16" s="2">
        <v>2411.7792075000002</v>
      </c>
      <c r="L16" s="2">
        <v>1988.4345027699999</v>
      </c>
      <c r="M16" s="2">
        <v>2186.9372255200001</v>
      </c>
      <c r="N16" s="2">
        <v>2362.5668472399998</v>
      </c>
      <c r="O16" s="2">
        <v>2244.3533566300002</v>
      </c>
      <c r="P16" s="2">
        <v>2085.8196692000001</v>
      </c>
      <c r="Q16" s="2">
        <v>847.58017810000001</v>
      </c>
      <c r="R16" s="2">
        <v>2460.1926117800003</v>
      </c>
      <c r="S16" s="2">
        <v>1375.27240807</v>
      </c>
      <c r="T16" s="2">
        <v>2412.4669549200003</v>
      </c>
      <c r="U16" s="2">
        <v>2854.3090513400002</v>
      </c>
      <c r="V16" s="2">
        <v>2762.94690842</v>
      </c>
      <c r="W16" s="2">
        <v>2488.9322143899999</v>
      </c>
      <c r="X16" s="103">
        <f t="shared" si="8"/>
        <v>0.23711034299919254</v>
      </c>
      <c r="Y16" s="103">
        <f t="shared" si="5"/>
        <v>0.25256491004624526</v>
      </c>
      <c r="Z16" s="103">
        <f t="shared" si="5"/>
        <v>-0.51188172394990583</v>
      </c>
      <c r="AA16" s="103">
        <f t="shared" si="5"/>
        <v>0.37595341440053653</v>
      </c>
      <c r="AB16" s="103">
        <f t="shared" si="5"/>
        <v>0.15376703932601798</v>
      </c>
      <c r="AC16" s="103">
        <f t="shared" si="5"/>
        <v>-2.7227277159715846E-2</v>
      </c>
      <c r="AD16" s="103">
        <f t="shared" si="5"/>
        <v>-4.1225538041941956E-2</v>
      </c>
      <c r="AE16" s="103">
        <f t="shared" si="5"/>
        <v>0.217068946825695</v>
      </c>
      <c r="AF16" s="103">
        <f t="shared" si="5"/>
        <v>-0.17553211480284325</v>
      </c>
      <c r="AG16" s="103">
        <f t="shared" si="5"/>
        <v>9.9828645335551691E-2</v>
      </c>
      <c r="AH16" s="103">
        <f t="shared" si="5"/>
        <v>8.0308487902865711E-2</v>
      </c>
      <c r="AI16" s="103">
        <f t="shared" si="5"/>
        <v>-5.0036040566682427E-2</v>
      </c>
      <c r="AJ16" s="103">
        <f t="shared" si="5"/>
        <v>-7.063668782889243E-2</v>
      </c>
      <c r="AK16" s="103">
        <f t="shared" si="5"/>
        <v>-0.59364647355872191</v>
      </c>
      <c r="AL16" s="103">
        <f t="shared" si="5"/>
        <v>1.9026075353660992</v>
      </c>
      <c r="AM16" s="103">
        <f t="shared" si="5"/>
        <v>-0.44098994465520247</v>
      </c>
      <c r="AN16" s="103">
        <f t="shared" si="5"/>
        <v>0.75417389366922283</v>
      </c>
      <c r="AO16" s="103">
        <f t="shared" si="11"/>
        <v>0.18314949165164918</v>
      </c>
      <c r="AP16" s="103">
        <f t="shared" si="11"/>
        <v>-3.2008497074662912E-2</v>
      </c>
      <c r="AQ16" s="103">
        <f t="shared" si="11"/>
        <v>-9.9174795286492201E-2</v>
      </c>
    </row>
    <row r="17" spans="2:43">
      <c r="B17" s="34" t="s">
        <v>35</v>
      </c>
      <c r="C17" s="2">
        <v>55.531994600000004</v>
      </c>
      <c r="D17" s="2">
        <v>205.29075694999997</v>
      </c>
      <c r="E17" s="2">
        <v>318.15984129999998</v>
      </c>
      <c r="F17" s="2">
        <f>+F18+F19</f>
        <v>308.12486529999967</v>
      </c>
      <c r="G17" s="2">
        <f>+G18+G19</f>
        <v>345.07053755999999</v>
      </c>
      <c r="H17" s="2">
        <f>+H18+H19</f>
        <v>365.14086289999995</v>
      </c>
      <c r="I17" s="2">
        <f>+I18+I19</f>
        <v>438.9272507</v>
      </c>
      <c r="J17" s="2">
        <f t="shared" ref="J17:O17" si="12">+J18+J19+J20</f>
        <v>225.13656800999999</v>
      </c>
      <c r="K17" s="2">
        <f t="shared" si="12"/>
        <v>517.98105706000001</v>
      </c>
      <c r="L17" s="2">
        <f t="shared" si="12"/>
        <v>441.45746411000005</v>
      </c>
      <c r="M17" s="2">
        <f t="shared" si="12"/>
        <v>461.84864489</v>
      </c>
      <c r="N17" s="2">
        <f t="shared" si="12"/>
        <v>543.70903606999991</v>
      </c>
      <c r="O17" s="2">
        <f t="shared" si="12"/>
        <v>500.20135826999996</v>
      </c>
      <c r="P17" s="2">
        <f t="shared" ref="P17:W17" si="13">+P18+P19+P20</f>
        <v>470.45470317000007</v>
      </c>
      <c r="Q17" s="2">
        <f t="shared" si="13"/>
        <v>411.60777711999998</v>
      </c>
      <c r="R17" s="2">
        <f t="shared" si="13"/>
        <v>518.43712998000001</v>
      </c>
      <c r="S17" s="2">
        <f t="shared" si="13"/>
        <v>8.389075E-2</v>
      </c>
      <c r="T17" s="2">
        <f t="shared" si="13"/>
        <v>533.60001122000006</v>
      </c>
      <c r="U17" s="2">
        <f t="shared" si="13"/>
        <v>466.15019520999999</v>
      </c>
      <c r="V17" s="2">
        <f t="shared" si="13"/>
        <v>377.94163025</v>
      </c>
      <c r="W17" s="2">
        <f t="shared" si="13"/>
        <v>374.49052753000001</v>
      </c>
      <c r="X17" s="103">
        <f t="shared" si="8"/>
        <v>2.6968014282346697</v>
      </c>
      <c r="Y17" s="103">
        <f t="shared" si="5"/>
        <v>0.54980110174901875</v>
      </c>
      <c r="Z17" s="103">
        <f t="shared" si="5"/>
        <v>-3.1540674520698309E-2</v>
      </c>
      <c r="AA17" s="103">
        <f t="shared" si="5"/>
        <v>0.11990487111135573</v>
      </c>
      <c r="AB17" s="103">
        <f t="shared" si="5"/>
        <v>5.8162964250490834E-2</v>
      </c>
      <c r="AC17" s="103">
        <f t="shared" si="5"/>
        <v>0.20207650059754534</v>
      </c>
      <c r="AD17" s="103">
        <f t="shared" si="5"/>
        <v>-0.48707543755610339</v>
      </c>
      <c r="AE17" s="103">
        <f t="shared" si="5"/>
        <v>1.3007415527316408</v>
      </c>
      <c r="AF17" s="103">
        <f t="shared" si="5"/>
        <v>-0.14773434647270489</v>
      </c>
      <c r="AG17" s="103">
        <f t="shared" si="5"/>
        <v>4.6190590119729036E-2</v>
      </c>
      <c r="AH17" s="103">
        <f t="shared" si="5"/>
        <v>0.17724506087810843</v>
      </c>
      <c r="AI17" s="103">
        <f t="shared" si="5"/>
        <v>-8.0020148486917075E-2</v>
      </c>
      <c r="AJ17" s="103">
        <f t="shared" si="5"/>
        <v>-5.9469360904740198E-2</v>
      </c>
      <c r="AK17" s="103">
        <f t="shared" si="5"/>
        <v>-0.12508521150597485</v>
      </c>
      <c r="AL17" s="103">
        <f t="shared" si="5"/>
        <v>0.25954162870167297</v>
      </c>
      <c r="AM17" s="103">
        <f t="shared" si="5"/>
        <v>-0.99983818529740875</v>
      </c>
      <c r="AN17" s="104">
        <f>+T17/S17-1</f>
        <v>6359.6537218942503</v>
      </c>
      <c r="AO17" s="103">
        <f t="shared" si="11"/>
        <v>-0.12640519975962095</v>
      </c>
      <c r="AP17" s="103">
        <f t="shared" si="11"/>
        <v>-0.18922777651152145</v>
      </c>
      <c r="AQ17" s="103">
        <f t="shared" si="11"/>
        <v>-9.1313114083705349E-3</v>
      </c>
    </row>
    <row r="18" spans="2:43">
      <c r="B18" s="35" t="s">
        <v>47</v>
      </c>
      <c r="C18" s="2">
        <v>55.531994600000004</v>
      </c>
      <c r="D18" s="2">
        <v>16.118960220000002</v>
      </c>
      <c r="E18" s="2">
        <v>12.969134</v>
      </c>
      <c r="F18" s="2">
        <v>11.307666500000003</v>
      </c>
      <c r="G18" s="2">
        <v>13.520284570000001</v>
      </c>
      <c r="H18" s="2">
        <v>15.086956499999999</v>
      </c>
      <c r="I18" s="2">
        <v>17.949067500000002</v>
      </c>
      <c r="J18" s="2">
        <v>12.961921500000001</v>
      </c>
      <c r="K18" s="2">
        <v>18.858517500000001</v>
      </c>
      <c r="L18" s="2">
        <v>16.4744685</v>
      </c>
      <c r="M18" s="2">
        <v>17.215011000000008</v>
      </c>
      <c r="N18" s="2">
        <v>19.769119499999999</v>
      </c>
      <c r="O18" s="2">
        <v>18.007007999999999</v>
      </c>
      <c r="P18" s="2">
        <v>15.659259</v>
      </c>
      <c r="Q18" s="2">
        <v>18.094789500000001</v>
      </c>
      <c r="R18" s="2">
        <v>16.893121499999999</v>
      </c>
      <c r="S18" s="2">
        <v>0</v>
      </c>
      <c r="T18" s="2">
        <v>20.256832500000002</v>
      </c>
      <c r="U18" s="2">
        <v>18.450585</v>
      </c>
      <c r="V18" s="2">
        <v>13.803295500000001</v>
      </c>
      <c r="W18" s="2">
        <v>14.768802000000001</v>
      </c>
      <c r="X18" s="103">
        <f t="shared" si="8"/>
        <v>-0.70973561572737021</v>
      </c>
      <c r="Y18" s="103">
        <f t="shared" si="5"/>
        <v>-0.19541125339411014</v>
      </c>
      <c r="Z18" s="103">
        <f t="shared" si="5"/>
        <v>-0.12810936335456147</v>
      </c>
      <c r="AA18" s="103">
        <f t="shared" si="5"/>
        <v>0.19567415346039763</v>
      </c>
      <c r="AB18" s="103">
        <f t="shared" si="5"/>
        <v>0.11587566237150559</v>
      </c>
      <c r="AC18" s="103">
        <f t="shared" si="5"/>
        <v>0.18970764580649524</v>
      </c>
      <c r="AD18" s="103">
        <f t="shared" si="5"/>
        <v>-0.27784986601671646</v>
      </c>
      <c r="AE18" s="103">
        <f t="shared" si="5"/>
        <v>0.45491681152366192</v>
      </c>
      <c r="AF18" s="103">
        <f t="shared" si="5"/>
        <v>-0.12641762535151557</v>
      </c>
      <c r="AG18" s="103">
        <f t="shared" si="5"/>
        <v>4.4950919053929228E-2</v>
      </c>
      <c r="AH18" s="103">
        <f t="shared" si="5"/>
        <v>0.14836519709455831</v>
      </c>
      <c r="AI18" s="103">
        <f t="shared" si="5"/>
        <v>-8.9134546432379058E-2</v>
      </c>
      <c r="AJ18" s="103">
        <f t="shared" si="5"/>
        <v>-0.1303797388216853</v>
      </c>
      <c r="AK18" s="103">
        <f t="shared" si="5"/>
        <v>0.15553293422121706</v>
      </c>
      <c r="AL18" s="103">
        <f t="shared" si="5"/>
        <v>-6.6409614767831471E-2</v>
      </c>
      <c r="AM18" s="103">
        <f t="shared" si="5"/>
        <v>-1</v>
      </c>
      <c r="AN18" s="186" t="e">
        <f>+T18/S18-1</f>
        <v>#DIV/0!</v>
      </c>
      <c r="AO18" s="103">
        <f t="shared" ref="AO18:AQ20" si="14">+U18/T18-1</f>
        <v>-8.916732169256969E-2</v>
      </c>
      <c r="AP18" s="103">
        <f t="shared" si="14"/>
        <v>-0.25187762339242903</v>
      </c>
      <c r="AQ18" s="103">
        <f t="shared" si="14"/>
        <v>6.9947535354872414E-2</v>
      </c>
    </row>
    <row r="19" spans="2:43">
      <c r="B19" s="35" t="s">
        <v>48</v>
      </c>
      <c r="C19" s="2">
        <v>0</v>
      </c>
      <c r="D19" s="2">
        <v>189.17179672999998</v>
      </c>
      <c r="E19" s="2">
        <v>305.19070729999999</v>
      </c>
      <c r="F19" s="2">
        <v>296.81719879999969</v>
      </c>
      <c r="G19" s="2">
        <v>331.55025298999999</v>
      </c>
      <c r="H19" s="2">
        <v>350.05390639999996</v>
      </c>
      <c r="I19" s="2">
        <v>420.97818319999999</v>
      </c>
      <c r="J19" s="2">
        <v>212.17464651</v>
      </c>
      <c r="K19" s="2">
        <v>340.16015181</v>
      </c>
      <c r="L19" s="2">
        <v>285.03717161000003</v>
      </c>
      <c r="M19" s="2">
        <v>303.13276138999998</v>
      </c>
      <c r="N19" s="2">
        <v>364.32288081999997</v>
      </c>
      <c r="O19" s="2">
        <v>331.54030576999997</v>
      </c>
      <c r="P19" s="2">
        <v>302.53501392000004</v>
      </c>
      <c r="Q19" s="2">
        <v>339.94977886999999</v>
      </c>
      <c r="R19" s="2">
        <v>335.26976173000003</v>
      </c>
      <c r="S19" s="2">
        <v>0</v>
      </c>
      <c r="T19" s="2">
        <v>353.52593322000001</v>
      </c>
      <c r="U19" s="2">
        <v>303.42331521</v>
      </c>
      <c r="V19" s="2">
        <v>225.14883649999999</v>
      </c>
      <c r="W19" s="2">
        <v>224.14719378000001</v>
      </c>
      <c r="X19" s="104" t="e">
        <f t="shared" si="8"/>
        <v>#DIV/0!</v>
      </c>
      <c r="Y19" s="103">
        <f t="shared" si="5"/>
        <v>0.61329919457069382</v>
      </c>
      <c r="Z19" s="103">
        <f t="shared" si="5"/>
        <v>-2.7436970719325382E-2</v>
      </c>
      <c r="AA19" s="103">
        <f t="shared" si="5"/>
        <v>0.1170183342825899</v>
      </c>
      <c r="AB19" s="103">
        <f t="shared" si="5"/>
        <v>5.5809498690257531E-2</v>
      </c>
      <c r="AC19" s="103">
        <f t="shared" si="5"/>
        <v>0.20260958527614936</v>
      </c>
      <c r="AD19" s="103">
        <f t="shared" si="5"/>
        <v>-0.49599609913941967</v>
      </c>
      <c r="AE19" s="103">
        <f>+K19/J19-1</f>
        <v>0.60320828810226357</v>
      </c>
      <c r="AF19" s="103">
        <f t="shared" si="5"/>
        <v>-0.16205008113586883</v>
      </c>
      <c r="AG19" s="103">
        <f t="shared" si="5"/>
        <v>6.3485017332262528E-2</v>
      </c>
      <c r="AH19" s="103">
        <f t="shared" si="5"/>
        <v>0.20185914300194985</v>
      </c>
      <c r="AI19" s="103">
        <f t="shared" si="5"/>
        <v>-8.9982201985817079E-2</v>
      </c>
      <c r="AJ19" s="103">
        <f t="shared" si="5"/>
        <v>-8.7486472519941016E-2</v>
      </c>
      <c r="AK19" s="103">
        <f t="shared" si="5"/>
        <v>0.12367085867255545</v>
      </c>
      <c r="AL19" s="103">
        <f t="shared" si="5"/>
        <v>-1.3766789775702892E-2</v>
      </c>
      <c r="AM19" s="103">
        <f t="shared" si="5"/>
        <v>-1</v>
      </c>
      <c r="AN19" s="104" t="e">
        <f t="shared" si="5"/>
        <v>#DIV/0!</v>
      </c>
      <c r="AO19" s="103">
        <f t="shared" si="14"/>
        <v>-0.14172261014532428</v>
      </c>
      <c r="AP19" s="103">
        <f t="shared" si="14"/>
        <v>-0.25797120651663197</v>
      </c>
      <c r="AQ19" s="103">
        <f t="shared" si="14"/>
        <v>-4.4488025591017388E-3</v>
      </c>
    </row>
    <row r="20" spans="2:43">
      <c r="B20" s="35" t="s">
        <v>83</v>
      </c>
      <c r="C20" s="2"/>
      <c r="D20" s="2"/>
      <c r="E20" s="2"/>
      <c r="F20" s="2"/>
      <c r="G20" s="2"/>
      <c r="H20" s="2">
        <v>0</v>
      </c>
      <c r="I20" s="2">
        <v>0</v>
      </c>
      <c r="J20" s="2">
        <v>0</v>
      </c>
      <c r="K20" s="2">
        <v>158.96238775</v>
      </c>
      <c r="L20" s="2">
        <v>139.94582399999999</v>
      </c>
      <c r="M20" s="2">
        <v>141.50087250000001</v>
      </c>
      <c r="N20" s="2">
        <v>159.61703575000001</v>
      </c>
      <c r="O20" s="2">
        <v>150.6540445</v>
      </c>
      <c r="P20" s="2">
        <v>152.26043025000001</v>
      </c>
      <c r="Q20" s="2">
        <v>53.563208750000001</v>
      </c>
      <c r="R20" s="2">
        <v>166.27424675</v>
      </c>
      <c r="S20" s="2">
        <v>8.389075E-2</v>
      </c>
      <c r="T20" s="2">
        <v>159.81724550000001</v>
      </c>
      <c r="U20" s="2">
        <v>144.276295</v>
      </c>
      <c r="V20" s="2">
        <v>138.98949825</v>
      </c>
      <c r="W20" s="2">
        <v>135.57453175000001</v>
      </c>
      <c r="X20" s="104" t="e">
        <f t="shared" si="8"/>
        <v>#DIV/0!</v>
      </c>
      <c r="Y20" s="104" t="e">
        <f t="shared" si="5"/>
        <v>#DIV/0!</v>
      </c>
      <c r="Z20" s="104" t="e">
        <f t="shared" si="5"/>
        <v>#DIV/0!</v>
      </c>
      <c r="AA20" s="104" t="e">
        <f t="shared" si="5"/>
        <v>#DIV/0!</v>
      </c>
      <c r="AB20" s="104" t="e">
        <f t="shared" si="5"/>
        <v>#DIV/0!</v>
      </c>
      <c r="AC20" s="104" t="e">
        <f t="shared" si="5"/>
        <v>#DIV/0!</v>
      </c>
      <c r="AD20" s="104" t="e">
        <f t="shared" si="5"/>
        <v>#DIV/0!</v>
      </c>
      <c r="AE20" s="104" t="e">
        <f>+K20/J20-1</f>
        <v>#DIV/0!</v>
      </c>
      <c r="AF20" s="103">
        <f t="shared" si="5"/>
        <v>-0.11962932879384869</v>
      </c>
      <c r="AG20" s="103">
        <f t="shared" si="5"/>
        <v>1.1111789230667135E-2</v>
      </c>
      <c r="AH20" s="103">
        <f t="shared" si="5"/>
        <v>0.12802863282698129</v>
      </c>
      <c r="AI20" s="103">
        <f t="shared" si="5"/>
        <v>-5.6153099247114757E-2</v>
      </c>
      <c r="AJ20" s="103">
        <f t="shared" si="5"/>
        <v>1.0662745599239631E-2</v>
      </c>
      <c r="AK20" s="103">
        <f t="shared" si="5"/>
        <v>-0.64821320508517344</v>
      </c>
      <c r="AL20" s="103">
        <f t="shared" si="5"/>
        <v>2.1042622469849697</v>
      </c>
      <c r="AM20" s="103">
        <f t="shared" si="5"/>
        <v>-0.99949546756855179</v>
      </c>
      <c r="AN20" s="104">
        <f t="shared" si="5"/>
        <v>1904.063973084041</v>
      </c>
      <c r="AO20" s="103">
        <f t="shared" si="14"/>
        <v>-9.7242011970479214E-2</v>
      </c>
      <c r="AP20" s="103">
        <f t="shared" si="14"/>
        <v>-3.6643557765328016E-2</v>
      </c>
      <c r="AQ20" s="103">
        <f t="shared" si="14"/>
        <v>-2.4569960630100973E-2</v>
      </c>
    </row>
    <row r="21" spans="2:43">
      <c r="B21" s="34" t="s">
        <v>36</v>
      </c>
      <c r="C21" s="2">
        <v>51043.593369620001</v>
      </c>
      <c r="D21" s="2">
        <v>62762.198820919999</v>
      </c>
      <c r="E21" s="2">
        <v>79744.556072449996</v>
      </c>
      <c r="F21" s="2">
        <f t="shared" ref="F21:O21" si="15">+F22+F23</f>
        <v>64791.258875139989</v>
      </c>
      <c r="G21" s="2">
        <f t="shared" si="15"/>
        <v>74607.033430840005</v>
      </c>
      <c r="H21" s="2">
        <f t="shared" si="15"/>
        <v>84890.217868680003</v>
      </c>
      <c r="I21" s="2">
        <f t="shared" si="15"/>
        <v>90102.336843450001</v>
      </c>
      <c r="J21" s="2">
        <f t="shared" si="15"/>
        <v>93023.263072160014</v>
      </c>
      <c r="K21" s="2">
        <f t="shared" si="15"/>
        <v>103581.66210751999</v>
      </c>
      <c r="L21" s="2">
        <f t="shared" si="15"/>
        <v>95976.686862360002</v>
      </c>
      <c r="M21" s="2">
        <f t="shared" si="15"/>
        <v>111746.59075650999</v>
      </c>
      <c r="N21" s="2">
        <f t="shared" si="15"/>
        <v>124596.02155972</v>
      </c>
      <c r="O21" s="2">
        <f t="shared" si="15"/>
        <v>121654.77198032</v>
      </c>
      <c r="P21" s="2">
        <f t="shared" ref="P21:W21" si="16">+P22+P23</f>
        <v>124110.4966767</v>
      </c>
      <c r="Q21" s="2">
        <f t="shared" si="16"/>
        <v>73037.175812000001</v>
      </c>
      <c r="R21" s="2">
        <f t="shared" si="16"/>
        <v>153615.45075915</v>
      </c>
      <c r="S21" s="2">
        <f t="shared" si="16"/>
        <v>163199.24960077001</v>
      </c>
      <c r="T21" s="2">
        <f t="shared" si="16"/>
        <v>190835.66104094</v>
      </c>
      <c r="U21" s="2">
        <f t="shared" si="16"/>
        <v>195193.12771362998</v>
      </c>
      <c r="V21" s="2">
        <f t="shared" si="16"/>
        <v>201621.36278170999</v>
      </c>
      <c r="W21" s="2">
        <f t="shared" si="16"/>
        <v>193268.64273453</v>
      </c>
      <c r="X21" s="103">
        <f t="shared" si="8"/>
        <v>0.22958033864196259</v>
      </c>
      <c r="Y21" s="103">
        <f t="shared" si="5"/>
        <v>0.27058257311834977</v>
      </c>
      <c r="Z21" s="103">
        <f t="shared" si="5"/>
        <v>-0.18751495943778973</v>
      </c>
      <c r="AA21" s="103">
        <f t="shared" si="5"/>
        <v>0.15149843861833445</v>
      </c>
      <c r="AB21" s="103">
        <f t="shared" si="5"/>
        <v>0.13783130041448999</v>
      </c>
      <c r="AC21" s="103">
        <f t="shared" si="5"/>
        <v>6.1398346071308563E-2</v>
      </c>
      <c r="AD21" s="103">
        <f t="shared" si="5"/>
        <v>3.24178742864909E-2</v>
      </c>
      <c r="AE21" s="103">
        <f t="shared" si="5"/>
        <v>0.11350278077398368</v>
      </c>
      <c r="AF21" s="103">
        <f t="shared" si="5"/>
        <v>-7.3420092808183179E-2</v>
      </c>
      <c r="AG21" s="103">
        <f t="shared" si="5"/>
        <v>0.16430973405828841</v>
      </c>
      <c r="AH21" s="103">
        <f t="shared" si="5"/>
        <v>0.11498722883822254</v>
      </c>
      <c r="AI21" s="103">
        <f t="shared" si="5"/>
        <v>-2.3606288086736593E-2</v>
      </c>
      <c r="AJ21" s="103">
        <f t="shared" si="5"/>
        <v>2.0186012076675919E-2</v>
      </c>
      <c r="AK21" s="103">
        <f t="shared" si="5"/>
        <v>-0.41151491801489415</v>
      </c>
      <c r="AL21" s="103">
        <f t="shared" si="5"/>
        <v>1.1032501469465497</v>
      </c>
      <c r="AM21" s="103">
        <f t="shared" si="5"/>
        <v>6.2388248019700887E-2</v>
      </c>
      <c r="AN21" s="103">
        <f t="shared" si="5"/>
        <v>0.16934153501181037</v>
      </c>
      <c r="AO21" s="103">
        <f t="shared" si="11"/>
        <v>2.2833607979355408E-2</v>
      </c>
      <c r="AP21" s="103">
        <f t="shared" si="11"/>
        <v>3.2932691552086668E-2</v>
      </c>
      <c r="AQ21" s="103">
        <f t="shared" si="11"/>
        <v>-4.1427753150459767E-2</v>
      </c>
    </row>
    <row r="22" spans="2:43">
      <c r="B22" s="35" t="s">
        <v>37</v>
      </c>
      <c r="C22" s="2">
        <v>24357.875697330001</v>
      </c>
      <c r="D22" s="2">
        <v>28423.45297939</v>
      </c>
      <c r="E22" s="2">
        <v>35910.984698599998</v>
      </c>
      <c r="F22" s="2">
        <v>36065.710500029993</v>
      </c>
      <c r="G22" s="2">
        <v>37540.370044870004</v>
      </c>
      <c r="H22" s="2">
        <v>41154.123762690004</v>
      </c>
      <c r="I22" s="2">
        <v>44524.633210699998</v>
      </c>
      <c r="J22" s="2">
        <v>47476.930643160005</v>
      </c>
      <c r="K22" s="2">
        <v>49998.494343809994</v>
      </c>
      <c r="L22" s="2">
        <v>48773.091727309999</v>
      </c>
      <c r="M22" s="2">
        <v>58693.779392789991</v>
      </c>
      <c r="N22" s="2">
        <v>63128.167259180002</v>
      </c>
      <c r="O22" s="2">
        <v>61677.426426639999</v>
      </c>
      <c r="P22" s="2">
        <v>67528.773604610004</v>
      </c>
      <c r="Q22" s="2">
        <v>49427.786155599999</v>
      </c>
      <c r="R22" s="2">
        <v>90118.896183079996</v>
      </c>
      <c r="S22" s="2">
        <v>123872.39247541</v>
      </c>
      <c r="T22" s="2">
        <v>119129.08971842</v>
      </c>
      <c r="U22" s="2">
        <v>118713.39061661999</v>
      </c>
      <c r="V22" s="2">
        <v>124415.90925098</v>
      </c>
      <c r="W22" s="2">
        <v>121388.48875053</v>
      </c>
      <c r="X22" s="103">
        <f t="shared" si="8"/>
        <v>0.16691017445768686</v>
      </c>
      <c r="Y22" s="103">
        <f t="shared" si="5"/>
        <v>0.26342794187037177</v>
      </c>
      <c r="Z22" s="103">
        <f t="shared" si="5"/>
        <v>4.3085925581991535E-3</v>
      </c>
      <c r="AA22" s="103">
        <f t="shared" si="5"/>
        <v>4.0888132367135288E-2</v>
      </c>
      <c r="AB22" s="103">
        <f t="shared" si="5"/>
        <v>9.6263135219516238E-2</v>
      </c>
      <c r="AC22" s="103">
        <f t="shared" si="5"/>
        <v>8.1899677112446945E-2</v>
      </c>
      <c r="AD22" s="103">
        <f t="shared" si="5"/>
        <v>6.6307057904084532E-2</v>
      </c>
      <c r="AE22" s="103">
        <f t="shared" si="5"/>
        <v>5.3111346215749311E-2</v>
      </c>
      <c r="AF22" s="103">
        <f t="shared" si="5"/>
        <v>-2.4508790366238431E-2</v>
      </c>
      <c r="AG22" s="103">
        <f t="shared" si="5"/>
        <v>0.20340493731556908</v>
      </c>
      <c r="AH22" s="103">
        <f t="shared" si="5"/>
        <v>7.5551240902621775E-2</v>
      </c>
      <c r="AI22" s="103">
        <f t="shared" si="5"/>
        <v>-2.2980879938804821E-2</v>
      </c>
      <c r="AJ22" s="103">
        <f t="shared" si="5"/>
        <v>9.4870157802866117E-2</v>
      </c>
      <c r="AK22" s="103">
        <f t="shared" si="5"/>
        <v>-0.26804851447464018</v>
      </c>
      <c r="AL22" s="103">
        <f t="shared" si="5"/>
        <v>0.8232436285813669</v>
      </c>
      <c r="AM22" s="103">
        <f t="shared" si="5"/>
        <v>0.37454404927195828</v>
      </c>
      <c r="AN22" s="103">
        <f t="shared" si="5"/>
        <v>-3.8291847458517436E-2</v>
      </c>
      <c r="AO22" s="103">
        <f t="shared" si="11"/>
        <v>-3.4894844137781655E-3</v>
      </c>
      <c r="AP22" s="103">
        <f t="shared" si="11"/>
        <v>4.8036018554773241E-2</v>
      </c>
      <c r="AQ22" s="103">
        <f t="shared" si="11"/>
        <v>-2.4333065752410232E-2</v>
      </c>
    </row>
    <row r="23" spans="2:43">
      <c r="B23" s="35" t="s">
        <v>38</v>
      </c>
      <c r="C23" s="2">
        <v>26685.71767229</v>
      </c>
      <c r="D23" s="2">
        <v>34338.745841529999</v>
      </c>
      <c r="E23" s="2">
        <v>43833.571373849998</v>
      </c>
      <c r="F23" s="2">
        <v>28725.548375109996</v>
      </c>
      <c r="G23" s="2">
        <v>37066.663385970001</v>
      </c>
      <c r="H23" s="2">
        <v>43736.09410599</v>
      </c>
      <c r="I23" s="2">
        <v>45577.703632750003</v>
      </c>
      <c r="J23" s="2">
        <v>45546.332429000002</v>
      </c>
      <c r="K23" s="2">
        <v>53583.16776371</v>
      </c>
      <c r="L23" s="2">
        <v>47203.595135050004</v>
      </c>
      <c r="M23" s="2">
        <v>53052.81136372</v>
      </c>
      <c r="N23" s="2">
        <v>61467.854300539999</v>
      </c>
      <c r="O23" s="2">
        <v>59977.345553680003</v>
      </c>
      <c r="P23" s="2">
        <v>56581.723072089997</v>
      </c>
      <c r="Q23" s="2">
        <v>23609.389656400002</v>
      </c>
      <c r="R23" s="2">
        <v>63496.554576069997</v>
      </c>
      <c r="S23" s="2">
        <v>39326.857125360002</v>
      </c>
      <c r="T23" s="2">
        <v>71706.571322520002</v>
      </c>
      <c r="U23" s="2">
        <v>76479.737097009987</v>
      </c>
      <c r="V23" s="2">
        <v>77205.453530729996</v>
      </c>
      <c r="W23" s="2">
        <v>71880.153984000004</v>
      </c>
      <c r="X23" s="103">
        <f t="shared" si="8"/>
        <v>0.28678367444420561</v>
      </c>
      <c r="Y23" s="103">
        <f t="shared" si="5"/>
        <v>0.27650472664720205</v>
      </c>
      <c r="Z23" s="103">
        <f t="shared" si="5"/>
        <v>-0.34466785445990533</v>
      </c>
      <c r="AA23" s="103">
        <f t="shared" si="5"/>
        <v>0.2903726989625508</v>
      </c>
      <c r="AB23" s="103">
        <f t="shared" si="5"/>
        <v>0.17993070081793294</v>
      </c>
      <c r="AC23" s="103">
        <f t="shared" si="5"/>
        <v>4.2107315808701307E-2</v>
      </c>
      <c r="AD23" s="103">
        <f t="shared" si="5"/>
        <v>-6.883015432892492E-4</v>
      </c>
      <c r="AE23" s="103">
        <f t="shared" si="5"/>
        <v>0.17645406130643426</v>
      </c>
      <c r="AF23" s="103">
        <f t="shared" si="5"/>
        <v>-0.11905926608879325</v>
      </c>
      <c r="AG23" s="103">
        <f t="shared" si="5"/>
        <v>0.12391463429714045</v>
      </c>
      <c r="AH23" s="103">
        <f t="shared" si="5"/>
        <v>0.15861634323444362</v>
      </c>
      <c r="AI23" s="103">
        <f t="shared" si="5"/>
        <v>-2.4248589182441993E-2</v>
      </c>
      <c r="AJ23" s="103">
        <f t="shared" si="5"/>
        <v>-5.6615084416346995E-2</v>
      </c>
      <c r="AK23" s="103">
        <f t="shared" si="5"/>
        <v>-0.5827382346359512</v>
      </c>
      <c r="AL23" s="103">
        <f t="shared" si="5"/>
        <v>1.6894619259612007</v>
      </c>
      <c r="AM23" s="103">
        <f t="shared" si="5"/>
        <v>-0.38064581002980669</v>
      </c>
      <c r="AN23" s="103">
        <f t="shared" si="5"/>
        <v>0.82334863663132318</v>
      </c>
      <c r="AO23" s="103">
        <f t="shared" si="11"/>
        <v>6.6565248992611403E-2</v>
      </c>
      <c r="AP23" s="103">
        <f t="shared" si="11"/>
        <v>9.489002724989426E-3</v>
      </c>
      <c r="AQ23" s="103">
        <f t="shared" si="11"/>
        <v>-6.8975691524308824E-2</v>
      </c>
    </row>
    <row r="24" spans="2:43">
      <c r="B24" s="34" t="s">
        <v>39</v>
      </c>
      <c r="C24" s="2">
        <v>9572.4232669800003</v>
      </c>
      <c r="D24" s="2">
        <v>12847.038212789999</v>
      </c>
      <c r="E24" s="2">
        <v>14246.31576892</v>
      </c>
      <c r="F24" s="2">
        <f t="shared" ref="F24:O24" si="17">+F25+F26</f>
        <v>8299.1829766699975</v>
      </c>
      <c r="G24" s="2">
        <f t="shared" si="17"/>
        <v>11455.781513360002</v>
      </c>
      <c r="H24" s="2">
        <f t="shared" si="17"/>
        <v>15407.117832350003</v>
      </c>
      <c r="I24" s="2">
        <f t="shared" si="17"/>
        <v>15619.096061609998</v>
      </c>
      <c r="J24" s="2">
        <f t="shared" si="17"/>
        <v>14581.759189159999</v>
      </c>
      <c r="K24" s="2">
        <f t="shared" si="17"/>
        <v>16046.437096160002</v>
      </c>
      <c r="L24" s="2">
        <f t="shared" si="17"/>
        <v>16971.359267299998</v>
      </c>
      <c r="M24" s="2">
        <f t="shared" si="17"/>
        <v>19837.992832150001</v>
      </c>
      <c r="N24" s="2">
        <f t="shared" si="17"/>
        <v>21172.654602820003</v>
      </c>
      <c r="O24" s="2">
        <f t="shared" si="17"/>
        <v>17740.516626189998</v>
      </c>
      <c r="P24" s="2">
        <f t="shared" ref="P24:W24" si="18">+P25+P26</f>
        <v>15991.36178279</v>
      </c>
      <c r="Q24" s="2">
        <f t="shared" si="18"/>
        <v>3458.42690064</v>
      </c>
      <c r="R24" s="2">
        <f t="shared" si="18"/>
        <v>13138.79937363</v>
      </c>
      <c r="S24" s="2">
        <f t="shared" si="18"/>
        <v>9679.1496347800021</v>
      </c>
      <c r="T24" s="2">
        <f t="shared" si="18"/>
        <v>22241.193404139998</v>
      </c>
      <c r="U24" s="2">
        <f t="shared" si="18"/>
        <v>30145.795454220002</v>
      </c>
      <c r="V24" s="2">
        <f t="shared" si="18"/>
        <v>24562.226877089997</v>
      </c>
      <c r="W24" s="2">
        <f t="shared" si="18"/>
        <v>22183.86982448</v>
      </c>
      <c r="X24" s="103">
        <f t="shared" si="8"/>
        <v>0.34208839856734685</v>
      </c>
      <c r="Y24" s="103">
        <f t="shared" si="5"/>
        <v>0.10891829952968735</v>
      </c>
      <c r="Z24" s="103">
        <f t="shared" si="5"/>
        <v>-0.4174505808178397</v>
      </c>
      <c r="AA24" s="103">
        <f t="shared" si="5"/>
        <v>0.38035051710072931</v>
      </c>
      <c r="AB24" s="103">
        <f t="shared" si="5"/>
        <v>0.34492071225187559</v>
      </c>
      <c r="AC24" s="103">
        <f t="shared" si="5"/>
        <v>1.3758460963731345E-2</v>
      </c>
      <c r="AD24" s="103">
        <f t="shared" si="5"/>
        <v>-6.6414654750709845E-2</v>
      </c>
      <c r="AE24" s="103">
        <f t="shared" si="5"/>
        <v>0.10044589874237109</v>
      </c>
      <c r="AF24" s="103">
        <f t="shared" si="5"/>
        <v>5.7640345055871345E-2</v>
      </c>
      <c r="AG24" s="103">
        <f t="shared" si="5"/>
        <v>0.16891007489148868</v>
      </c>
      <c r="AH24" s="103">
        <f t="shared" si="5"/>
        <v>6.727806497172506E-2</v>
      </c>
      <c r="AI24" s="103">
        <f t="shared" si="5"/>
        <v>-0.16210239296931972</v>
      </c>
      <c r="AJ24" s="103">
        <f t="shared" si="5"/>
        <v>-9.8596612503254466E-2</v>
      </c>
      <c r="AK24" s="103">
        <f t="shared" si="5"/>
        <v>-0.78373155784881432</v>
      </c>
      <c r="AL24" s="103">
        <f t="shared" si="5"/>
        <v>2.7990681171253313</v>
      </c>
      <c r="AM24" s="103">
        <f t="shared" si="5"/>
        <v>-0.26331551616456128</v>
      </c>
      <c r="AN24" s="103">
        <f t="shared" si="5"/>
        <v>1.297845807055293</v>
      </c>
      <c r="AO24" s="103">
        <f t="shared" si="11"/>
        <v>0.35540368299700287</v>
      </c>
      <c r="AP24" s="103">
        <f t="shared" si="11"/>
        <v>-0.18521881718494781</v>
      </c>
      <c r="AQ24" s="103">
        <f t="shared" si="11"/>
        <v>-9.682986255730619E-2</v>
      </c>
    </row>
    <row r="25" spans="2:43">
      <c r="B25" s="35" t="s">
        <v>37</v>
      </c>
      <c r="C25" s="2">
        <v>1435.9874094500001</v>
      </c>
      <c r="D25" s="2">
        <v>1479.7461292400001</v>
      </c>
      <c r="E25" s="2">
        <v>1904.9601166</v>
      </c>
      <c r="F25" s="2">
        <v>2034.6521740000007</v>
      </c>
      <c r="G25" s="2">
        <v>1817.42393608</v>
      </c>
      <c r="H25" s="2">
        <v>2256.1660152300001</v>
      </c>
      <c r="I25" s="2">
        <v>1954.31939164</v>
      </c>
      <c r="J25" s="2">
        <v>1966.8813113599999</v>
      </c>
      <c r="K25" s="2">
        <v>729.10292528999992</v>
      </c>
      <c r="L25" s="2">
        <v>1432.3665299700001</v>
      </c>
      <c r="M25" s="2">
        <v>1055.0526386000004</v>
      </c>
      <c r="N25" s="2">
        <v>1034.3975502599999</v>
      </c>
      <c r="O25" s="2">
        <v>801.52966659000003</v>
      </c>
      <c r="P25" s="2">
        <v>956.37292549000006</v>
      </c>
      <c r="Q25" s="2">
        <v>43.529815999999997</v>
      </c>
      <c r="R25" s="2">
        <v>724.64812199999994</v>
      </c>
      <c r="S25" s="2">
        <v>840.70061299999998</v>
      </c>
      <c r="T25" s="2">
        <v>836.49999800000001</v>
      </c>
      <c r="U25" s="2">
        <v>815.00770699999998</v>
      </c>
      <c r="V25" s="2">
        <v>902.36788100000001</v>
      </c>
      <c r="W25" s="2">
        <v>528.74771799999996</v>
      </c>
      <c r="X25" s="103">
        <f t="shared" si="8"/>
        <v>3.0472913273494662E-2</v>
      </c>
      <c r="Y25" s="103">
        <f t="shared" si="5"/>
        <v>0.28735603963254874</v>
      </c>
      <c r="Z25" s="103">
        <f t="shared" si="5"/>
        <v>6.8081245517873201E-2</v>
      </c>
      <c r="AA25" s="103">
        <f t="shared" si="5"/>
        <v>-0.10676431121538743</v>
      </c>
      <c r="AB25" s="103">
        <f t="shared" si="5"/>
        <v>0.24140877119530102</v>
      </c>
      <c r="AC25" s="103">
        <f t="shared" si="5"/>
        <v>-0.13378741703953423</v>
      </c>
      <c r="AD25" s="103">
        <f t="shared" si="5"/>
        <v>6.4277721306640334E-3</v>
      </c>
      <c r="AE25" s="103">
        <f t="shared" si="5"/>
        <v>-0.62931015660224987</v>
      </c>
      <c r="AF25" s="103">
        <f>+L25/K25-1</f>
        <v>0.96456011941013386</v>
      </c>
      <c r="AG25" s="103">
        <f t="shared" si="5"/>
        <v>-0.26341993021709487</v>
      </c>
      <c r="AH25" s="103">
        <f t="shared" si="5"/>
        <v>-1.9577305988645932E-2</v>
      </c>
      <c r="AI25" s="103">
        <f t="shared" si="5"/>
        <v>-0.2251241639265944</v>
      </c>
      <c r="AJ25" s="103">
        <f>+P25/O25-1</f>
        <v>0.19318468842052949</v>
      </c>
      <c r="AK25" s="103">
        <f t="shared" si="5"/>
        <v>-0.95448447479031528</v>
      </c>
      <c r="AL25" s="103">
        <f t="shared" si="5"/>
        <v>15.647167127929048</v>
      </c>
      <c r="AM25" s="103">
        <f t="shared" si="5"/>
        <v>0.16015013007927181</v>
      </c>
      <c r="AN25" s="103">
        <f t="shared" si="5"/>
        <v>-4.9965646926439788E-3</v>
      </c>
      <c r="AO25" s="103">
        <f t="shared" si="11"/>
        <v>-2.5693115423055857E-2</v>
      </c>
      <c r="AP25" s="103">
        <f t="shared" si="11"/>
        <v>0.10718938391585064</v>
      </c>
      <c r="AQ25" s="103">
        <f t="shared" si="11"/>
        <v>-0.41404417296630269</v>
      </c>
    </row>
    <row r="26" spans="2:43">
      <c r="B26" s="35" t="s">
        <v>38</v>
      </c>
      <c r="C26" s="2">
        <v>8136.4358575299993</v>
      </c>
      <c r="D26" s="2">
        <v>11367.292083549999</v>
      </c>
      <c r="E26" s="2">
        <v>12341.35565232</v>
      </c>
      <c r="F26" s="2">
        <v>6264.5308026699968</v>
      </c>
      <c r="G26" s="2">
        <v>9638.3575772800014</v>
      </c>
      <c r="H26" s="2">
        <v>13150.951817120002</v>
      </c>
      <c r="I26" s="2">
        <v>13664.776669969999</v>
      </c>
      <c r="J26" s="2">
        <v>12614.8778778</v>
      </c>
      <c r="K26" s="2">
        <v>15317.334170870001</v>
      </c>
      <c r="L26" s="2">
        <v>15538.99273733</v>
      </c>
      <c r="M26" s="2">
        <v>18782.940193549999</v>
      </c>
      <c r="N26" s="2">
        <v>20138.257052560002</v>
      </c>
      <c r="O26" s="2">
        <v>16938.986959599999</v>
      </c>
      <c r="P26" s="2">
        <v>15034.988857299999</v>
      </c>
      <c r="Q26" s="2">
        <v>3414.8970846399998</v>
      </c>
      <c r="R26" s="2">
        <v>12414.151251629999</v>
      </c>
      <c r="S26" s="2">
        <v>8838.4490217800012</v>
      </c>
      <c r="T26" s="2">
        <v>21404.693406139999</v>
      </c>
      <c r="U26" s="2">
        <v>29330.787747220002</v>
      </c>
      <c r="V26" s="2">
        <v>23659.858996089999</v>
      </c>
      <c r="W26" s="2">
        <v>21655.122106480001</v>
      </c>
      <c r="X26" s="103">
        <f t="shared" si="8"/>
        <v>0.39708495004356847</v>
      </c>
      <c r="Y26" s="103">
        <f t="shared" si="5"/>
        <v>8.569002728271613E-2</v>
      </c>
      <c r="Z26" s="103">
        <f t="shared" si="5"/>
        <v>-0.49239524577736693</v>
      </c>
      <c r="AA26" s="103">
        <f t="shared" si="5"/>
        <v>0.53856017008840484</v>
      </c>
      <c r="AB26" s="103">
        <f t="shared" si="5"/>
        <v>0.36443908743540043</v>
      </c>
      <c r="AC26" s="103">
        <f t="shared" si="5"/>
        <v>3.9071305255722777E-2</v>
      </c>
      <c r="AD26" s="103">
        <f t="shared" si="5"/>
        <v>-7.683248819406463E-2</v>
      </c>
      <c r="AE26" s="103">
        <f t="shared" si="5"/>
        <v>0.2142277015480154</v>
      </c>
      <c r="AF26" s="103">
        <f t="shared" si="5"/>
        <v>1.4471092945242514E-2</v>
      </c>
      <c r="AG26" s="103">
        <f t="shared" si="5"/>
        <v>0.20876175895410021</v>
      </c>
      <c r="AH26" s="103">
        <f t="shared" si="5"/>
        <v>7.2156800002771471E-2</v>
      </c>
      <c r="AI26" s="103">
        <f t="shared" si="5"/>
        <v>-0.15886529229466295</v>
      </c>
      <c r="AJ26" s="103">
        <f t="shared" si="5"/>
        <v>-0.11240330409611232</v>
      </c>
      <c r="AK26" s="103">
        <f t="shared" si="5"/>
        <v>-0.77286999564472902</v>
      </c>
      <c r="AL26" s="103">
        <f t="shared" si="5"/>
        <v>2.635292936782224</v>
      </c>
      <c r="AM26" s="103">
        <f t="shared" si="5"/>
        <v>-0.28803436959739814</v>
      </c>
      <c r="AN26" s="103">
        <f t="shared" si="5"/>
        <v>1.4217703075951267</v>
      </c>
      <c r="AO26" s="103">
        <f t="shared" si="11"/>
        <v>0.37029702741765869</v>
      </c>
      <c r="AP26" s="103">
        <f t="shared" si="11"/>
        <v>-0.19334389515902106</v>
      </c>
      <c r="AQ26" s="103">
        <f t="shared" si="11"/>
        <v>-8.4731565388504571E-2</v>
      </c>
    </row>
    <row r="27" spans="2:43">
      <c r="B27" s="34" t="s">
        <v>42</v>
      </c>
      <c r="C27" s="2">
        <v>30549.357228819994</v>
      </c>
      <c r="D27" s="2">
        <v>36689.033416889994</v>
      </c>
      <c r="E27" s="2">
        <v>35674.740499879998</v>
      </c>
      <c r="F27" s="2">
        <v>36421.699999999997</v>
      </c>
      <c r="G27" s="2">
        <v>42629.834729790004</v>
      </c>
      <c r="H27" s="2">
        <v>36999.106406800012</v>
      </c>
      <c r="I27" s="2">
        <v>68853.152623459988</v>
      </c>
      <c r="J27" s="2">
        <v>52112.270992439997</v>
      </c>
      <c r="K27" s="2">
        <v>52647.973669490006</v>
      </c>
      <c r="L27" s="2">
        <v>63070.856791850005</v>
      </c>
      <c r="M27" s="2">
        <v>56879.816576900012</v>
      </c>
      <c r="N27" s="2">
        <v>73829.043510119998</v>
      </c>
      <c r="O27" s="2">
        <v>58121.034566909999</v>
      </c>
      <c r="P27" s="2">
        <v>75014.696085499978</v>
      </c>
      <c r="Q27" s="2">
        <v>41107.871301020001</v>
      </c>
      <c r="R27" s="2">
        <v>87097.52246760999</v>
      </c>
      <c r="S27" s="2">
        <v>52007.006083840002</v>
      </c>
      <c r="T27" s="2">
        <v>103029.09003423994</v>
      </c>
      <c r="U27" s="2">
        <v>89308.230570559972</v>
      </c>
      <c r="V27" s="2">
        <v>82960.596667739999</v>
      </c>
      <c r="W27" s="2">
        <v>96738.791164249997</v>
      </c>
      <c r="X27" s="103">
        <f t="shared" si="8"/>
        <v>0.20097562583994022</v>
      </c>
      <c r="Y27" s="103">
        <f t="shared" ref="Y27:AQ32" si="19">+E27/D27-1</f>
        <v>-2.764567017846431E-2</v>
      </c>
      <c r="Z27" s="103">
        <f t="shared" si="19"/>
        <v>2.0938049994295271E-2</v>
      </c>
      <c r="AA27" s="103">
        <f t="shared" si="19"/>
        <v>0.17045153657819401</v>
      </c>
      <c r="AB27" s="103">
        <f t="shared" si="19"/>
        <v>-0.13208421657462355</v>
      </c>
      <c r="AC27" s="103">
        <f t="shared" si="19"/>
        <v>0.86094096074724558</v>
      </c>
      <c r="AD27" s="103">
        <f t="shared" si="19"/>
        <v>-0.24313892673254234</v>
      </c>
      <c r="AE27" s="103">
        <f t="shared" si="19"/>
        <v>1.0279779922232279E-2</v>
      </c>
      <c r="AF27" s="103">
        <f t="shared" si="19"/>
        <v>0.1979731107562106</v>
      </c>
      <c r="AG27" s="103">
        <f t="shared" si="19"/>
        <v>-9.8160077884814734E-2</v>
      </c>
      <c r="AH27" s="103">
        <f t="shared" si="19"/>
        <v>0.29798315032020328</v>
      </c>
      <c r="AI27" s="103">
        <f t="shared" si="19"/>
        <v>-0.21276191856741111</v>
      </c>
      <c r="AJ27" s="103">
        <f t="shared" si="19"/>
        <v>0.29066346881939431</v>
      </c>
      <c r="AK27" s="103">
        <f t="shared" si="19"/>
        <v>-0.45200242824197778</v>
      </c>
      <c r="AL27" s="103">
        <f t="shared" si="19"/>
        <v>1.1187553553873477</v>
      </c>
      <c r="AM27" s="103">
        <f t="shared" si="19"/>
        <v>-0.40288765270928939</v>
      </c>
      <c r="AN27" s="103">
        <f t="shared" si="19"/>
        <v>0.98106174133822899</v>
      </c>
      <c r="AO27" s="103">
        <f t="shared" si="19"/>
        <v>-0.13317461562671351</v>
      </c>
      <c r="AP27" s="103">
        <f t="shared" si="19"/>
        <v>-7.1075575703012928E-2</v>
      </c>
      <c r="AQ27" s="103">
        <f t="shared" si="19"/>
        <v>0.16608118853932718</v>
      </c>
    </row>
    <row r="28" spans="2:43">
      <c r="B28" s="34" t="s">
        <v>105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2399.6350074299999</v>
      </c>
      <c r="T28" s="2">
        <v>0</v>
      </c>
      <c r="U28" s="2">
        <v>0</v>
      </c>
      <c r="V28" s="2">
        <v>0</v>
      </c>
      <c r="W28" s="2">
        <v>0</v>
      </c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98" t="e">
        <f t="shared" si="19"/>
        <v>#DIV/0!</v>
      </c>
      <c r="AI28" s="103"/>
      <c r="AJ28" s="103"/>
      <c r="AK28" s="103"/>
      <c r="AL28" s="103"/>
      <c r="AM28" s="103"/>
      <c r="AN28" s="103"/>
      <c r="AO28" s="103"/>
      <c r="AP28" s="103"/>
      <c r="AQ28" s="103"/>
    </row>
    <row r="29" spans="2:43">
      <c r="B29" s="34" t="s">
        <v>106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14049.308131360001</v>
      </c>
      <c r="T29" s="2">
        <v>30.666399719999998</v>
      </c>
      <c r="U29" s="2">
        <v>0</v>
      </c>
      <c r="V29" s="2">
        <v>0</v>
      </c>
      <c r="W29" s="2">
        <v>0</v>
      </c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</row>
    <row r="30" spans="2:43">
      <c r="B30" s="33" t="s">
        <v>43</v>
      </c>
      <c r="C30" s="2">
        <v>748.00644273</v>
      </c>
      <c r="D30" s="2">
        <v>7740.6108417100004</v>
      </c>
      <c r="E30" s="2">
        <v>3427.3548258200003</v>
      </c>
      <c r="F30" s="2">
        <v>4363.2134665299964</v>
      </c>
      <c r="G30" s="2">
        <v>4737.9066289700004</v>
      </c>
      <c r="H30" s="2">
        <v>5394.6065770499999</v>
      </c>
      <c r="I30" s="2">
        <v>6062.6215915100001</v>
      </c>
      <c r="J30" s="2">
        <v>4217.0991618600001</v>
      </c>
      <c r="K30" s="2">
        <v>4918.2792849899997</v>
      </c>
      <c r="L30" s="2">
        <v>4980.8981766800007</v>
      </c>
      <c r="M30" s="2">
        <v>5881.7412591200009</v>
      </c>
      <c r="N30" s="2">
        <v>5502.2614681200002</v>
      </c>
      <c r="O30" s="2">
        <v>5934.6227274299999</v>
      </c>
      <c r="P30" s="2">
        <v>6432.2370782299995</v>
      </c>
      <c r="Q30" s="2">
        <v>5870.7025603599996</v>
      </c>
      <c r="R30" s="2">
        <v>38506.469394489999</v>
      </c>
      <c r="S30" s="2">
        <v>54598.497908129997</v>
      </c>
      <c r="T30" s="2">
        <v>47285.891208649999</v>
      </c>
      <c r="U30" s="2">
        <v>47825.546266769998</v>
      </c>
      <c r="V30" s="2">
        <v>51550.353250740001</v>
      </c>
      <c r="W30" s="2">
        <v>51693.451838949994</v>
      </c>
      <c r="X30" s="103">
        <f t="shared" si="8"/>
        <v>9.3483210832504113</v>
      </c>
      <c r="Y30" s="103">
        <f t="shared" si="19"/>
        <v>-0.55722424290447159</v>
      </c>
      <c r="Z30" s="103">
        <f t="shared" si="19"/>
        <v>0.27305566195238917</v>
      </c>
      <c r="AA30" s="103">
        <f t="shared" si="19"/>
        <v>8.5875505591064272E-2</v>
      </c>
      <c r="AB30" s="103">
        <f t="shared" si="19"/>
        <v>0.13860550650462344</v>
      </c>
      <c r="AC30" s="103">
        <f t="shared" si="19"/>
        <v>0.12383016350106102</v>
      </c>
      <c r="AD30" s="103">
        <f t="shared" si="19"/>
        <v>-0.30440996552290855</v>
      </c>
      <c r="AE30" s="103">
        <f t="shared" si="19"/>
        <v>0.16627072217593675</v>
      </c>
      <c r="AF30" s="103">
        <f t="shared" si="19"/>
        <v>1.2731869839337273E-2</v>
      </c>
      <c r="AG30" s="103">
        <f t="shared" si="19"/>
        <v>0.18085956598302788</v>
      </c>
      <c r="AH30" s="103">
        <f t="shared" si="19"/>
        <v>-6.4518273463932796E-2</v>
      </c>
      <c r="AI30" s="103">
        <f t="shared" si="19"/>
        <v>7.8578828326333117E-2</v>
      </c>
      <c r="AJ30" s="103">
        <f t="shared" si="19"/>
        <v>8.3849365604996562E-2</v>
      </c>
      <c r="AK30" s="103">
        <f t="shared" si="19"/>
        <v>-8.7300034348939293E-2</v>
      </c>
      <c r="AL30" s="103">
        <f t="shared" si="19"/>
        <v>5.5590905004270441</v>
      </c>
      <c r="AM30" s="103">
        <f t="shared" si="19"/>
        <v>0.41790454348802619</v>
      </c>
      <c r="AN30" s="103">
        <f t="shared" si="19"/>
        <v>-0.13393421027414587</v>
      </c>
      <c r="AO30" s="103">
        <f t="shared" si="19"/>
        <v>1.1412602032575769E-2</v>
      </c>
      <c r="AP30" s="103">
        <f t="shared" si="19"/>
        <v>7.7883208342108601E-2</v>
      </c>
      <c r="AQ30" s="103">
        <f t="shared" si="19"/>
        <v>2.7758992749082889E-3</v>
      </c>
    </row>
    <row r="31" spans="2:43">
      <c r="B31" s="33" t="s">
        <v>88</v>
      </c>
      <c r="C31" s="2">
        <v>540.68451301999994</v>
      </c>
      <c r="D31" s="2">
        <v>1098.5782438800002</v>
      </c>
      <c r="E31" s="2">
        <v>488.22353687999998</v>
      </c>
      <c r="F31" s="2">
        <v>943.42942697000035</v>
      </c>
      <c r="G31" s="2">
        <v>1731.99217131</v>
      </c>
      <c r="H31" s="2">
        <v>1180.4151665499999</v>
      </c>
      <c r="I31" s="2">
        <v>1167.88572043</v>
      </c>
      <c r="J31" s="2">
        <v>879.28629899999999</v>
      </c>
      <c r="K31" s="2">
        <v>1147.9914042600001</v>
      </c>
      <c r="L31" s="2">
        <v>1530.9218410599999</v>
      </c>
      <c r="M31" s="2">
        <v>2326.79648597</v>
      </c>
      <c r="N31" s="2">
        <v>4391.4933539100002</v>
      </c>
      <c r="O31" s="2">
        <v>22682.672384169997</v>
      </c>
      <c r="P31" s="2">
        <v>4236.4309884300001</v>
      </c>
      <c r="Q31" s="2">
        <v>1776.9831529999999</v>
      </c>
      <c r="R31" s="2">
        <v>7276.6514848699999</v>
      </c>
      <c r="S31" s="2">
        <v>59149.682419360004</v>
      </c>
      <c r="T31" s="2">
        <v>9807.4829653099987</v>
      </c>
      <c r="U31" s="2">
        <v>14362.094488590001</v>
      </c>
      <c r="V31" s="2">
        <v>12265.746146520001</v>
      </c>
      <c r="W31" s="2">
        <v>9815.2262042800012</v>
      </c>
      <c r="X31" s="103">
        <f t="shared" si="8"/>
        <v>1.0318285754919776</v>
      </c>
      <c r="Y31" s="103">
        <f t="shared" si="19"/>
        <v>-0.55558601346803149</v>
      </c>
      <c r="Z31" s="103">
        <f t="shared" si="19"/>
        <v>0.93237186596738164</v>
      </c>
      <c r="AA31" s="103">
        <f t="shared" si="19"/>
        <v>0.83584709337784391</v>
      </c>
      <c r="AB31" s="103">
        <f t="shared" si="19"/>
        <v>-0.31846391334598956</v>
      </c>
      <c r="AC31" s="103">
        <f t="shared" si="19"/>
        <v>-1.0614440135176872E-2</v>
      </c>
      <c r="AD31" s="103">
        <f t="shared" si="19"/>
        <v>-0.24711272377210125</v>
      </c>
      <c r="AE31" s="103">
        <f t="shared" si="19"/>
        <v>0.30559455499942922</v>
      </c>
      <c r="AF31" s="103">
        <f t="shared" si="19"/>
        <v>0.33356559585638923</v>
      </c>
      <c r="AG31" s="103">
        <f t="shared" si="19"/>
        <v>0.51986628158557191</v>
      </c>
      <c r="AH31" s="103">
        <f t="shared" si="19"/>
        <v>0.8873560194841299</v>
      </c>
      <c r="AI31" s="103">
        <f t="shared" si="19"/>
        <v>4.1651387252981502</v>
      </c>
      <c r="AJ31" s="103">
        <f t="shared" si="19"/>
        <v>-0.81323051725657503</v>
      </c>
      <c r="AK31" s="103">
        <f t="shared" si="19"/>
        <v>-0.58054712614154003</v>
      </c>
      <c r="AL31" s="103">
        <f t="shared" si="19"/>
        <v>3.0949468049740148</v>
      </c>
      <c r="AM31" s="103">
        <f t="shared" si="19"/>
        <v>7.1286952580245408</v>
      </c>
      <c r="AN31" s="103">
        <f t="shared" si="19"/>
        <v>-0.83419212810346455</v>
      </c>
      <c r="AO31" s="103">
        <f t="shared" si="19"/>
        <v>0.46440167567867285</v>
      </c>
      <c r="AP31" s="103">
        <f t="shared" si="19"/>
        <v>-0.14596397090518021</v>
      </c>
      <c r="AQ31" s="103">
        <f t="shared" si="19"/>
        <v>-0.19978563985976949</v>
      </c>
    </row>
    <row r="32" spans="2:43">
      <c r="B32" s="33" t="s">
        <v>44</v>
      </c>
      <c r="C32" s="2">
        <v>4099.3804603400004</v>
      </c>
      <c r="D32" s="2">
        <v>2495.9265093600002</v>
      </c>
      <c r="E32" s="2">
        <v>5317.3837921599998</v>
      </c>
      <c r="F32" s="2">
        <v>2840.2975009199999</v>
      </c>
      <c r="G32" s="2">
        <v>13130.488530389999</v>
      </c>
      <c r="H32" s="2">
        <v>39794.244501859997</v>
      </c>
      <c r="I32" s="2">
        <v>22200.528162930001</v>
      </c>
      <c r="J32" s="2">
        <v>32663.962050549999</v>
      </c>
      <c r="K32" s="2">
        <v>23688.922554299999</v>
      </c>
      <c r="L32" s="2">
        <v>11212.637711740001</v>
      </c>
      <c r="M32" s="2">
        <v>39912.437174460007</v>
      </c>
      <c r="N32" s="2">
        <v>35037.24329672</v>
      </c>
      <c r="O32" s="2">
        <v>23115.301867540002</v>
      </c>
      <c r="P32" s="2">
        <v>51438.980939050001</v>
      </c>
      <c r="Q32" s="2">
        <v>29439.71287114</v>
      </c>
      <c r="R32" s="2">
        <v>2552.7542506300001</v>
      </c>
      <c r="S32" s="2">
        <v>1321.4800802100001</v>
      </c>
      <c r="T32" s="2">
        <v>1132.1241935</v>
      </c>
      <c r="U32" s="2">
        <v>1932.41642606</v>
      </c>
      <c r="V32" s="2">
        <v>1948.0376163699998</v>
      </c>
      <c r="W32" s="2">
        <v>2130.2427499800001</v>
      </c>
      <c r="X32" s="103">
        <f t="shared" si="8"/>
        <v>-0.39114543441206007</v>
      </c>
      <c r="Y32" s="103">
        <f t="shared" si="19"/>
        <v>1.1304248230944394</v>
      </c>
      <c r="Z32" s="103">
        <f t="shared" si="19"/>
        <v>-0.46584681265479444</v>
      </c>
      <c r="AA32" s="103">
        <f t="shared" si="19"/>
        <v>3.6229271849645706</v>
      </c>
      <c r="AB32" s="103">
        <f t="shared" si="19"/>
        <v>2.0306750894879335</v>
      </c>
      <c r="AC32" s="103">
        <f t="shared" si="19"/>
        <v>-0.44211710912384983</v>
      </c>
      <c r="AD32" s="103">
        <f t="shared" si="19"/>
        <v>0.47131463768918946</v>
      </c>
      <c r="AE32" s="103">
        <f t="shared" si="19"/>
        <v>-0.27476885634267012</v>
      </c>
      <c r="AF32" s="103">
        <f t="shared" si="19"/>
        <v>-0.52667168859038338</v>
      </c>
      <c r="AG32" s="103">
        <f t="shared" si="19"/>
        <v>2.5595939332517958</v>
      </c>
      <c r="AH32" s="103">
        <f t="shared" si="19"/>
        <v>-0.12214723587111953</v>
      </c>
      <c r="AI32" s="103">
        <f t="shared" si="19"/>
        <v>-0.34026482415344783</v>
      </c>
      <c r="AJ32" s="103">
        <f t="shared" si="19"/>
        <v>1.2253216174210531</v>
      </c>
      <c r="AK32" s="103">
        <f t="shared" si="19"/>
        <v>-0.42767698088686701</v>
      </c>
      <c r="AL32" s="103">
        <f t="shared" si="19"/>
        <v>-0.91328875176861912</v>
      </c>
      <c r="AM32" s="103">
        <f t="shared" si="19"/>
        <v>-0.48233165026211633</v>
      </c>
      <c r="AN32" s="103">
        <f t="shared" si="19"/>
        <v>-0.14329076128026763</v>
      </c>
      <c r="AO32" s="103">
        <f t="shared" si="19"/>
        <v>0.70689438239621905</v>
      </c>
      <c r="AP32" s="103">
        <f t="shared" si="19"/>
        <v>8.083759845619598E-3</v>
      </c>
      <c r="AQ32" s="103">
        <f t="shared" si="19"/>
        <v>9.3532656699681027E-2</v>
      </c>
    </row>
    <row r="33" spans="1:44">
      <c r="C33" s="2"/>
      <c r="D33" s="2"/>
      <c r="E33" s="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</row>
    <row r="34" spans="1:44">
      <c r="B34" s="6" t="s">
        <v>15</v>
      </c>
      <c r="C34" s="2">
        <v>0</v>
      </c>
      <c r="D34" s="8">
        <v>0</v>
      </c>
      <c r="E34" s="8">
        <v>139</v>
      </c>
      <c r="F34" s="81">
        <v>0</v>
      </c>
      <c r="G34" s="81">
        <v>0</v>
      </c>
      <c r="H34" s="2">
        <v>0</v>
      </c>
      <c r="I34" s="2">
        <v>0</v>
      </c>
      <c r="J34" s="2">
        <v>0</v>
      </c>
      <c r="K34" s="2">
        <v>0</v>
      </c>
      <c r="L34" s="2">
        <v>43.824618860000001</v>
      </c>
      <c r="M34" s="2">
        <v>0</v>
      </c>
      <c r="N34" s="2">
        <v>0</v>
      </c>
      <c r="O34" s="2">
        <v>0</v>
      </c>
      <c r="P34" s="2">
        <v>0</v>
      </c>
      <c r="Q34" s="2">
        <v>75000</v>
      </c>
      <c r="R34" s="2">
        <v>0</v>
      </c>
      <c r="S34" s="2">
        <v>1332.77929264</v>
      </c>
      <c r="T34" s="2">
        <v>0</v>
      </c>
      <c r="U34" s="2">
        <v>0</v>
      </c>
      <c r="V34" s="2">
        <v>0</v>
      </c>
      <c r="W34" s="2">
        <v>0</v>
      </c>
      <c r="X34" s="105" t="e">
        <f t="shared" si="8"/>
        <v>#DIV/0!</v>
      </c>
      <c r="Y34" s="105" t="e">
        <f t="shared" ref="Y34:AQ34" si="20">+E34/D34-1</f>
        <v>#DIV/0!</v>
      </c>
      <c r="Z34" s="105">
        <f t="shared" si="20"/>
        <v>-1</v>
      </c>
      <c r="AA34" s="105" t="e">
        <f t="shared" si="20"/>
        <v>#DIV/0!</v>
      </c>
      <c r="AB34" s="105" t="e">
        <f t="shared" si="20"/>
        <v>#DIV/0!</v>
      </c>
      <c r="AC34" s="105" t="e">
        <f t="shared" si="20"/>
        <v>#DIV/0!</v>
      </c>
      <c r="AD34" s="105" t="e">
        <f t="shared" si="20"/>
        <v>#DIV/0!</v>
      </c>
      <c r="AE34" s="105" t="e">
        <f t="shared" si="20"/>
        <v>#DIV/0!</v>
      </c>
      <c r="AF34" s="105" t="e">
        <f t="shared" si="20"/>
        <v>#DIV/0!</v>
      </c>
      <c r="AG34" s="102">
        <f t="shared" si="20"/>
        <v>-1</v>
      </c>
      <c r="AH34" s="105" t="e">
        <f t="shared" si="20"/>
        <v>#DIV/0!</v>
      </c>
      <c r="AI34" s="105" t="e">
        <f t="shared" si="20"/>
        <v>#DIV/0!</v>
      </c>
      <c r="AJ34" s="105" t="e">
        <f t="shared" si="20"/>
        <v>#DIV/0!</v>
      </c>
      <c r="AK34" s="105" t="e">
        <f t="shared" si="20"/>
        <v>#DIV/0!</v>
      </c>
      <c r="AL34" s="105">
        <f t="shared" si="20"/>
        <v>-1</v>
      </c>
      <c r="AM34" s="105" t="e">
        <f t="shared" si="20"/>
        <v>#DIV/0!</v>
      </c>
      <c r="AN34" s="105">
        <f t="shared" si="20"/>
        <v>-1</v>
      </c>
      <c r="AO34" s="105" t="e">
        <f t="shared" si="20"/>
        <v>#DIV/0!</v>
      </c>
      <c r="AP34" s="105" t="e">
        <f t="shared" si="20"/>
        <v>#DIV/0!</v>
      </c>
      <c r="AQ34" s="105" t="e">
        <f t="shared" si="20"/>
        <v>#DIV/0!</v>
      </c>
    </row>
    <row r="35" spans="1:44">
      <c r="C35" s="2"/>
      <c r="D35" s="2"/>
      <c r="E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</row>
    <row r="36" spans="1:44">
      <c r="A36" s="9">
        <v>2</v>
      </c>
      <c r="B36" s="6" t="s">
        <v>89</v>
      </c>
      <c r="C36" s="32">
        <f>+C40+C56</f>
        <v>118218.90000000001</v>
      </c>
      <c r="D36" s="32">
        <f t="shared" ref="D36:K36" si="21">+D40+D56</f>
        <v>144500.76743881</v>
      </c>
      <c r="E36" s="73">
        <f t="shared" si="21"/>
        <v>164697.30260045003</v>
      </c>
      <c r="F36" s="32">
        <f t="shared" si="21"/>
        <v>212730.6</v>
      </c>
      <c r="G36" s="32">
        <f t="shared" si="21"/>
        <v>248292.50000000012</v>
      </c>
      <c r="H36" s="32">
        <f t="shared" si="21"/>
        <v>290959.26615935011</v>
      </c>
      <c r="I36" s="32">
        <f t="shared" si="21"/>
        <v>309113.02506506024</v>
      </c>
      <c r="J36" s="32">
        <f t="shared" si="21"/>
        <v>333267.56484419003</v>
      </c>
      <c r="K36" s="32">
        <f t="shared" si="21"/>
        <v>382122.41310815007</v>
      </c>
      <c r="L36" s="32">
        <f t="shared" ref="L36:R36" si="22">+L40+L56+L65</f>
        <v>399422.46178682998</v>
      </c>
      <c r="M36" s="32">
        <f t="shared" si="22"/>
        <v>398906.9279197352</v>
      </c>
      <c r="N36" s="32">
        <f t="shared" si="22"/>
        <v>494826.86320185981</v>
      </c>
      <c r="O36" s="32">
        <f t="shared" si="22"/>
        <v>545365.3106331696</v>
      </c>
      <c r="P36" s="32">
        <f t="shared" si="22"/>
        <v>569771.74917942996</v>
      </c>
      <c r="Q36" s="32">
        <f t="shared" si="22"/>
        <v>589010.01757367037</v>
      </c>
      <c r="R36" s="32">
        <f t="shared" si="22"/>
        <v>563526.98230138037</v>
      </c>
      <c r="S36" s="32">
        <f>+S40+S56+S65</f>
        <v>478273.57793537987</v>
      </c>
      <c r="T36" s="32">
        <f>+T40+T56+T65</f>
        <v>591393.29481201037</v>
      </c>
      <c r="U36" s="32">
        <f>+U40+U56+U65</f>
        <v>645895.01584577013</v>
      </c>
      <c r="V36" s="32">
        <f>+V40+V56+V65</f>
        <v>670925.94929158001</v>
      </c>
      <c r="W36" s="32">
        <f>+W40+W56+W65</f>
        <v>675293.46043893974</v>
      </c>
      <c r="X36" s="101">
        <f t="shared" si="8"/>
        <v>0.22231527648125637</v>
      </c>
      <c r="Y36" s="101">
        <f t="shared" ref="Y36:AQ36" si="23">+E36/D36-1</f>
        <v>0.13976766711770172</v>
      </c>
      <c r="Z36" s="101">
        <f t="shared" si="23"/>
        <v>0.29164592644287013</v>
      </c>
      <c r="AA36" s="101">
        <f t="shared" si="23"/>
        <v>0.16716871009624423</v>
      </c>
      <c r="AB36" s="101">
        <f t="shared" si="23"/>
        <v>0.1718407368702235</v>
      </c>
      <c r="AC36" s="101">
        <f t="shared" si="23"/>
        <v>6.239278489164124E-2</v>
      </c>
      <c r="AD36" s="101">
        <f t="shared" si="23"/>
        <v>7.8141449309830469E-2</v>
      </c>
      <c r="AE36" s="101">
        <f t="shared" si="23"/>
        <v>0.14659346848470167</v>
      </c>
      <c r="AF36" s="101">
        <f t="shared" si="23"/>
        <v>4.5273577485190897E-2</v>
      </c>
      <c r="AG36" s="101">
        <f t="shared" si="23"/>
        <v>-1.2906982366202024E-3</v>
      </c>
      <c r="AH36" s="101">
        <f t="shared" si="23"/>
        <v>0.24045693009730029</v>
      </c>
      <c r="AI36" s="101">
        <f t="shared" si="23"/>
        <v>0.10213359700055968</v>
      </c>
      <c r="AJ36" s="101">
        <f t="shared" si="23"/>
        <v>4.4752458710519027E-2</v>
      </c>
      <c r="AK36" s="101">
        <f t="shared" si="23"/>
        <v>3.3764868865377773E-2</v>
      </c>
      <c r="AL36" s="101">
        <f t="shared" si="23"/>
        <v>-4.326417974564023E-2</v>
      </c>
      <c r="AM36" s="101">
        <f t="shared" si="23"/>
        <v>-0.15128539900225402</v>
      </c>
      <c r="AN36" s="101">
        <f t="shared" si="23"/>
        <v>0.23651675964402585</v>
      </c>
      <c r="AO36" s="101">
        <f t="shared" si="23"/>
        <v>9.2158165322257402E-2</v>
      </c>
      <c r="AP36" s="101">
        <f t="shared" si="23"/>
        <v>3.8753873047050913E-2</v>
      </c>
      <c r="AQ36" s="101">
        <f t="shared" si="23"/>
        <v>6.5096768905290592E-3</v>
      </c>
      <c r="AR36" s="2"/>
    </row>
    <row r="37" spans="1:44">
      <c r="A37" s="9"/>
      <c r="B37" s="22"/>
      <c r="C37" s="31"/>
      <c r="D37" s="31"/>
      <c r="E37" s="74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</row>
    <row r="38" spans="1:44">
      <c r="A38" s="9">
        <v>3</v>
      </c>
      <c r="B38" s="6" t="s">
        <v>22</v>
      </c>
      <c r="C38" s="8">
        <f>+C36-C46</f>
        <v>94209</v>
      </c>
      <c r="D38" s="8">
        <f t="shared" ref="D38:O38" si="24">+D36-D46</f>
        <v>124690.56743880999</v>
      </c>
      <c r="E38" s="75">
        <f t="shared" si="24"/>
        <v>147174.10260045002</v>
      </c>
      <c r="F38" s="8">
        <f t="shared" si="24"/>
        <v>191739.4</v>
      </c>
      <c r="G38" s="8">
        <f t="shared" si="24"/>
        <v>233695.2000000001</v>
      </c>
      <c r="H38" s="8">
        <f t="shared" si="24"/>
        <v>274001.22926399007</v>
      </c>
      <c r="I38" s="8">
        <f t="shared" si="24"/>
        <v>290317.02374463022</v>
      </c>
      <c r="J38" s="8">
        <f t="shared" si="24"/>
        <v>307906.74485466006</v>
      </c>
      <c r="K38" s="8">
        <f t="shared" si="24"/>
        <v>357650.37482997007</v>
      </c>
      <c r="L38" s="8">
        <f t="shared" si="24"/>
        <v>375101.40333935997</v>
      </c>
      <c r="M38" s="8">
        <f t="shared" si="24"/>
        <v>377682.08903907001</v>
      </c>
      <c r="N38" s="8">
        <f t="shared" si="24"/>
        <v>441568.23707313987</v>
      </c>
      <c r="O38" s="8">
        <f t="shared" si="24"/>
        <v>476451.19881885964</v>
      </c>
      <c r="P38" s="8">
        <f t="shared" ref="P38:W38" si="25">+P36-P46</f>
        <v>478372.30559450993</v>
      </c>
      <c r="Q38" s="8">
        <f t="shared" si="25"/>
        <v>517108.38290474023</v>
      </c>
      <c r="R38" s="8">
        <f t="shared" si="25"/>
        <v>501424.03503663023</v>
      </c>
      <c r="S38" s="8">
        <f t="shared" si="25"/>
        <v>416911.29172051983</v>
      </c>
      <c r="T38" s="8">
        <f t="shared" si="25"/>
        <v>508492.99338955048</v>
      </c>
      <c r="U38" s="8">
        <f t="shared" si="25"/>
        <v>525756.79003805015</v>
      </c>
      <c r="V38" s="8">
        <f t="shared" si="25"/>
        <v>552785.84011804999</v>
      </c>
      <c r="W38" s="8">
        <f t="shared" si="25"/>
        <v>533128.87226431968</v>
      </c>
      <c r="X38" s="106">
        <f t="shared" si="8"/>
        <v>0.32355260578936185</v>
      </c>
      <c r="Y38" s="106">
        <f t="shared" ref="Y38:AQ38" si="26">+E38/D38-1</f>
        <v>0.18031464306771627</v>
      </c>
      <c r="Z38" s="106">
        <f t="shared" si="26"/>
        <v>0.30280665288332953</v>
      </c>
      <c r="AA38" s="106">
        <f t="shared" si="26"/>
        <v>0.21881678987208741</v>
      </c>
      <c r="AB38" s="106">
        <f t="shared" si="26"/>
        <v>0.17247264498367931</v>
      </c>
      <c r="AC38" s="106">
        <f t="shared" si="26"/>
        <v>5.9546428037811738E-2</v>
      </c>
      <c r="AD38" s="106">
        <f t="shared" si="26"/>
        <v>6.058797683701167E-2</v>
      </c>
      <c r="AE38" s="106">
        <f t="shared" si="26"/>
        <v>0.16155420693622768</v>
      </c>
      <c r="AF38" s="106">
        <f t="shared" si="26"/>
        <v>4.8793541786965156E-2</v>
      </c>
      <c r="AG38" s="106">
        <f t="shared" si="26"/>
        <v>6.8799681279125835E-3</v>
      </c>
      <c r="AH38" s="106">
        <f t="shared" si="26"/>
        <v>0.16915323730763698</v>
      </c>
      <c r="AI38" s="106">
        <f t="shared" si="26"/>
        <v>7.8997896173274462E-2</v>
      </c>
      <c r="AJ38" s="106">
        <f t="shared" si="26"/>
        <v>4.0321165743999465E-3</v>
      </c>
      <c r="AK38" s="106">
        <f t="shared" si="26"/>
        <v>8.0974748866554869E-2</v>
      </c>
      <c r="AL38" s="106">
        <f t="shared" si="26"/>
        <v>-3.0330871412307614E-2</v>
      </c>
      <c r="AM38" s="106">
        <f t="shared" si="26"/>
        <v>-0.16854545735913229</v>
      </c>
      <c r="AN38" s="106">
        <f t="shared" si="26"/>
        <v>0.21966711741264922</v>
      </c>
      <c r="AO38" s="106">
        <f t="shared" si="26"/>
        <v>3.3950903695685986E-2</v>
      </c>
      <c r="AP38" s="106">
        <f t="shared" si="26"/>
        <v>5.1409797442737215E-2</v>
      </c>
      <c r="AQ38" s="106">
        <f t="shared" si="26"/>
        <v>-3.5559825211030183E-2</v>
      </c>
    </row>
    <row r="39" spans="1:44">
      <c r="C39" s="2"/>
      <c r="D39" s="2"/>
      <c r="E39" s="74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</row>
    <row r="40" spans="1:44">
      <c r="B40" s="22" t="s">
        <v>3</v>
      </c>
      <c r="C40" s="31">
        <f>+C43+C44+C45+C46+C50</f>
        <v>108616.20000000001</v>
      </c>
      <c r="D40" s="31">
        <f t="shared" ref="D40:O40" si="27">+D43+D44+D45+D46+D50</f>
        <v>128220.66743881001</v>
      </c>
      <c r="E40" s="76">
        <f t="shared" si="27"/>
        <v>155703.60260045002</v>
      </c>
      <c r="F40" s="31">
        <f t="shared" si="27"/>
        <v>188855.5</v>
      </c>
      <c r="G40" s="31">
        <f t="shared" si="27"/>
        <v>225239.70000000013</v>
      </c>
      <c r="H40" s="31">
        <f t="shared" si="27"/>
        <v>254961.84384207011</v>
      </c>
      <c r="I40" s="31">
        <f t="shared" si="27"/>
        <v>282001.84288386023</v>
      </c>
      <c r="J40" s="31">
        <f t="shared" si="27"/>
        <v>319983.58911901002</v>
      </c>
      <c r="K40" s="31">
        <f t="shared" si="27"/>
        <v>350105.38251339004</v>
      </c>
      <c r="L40" s="31">
        <f t="shared" si="27"/>
        <v>368604.02907958999</v>
      </c>
      <c r="M40" s="31">
        <f t="shared" si="27"/>
        <v>376601.74673316523</v>
      </c>
      <c r="N40" s="31">
        <f t="shared" si="27"/>
        <v>442464.46007852978</v>
      </c>
      <c r="O40" s="31">
        <f t="shared" si="27"/>
        <v>479764.56982443959</v>
      </c>
      <c r="P40" s="31">
        <f t="shared" ref="P40:W40" si="28">+P43+P44+P45+P46+P50</f>
        <v>505938.11296990991</v>
      </c>
      <c r="Q40" s="31">
        <f t="shared" si="28"/>
        <v>550314.79755691043</v>
      </c>
      <c r="R40" s="31">
        <f t="shared" si="28"/>
        <v>501076.13288089033</v>
      </c>
      <c r="S40" s="31">
        <f t="shared" si="28"/>
        <v>455878.42553922988</v>
      </c>
      <c r="T40" s="31">
        <f t="shared" si="28"/>
        <v>533450.80369519035</v>
      </c>
      <c r="U40" s="31">
        <f t="shared" si="28"/>
        <v>573694.0751485501</v>
      </c>
      <c r="V40" s="31">
        <f t="shared" si="28"/>
        <v>616094.01302062999</v>
      </c>
      <c r="W40" s="31">
        <f t="shared" si="28"/>
        <v>631763.60386254976</v>
      </c>
      <c r="X40" s="102">
        <f t="shared" si="8"/>
        <v>0.18049303362491043</v>
      </c>
      <c r="Y40" s="102">
        <f t="shared" ref="Y40:AQ40" si="29">+E40/D40-1</f>
        <v>0.21434091485099716</v>
      </c>
      <c r="Z40" s="102">
        <f t="shared" si="29"/>
        <v>0.2129167010003028</v>
      </c>
      <c r="AA40" s="102">
        <f t="shared" si="29"/>
        <v>0.19265629012657892</v>
      </c>
      <c r="AB40" s="102">
        <f t="shared" si="29"/>
        <v>0.13195783799245864</v>
      </c>
      <c r="AC40" s="102">
        <f t="shared" si="29"/>
        <v>0.10605508116163209</v>
      </c>
      <c r="AD40" s="102">
        <f t="shared" si="29"/>
        <v>0.13468616320635962</v>
      </c>
      <c r="AE40" s="102">
        <f t="shared" si="29"/>
        <v>9.4135431999223362E-2</v>
      </c>
      <c r="AF40" s="102">
        <f t="shared" si="29"/>
        <v>5.283736694762875E-2</v>
      </c>
      <c r="AG40" s="102">
        <f t="shared" si="29"/>
        <v>2.1697314794810296E-2</v>
      </c>
      <c r="AH40" s="102">
        <f t="shared" si="29"/>
        <v>0.1748869035172862</v>
      </c>
      <c r="AI40" s="102">
        <f t="shared" si="29"/>
        <v>8.4300804044893596E-2</v>
      </c>
      <c r="AJ40" s="102">
        <f t="shared" si="29"/>
        <v>5.4554972984036665E-2</v>
      </c>
      <c r="AK40" s="102">
        <f t="shared" si="29"/>
        <v>8.7711685380855497E-2</v>
      </c>
      <c r="AL40" s="102">
        <f t="shared" si="29"/>
        <v>-8.947363380852591E-2</v>
      </c>
      <c r="AM40" s="102">
        <f t="shared" si="29"/>
        <v>-9.0201277561955395E-2</v>
      </c>
      <c r="AN40" s="102">
        <f t="shared" si="29"/>
        <v>0.17016023090850374</v>
      </c>
      <c r="AO40" s="102">
        <f t="shared" si="29"/>
        <v>7.5439517898550967E-2</v>
      </c>
      <c r="AP40" s="102">
        <f t="shared" si="29"/>
        <v>7.3906877739849497E-2</v>
      </c>
      <c r="AQ40" s="102">
        <f t="shared" si="29"/>
        <v>2.5433765806445408E-2</v>
      </c>
    </row>
    <row r="41" spans="1:44">
      <c r="C41" s="30"/>
      <c r="D41" s="2"/>
      <c r="E41" s="74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</row>
    <row r="42" spans="1:44">
      <c r="B42" s="36" t="s">
        <v>51</v>
      </c>
      <c r="C42" s="8">
        <f>SUM(C43:C44)</f>
        <v>44187.600000000006</v>
      </c>
      <c r="D42" s="8">
        <f t="shared" ref="D42:L42" si="30">SUM(D43:D44)</f>
        <v>49686.5</v>
      </c>
      <c r="E42" s="75">
        <f t="shared" si="30"/>
        <v>65577.099999999991</v>
      </c>
      <c r="F42" s="8">
        <f t="shared" si="30"/>
        <v>83302.100000000006</v>
      </c>
      <c r="G42" s="8">
        <f t="shared" si="30"/>
        <v>97685.200000000041</v>
      </c>
      <c r="H42" s="8">
        <f t="shared" si="30"/>
        <v>112802.74006651006</v>
      </c>
      <c r="I42" s="8">
        <f t="shared" si="30"/>
        <v>118492.09591379005</v>
      </c>
      <c r="J42" s="8">
        <f t="shared" si="30"/>
        <v>130944.90849631006</v>
      </c>
      <c r="K42" s="8">
        <f t="shared" si="30"/>
        <v>148063.47625167001</v>
      </c>
      <c r="L42" s="8">
        <f t="shared" si="30"/>
        <v>153362.35426363003</v>
      </c>
      <c r="M42" s="8">
        <f t="shared" ref="M42:R42" si="31">SUM(M43:M44)</f>
        <v>158656.65813497998</v>
      </c>
      <c r="N42" s="8">
        <f t="shared" si="31"/>
        <v>164320.37634684975</v>
      </c>
      <c r="O42" s="8">
        <f t="shared" si="31"/>
        <v>173572.61212006974</v>
      </c>
      <c r="P42" s="8">
        <f t="shared" si="31"/>
        <v>176888.57699767</v>
      </c>
      <c r="Q42" s="8">
        <f t="shared" si="31"/>
        <v>179341.33818284021</v>
      </c>
      <c r="R42" s="8">
        <f t="shared" si="31"/>
        <v>190309.47020439018</v>
      </c>
      <c r="S42" s="8">
        <f>SUM(S43:S44)</f>
        <v>182161.69163308979</v>
      </c>
      <c r="T42" s="8">
        <f>SUM(T43:T44)</f>
        <v>190498.96463816019</v>
      </c>
      <c r="U42" s="8">
        <f>SUM(U43:U44)</f>
        <v>201840.13320527016</v>
      </c>
      <c r="V42" s="8">
        <f>SUM(V43:V44)</f>
        <v>210150.2587438201</v>
      </c>
      <c r="W42" s="8">
        <f>SUM(W43:W44)</f>
        <v>224658.53380368964</v>
      </c>
      <c r="X42" s="106">
        <f t="shared" si="8"/>
        <v>0.12444441427006647</v>
      </c>
      <c r="Y42" s="106">
        <f t="shared" ref="Y42:AQ48" si="32">+E42/D42-1</f>
        <v>0.31981725418373186</v>
      </c>
      <c r="Z42" s="106">
        <f t="shared" si="32"/>
        <v>0.27029252589699793</v>
      </c>
      <c r="AA42" s="106">
        <f t="shared" si="32"/>
        <v>0.17266191368524964</v>
      </c>
      <c r="AB42" s="106">
        <f t="shared" si="32"/>
        <v>0.15475773266073078</v>
      </c>
      <c r="AC42" s="106">
        <f t="shared" si="32"/>
        <v>5.043632667012754E-2</v>
      </c>
      <c r="AD42" s="106">
        <f t="shared" si="32"/>
        <v>0.10509403590582256</v>
      </c>
      <c r="AE42" s="106">
        <f t="shared" si="32"/>
        <v>0.13073106814109026</v>
      </c>
      <c r="AF42" s="106">
        <f t="shared" si="32"/>
        <v>3.5787880617859313E-2</v>
      </c>
      <c r="AG42" s="106">
        <f t="shared" si="32"/>
        <v>3.4521534941026388E-2</v>
      </c>
      <c r="AH42" s="106">
        <f t="shared" si="32"/>
        <v>3.5697954806606758E-2</v>
      </c>
      <c r="AI42" s="106">
        <f t="shared" si="32"/>
        <v>5.6306077060645388E-2</v>
      </c>
      <c r="AJ42" s="106">
        <f t="shared" si="32"/>
        <v>1.9104194130041829E-2</v>
      </c>
      <c r="AK42" s="106">
        <f t="shared" si="32"/>
        <v>1.3866136676550456E-2</v>
      </c>
      <c r="AL42" s="106">
        <f t="shared" si="32"/>
        <v>6.1157857595374177E-2</v>
      </c>
      <c r="AM42" s="106">
        <f t="shared" si="32"/>
        <v>-4.2813311195442627E-2</v>
      </c>
      <c r="AN42" s="106">
        <f t="shared" si="32"/>
        <v>4.5768530860282874E-2</v>
      </c>
      <c r="AO42" s="106">
        <f t="shared" si="32"/>
        <v>5.9534016831281678E-2</v>
      </c>
      <c r="AP42" s="106">
        <f t="shared" si="32"/>
        <v>4.1171819531542697E-2</v>
      </c>
      <c r="AQ42" s="106">
        <f t="shared" si="32"/>
        <v>6.9037626442114419E-2</v>
      </c>
    </row>
    <row r="43" spans="1:44">
      <c r="B43" s="36" t="s">
        <v>4</v>
      </c>
      <c r="C43" s="2">
        <v>36336.300000000003</v>
      </c>
      <c r="D43" s="2">
        <v>41416.5</v>
      </c>
      <c r="E43" s="77">
        <v>50322.799999999988</v>
      </c>
      <c r="F43" s="40">
        <v>68545.8</v>
      </c>
      <c r="G43" s="40">
        <v>80722.300000000047</v>
      </c>
      <c r="H43" s="40">
        <v>93006.300862200063</v>
      </c>
      <c r="I43" s="40">
        <v>97353.385310780053</v>
      </c>
      <c r="J43" s="40">
        <v>107719.92594117008</v>
      </c>
      <c r="K43" s="40">
        <v>120609.70976707002</v>
      </c>
      <c r="L43" s="40">
        <v>125869.04847219001</v>
      </c>
      <c r="M43" s="40">
        <v>130722.47905197997</v>
      </c>
      <c r="N43" s="40">
        <v>135234.79875104979</v>
      </c>
      <c r="O43" s="40">
        <v>142750.01840276975</v>
      </c>
      <c r="P43" s="40">
        <v>145036.63016941998</v>
      </c>
      <c r="Q43" s="40">
        <v>146543.47127236018</v>
      </c>
      <c r="R43" s="40">
        <v>156176.42062148009</v>
      </c>
      <c r="S43" s="40">
        <v>149581.07764818973</v>
      </c>
      <c r="T43" s="40">
        <v>155085.24218933017</v>
      </c>
      <c r="U43" s="40">
        <v>163319.27162680018</v>
      </c>
      <c r="V43" s="40">
        <v>172274.01771357999</v>
      </c>
      <c r="W43" s="40">
        <v>186401.47405785968</v>
      </c>
      <c r="X43" s="103">
        <f t="shared" si="8"/>
        <v>0.13981060262051992</v>
      </c>
      <c r="Y43" s="103">
        <f t="shared" si="32"/>
        <v>0.21504231405357732</v>
      </c>
      <c r="Z43" s="103">
        <f t="shared" si="32"/>
        <v>0.36212213946759753</v>
      </c>
      <c r="AA43" s="103">
        <f t="shared" si="32"/>
        <v>0.17764035141467516</v>
      </c>
      <c r="AB43" s="103">
        <f t="shared" si="32"/>
        <v>0.15217605125473388</v>
      </c>
      <c r="AC43" s="103">
        <f t="shared" si="32"/>
        <v>4.673967686362146E-2</v>
      </c>
      <c r="AD43" s="103">
        <f t="shared" si="32"/>
        <v>0.10648361736263245</v>
      </c>
      <c r="AE43" s="103">
        <f t="shared" si="32"/>
        <v>0.11966016234489008</v>
      </c>
      <c r="AF43" s="103">
        <f t="shared" si="32"/>
        <v>4.3606262839676946E-2</v>
      </c>
      <c r="AG43" s="103">
        <f t="shared" si="32"/>
        <v>3.8559364980520261E-2</v>
      </c>
      <c r="AH43" s="103">
        <f t="shared" si="32"/>
        <v>3.4518314920233051E-2</v>
      </c>
      <c r="AI43" s="103">
        <f t="shared" si="32"/>
        <v>5.557164073985521E-2</v>
      </c>
      <c r="AJ43" s="103">
        <f t="shared" si="32"/>
        <v>1.6018294023602442E-2</v>
      </c>
      <c r="AK43" s="103">
        <f t="shared" si="32"/>
        <v>1.038938302124115E-2</v>
      </c>
      <c r="AL43" s="103">
        <f t="shared" si="32"/>
        <v>6.5734414951973408E-2</v>
      </c>
      <c r="AM43" s="103">
        <f t="shared" si="32"/>
        <v>-4.2230081513234929E-2</v>
      </c>
      <c r="AN43" s="103">
        <f t="shared" si="32"/>
        <v>3.67971980659616E-2</v>
      </c>
      <c r="AO43" s="103">
        <f t="shared" si="32"/>
        <v>5.3093571775306714E-2</v>
      </c>
      <c r="AP43" s="103">
        <f t="shared" si="32"/>
        <v>5.4829696444166354E-2</v>
      </c>
      <c r="AQ43" s="103">
        <f t="shared" si="32"/>
        <v>8.2005728616417306E-2</v>
      </c>
    </row>
    <row r="44" spans="1:44" ht="14.25">
      <c r="B44" s="36" t="s">
        <v>114</v>
      </c>
      <c r="C44" s="2">
        <v>7851.3</v>
      </c>
      <c r="D44" s="2">
        <v>8270</v>
      </c>
      <c r="E44" s="74">
        <v>15254.300000000001</v>
      </c>
      <c r="F44" s="2">
        <v>14756.3</v>
      </c>
      <c r="G44" s="40">
        <v>16962.900000000001</v>
      </c>
      <c r="H44" s="40">
        <v>19796.439204309998</v>
      </c>
      <c r="I44" s="40">
        <v>21138.710603009989</v>
      </c>
      <c r="J44" s="40">
        <v>23224.982555139984</v>
      </c>
      <c r="K44" s="40">
        <v>27453.766484599997</v>
      </c>
      <c r="L44" s="40">
        <v>27493.305791440012</v>
      </c>
      <c r="M44" s="40">
        <v>27934.179083000003</v>
      </c>
      <c r="N44" s="40">
        <v>29085.577595799965</v>
      </c>
      <c r="O44" s="40">
        <v>30822.593717299977</v>
      </c>
      <c r="P44" s="40">
        <v>31851.946828250024</v>
      </c>
      <c r="Q44" s="40">
        <v>32797.866910480006</v>
      </c>
      <c r="R44" s="40">
        <v>34133.049582910084</v>
      </c>
      <c r="S44" s="40">
        <v>32580.613984900068</v>
      </c>
      <c r="T44" s="40">
        <v>35413.722448830013</v>
      </c>
      <c r="U44" s="40">
        <v>38520.861578469965</v>
      </c>
      <c r="V44" s="40">
        <v>37876.241030240111</v>
      </c>
      <c r="W44" s="40">
        <v>38257.059745829974</v>
      </c>
      <c r="X44" s="103">
        <f t="shared" si="8"/>
        <v>5.3328748105409218E-2</v>
      </c>
      <c r="Y44" s="103">
        <f t="shared" si="32"/>
        <v>0.84453446191052017</v>
      </c>
      <c r="Z44" s="103">
        <f t="shared" si="32"/>
        <v>-3.2646532453144528E-2</v>
      </c>
      <c r="AA44" s="103">
        <f t="shared" si="32"/>
        <v>0.14953613033077406</v>
      </c>
      <c r="AB44" s="103">
        <f t="shared" si="32"/>
        <v>0.16704332421401968</v>
      </c>
      <c r="AC44" s="103">
        <f t="shared" si="32"/>
        <v>6.7803678472023288E-2</v>
      </c>
      <c r="AD44" s="103">
        <f t="shared" si="32"/>
        <v>9.8694380717475161E-2</v>
      </c>
      <c r="AE44" s="103">
        <f t="shared" si="32"/>
        <v>0.18207910035756436</v>
      </c>
      <c r="AF44" s="103">
        <f t="shared" si="32"/>
        <v>1.4402142912592897E-3</v>
      </c>
      <c r="AG44" s="103">
        <f t="shared" si="32"/>
        <v>1.603565954943309E-2</v>
      </c>
      <c r="AH44" s="103">
        <f t="shared" si="32"/>
        <v>4.1218269181236611E-2</v>
      </c>
      <c r="AI44" s="103">
        <f t="shared" si="32"/>
        <v>5.972087422980521E-2</v>
      </c>
      <c r="AJ44" s="103">
        <f t="shared" si="32"/>
        <v>3.3396057463272344E-2</v>
      </c>
      <c r="AK44" s="103">
        <f t="shared" si="32"/>
        <v>2.9697402401508199E-2</v>
      </c>
      <c r="AL44" s="103">
        <f t="shared" si="32"/>
        <v>4.070943625920509E-2</v>
      </c>
      <c r="AM44" s="103">
        <f t="shared" si="32"/>
        <v>-4.5481889751430193E-2</v>
      </c>
      <c r="AN44" s="103">
        <f t="shared" si="32"/>
        <v>8.6956877646412245E-2</v>
      </c>
      <c r="AO44" s="103">
        <f t="shared" si="32"/>
        <v>8.7738280948282732E-2</v>
      </c>
      <c r="AP44" s="103">
        <f t="shared" si="32"/>
        <v>-1.673432321643975E-2</v>
      </c>
      <c r="AQ44" s="103">
        <f t="shared" si="32"/>
        <v>1.0054290109882347E-2</v>
      </c>
    </row>
    <row r="45" spans="1:44" ht="14.25">
      <c r="B45" s="1" t="s">
        <v>115</v>
      </c>
      <c r="C45" s="2">
        <v>4348.3</v>
      </c>
      <c r="D45" s="2">
        <v>5833.6</v>
      </c>
      <c r="E45" s="74">
        <v>6057.4000000000042</v>
      </c>
      <c r="F45" s="2">
        <v>9674.4</v>
      </c>
      <c r="G45" s="40">
        <v>9028.2999999999956</v>
      </c>
      <c r="H45" s="40">
        <v>10883.003589710002</v>
      </c>
      <c r="I45" s="40">
        <v>11460.682485070001</v>
      </c>
      <c r="J45" s="40">
        <v>14023.122576829997</v>
      </c>
      <c r="K45" s="40">
        <v>17119.202307020005</v>
      </c>
      <c r="L45" s="40">
        <v>14784.910586159996</v>
      </c>
      <c r="M45" s="40">
        <v>10893.474240199997</v>
      </c>
      <c r="N45" s="40">
        <v>17738.36309823002</v>
      </c>
      <c r="O45" s="40">
        <v>17235.668871520073</v>
      </c>
      <c r="P45" s="40">
        <v>17784.932608879986</v>
      </c>
      <c r="Q45" s="40">
        <v>18793.018650510017</v>
      </c>
      <c r="R45" s="40">
        <v>21453.382367279984</v>
      </c>
      <c r="S45" s="40">
        <v>20532.166309670036</v>
      </c>
      <c r="T45" s="40">
        <v>21055.32860987994</v>
      </c>
      <c r="U45" s="40">
        <v>27850.391380310008</v>
      </c>
      <c r="V45" s="40">
        <v>27551.836066910044</v>
      </c>
      <c r="W45" s="40">
        <v>26287.970947400005</v>
      </c>
      <c r="X45" s="103">
        <f t="shared" si="8"/>
        <v>0.34158176758733294</v>
      </c>
      <c r="Y45" s="103">
        <f t="shared" si="32"/>
        <v>3.8363960504663286E-2</v>
      </c>
      <c r="Z45" s="103">
        <f t="shared" si="32"/>
        <v>0.59712087694390226</v>
      </c>
      <c r="AA45" s="103">
        <f t="shared" si="32"/>
        <v>-6.6784503431737807E-2</v>
      </c>
      <c r="AB45" s="103">
        <f t="shared" si="32"/>
        <v>0.20543220647408789</v>
      </c>
      <c r="AC45" s="103">
        <f t="shared" si="32"/>
        <v>5.3080832933492861E-2</v>
      </c>
      <c r="AD45" s="103">
        <f t="shared" si="32"/>
        <v>0.22358529652122594</v>
      </c>
      <c r="AE45" s="103">
        <f t="shared" si="32"/>
        <v>0.2207839026741143</v>
      </c>
      <c r="AF45" s="103">
        <f t="shared" si="32"/>
        <v>-0.1363551688330007</v>
      </c>
      <c r="AG45" s="103">
        <f t="shared" si="32"/>
        <v>-0.2632032384154378</v>
      </c>
      <c r="AH45" s="103">
        <f t="shared" si="32"/>
        <v>0.62834764255194631</v>
      </c>
      <c r="AI45" s="103">
        <f t="shared" si="32"/>
        <v>-2.8339380805667891E-2</v>
      </c>
      <c r="AJ45" s="103">
        <f t="shared" si="32"/>
        <v>3.1867851573054384E-2</v>
      </c>
      <c r="AK45" s="103">
        <f t="shared" si="32"/>
        <v>5.6682027635386989E-2</v>
      </c>
      <c r="AL45" s="103">
        <f t="shared" si="32"/>
        <v>0.1415612768892649</v>
      </c>
      <c r="AM45" s="103">
        <f t="shared" si="32"/>
        <v>-4.2940364453437296E-2</v>
      </c>
      <c r="AN45" s="103">
        <f t="shared" si="32"/>
        <v>2.5480131629535441E-2</v>
      </c>
      <c r="AO45" s="103">
        <f t="shared" si="32"/>
        <v>0.32272413773877529</v>
      </c>
      <c r="AP45" s="103">
        <f t="shared" si="32"/>
        <v>-1.0719968323714135E-2</v>
      </c>
      <c r="AQ45" s="103">
        <f t="shared" si="32"/>
        <v>-4.5872264789929895E-2</v>
      </c>
    </row>
    <row r="46" spans="1:44">
      <c r="B46" s="1" t="s">
        <v>23</v>
      </c>
      <c r="C46" s="8">
        <f>+C47+C48</f>
        <v>24009.9</v>
      </c>
      <c r="D46" s="8">
        <f t="shared" ref="D46:O46" si="33">+D47+D48</f>
        <v>19810.200000000012</v>
      </c>
      <c r="E46" s="75">
        <f t="shared" si="33"/>
        <v>17523.200000000004</v>
      </c>
      <c r="F46" s="8">
        <f t="shared" si="33"/>
        <v>20991.200000000004</v>
      </c>
      <c r="G46" s="8">
        <f t="shared" si="33"/>
        <v>14597.300000000007</v>
      </c>
      <c r="H46" s="8">
        <f t="shared" si="33"/>
        <v>16958.036895360041</v>
      </c>
      <c r="I46" s="8">
        <f t="shared" si="33"/>
        <v>18796.001320430023</v>
      </c>
      <c r="J46" s="8">
        <f t="shared" si="33"/>
        <v>25360.819989529951</v>
      </c>
      <c r="K46" s="8">
        <f t="shared" si="33"/>
        <v>24472.03827818</v>
      </c>
      <c r="L46" s="8">
        <f t="shared" si="33"/>
        <v>24321.05844746999</v>
      </c>
      <c r="M46" s="8">
        <f t="shared" si="33"/>
        <v>21224.8388806652</v>
      </c>
      <c r="N46" s="8">
        <f t="shared" si="33"/>
        <v>53258.62612871996</v>
      </c>
      <c r="O46" s="8">
        <f t="shared" si="33"/>
        <v>68914.111814309959</v>
      </c>
      <c r="P46" s="8">
        <f t="shared" ref="P46:W46" si="34">+P47+P48</f>
        <v>91399.443584920038</v>
      </c>
      <c r="Q46" s="8">
        <f t="shared" si="34"/>
        <v>71901.634668930128</v>
      </c>
      <c r="R46" s="8">
        <f t="shared" si="34"/>
        <v>62102.947264750117</v>
      </c>
      <c r="S46" s="8">
        <f t="shared" si="34"/>
        <v>61362.286214860047</v>
      </c>
      <c r="T46" s="8">
        <f t="shared" si="34"/>
        <v>82900.301422459917</v>
      </c>
      <c r="U46" s="8">
        <f t="shared" si="34"/>
        <v>120138.22580772001</v>
      </c>
      <c r="V46" s="8">
        <f t="shared" si="34"/>
        <v>118140.10917353004</v>
      </c>
      <c r="W46" s="8">
        <f t="shared" si="34"/>
        <v>142164.58817462009</v>
      </c>
      <c r="X46" s="106">
        <f t="shared" si="8"/>
        <v>-0.17491534741918913</v>
      </c>
      <c r="Y46" s="106">
        <f t="shared" si="32"/>
        <v>-0.1154455785403482</v>
      </c>
      <c r="Z46" s="106">
        <f t="shared" si="32"/>
        <v>0.19790905770635492</v>
      </c>
      <c r="AA46" s="106">
        <f t="shared" si="32"/>
        <v>-0.30459907008651232</v>
      </c>
      <c r="AB46" s="106">
        <f t="shared" si="32"/>
        <v>0.16172421580429486</v>
      </c>
      <c r="AC46" s="106">
        <f t="shared" si="32"/>
        <v>0.10838308917542672</v>
      </c>
      <c r="AD46" s="106">
        <f t="shared" si="32"/>
        <v>0.34926676994666939</v>
      </c>
      <c r="AE46" s="106">
        <f t="shared" si="32"/>
        <v>-3.5045464291646677E-2</v>
      </c>
      <c r="AF46" s="106">
        <f t="shared" si="32"/>
        <v>-6.1694832687732015E-3</v>
      </c>
      <c r="AG46" s="106">
        <f t="shared" si="32"/>
        <v>-0.12730611924198043</v>
      </c>
      <c r="AH46" s="106">
        <f t="shared" si="32"/>
        <v>1.5092593836948267</v>
      </c>
      <c r="AI46" s="106">
        <f t="shared" si="32"/>
        <v>0.29395211299203439</v>
      </c>
      <c r="AJ46" s="106">
        <f t="shared" si="32"/>
        <v>0.32628051321617724</v>
      </c>
      <c r="AK46" s="106">
        <f t="shared" si="32"/>
        <v>-0.21332524741109959</v>
      </c>
      <c r="AL46" s="106">
        <f t="shared" si="32"/>
        <v>-0.13627906304631188</v>
      </c>
      <c r="AM46" s="106">
        <f t="shared" si="32"/>
        <v>-1.1926342991944838E-2</v>
      </c>
      <c r="AN46" s="106">
        <f t="shared" si="32"/>
        <v>0.3509976002553834</v>
      </c>
      <c r="AO46" s="106">
        <f t="shared" si="32"/>
        <v>0.44918925198468984</v>
      </c>
      <c r="AP46" s="106">
        <f t="shared" si="32"/>
        <v>-1.6631814068803763E-2</v>
      </c>
      <c r="AQ46" s="106">
        <f t="shared" si="32"/>
        <v>0.20335582190635781</v>
      </c>
    </row>
    <row r="47" spans="1:44">
      <c r="B47" s="1" t="s">
        <v>7</v>
      </c>
      <c r="C47" s="2">
        <v>15082.1</v>
      </c>
      <c r="D47" s="41">
        <v>11016</v>
      </c>
      <c r="E47" s="74">
        <v>9904.1000000000058</v>
      </c>
      <c r="F47" s="2">
        <v>12490.1</v>
      </c>
      <c r="G47" s="40">
        <v>14263.000000000004</v>
      </c>
      <c r="H47" s="40">
        <v>15932.509531610041</v>
      </c>
      <c r="I47" s="40">
        <v>17825.029214130023</v>
      </c>
      <c r="J47" s="40">
        <v>24501.676861449952</v>
      </c>
      <c r="K47" s="40">
        <v>24278.453836200002</v>
      </c>
      <c r="L47" s="40">
        <v>24174.198635339984</v>
      </c>
      <c r="M47" s="40">
        <v>20514.24666674</v>
      </c>
      <c r="N47" s="40">
        <v>52574.002039259954</v>
      </c>
      <c r="O47" s="40">
        <v>68314.836553449961</v>
      </c>
      <c r="P47" s="40">
        <v>90822.372720470026</v>
      </c>
      <c r="Q47" s="40">
        <v>71826.987957010104</v>
      </c>
      <c r="R47" s="40">
        <v>61246.682730060129</v>
      </c>
      <c r="S47" s="40">
        <v>56981.339856190054</v>
      </c>
      <c r="T47" s="40">
        <v>70378.846170499921</v>
      </c>
      <c r="U47" s="40">
        <v>71903.621913850016</v>
      </c>
      <c r="V47" s="40">
        <v>77254.20268493006</v>
      </c>
      <c r="W47" s="40">
        <v>100431.50176343007</v>
      </c>
      <c r="X47" s="103">
        <f t="shared" si="8"/>
        <v>-0.26959773506341955</v>
      </c>
      <c r="Y47" s="103">
        <f t="shared" si="32"/>
        <v>-0.10093500363108154</v>
      </c>
      <c r="Z47" s="103">
        <f t="shared" si="32"/>
        <v>0.26110398723760797</v>
      </c>
      <c r="AA47" s="103">
        <f t="shared" si="32"/>
        <v>0.14194441998062501</v>
      </c>
      <c r="AB47" s="103">
        <f t="shared" si="32"/>
        <v>0.11705177954217461</v>
      </c>
      <c r="AC47" s="103">
        <f t="shared" si="32"/>
        <v>0.1187835274013318</v>
      </c>
      <c r="AD47" s="103">
        <f t="shared" si="32"/>
        <v>0.37456587403667796</v>
      </c>
      <c r="AE47" s="103">
        <f t="shared" si="32"/>
        <v>-9.1105203334536089E-3</v>
      </c>
      <c r="AF47" s="103">
        <f t="shared" si="32"/>
        <v>-4.2941449881198634E-3</v>
      </c>
      <c r="AG47" s="103">
        <f t="shared" si="32"/>
        <v>-0.15139910215056895</v>
      </c>
      <c r="AH47" s="103">
        <f t="shared" si="32"/>
        <v>1.5628044204274305</v>
      </c>
      <c r="AI47" s="103">
        <f t="shared" si="32"/>
        <v>0.2994033914792229</v>
      </c>
      <c r="AJ47" s="103">
        <f t="shared" si="32"/>
        <v>0.32946775989736921</v>
      </c>
      <c r="AK47" s="103">
        <f t="shared" si="32"/>
        <v>-0.2091487393962197</v>
      </c>
      <c r="AL47" s="103">
        <f t="shared" si="32"/>
        <v>-0.14730264386531844</v>
      </c>
      <c r="AM47" s="103">
        <f t="shared" si="32"/>
        <v>-6.9642022779735413E-2</v>
      </c>
      <c r="AN47" s="103">
        <f t="shared" si="32"/>
        <v>0.23512094219129631</v>
      </c>
      <c r="AO47" s="103">
        <f t="shared" si="32"/>
        <v>2.1665256342170869E-2</v>
      </c>
      <c r="AP47" s="103">
        <f t="shared" si="32"/>
        <v>7.4413230219344761E-2</v>
      </c>
      <c r="AQ47" s="103">
        <f t="shared" si="32"/>
        <v>0.30001343969628724</v>
      </c>
    </row>
    <row r="48" spans="1:44">
      <c r="B48" s="1" t="s">
        <v>8</v>
      </c>
      <c r="C48" s="2">
        <v>8927.7999999999993</v>
      </c>
      <c r="D48" s="41">
        <v>8794.2000000000116</v>
      </c>
      <c r="E48" s="74">
        <v>7619.1</v>
      </c>
      <c r="F48" s="2">
        <v>8501.1000000000058</v>
      </c>
      <c r="G48" s="40">
        <v>334.30000000000291</v>
      </c>
      <c r="H48" s="40">
        <v>1025.5273637499995</v>
      </c>
      <c r="I48" s="40">
        <v>970.97210629999972</v>
      </c>
      <c r="J48" s="40">
        <v>859.14312807999886</v>
      </c>
      <c r="K48" s="40">
        <v>193.58444197999779</v>
      </c>
      <c r="L48" s="40">
        <v>146.85981213000559</v>
      </c>
      <c r="M48" s="40">
        <v>710.59221392519976</v>
      </c>
      <c r="N48" s="40">
        <v>684.62408946000869</v>
      </c>
      <c r="O48" s="40">
        <v>599.27526086000216</v>
      </c>
      <c r="P48" s="40">
        <v>577.07086445001551</v>
      </c>
      <c r="Q48" s="40">
        <v>74.646711920024245</v>
      </c>
      <c r="R48" s="40">
        <v>856.26453468998807</v>
      </c>
      <c r="S48" s="40">
        <v>4380.9463586699931</v>
      </c>
      <c r="T48" s="40">
        <v>12521.455251959997</v>
      </c>
      <c r="U48" s="40">
        <v>48234.603893869993</v>
      </c>
      <c r="V48" s="40">
        <v>40885.906488599976</v>
      </c>
      <c r="W48" s="40">
        <v>41733.086411190015</v>
      </c>
      <c r="X48" s="103">
        <f t="shared" si="8"/>
        <v>-1.4964492932187934E-2</v>
      </c>
      <c r="Y48" s="103">
        <f t="shared" si="32"/>
        <v>-0.13362216006004068</v>
      </c>
      <c r="Z48" s="103">
        <f t="shared" si="32"/>
        <v>0.11576170413828479</v>
      </c>
      <c r="AA48" s="103">
        <f t="shared" si="32"/>
        <v>-0.96067567726529479</v>
      </c>
      <c r="AB48" s="103">
        <f t="shared" si="32"/>
        <v>2.067685802422945</v>
      </c>
      <c r="AC48" s="103">
        <f t="shared" si="32"/>
        <v>-5.3197271353647824E-2</v>
      </c>
      <c r="AD48" s="103">
        <f t="shared" si="32"/>
        <v>-0.11517218413836616</v>
      </c>
      <c r="AE48" s="103">
        <f t="shared" si="32"/>
        <v>-0.77467730852644123</v>
      </c>
      <c r="AF48" s="103">
        <f t="shared" si="32"/>
        <v>-0.24136562510958415</v>
      </c>
      <c r="AG48" s="103">
        <f t="shared" si="32"/>
        <v>3.8385749894338552</v>
      </c>
      <c r="AH48" s="103">
        <f t="shared" si="32"/>
        <v>-3.6544341404681657E-2</v>
      </c>
      <c r="AI48" s="103">
        <f t="shared" si="32"/>
        <v>-0.12466524318085959</v>
      </c>
      <c r="AJ48" s="103">
        <f t="shared" si="32"/>
        <v>-3.7052082507330275E-2</v>
      </c>
      <c r="AK48" s="103">
        <f t="shared" si="32"/>
        <v>-0.87064550210628422</v>
      </c>
      <c r="AL48" s="103">
        <f t="shared" si="32"/>
        <v>10.470894198359085</v>
      </c>
      <c r="AM48" s="103">
        <f t="shared" si="32"/>
        <v>4.116346854487114</v>
      </c>
      <c r="AN48" s="103">
        <f t="shared" si="32"/>
        <v>1.858162193011049</v>
      </c>
      <c r="AO48" s="103">
        <f t="shared" si="32"/>
        <v>2.8521563926301443</v>
      </c>
      <c r="AP48" s="103">
        <f t="shared" si="32"/>
        <v>-0.15235322386889016</v>
      </c>
      <c r="AQ48" s="103">
        <f t="shared" si="32"/>
        <v>2.0720585535415559E-2</v>
      </c>
    </row>
    <row r="49" spans="1:43">
      <c r="C49" s="2"/>
      <c r="D49" s="2"/>
      <c r="E49" s="74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</row>
    <row r="50" spans="1:43" ht="14.25">
      <c r="B50" s="1" t="s">
        <v>113</v>
      </c>
      <c r="C50" s="8">
        <f>+C51+C52+C53+C54</f>
        <v>36070.400000000001</v>
      </c>
      <c r="D50" s="8">
        <f t="shared" ref="D50:O50" si="35">+D51+D52+D53+D54</f>
        <v>52890.36743880999</v>
      </c>
      <c r="E50" s="75">
        <f t="shared" si="35"/>
        <v>66545.902600450005</v>
      </c>
      <c r="F50" s="8">
        <f t="shared" si="35"/>
        <v>74887.799999999988</v>
      </c>
      <c r="G50" s="8">
        <f t="shared" si="35"/>
        <v>103928.90000000011</v>
      </c>
      <c r="H50" s="8">
        <f t="shared" si="35"/>
        <v>114318.06329049001</v>
      </c>
      <c r="I50" s="8">
        <f t="shared" si="35"/>
        <v>133253.06316457011</v>
      </c>
      <c r="J50" s="8">
        <f t="shared" si="35"/>
        <v>149654.73805633999</v>
      </c>
      <c r="K50" s="8">
        <f t="shared" si="35"/>
        <v>160450.66567652</v>
      </c>
      <c r="L50" s="8">
        <f t="shared" si="35"/>
        <v>176135.70578232998</v>
      </c>
      <c r="M50" s="8">
        <f t="shared" si="35"/>
        <v>185826.77547732007</v>
      </c>
      <c r="N50" s="8">
        <f t="shared" si="35"/>
        <v>207147.09450473011</v>
      </c>
      <c r="O50" s="8">
        <f t="shared" si="35"/>
        <v>220042.17701853981</v>
      </c>
      <c r="P50" s="8">
        <f t="shared" ref="P50:W50" si="36">+P51+P52+P53+P54</f>
        <v>219865.15977843993</v>
      </c>
      <c r="Q50" s="8">
        <f t="shared" si="36"/>
        <v>280278.80605463003</v>
      </c>
      <c r="R50" s="8">
        <f t="shared" si="36"/>
        <v>227210.33304447006</v>
      </c>
      <c r="S50" s="8">
        <f t="shared" si="36"/>
        <v>191822.28138161</v>
      </c>
      <c r="T50" s="8">
        <f t="shared" si="36"/>
        <v>238996.20902469035</v>
      </c>
      <c r="U50" s="8">
        <f t="shared" si="36"/>
        <v>223865.32475524995</v>
      </c>
      <c r="V50" s="8">
        <f t="shared" si="36"/>
        <v>260251.80903636981</v>
      </c>
      <c r="W50" s="8">
        <f t="shared" si="36"/>
        <v>238652.51093684</v>
      </c>
      <c r="X50" s="106">
        <f t="shared" si="8"/>
        <v>0.46630942376047924</v>
      </c>
      <c r="Y50" s="106">
        <f t="shared" ref="Y50:AQ54" si="37">+E50/D50-1</f>
        <v>0.25818567393086078</v>
      </c>
      <c r="Z50" s="106">
        <f t="shared" si="37"/>
        <v>0.12535553766000884</v>
      </c>
      <c r="AA50" s="106">
        <f t="shared" si="37"/>
        <v>0.38779480769898611</v>
      </c>
      <c r="AB50" s="106">
        <f t="shared" si="37"/>
        <v>9.9964141740073176E-2</v>
      </c>
      <c r="AC50" s="106">
        <f t="shared" si="37"/>
        <v>0.16563436546300614</v>
      </c>
      <c r="AD50" s="106">
        <f t="shared" si="37"/>
        <v>0.12308666309241612</v>
      </c>
      <c r="AE50" s="106">
        <f t="shared" si="37"/>
        <v>7.2138896238057582E-2</v>
      </c>
      <c r="AF50" s="106">
        <f t="shared" si="37"/>
        <v>9.7756154763683822E-2</v>
      </c>
      <c r="AG50" s="106">
        <f t="shared" si="37"/>
        <v>5.5020472152116584E-2</v>
      </c>
      <c r="AH50" s="106">
        <f t="shared" si="37"/>
        <v>0.11473222291376484</v>
      </c>
      <c r="AI50" s="106">
        <f t="shared" si="37"/>
        <v>6.2250849062791103E-2</v>
      </c>
      <c r="AJ50" s="106">
        <f t="shared" si="37"/>
        <v>-8.0446959077740132E-4</v>
      </c>
      <c r="AK50" s="106">
        <f t="shared" si="37"/>
        <v>0.27477589599493379</v>
      </c>
      <c r="AL50" s="106">
        <f t="shared" si="37"/>
        <v>-0.1893417263944539</v>
      </c>
      <c r="AM50" s="106">
        <f t="shared" si="37"/>
        <v>-0.15575018613230873</v>
      </c>
      <c r="AN50" s="106">
        <f t="shared" si="37"/>
        <v>0.2459251725258802</v>
      </c>
      <c r="AO50" s="106">
        <f t="shared" si="37"/>
        <v>-6.3310143416865916E-2</v>
      </c>
      <c r="AP50" s="106">
        <f t="shared" si="37"/>
        <v>0.16253738412101515</v>
      </c>
      <c r="AQ50" s="106">
        <f t="shared" si="37"/>
        <v>-8.2993844229191649E-2</v>
      </c>
    </row>
    <row r="51" spans="1:43">
      <c r="B51" s="1" t="s">
        <v>10</v>
      </c>
      <c r="C51" s="2">
        <v>19886.600000000002</v>
      </c>
      <c r="D51" s="2">
        <v>24636.167438809993</v>
      </c>
      <c r="E51" s="74">
        <v>26893.389900420003</v>
      </c>
      <c r="F51" s="2">
        <v>32616.699999999997</v>
      </c>
      <c r="G51" s="40">
        <v>35810.1</v>
      </c>
      <c r="H51" s="40">
        <v>39417.678560040004</v>
      </c>
      <c r="I51" s="40">
        <v>43105.397528430105</v>
      </c>
      <c r="J51" s="40">
        <v>48410.934505270001</v>
      </c>
      <c r="K51" s="40">
        <v>53363.514034420004</v>
      </c>
      <c r="L51" s="40">
        <v>59053.638476039996</v>
      </c>
      <c r="M51" s="40">
        <v>58907.024761119988</v>
      </c>
      <c r="N51" s="40">
        <v>62742.83045616006</v>
      </c>
      <c r="O51" s="40">
        <v>64324.99890316002</v>
      </c>
      <c r="P51" s="40">
        <v>67765.992483079943</v>
      </c>
      <c r="Q51" s="40">
        <v>80827.596791039949</v>
      </c>
      <c r="R51" s="40">
        <v>77256.489865400028</v>
      </c>
      <c r="S51" s="40">
        <v>73669.251440220018</v>
      </c>
      <c r="T51" s="40">
        <v>77331.3694778801</v>
      </c>
      <c r="U51" s="40">
        <v>78555.315881560004</v>
      </c>
      <c r="V51" s="40">
        <v>78610.415794910077</v>
      </c>
      <c r="W51" s="40">
        <v>75344.476225989973</v>
      </c>
      <c r="X51" s="103">
        <f t="shared" si="8"/>
        <v>0.23883255251324953</v>
      </c>
      <c r="Y51" s="103">
        <f t="shared" si="37"/>
        <v>9.1622305588577424E-2</v>
      </c>
      <c r="Z51" s="103">
        <f t="shared" si="37"/>
        <v>0.21281475190640098</v>
      </c>
      <c r="AA51" s="103">
        <f t="shared" si="37"/>
        <v>9.7906900452835455E-2</v>
      </c>
      <c r="AB51" s="103">
        <f t="shared" si="37"/>
        <v>0.10074192923337288</v>
      </c>
      <c r="AC51" s="103">
        <f t="shared" si="37"/>
        <v>9.355495054771068E-2</v>
      </c>
      <c r="AD51" s="103">
        <f t="shared" si="37"/>
        <v>0.12308289172697306</v>
      </c>
      <c r="AE51" s="103">
        <f t="shared" si="37"/>
        <v>0.10230291110391332</v>
      </c>
      <c r="AF51" s="103">
        <f t="shared" si="37"/>
        <v>0.10662949291438717</v>
      </c>
      <c r="AG51" s="103">
        <f t="shared" si="37"/>
        <v>-2.4827211109014202E-3</v>
      </c>
      <c r="AH51" s="103">
        <f t="shared" si="37"/>
        <v>6.511626941939519E-2</v>
      </c>
      <c r="AI51" s="103">
        <f t="shared" si="37"/>
        <v>2.5216720946394933E-2</v>
      </c>
      <c r="AJ51" s="103">
        <f t="shared" si="37"/>
        <v>5.3493877008848001E-2</v>
      </c>
      <c r="AK51" s="103">
        <f t="shared" si="37"/>
        <v>0.19274570960089266</v>
      </c>
      <c r="AL51" s="103">
        <f t="shared" si="37"/>
        <v>-4.4181777850851423E-2</v>
      </c>
      <c r="AM51" s="103">
        <f t="shared" si="37"/>
        <v>-4.6432842489088855E-2</v>
      </c>
      <c r="AN51" s="103">
        <f t="shared" si="37"/>
        <v>4.9710265355848771E-2</v>
      </c>
      <c r="AO51" s="103">
        <f t="shared" si="37"/>
        <v>1.5827295080167891E-2</v>
      </c>
      <c r="AP51" s="103">
        <f t="shared" si="37"/>
        <v>7.0141546414448364E-4</v>
      </c>
      <c r="AQ51" s="103">
        <f t="shared" si="37"/>
        <v>-4.1545888491936633E-2</v>
      </c>
    </row>
    <row r="52" spans="1:43">
      <c r="B52" s="1" t="s">
        <v>11</v>
      </c>
      <c r="C52" s="2">
        <v>15935.899999999994</v>
      </c>
      <c r="D52" s="2">
        <v>27858.699999999993</v>
      </c>
      <c r="E52" s="74">
        <v>39156.112700029989</v>
      </c>
      <c r="F52" s="2">
        <v>41223.700000000004</v>
      </c>
      <c r="G52" s="40">
        <v>67156.800000000105</v>
      </c>
      <c r="H52" s="40">
        <v>74135.206788580006</v>
      </c>
      <c r="I52" s="40">
        <v>89211.866239879993</v>
      </c>
      <c r="J52" s="40">
        <v>101008.81978157999</v>
      </c>
      <c r="K52" s="40">
        <v>106229.09651841999</v>
      </c>
      <c r="L52" s="40">
        <v>116903.66892440998</v>
      </c>
      <c r="M52" s="40">
        <v>123189.57531843007</v>
      </c>
      <c r="N52" s="40">
        <v>141175.08126309005</v>
      </c>
      <c r="O52" s="40">
        <v>153005.29422445979</v>
      </c>
      <c r="P52" s="40">
        <v>149957.87884159997</v>
      </c>
      <c r="Q52" s="40">
        <v>167638.84212800008</v>
      </c>
      <c r="R52" s="40">
        <v>149535.36398826004</v>
      </c>
      <c r="S52" s="40">
        <v>117843.32480113996</v>
      </c>
      <c r="T52" s="40">
        <v>161391.02906669024</v>
      </c>
      <c r="U52" s="40">
        <v>144029.95194202993</v>
      </c>
      <c r="V52" s="40">
        <v>181451.59986614971</v>
      </c>
      <c r="W52" s="40">
        <v>161956.30285733001</v>
      </c>
      <c r="X52" s="103">
        <f t="shared" si="8"/>
        <v>0.74817236553944255</v>
      </c>
      <c r="Y52" s="103">
        <f t="shared" si="37"/>
        <v>0.40552548037166125</v>
      </c>
      <c r="Z52" s="103">
        <f t="shared" si="37"/>
        <v>5.2803691617948401E-2</v>
      </c>
      <c r="AA52" s="103">
        <f t="shared" si="37"/>
        <v>0.62908229974505203</v>
      </c>
      <c r="AB52" s="103">
        <f t="shared" si="37"/>
        <v>0.10391213977705749</v>
      </c>
      <c r="AC52" s="103">
        <f t="shared" si="37"/>
        <v>0.20336706545239491</v>
      </c>
      <c r="AD52" s="103">
        <f t="shared" si="37"/>
        <v>0.13223525119382007</v>
      </c>
      <c r="AE52" s="103">
        <f t="shared" si="37"/>
        <v>5.1681395229923988E-2</v>
      </c>
      <c r="AF52" s="103">
        <f t="shared" si="37"/>
        <v>0.10048633336666879</v>
      </c>
      <c r="AG52" s="103">
        <f t="shared" si="37"/>
        <v>5.3769966775675471E-2</v>
      </c>
      <c r="AH52" s="103">
        <f t="shared" si="37"/>
        <v>0.14599860335722092</v>
      </c>
      <c r="AI52" s="103">
        <f t="shared" si="37"/>
        <v>8.3798166471909408E-2</v>
      </c>
      <c r="AJ52" s="103">
        <f t="shared" si="37"/>
        <v>-1.9917058414914979E-2</v>
      </c>
      <c r="AK52" s="103">
        <f t="shared" si="37"/>
        <v>0.11790619754682208</v>
      </c>
      <c r="AL52" s="103">
        <f t="shared" si="37"/>
        <v>-0.10799095191743924</v>
      </c>
      <c r="AM52" s="103">
        <f t="shared" si="37"/>
        <v>-0.21193675089197106</v>
      </c>
      <c r="AN52" s="103">
        <f t="shared" si="37"/>
        <v>0.36953899882778107</v>
      </c>
      <c r="AO52" s="103">
        <f t="shared" si="37"/>
        <v>-0.10757151264886189</v>
      </c>
      <c r="AP52" s="103">
        <f t="shared" si="37"/>
        <v>0.25981851288252522</v>
      </c>
      <c r="AQ52" s="103">
        <f t="shared" si="37"/>
        <v>-0.10744075567920419</v>
      </c>
    </row>
    <row r="53" spans="1:43">
      <c r="B53" s="1" t="s">
        <v>12</v>
      </c>
      <c r="C53" s="2">
        <v>149.1</v>
      </c>
      <c r="D53" s="2">
        <v>208.5</v>
      </c>
      <c r="E53" s="74">
        <v>428.6</v>
      </c>
      <c r="F53" s="2">
        <v>362.7</v>
      </c>
      <c r="G53" s="40">
        <v>227.7999999999995</v>
      </c>
      <c r="H53" s="40">
        <v>223.50933289</v>
      </c>
      <c r="I53" s="40">
        <v>284.49453104000008</v>
      </c>
      <c r="J53" s="40">
        <v>234.98376949000021</v>
      </c>
      <c r="K53" s="40">
        <v>147.15992367999968</v>
      </c>
      <c r="L53" s="40">
        <v>178.39838187999908</v>
      </c>
      <c r="M53" s="40">
        <v>137.42661577000001</v>
      </c>
      <c r="N53" s="40">
        <v>286.32978547999915</v>
      </c>
      <c r="O53" s="40">
        <v>152.10389091999878</v>
      </c>
      <c r="P53" s="40">
        <v>168.48245376</v>
      </c>
      <c r="Q53" s="40">
        <v>421.49213558999975</v>
      </c>
      <c r="R53" s="40">
        <v>418.47919081000066</v>
      </c>
      <c r="S53" s="40">
        <v>309.23303725000005</v>
      </c>
      <c r="T53" s="40">
        <v>272.89099211999979</v>
      </c>
      <c r="U53" s="40">
        <v>1279.1374436600006</v>
      </c>
      <c r="V53" s="40">
        <v>182.21061188999829</v>
      </c>
      <c r="W53" s="40">
        <v>1351.7318535199975</v>
      </c>
      <c r="X53" s="103">
        <f t="shared" si="8"/>
        <v>0.39839034205231383</v>
      </c>
      <c r="Y53" s="103">
        <f t="shared" si="37"/>
        <v>1.0556354916067145</v>
      </c>
      <c r="Z53" s="103">
        <f t="shared" si="37"/>
        <v>-0.15375641623891745</v>
      </c>
      <c r="AA53" s="103">
        <f t="shared" si="37"/>
        <v>-0.37193272677143785</v>
      </c>
      <c r="AB53" s="103">
        <f t="shared" si="37"/>
        <v>-1.8835237532921489E-2</v>
      </c>
      <c r="AC53" s="103">
        <f t="shared" si="37"/>
        <v>0.27285302748415408</v>
      </c>
      <c r="AD53" s="103">
        <f t="shared" si="37"/>
        <v>-0.17403062677165715</v>
      </c>
      <c r="AE53" s="103">
        <f t="shared" si="37"/>
        <v>-0.37374430583273921</v>
      </c>
      <c r="AF53" s="103">
        <f t="shared" si="37"/>
        <v>0.21227558032666316</v>
      </c>
      <c r="AG53" s="103">
        <f t="shared" si="37"/>
        <v>-0.22966444918518947</v>
      </c>
      <c r="AH53" s="103">
        <f t="shared" si="37"/>
        <v>1.0835104166372438</v>
      </c>
      <c r="AI53" s="103">
        <f t="shared" si="37"/>
        <v>-0.46878076039132988</v>
      </c>
      <c r="AJ53" s="103">
        <f t="shared" si="37"/>
        <v>0.10768010430854624</v>
      </c>
      <c r="AK53" s="103">
        <f t="shared" si="37"/>
        <v>1.5016975132045927</v>
      </c>
      <c r="AL53" s="103">
        <f t="shared" si="37"/>
        <v>-7.1482823179644939E-3</v>
      </c>
      <c r="AM53" s="103">
        <f t="shared" si="37"/>
        <v>-0.26105516345638535</v>
      </c>
      <c r="AN53" s="103">
        <f t="shared" si="37"/>
        <v>-0.11752316457901446</v>
      </c>
      <c r="AO53" s="103">
        <f t="shared" si="37"/>
        <v>3.6873567856630416</v>
      </c>
      <c r="AP53" s="103">
        <f t="shared" si="37"/>
        <v>-0.85755196770048547</v>
      </c>
      <c r="AQ53" s="103">
        <f t="shared" si="37"/>
        <v>6.4185133319021324</v>
      </c>
    </row>
    <row r="54" spans="1:43">
      <c r="B54" s="24" t="s">
        <v>18</v>
      </c>
      <c r="C54" s="2">
        <v>98.8</v>
      </c>
      <c r="D54" s="2">
        <v>187</v>
      </c>
      <c r="E54" s="74">
        <v>67.8</v>
      </c>
      <c r="F54" s="2">
        <v>684.7</v>
      </c>
      <c r="G54" s="40">
        <v>734.2</v>
      </c>
      <c r="H54" s="40">
        <v>541.66860898000004</v>
      </c>
      <c r="I54" s="40">
        <v>651.30486522000012</v>
      </c>
      <c r="J54" s="40">
        <v>0</v>
      </c>
      <c r="K54" s="40">
        <v>710.89519999999993</v>
      </c>
      <c r="L54" s="40">
        <v>0</v>
      </c>
      <c r="M54" s="40">
        <v>3592.7487819999992</v>
      </c>
      <c r="N54" s="40">
        <v>2942.8529999999992</v>
      </c>
      <c r="O54" s="40">
        <v>2559.7799999999988</v>
      </c>
      <c r="P54" s="40">
        <v>1972.8060000000003</v>
      </c>
      <c r="Q54" s="40">
        <v>31390.875</v>
      </c>
      <c r="R54" s="40">
        <v>0</v>
      </c>
      <c r="S54" s="40">
        <v>0.47210299999999994</v>
      </c>
      <c r="T54" s="40">
        <v>0.91948800000188935</v>
      </c>
      <c r="U54" s="40">
        <v>0.91948799999999842</v>
      </c>
      <c r="V54" s="40">
        <v>7.5827634200000205</v>
      </c>
      <c r="W54" s="40">
        <v>0</v>
      </c>
      <c r="X54" s="103">
        <f t="shared" si="8"/>
        <v>0.89271255060728749</v>
      </c>
      <c r="Y54" s="103">
        <f t="shared" si="37"/>
        <v>-0.63743315508021392</v>
      </c>
      <c r="Z54" s="103">
        <f t="shared" si="37"/>
        <v>9.0988200589970507</v>
      </c>
      <c r="AA54" s="103">
        <f t="shared" si="37"/>
        <v>7.2294435519205447E-2</v>
      </c>
      <c r="AB54" s="103">
        <f t="shared" si="37"/>
        <v>-0.2622328943339689</v>
      </c>
      <c r="AC54" s="103">
        <f t="shared" si="37"/>
        <v>0.20240467035084952</v>
      </c>
      <c r="AD54" s="103">
        <f t="shared" si="37"/>
        <v>-1</v>
      </c>
      <c r="AE54" s="107" t="e">
        <f t="shared" si="37"/>
        <v>#DIV/0!</v>
      </c>
      <c r="AF54" s="103">
        <f t="shared" si="37"/>
        <v>-1</v>
      </c>
      <c r="AG54" s="107" t="e">
        <f t="shared" si="37"/>
        <v>#DIV/0!</v>
      </c>
      <c r="AH54" s="103">
        <f t="shared" si="37"/>
        <v>-0.18089096161024043</v>
      </c>
      <c r="AI54" s="103">
        <f t="shared" si="37"/>
        <v>-0.13017062014310621</v>
      </c>
      <c r="AJ54" s="103">
        <f t="shared" si="37"/>
        <v>-0.22930642477087826</v>
      </c>
      <c r="AK54" s="103">
        <f t="shared" si="37"/>
        <v>14.9117901101274</v>
      </c>
      <c r="AL54" s="103">
        <f t="shared" si="37"/>
        <v>-1</v>
      </c>
      <c r="AM54" s="103" t="e">
        <f t="shared" si="37"/>
        <v>#DIV/0!</v>
      </c>
      <c r="AN54" s="103">
        <f t="shared" si="37"/>
        <v>0.94764278134620938</v>
      </c>
      <c r="AO54" s="103">
        <f t="shared" si="37"/>
        <v>-2.0564661085131775E-12</v>
      </c>
      <c r="AP54" s="103">
        <f t="shared" si="37"/>
        <v>7.2467236331523992</v>
      </c>
      <c r="AQ54" s="103">
        <f t="shared" si="37"/>
        <v>-1</v>
      </c>
    </row>
    <row r="55" spans="1:43">
      <c r="C55" s="2"/>
      <c r="D55" s="2"/>
      <c r="E55" s="74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</row>
    <row r="56" spans="1:43">
      <c r="A56" s="9"/>
      <c r="B56" s="22" t="s">
        <v>13</v>
      </c>
      <c r="C56" s="31">
        <f>+C58+C59</f>
        <v>9602.7000000000007</v>
      </c>
      <c r="D56" s="31">
        <f t="shared" ref="D56:O56" si="38">+D58+D59</f>
        <v>16280.100000000002</v>
      </c>
      <c r="E56" s="76">
        <f t="shared" si="38"/>
        <v>8993.7000000000007</v>
      </c>
      <c r="F56" s="31">
        <f t="shared" si="38"/>
        <v>23875.100000000006</v>
      </c>
      <c r="G56" s="31">
        <f t="shared" si="38"/>
        <v>23052.799999999999</v>
      </c>
      <c r="H56" s="31">
        <f t="shared" si="38"/>
        <v>35997.42231727999</v>
      </c>
      <c r="I56" s="31">
        <f t="shared" si="38"/>
        <v>27111.182181200005</v>
      </c>
      <c r="J56" s="31">
        <f t="shared" si="38"/>
        <v>13283.975725179995</v>
      </c>
      <c r="K56" s="31">
        <f t="shared" si="38"/>
        <v>32017.030594760006</v>
      </c>
      <c r="L56" s="31">
        <f t="shared" si="38"/>
        <v>30818.432707240005</v>
      </c>
      <c r="M56" s="31">
        <f t="shared" si="38"/>
        <v>22305.18118657</v>
      </c>
      <c r="N56" s="31">
        <f t="shared" si="38"/>
        <v>52362.403123330012</v>
      </c>
      <c r="O56" s="31">
        <f t="shared" si="38"/>
        <v>65600.740808729999</v>
      </c>
      <c r="P56" s="31">
        <f t="shared" ref="P56:W56" si="39">+P58+P59</f>
        <v>63833.636209520002</v>
      </c>
      <c r="Q56" s="31">
        <f t="shared" si="39"/>
        <v>38695.22001675998</v>
      </c>
      <c r="R56" s="31">
        <f t="shared" si="39"/>
        <v>62450.84942049002</v>
      </c>
      <c r="S56" s="31">
        <f t="shared" si="39"/>
        <v>22395.152396149992</v>
      </c>
      <c r="T56" s="31">
        <f t="shared" si="39"/>
        <v>57942.491116819976</v>
      </c>
      <c r="U56" s="31">
        <f t="shared" si="39"/>
        <v>72200.940697220009</v>
      </c>
      <c r="V56" s="31">
        <f t="shared" si="39"/>
        <v>54831.936270950027</v>
      </c>
      <c r="W56" s="31">
        <f t="shared" si="39"/>
        <v>43529.856576389997</v>
      </c>
      <c r="X56" s="102">
        <f t="shared" si="8"/>
        <v>0.69536692805148559</v>
      </c>
      <c r="Y56" s="102">
        <f t="shared" ref="Y56:AQ56" si="40">+E56/D56-1</f>
        <v>-0.44756481839792139</v>
      </c>
      <c r="Z56" s="102">
        <f t="shared" si="40"/>
        <v>1.6546471418882112</v>
      </c>
      <c r="AA56" s="102">
        <f t="shared" si="40"/>
        <v>-3.4441740558154965E-2</v>
      </c>
      <c r="AB56" s="102">
        <f t="shared" si="40"/>
        <v>0.56152060995974429</v>
      </c>
      <c r="AC56" s="102">
        <f t="shared" si="40"/>
        <v>-0.24685767935706571</v>
      </c>
      <c r="AD56" s="102">
        <f t="shared" si="40"/>
        <v>-0.51001857328111488</v>
      </c>
      <c r="AE56" s="102">
        <f t="shared" si="40"/>
        <v>1.4101994204996324</v>
      </c>
      <c r="AF56" s="102">
        <f t="shared" si="40"/>
        <v>-3.7436260179486092E-2</v>
      </c>
      <c r="AG56" s="102">
        <f t="shared" si="40"/>
        <v>-0.27623895094022843</v>
      </c>
      <c r="AH56" s="102">
        <f t="shared" si="40"/>
        <v>1.3475443972119594</v>
      </c>
      <c r="AI56" s="102">
        <f t="shared" si="40"/>
        <v>0.25282143094577836</v>
      </c>
      <c r="AJ56" s="102">
        <f t="shared" si="40"/>
        <v>-2.6937265912320818E-2</v>
      </c>
      <c r="AK56" s="102">
        <f t="shared" si="40"/>
        <v>-0.39381143994756385</v>
      </c>
      <c r="AL56" s="102">
        <f t="shared" si="40"/>
        <v>0.61391638019995276</v>
      </c>
      <c r="AM56" s="102">
        <f t="shared" si="40"/>
        <v>-0.64139555179849683</v>
      </c>
      <c r="AN56" s="102">
        <f t="shared" si="40"/>
        <v>1.587278268612319</v>
      </c>
      <c r="AO56" s="102">
        <f t="shared" si="40"/>
        <v>0.24607933324187004</v>
      </c>
      <c r="AP56" s="102">
        <f t="shared" si="40"/>
        <v>-0.24056479401159314</v>
      </c>
      <c r="AQ56" s="102">
        <f t="shared" si="40"/>
        <v>-0.20612220656792446</v>
      </c>
    </row>
    <row r="57" spans="1:43">
      <c r="C57" s="2"/>
      <c r="D57" s="2"/>
      <c r="E57" s="74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</row>
    <row r="58" spans="1:43">
      <c r="B58" s="1" t="s">
        <v>84</v>
      </c>
      <c r="C58" s="2">
        <v>1072.5999999999999</v>
      </c>
      <c r="D58" s="2">
        <v>2599.6999999999998</v>
      </c>
      <c r="E58" s="74">
        <v>2457.1999999999989</v>
      </c>
      <c r="F58" s="1">
        <v>6026.1</v>
      </c>
      <c r="G58" s="40">
        <v>3692.8000000000029</v>
      </c>
      <c r="H58" s="40">
        <v>4166.1492343599984</v>
      </c>
      <c r="I58" s="40">
        <v>4102.6742720400007</v>
      </c>
      <c r="J58" s="40">
        <v>4574.6853659099997</v>
      </c>
      <c r="K58" s="40">
        <v>5850.1391066800043</v>
      </c>
      <c r="L58" s="40">
        <v>5523.4130542999956</v>
      </c>
      <c r="M58" s="40">
        <v>4699.0090005199982</v>
      </c>
      <c r="N58" s="40">
        <v>3917.0013451999989</v>
      </c>
      <c r="O58" s="40">
        <v>3521.437261150003</v>
      </c>
      <c r="P58" s="40">
        <v>2833.1750408200032</v>
      </c>
      <c r="Q58" s="40">
        <v>3572.9284397800002</v>
      </c>
      <c r="R58" s="40">
        <v>26162.693451380026</v>
      </c>
      <c r="S58" s="40">
        <v>10106.898189900003</v>
      </c>
      <c r="T58" s="40">
        <v>26430.263062189988</v>
      </c>
      <c r="U58" s="40">
        <v>22553.769063420004</v>
      </c>
      <c r="V58" s="40">
        <v>18708.876360850008</v>
      </c>
      <c r="W58" s="40">
        <v>16237.121183309999</v>
      </c>
      <c r="X58" s="103">
        <f t="shared" si="8"/>
        <v>1.423736714525452</v>
      </c>
      <c r="Y58" s="103">
        <f t="shared" ref="Y58:Y63" si="41">+E58/D58-1</f>
        <v>-5.481401700196209E-2</v>
      </c>
      <c r="Z58" s="103">
        <f t="shared" ref="Z58:Z63" si="42">+F58/E58-1</f>
        <v>1.4524255249877922</v>
      </c>
      <c r="AA58" s="103">
        <f t="shared" ref="AA58:AA63" si="43">+G58/F58-1</f>
        <v>-0.38719901760674358</v>
      </c>
      <c r="AB58" s="103">
        <f t="shared" ref="AB58:AB63" si="44">+H58/G58-1</f>
        <v>0.12818166008448739</v>
      </c>
      <c r="AC58" s="103">
        <f t="shared" ref="AC58:AC63" si="45">+I58/H58-1</f>
        <v>-1.5235883005940587E-2</v>
      </c>
      <c r="AD58" s="103">
        <f t="shared" ref="AD58:AD63" si="46">+J58/I58-1</f>
        <v>0.11504961461034968</v>
      </c>
      <c r="AE58" s="103">
        <f t="shared" ref="AE58:AE63" si="47">+K58/J58-1</f>
        <v>0.27880687714056385</v>
      </c>
      <c r="AF58" s="103">
        <f t="shared" ref="AF58:AF63" si="48">+L58/K58-1</f>
        <v>-5.5849279208922575E-2</v>
      </c>
      <c r="AG58" s="103">
        <f t="shared" ref="AG58:AG63" si="49">+M58/L58-1</f>
        <v>-0.14925627427740462</v>
      </c>
      <c r="AH58" s="103">
        <f t="shared" ref="AH58:AH63" si="50">+N58/M58-1</f>
        <v>-0.16641969726669203</v>
      </c>
      <c r="AI58" s="103">
        <f t="shared" ref="AI58:AI63" si="51">+O58/N58-1</f>
        <v>-0.10098645601302414</v>
      </c>
      <c r="AJ58" s="103">
        <f t="shared" ref="AJ58:AJ63" si="52">+P58/O58-1</f>
        <v>-0.19544923543667869</v>
      </c>
      <c r="AK58" s="103">
        <f t="shared" ref="AK58:AQ60" si="53">+Q58/P58-1</f>
        <v>0.26110402227244345</v>
      </c>
      <c r="AL58" s="103">
        <f t="shared" si="53"/>
        <v>6.3224789951267457</v>
      </c>
      <c r="AM58" s="103">
        <f t="shared" si="53"/>
        <v>-0.61369045550748202</v>
      </c>
      <c r="AN58" s="103">
        <f t="shared" si="53"/>
        <v>1.6150716634904074</v>
      </c>
      <c r="AO58" s="103">
        <f t="shared" si="53"/>
        <v>-0.14666876336601931</v>
      </c>
      <c r="AP58" s="103">
        <f t="shared" si="53"/>
        <v>-0.17047672571969508</v>
      </c>
      <c r="AQ58" s="103">
        <f t="shared" si="53"/>
        <v>-0.13211670919544782</v>
      </c>
    </row>
    <row r="59" spans="1:43">
      <c r="B59" s="1" t="s">
        <v>9</v>
      </c>
      <c r="C59" s="8">
        <f>+C60+C61+C62+C63</f>
        <v>8530.1</v>
      </c>
      <c r="D59" s="8">
        <f t="shared" ref="D59:O59" si="54">+D60+D61+D62+D63</f>
        <v>13680.400000000001</v>
      </c>
      <c r="E59" s="75">
        <f t="shared" si="54"/>
        <v>6536.5000000000009</v>
      </c>
      <c r="F59" s="8">
        <f t="shared" si="54"/>
        <v>17849.000000000004</v>
      </c>
      <c r="G59" s="8">
        <f t="shared" si="54"/>
        <v>19359.999999999996</v>
      </c>
      <c r="H59" s="8">
        <f t="shared" si="54"/>
        <v>31831.273082919994</v>
      </c>
      <c r="I59" s="8">
        <f t="shared" si="54"/>
        <v>23008.507909160006</v>
      </c>
      <c r="J59" s="8">
        <f t="shared" si="54"/>
        <v>8709.290359269995</v>
      </c>
      <c r="K59" s="8">
        <f t="shared" si="54"/>
        <v>26166.891488080004</v>
      </c>
      <c r="L59" s="8">
        <f t="shared" si="54"/>
        <v>25295.019652940009</v>
      </c>
      <c r="M59" s="8">
        <f t="shared" si="54"/>
        <v>17606.17218605</v>
      </c>
      <c r="N59" s="8">
        <f t="shared" si="54"/>
        <v>48445.401778130014</v>
      </c>
      <c r="O59" s="8">
        <f t="shared" si="54"/>
        <v>62079.303547579999</v>
      </c>
      <c r="P59" s="8">
        <f t="shared" ref="P59:W59" si="55">+P60+P61+P62+P63</f>
        <v>61000.4611687</v>
      </c>
      <c r="Q59" s="8">
        <f t="shared" si="55"/>
        <v>35122.29157697998</v>
      </c>
      <c r="R59" s="8">
        <f t="shared" si="55"/>
        <v>36288.155969109997</v>
      </c>
      <c r="S59" s="8">
        <f t="shared" si="55"/>
        <v>12288.254206249991</v>
      </c>
      <c r="T59" s="8">
        <f t="shared" si="55"/>
        <v>31512.228054629984</v>
      </c>
      <c r="U59" s="8">
        <f t="shared" si="55"/>
        <v>49647.171633800011</v>
      </c>
      <c r="V59" s="8">
        <f t="shared" si="55"/>
        <v>36123.059910100019</v>
      </c>
      <c r="W59" s="8">
        <f t="shared" si="55"/>
        <v>27292.735393080002</v>
      </c>
      <c r="X59" s="106">
        <f t="shared" si="8"/>
        <v>0.60377955709780662</v>
      </c>
      <c r="Y59" s="106">
        <f t="shared" si="41"/>
        <v>-0.52219964328528401</v>
      </c>
      <c r="Z59" s="106">
        <f t="shared" si="42"/>
        <v>1.7306662587011399</v>
      </c>
      <c r="AA59" s="106">
        <f t="shared" si="43"/>
        <v>8.4654602498738907E-2</v>
      </c>
      <c r="AB59" s="106">
        <f t="shared" si="44"/>
        <v>0.64417732866322308</v>
      </c>
      <c r="AC59" s="106">
        <f t="shared" si="45"/>
        <v>-0.27717286552683007</v>
      </c>
      <c r="AD59" s="106">
        <f t="shared" si="46"/>
        <v>-0.62147522152869783</v>
      </c>
      <c r="AE59" s="106">
        <f t="shared" si="47"/>
        <v>2.004480320285623</v>
      </c>
      <c r="AF59" s="106">
        <f t="shared" si="48"/>
        <v>-3.3319656465009007E-2</v>
      </c>
      <c r="AG59" s="106">
        <f t="shared" si="49"/>
        <v>-0.30396685088150721</v>
      </c>
      <c r="AH59" s="106">
        <f t="shared" si="50"/>
        <v>1.7516146761597069</v>
      </c>
      <c r="AI59" s="106">
        <f t="shared" si="51"/>
        <v>0.28142819068547431</v>
      </c>
      <c r="AJ59" s="106">
        <f t="shared" si="52"/>
        <v>-1.7378454931491483E-2</v>
      </c>
      <c r="AK59" s="106">
        <f t="shared" si="53"/>
        <v>-0.42422908115649438</v>
      </c>
      <c r="AL59" s="106">
        <f t="shared" si="53"/>
        <v>3.3194428375344254E-2</v>
      </c>
      <c r="AM59" s="106">
        <f t="shared" si="53"/>
        <v>-0.66137011159480608</v>
      </c>
      <c r="AN59" s="106">
        <f t="shared" si="53"/>
        <v>1.5644186330880423</v>
      </c>
      <c r="AO59" s="106">
        <f t="shared" si="53"/>
        <v>0.57548909419324668</v>
      </c>
      <c r="AP59" s="106">
        <f t="shared" si="53"/>
        <v>-0.27240447499113363</v>
      </c>
      <c r="AQ59" s="106">
        <f t="shared" si="53"/>
        <v>-0.24445117714269426</v>
      </c>
    </row>
    <row r="60" spans="1:43">
      <c r="B60" s="1" t="s">
        <v>10</v>
      </c>
      <c r="C60" s="2">
        <v>22.1</v>
      </c>
      <c r="D60" s="2">
        <v>10.4</v>
      </c>
      <c r="E60" s="74">
        <v>48</v>
      </c>
      <c r="F60" s="1">
        <v>777</v>
      </c>
      <c r="G60" s="40">
        <v>230.10000000000011</v>
      </c>
      <c r="H60" s="40">
        <v>310.14256599999999</v>
      </c>
      <c r="I60" s="40">
        <v>158.49214299999988</v>
      </c>
      <c r="J60" s="40">
        <v>109.4862159999999</v>
      </c>
      <c r="K60" s="40">
        <v>765.26310800000022</v>
      </c>
      <c r="L60" s="40">
        <v>25</v>
      </c>
      <c r="M60" s="40">
        <v>270.68891067999999</v>
      </c>
      <c r="N60" s="40">
        <v>2019.4735901800004</v>
      </c>
      <c r="O60" s="40">
        <v>1211.4466169999998</v>
      </c>
      <c r="P60" s="40">
        <v>1237.2346846400014</v>
      </c>
      <c r="Q60" s="40">
        <v>1100.7690429999996</v>
      </c>
      <c r="R60" s="40">
        <v>1511.7506465500003</v>
      </c>
      <c r="S60" s="40">
        <v>89.724000020000446</v>
      </c>
      <c r="T60" s="40">
        <v>142.89155349000004</v>
      </c>
      <c r="U60" s="40">
        <v>77.327718399999867</v>
      </c>
      <c r="V60" s="40">
        <v>234.00530966999997</v>
      </c>
      <c r="W60" s="40">
        <v>99.362535150000099</v>
      </c>
      <c r="X60" s="103">
        <f t="shared" si="8"/>
        <v>-0.52941176470588236</v>
      </c>
      <c r="Y60" s="103">
        <f t="shared" si="41"/>
        <v>3.615384615384615</v>
      </c>
      <c r="Z60" s="103">
        <f t="shared" si="42"/>
        <v>15.1875</v>
      </c>
      <c r="AA60" s="103">
        <f t="shared" si="43"/>
        <v>-0.7038610038610037</v>
      </c>
      <c r="AB60" s="103">
        <f t="shared" si="44"/>
        <v>0.34785991308126829</v>
      </c>
      <c r="AC60" s="103">
        <f t="shared" si="45"/>
        <v>-0.48897004031365399</v>
      </c>
      <c r="AD60" s="103">
        <f t="shared" si="46"/>
        <v>-0.30920098670127782</v>
      </c>
      <c r="AE60" s="103">
        <f t="shared" si="47"/>
        <v>5.9895840404238729</v>
      </c>
      <c r="AF60" s="103">
        <f t="shared" si="48"/>
        <v>-0.96733149718227374</v>
      </c>
      <c r="AG60" s="103">
        <f t="shared" si="49"/>
        <v>9.8275564271999993</v>
      </c>
      <c r="AH60" s="103">
        <f t="shared" si="50"/>
        <v>6.4604962024741353</v>
      </c>
      <c r="AI60" s="103">
        <f t="shared" si="51"/>
        <v>-0.40011762328022282</v>
      </c>
      <c r="AJ60" s="103">
        <f t="shared" si="52"/>
        <v>2.1287002892345752E-2</v>
      </c>
      <c r="AK60" s="103">
        <f t="shared" si="53"/>
        <v>-0.11029891364523892</v>
      </c>
      <c r="AL60" s="103">
        <f t="shared" si="53"/>
        <v>0.37335861338353515</v>
      </c>
      <c r="AM60" s="103">
        <f t="shared" si="53"/>
        <v>-0.94064894218847428</v>
      </c>
      <c r="AN60" s="103">
        <f t="shared" si="53"/>
        <v>0.5925678019052647</v>
      </c>
      <c r="AO60" s="103">
        <f t="shared" si="53"/>
        <v>-0.45883632369206839</v>
      </c>
      <c r="AP60" s="103">
        <f t="shared" si="53"/>
        <v>2.0261504478839036</v>
      </c>
      <c r="AQ60" s="103">
        <f t="shared" si="53"/>
        <v>-0.57538341634160539</v>
      </c>
    </row>
    <row r="61" spans="1:43">
      <c r="B61" s="1" t="s">
        <v>11</v>
      </c>
      <c r="C61" s="2">
        <v>4380.3999999999996</v>
      </c>
      <c r="D61" s="2">
        <f>14318.7-875</f>
        <v>13443.7</v>
      </c>
      <c r="E61" s="74">
        <v>5978.8</v>
      </c>
      <c r="F61" s="1">
        <v>16827.7</v>
      </c>
      <c r="G61" s="40">
        <v>18867.899999999998</v>
      </c>
      <c r="H61" s="40">
        <v>20792.906665559996</v>
      </c>
      <c r="I61" s="40">
        <v>22364.720058280007</v>
      </c>
      <c r="J61" s="40">
        <v>4885.709471680002</v>
      </c>
      <c r="K61" s="40">
        <v>15629.78823292</v>
      </c>
      <c r="L61" s="40">
        <v>24092.49569982001</v>
      </c>
      <c r="M61" s="40">
        <v>16274.609128730006</v>
      </c>
      <c r="N61" s="40">
        <v>45184.836433740013</v>
      </c>
      <c r="O61" s="40">
        <v>53696.879928199996</v>
      </c>
      <c r="P61" s="40">
        <v>58583.160646620003</v>
      </c>
      <c r="Q61" s="40">
        <v>33870.100427109981</v>
      </c>
      <c r="R61" s="40">
        <v>31192.503180639993</v>
      </c>
      <c r="S61" s="40">
        <v>12166.167803909986</v>
      </c>
      <c r="T61" s="40">
        <v>31320.003263229984</v>
      </c>
      <c r="U61" s="40">
        <v>39338.137011980019</v>
      </c>
      <c r="V61" s="40">
        <v>35877.083333850016</v>
      </c>
      <c r="W61" s="40">
        <v>27193.37285793</v>
      </c>
      <c r="X61" s="103">
        <f t="shared" si="8"/>
        <v>2.0690576203086479</v>
      </c>
      <c r="Y61" s="103">
        <f t="shared" si="41"/>
        <v>-0.55527124229192859</v>
      </c>
      <c r="Z61" s="103">
        <f t="shared" si="42"/>
        <v>1.8145614504582861</v>
      </c>
      <c r="AA61" s="103">
        <f t="shared" si="43"/>
        <v>0.12124057357808837</v>
      </c>
      <c r="AB61" s="103">
        <f t="shared" si="44"/>
        <v>0.10202548590781158</v>
      </c>
      <c r="AC61" s="103">
        <f t="shared" si="45"/>
        <v>7.5593730977663531E-2</v>
      </c>
      <c r="AD61" s="103">
        <f t="shared" si="46"/>
        <v>-0.78154390222867187</v>
      </c>
      <c r="AE61" s="103">
        <f t="shared" si="47"/>
        <v>2.1990826150261316</v>
      </c>
      <c r="AF61" s="103">
        <f t="shared" si="48"/>
        <v>0.54144735301503077</v>
      </c>
      <c r="AG61" s="103">
        <f t="shared" si="49"/>
        <v>-0.3244946753751381</v>
      </c>
      <c r="AH61" s="103">
        <f t="shared" si="50"/>
        <v>1.7764007157612163</v>
      </c>
      <c r="AI61" s="103">
        <f t="shared" si="51"/>
        <v>0.1883827444399897</v>
      </c>
      <c r="AJ61" s="103">
        <f t="shared" si="52"/>
        <v>9.0997479275399806E-2</v>
      </c>
      <c r="AK61" s="103">
        <f t="shared" ref="AK61:AM63" si="56">+Q61/P61-1</f>
        <v>-0.42184579914665055</v>
      </c>
      <c r="AL61" s="103">
        <f t="shared" si="56"/>
        <v>-7.9054895400511138E-2</v>
      </c>
      <c r="AM61" s="103">
        <f t="shared" si="56"/>
        <v>-0.60996500558310229</v>
      </c>
      <c r="AN61" s="103">
        <f t="shared" ref="AN61:AQ63" si="57">+T61/S61-1</f>
        <v>1.5743523982271808</v>
      </c>
      <c r="AO61" s="103">
        <f t="shared" si="57"/>
        <v>0.25600679799939252</v>
      </c>
      <c r="AP61" s="103">
        <f t="shared" si="57"/>
        <v>-8.7982145089280039E-2</v>
      </c>
      <c r="AQ61" s="103">
        <f t="shared" si="57"/>
        <v>-0.2420405916254329</v>
      </c>
    </row>
    <row r="62" spans="1:43">
      <c r="B62" s="1" t="s">
        <v>12</v>
      </c>
      <c r="C62" s="2">
        <v>0</v>
      </c>
      <c r="D62" s="2">
        <v>35.200000000000003</v>
      </c>
      <c r="E62" s="74">
        <v>7.0999999999999979</v>
      </c>
      <c r="F62" s="1">
        <v>8.4000000000000057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104" t="e">
        <f t="shared" si="8"/>
        <v>#DIV/0!</v>
      </c>
      <c r="Y62" s="104">
        <f t="shared" si="41"/>
        <v>-0.79829545454545459</v>
      </c>
      <c r="Z62" s="104">
        <f t="shared" si="42"/>
        <v>0.18309859154929686</v>
      </c>
      <c r="AA62" s="104">
        <f t="shared" si="43"/>
        <v>-1</v>
      </c>
      <c r="AB62" s="104" t="e">
        <f t="shared" si="44"/>
        <v>#DIV/0!</v>
      </c>
      <c r="AC62" s="104" t="e">
        <f t="shared" si="45"/>
        <v>#DIV/0!</v>
      </c>
      <c r="AD62" s="104" t="e">
        <f t="shared" si="46"/>
        <v>#DIV/0!</v>
      </c>
      <c r="AE62" s="104" t="e">
        <f t="shared" si="47"/>
        <v>#DIV/0!</v>
      </c>
      <c r="AF62" s="104" t="e">
        <f t="shared" si="48"/>
        <v>#DIV/0!</v>
      </c>
      <c r="AG62" s="104" t="e">
        <f t="shared" si="49"/>
        <v>#DIV/0!</v>
      </c>
      <c r="AH62" s="104" t="e">
        <f t="shared" si="50"/>
        <v>#DIV/0!</v>
      </c>
      <c r="AI62" s="104" t="e">
        <f t="shared" si="51"/>
        <v>#DIV/0!</v>
      </c>
      <c r="AJ62" s="104" t="e">
        <f t="shared" si="52"/>
        <v>#DIV/0!</v>
      </c>
      <c r="AK62" s="104" t="e">
        <f t="shared" si="56"/>
        <v>#DIV/0!</v>
      </c>
      <c r="AL62" s="104" t="e">
        <f t="shared" si="56"/>
        <v>#DIV/0!</v>
      </c>
      <c r="AM62" s="104" t="e">
        <f t="shared" si="56"/>
        <v>#DIV/0!</v>
      </c>
      <c r="AN62" s="104" t="e">
        <f t="shared" si="57"/>
        <v>#DIV/0!</v>
      </c>
      <c r="AO62" s="104" t="e">
        <f t="shared" si="57"/>
        <v>#DIV/0!</v>
      </c>
      <c r="AP62" s="104" t="e">
        <f t="shared" si="57"/>
        <v>#DIV/0!</v>
      </c>
      <c r="AQ62" s="104" t="e">
        <f t="shared" si="57"/>
        <v>#DIV/0!</v>
      </c>
    </row>
    <row r="63" spans="1:43">
      <c r="B63" s="24" t="s">
        <v>19</v>
      </c>
      <c r="C63" s="2">
        <v>4127.6000000000004</v>
      </c>
      <c r="D63" s="2">
        <v>191.1</v>
      </c>
      <c r="E63" s="74">
        <v>502.6</v>
      </c>
      <c r="F63" s="1">
        <v>235.9</v>
      </c>
      <c r="G63" s="40">
        <v>262</v>
      </c>
      <c r="H63" s="40">
        <v>10728.223851359999</v>
      </c>
      <c r="I63" s="40">
        <v>485.29570788000058</v>
      </c>
      <c r="J63" s="40">
        <v>3714.0946715899936</v>
      </c>
      <c r="K63" s="40">
        <v>9771.8401471600046</v>
      </c>
      <c r="L63" s="40">
        <v>1177.5239531199986</v>
      </c>
      <c r="M63" s="40">
        <v>1060.8741466399965</v>
      </c>
      <c r="N63" s="40">
        <v>1241.0917542100008</v>
      </c>
      <c r="O63" s="40">
        <v>7170.9770023799983</v>
      </c>
      <c r="P63" s="40">
        <v>1180.0658374399936</v>
      </c>
      <c r="Q63" s="40">
        <v>151.42210687000008</v>
      </c>
      <c r="R63" s="40">
        <v>3583.9021419200012</v>
      </c>
      <c r="S63" s="40">
        <v>32.362402320003859</v>
      </c>
      <c r="T63" s="40">
        <v>49.33323790999998</v>
      </c>
      <c r="U63" s="40">
        <v>10231.706903419998</v>
      </c>
      <c r="V63" s="40">
        <v>11.971266580001611</v>
      </c>
      <c r="W63" s="40">
        <v>0</v>
      </c>
      <c r="X63" s="103">
        <f t="shared" si="8"/>
        <v>-0.95370190909971897</v>
      </c>
      <c r="Y63" s="103">
        <f t="shared" si="41"/>
        <v>1.63003663003663</v>
      </c>
      <c r="Z63" s="103">
        <f t="shared" si="42"/>
        <v>-0.53064066852367686</v>
      </c>
      <c r="AA63" s="103">
        <f t="shared" si="43"/>
        <v>0.11064010173802452</v>
      </c>
      <c r="AB63" s="103">
        <f t="shared" si="44"/>
        <v>39.947419279999998</v>
      </c>
      <c r="AC63" s="103">
        <f t="shared" si="45"/>
        <v>-0.95476458036262168</v>
      </c>
      <c r="AD63" s="103">
        <f t="shared" si="46"/>
        <v>6.6532609114036934</v>
      </c>
      <c r="AE63" s="103">
        <f t="shared" si="47"/>
        <v>1.6310153647690155</v>
      </c>
      <c r="AF63" s="103">
        <f t="shared" si="48"/>
        <v>-0.87949823826557139</v>
      </c>
      <c r="AG63" s="103">
        <f t="shared" si="49"/>
        <v>-9.9063637874137189E-2</v>
      </c>
      <c r="AH63" s="103">
        <f t="shared" si="50"/>
        <v>0.16987651941636051</v>
      </c>
      <c r="AI63" s="103">
        <f t="shared" si="51"/>
        <v>4.7779587835103952</v>
      </c>
      <c r="AJ63" s="103">
        <f t="shared" si="52"/>
        <v>-0.83543862474411257</v>
      </c>
      <c r="AK63" s="103">
        <f t="shared" si="56"/>
        <v>-0.87168333997491909</v>
      </c>
      <c r="AL63" s="103">
        <f t="shared" si="56"/>
        <v>22.668288706330554</v>
      </c>
      <c r="AM63" s="103">
        <f t="shared" si="56"/>
        <v>-0.99097006529796983</v>
      </c>
      <c r="AN63" s="103">
        <f t="shared" si="57"/>
        <v>0.52439974703318315</v>
      </c>
      <c r="AO63" s="103">
        <f t="shared" si="57"/>
        <v>206.39986542310459</v>
      </c>
      <c r="AP63" s="103">
        <f t="shared" si="57"/>
        <v>-0.99882998343355589</v>
      </c>
      <c r="AQ63" s="103">
        <f t="shared" si="57"/>
        <v>-1</v>
      </c>
    </row>
    <row r="64" spans="1:43">
      <c r="B64" s="24"/>
      <c r="C64" s="2"/>
      <c r="D64" s="2"/>
      <c r="E64" s="74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</row>
    <row r="65" spans="1:43">
      <c r="B65" s="3" t="s">
        <v>85</v>
      </c>
      <c r="C65" s="10"/>
      <c r="D65" s="10"/>
      <c r="F65" s="3"/>
      <c r="G65" s="3"/>
      <c r="H65" s="2">
        <f t="shared" ref="H65:O65" si="58">+H66-H67</f>
        <v>0</v>
      </c>
      <c r="I65" s="2">
        <f t="shared" si="58"/>
        <v>0</v>
      </c>
      <c r="J65" s="2">
        <f t="shared" si="58"/>
        <v>0</v>
      </c>
      <c r="K65" s="2">
        <f t="shared" si="58"/>
        <v>0</v>
      </c>
      <c r="L65" s="2">
        <f t="shared" si="58"/>
        <v>0</v>
      </c>
      <c r="M65" s="2">
        <f t="shared" si="58"/>
        <v>0</v>
      </c>
      <c r="N65" s="2">
        <f t="shared" si="58"/>
        <v>0</v>
      </c>
      <c r="O65" s="2">
        <f t="shared" si="58"/>
        <v>0</v>
      </c>
      <c r="P65" s="2">
        <f>+P66-P67</f>
        <v>0</v>
      </c>
      <c r="Q65" s="2">
        <f>+Q66-Q67</f>
        <v>0</v>
      </c>
      <c r="R65" s="2">
        <f>+R66-R67</f>
        <v>0</v>
      </c>
      <c r="S65" s="2">
        <f>+S66-S67</f>
        <v>0</v>
      </c>
      <c r="T65" s="2">
        <f>+T66-T67</f>
        <v>0</v>
      </c>
      <c r="U65" s="2">
        <f t="shared" ref="U65:W65" si="59">+U66-U67</f>
        <v>0</v>
      </c>
      <c r="V65" s="2">
        <f t="shared" si="59"/>
        <v>0</v>
      </c>
      <c r="W65" s="2">
        <f t="shared" si="59"/>
        <v>0</v>
      </c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</row>
    <row r="66" spans="1:43">
      <c r="B66" s="53" t="s">
        <v>86</v>
      </c>
      <c r="C66" s="10"/>
      <c r="D66" s="10"/>
      <c r="F66" s="3"/>
      <c r="G66" s="3"/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5">
        <v>0</v>
      </c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</row>
    <row r="67" spans="1:43">
      <c r="B67" s="53" t="s">
        <v>87</v>
      </c>
      <c r="C67" s="10"/>
      <c r="D67" s="10"/>
      <c r="F67" s="3"/>
      <c r="G67" s="3"/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0</v>
      </c>
      <c r="O67" s="95">
        <v>0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5">
        <v>0</v>
      </c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</row>
    <row r="68" spans="1:43">
      <c r="B68" s="53"/>
      <c r="C68" s="10"/>
      <c r="D68" s="1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</row>
    <row r="69" spans="1:43">
      <c r="A69" s="7" t="s">
        <v>24</v>
      </c>
      <c r="B69" s="6" t="s">
        <v>32</v>
      </c>
      <c r="C69" s="32">
        <f>+C9-C38</f>
        <v>23479.866786119994</v>
      </c>
      <c r="D69" s="32">
        <f t="shared" ref="D69:O69" si="60">+D9-D38</f>
        <v>28076.961860790005</v>
      </c>
      <c r="E69" s="32">
        <f t="shared" si="60"/>
        <v>27140.296260379953</v>
      </c>
      <c r="F69" s="32">
        <f t="shared" si="60"/>
        <v>-36936.234124460054</v>
      </c>
      <c r="G69" s="32">
        <f t="shared" si="60"/>
        <v>-49377.341851840087</v>
      </c>
      <c r="H69" s="32">
        <f t="shared" si="60"/>
        <v>-46115.622990450065</v>
      </c>
      <c r="I69" s="32">
        <f t="shared" si="60"/>
        <v>-40287.169578710222</v>
      </c>
      <c r="J69" s="32">
        <f t="shared" si="60"/>
        <v>-55103.378593900037</v>
      </c>
      <c r="K69" s="32">
        <f t="shared" si="60"/>
        <v>-94048.674186460034</v>
      </c>
      <c r="L69" s="32">
        <f t="shared" si="60"/>
        <v>-115302.10759938994</v>
      </c>
      <c r="M69" s="32">
        <f t="shared" si="60"/>
        <v>-58423.435069440107</v>
      </c>
      <c r="N69" s="32">
        <f t="shared" si="60"/>
        <v>-96049.641193259973</v>
      </c>
      <c r="O69" s="32">
        <f t="shared" si="60"/>
        <v>-156418.77463407966</v>
      </c>
      <c r="P69" s="32">
        <f t="shared" ref="P69:U69" si="61">+P9-P38</f>
        <v>-110895.69796578994</v>
      </c>
      <c r="Q69" s="32">
        <f t="shared" si="61"/>
        <v>-191165.1785566202</v>
      </c>
      <c r="R69" s="32">
        <f t="shared" si="61"/>
        <v>-81166.350068890199</v>
      </c>
      <c r="S69" s="32">
        <f t="shared" si="61"/>
        <v>77760.609113970189</v>
      </c>
      <c r="T69" s="32">
        <f t="shared" si="61"/>
        <v>6313.0968609694974</v>
      </c>
      <c r="U69" s="32">
        <f t="shared" si="61"/>
        <v>1487.6888028598623</v>
      </c>
      <c r="V69" s="32">
        <f>+V9-V38</f>
        <v>-20829.101129760034</v>
      </c>
      <c r="W69" s="32">
        <f>+W9-W38</f>
        <v>-6141.9389411197044</v>
      </c>
      <c r="X69" s="101">
        <f t="shared" si="8"/>
        <v>0.19578880564124668</v>
      </c>
      <c r="Y69" s="101">
        <f t="shared" ref="Y69:AQ69" si="62">+E69/D69-1</f>
        <v>-3.3360646534841831E-2</v>
      </c>
      <c r="Z69" s="101">
        <f t="shared" si="62"/>
        <v>-2.3609370277354138</v>
      </c>
      <c r="AA69" s="101">
        <f t="shared" si="62"/>
        <v>0.33682664251744154</v>
      </c>
      <c r="AB69" s="101">
        <f t="shared" si="62"/>
        <v>-6.6056995760869874E-2</v>
      </c>
      <c r="AC69" s="101">
        <f t="shared" si="62"/>
        <v>-0.12638782767711587</v>
      </c>
      <c r="AD69" s="101">
        <f t="shared" si="62"/>
        <v>0.3677649527163469</v>
      </c>
      <c r="AE69" s="101">
        <f t="shared" si="62"/>
        <v>0.7067678350465294</v>
      </c>
      <c r="AF69" s="101">
        <f t="shared" si="62"/>
        <v>0.22598333891228539</v>
      </c>
      <c r="AG69" s="101">
        <f t="shared" si="62"/>
        <v>-0.49330123892939814</v>
      </c>
      <c r="AH69" s="101">
        <f t="shared" si="62"/>
        <v>0.64402591321613722</v>
      </c>
      <c r="AI69" s="101">
        <f t="shared" si="62"/>
        <v>0.62852013490973802</v>
      </c>
      <c r="AJ69" s="101">
        <f t="shared" si="62"/>
        <v>-0.29103332879818766</v>
      </c>
      <c r="AK69" s="101">
        <f t="shared" si="62"/>
        <v>0.72382862512477697</v>
      </c>
      <c r="AL69" s="101">
        <f t="shared" si="62"/>
        <v>-0.57541247479414781</v>
      </c>
      <c r="AM69" s="101">
        <f t="shared" si="62"/>
        <v>-1.9580399888373767</v>
      </c>
      <c r="AN69" s="101">
        <f t="shared" si="62"/>
        <v>-0.91881369072460994</v>
      </c>
      <c r="AO69" s="101">
        <f t="shared" si="62"/>
        <v>-0.76434880762602475</v>
      </c>
      <c r="AP69" s="101">
        <f t="shared" si="62"/>
        <v>-15.00097996954683</v>
      </c>
      <c r="AQ69" s="101">
        <f t="shared" si="62"/>
        <v>-0.70512702862898513</v>
      </c>
    </row>
    <row r="70" spans="1:43" ht="18">
      <c r="A70" s="8"/>
      <c r="B70" s="87" t="s">
        <v>20</v>
      </c>
      <c r="C70" s="88">
        <f t="shared" ref="C70:O70" si="63">+C69/C77</f>
        <v>2.0218048573637853E-3</v>
      </c>
      <c r="D70" s="88">
        <f t="shared" si="63"/>
        <v>2.0215173822824162E-3</v>
      </c>
      <c r="E70" s="88">
        <f t="shared" si="63"/>
        <v>1.6743993227640707E-3</v>
      </c>
      <c r="F70" s="88">
        <f t="shared" si="63"/>
        <v>-2.0955364015507517E-3</v>
      </c>
      <c r="G70" s="88">
        <f t="shared" si="63"/>
        <v>-2.4935519351676383E-3</v>
      </c>
      <c r="H70" s="88">
        <f t="shared" si="63"/>
        <v>-2.1326598620490418E-3</v>
      </c>
      <c r="I70" s="88">
        <f t="shared" si="63"/>
        <v>-1.6960970170445105E-3</v>
      </c>
      <c r="J70" s="88">
        <f t="shared" si="63"/>
        <v>-2.1640606700802914E-3</v>
      </c>
      <c r="K70" s="88">
        <f t="shared" si="63"/>
        <v>-3.3587219695419023E-3</v>
      </c>
      <c r="L70" s="88">
        <f t="shared" si="63"/>
        <v>-3.7925950504108553E-3</v>
      </c>
      <c r="M70" s="88">
        <f t="shared" si="63"/>
        <v>-1.8225265103974236E-3</v>
      </c>
      <c r="N70" s="88">
        <f t="shared" si="63"/>
        <v>-2.796722194206657E-3</v>
      </c>
      <c r="O70" s="88">
        <f t="shared" si="63"/>
        <v>-4.3431902366650897E-3</v>
      </c>
      <c r="P70" s="88">
        <f t="shared" ref="P70:U70" si="64">+P69/P77</f>
        <v>-2.9312555208213398E-3</v>
      </c>
      <c r="Q70" s="88">
        <f t="shared" si="64"/>
        <v>-5.2380843804371606E-3</v>
      </c>
      <c r="R70" s="88">
        <f t="shared" si="64"/>
        <v>-2.0127235606113578E-3</v>
      </c>
      <c r="S70" s="88">
        <f t="shared" si="64"/>
        <v>1.7353393441773323E-3</v>
      </c>
      <c r="T70" s="88">
        <f t="shared" si="64"/>
        <v>1.3415202925661686E-4</v>
      </c>
      <c r="U70" s="88">
        <f t="shared" si="64"/>
        <v>3.0289330986912121E-5</v>
      </c>
      <c r="V70" s="88">
        <f>+V69/V77</f>
        <v>-4.0201072739750904E-4</v>
      </c>
      <c r="W70" s="88">
        <f>+W69/W77</f>
        <v>-1.1451936460080318E-4</v>
      </c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</row>
    <row r="71" spans="1:43">
      <c r="A71" s="7" t="s">
        <v>25</v>
      </c>
      <c r="B71" s="6" t="s">
        <v>31</v>
      </c>
      <c r="C71" s="32">
        <f t="shared" ref="C71:O71" si="65">+C9-C36</f>
        <v>-530.03321388001496</v>
      </c>
      <c r="D71" s="32">
        <f t="shared" si="65"/>
        <v>8266.7618607899931</v>
      </c>
      <c r="E71" s="32">
        <f t="shared" si="65"/>
        <v>9617.0962603799417</v>
      </c>
      <c r="F71" s="32">
        <f t="shared" si="65"/>
        <v>-57927.434124460066</v>
      </c>
      <c r="G71" s="32">
        <f t="shared" si="65"/>
        <v>-63974.641851840104</v>
      </c>
      <c r="H71" s="32">
        <f t="shared" si="65"/>
        <v>-63073.659885810106</v>
      </c>
      <c r="I71" s="32">
        <f t="shared" si="65"/>
        <v>-59083.170899140241</v>
      </c>
      <c r="J71" s="32">
        <f t="shared" si="65"/>
        <v>-80464.198583429999</v>
      </c>
      <c r="K71" s="32">
        <f t="shared" si="65"/>
        <v>-118520.71246464003</v>
      </c>
      <c r="L71" s="32">
        <f t="shared" si="65"/>
        <v>-139623.16604685996</v>
      </c>
      <c r="M71" s="32">
        <f t="shared" si="65"/>
        <v>-79648.2739501053</v>
      </c>
      <c r="N71" s="32">
        <f t="shared" si="65"/>
        <v>-149308.26732197992</v>
      </c>
      <c r="O71" s="32">
        <f t="shared" si="65"/>
        <v>-225332.88644838962</v>
      </c>
      <c r="P71" s="32">
        <f t="shared" ref="P71:U71" si="66">+P9-P36</f>
        <v>-202295.14155070996</v>
      </c>
      <c r="Q71" s="32">
        <f t="shared" si="66"/>
        <v>-263066.81322555034</v>
      </c>
      <c r="R71" s="32">
        <f t="shared" si="66"/>
        <v>-143269.29733364034</v>
      </c>
      <c r="S71" s="32">
        <f t="shared" si="66"/>
        <v>16398.32289911015</v>
      </c>
      <c r="T71" s="32">
        <f t="shared" si="66"/>
        <v>-76587.204561490391</v>
      </c>
      <c r="U71" s="32">
        <f t="shared" si="66"/>
        <v>-118650.53700486012</v>
      </c>
      <c r="V71" s="32">
        <f>+V9-V36</f>
        <v>-138969.21030329005</v>
      </c>
      <c r="W71" s="32">
        <f>+W9-W36</f>
        <v>-148306.52711573977</v>
      </c>
      <c r="X71" s="101">
        <f t="shared" si="8"/>
        <v>-16.596686479842681</v>
      </c>
      <c r="Y71" s="101">
        <f t="shared" ref="Y71:AQ71" si="67">+E71/D71-1</f>
        <v>0.16334502218997105</v>
      </c>
      <c r="Z71" s="101">
        <f t="shared" si="67"/>
        <v>-7.0233809204038824</v>
      </c>
      <c r="AA71" s="101">
        <f t="shared" si="67"/>
        <v>0.10439281177873849</v>
      </c>
      <c r="AB71" s="101">
        <f t="shared" si="67"/>
        <v>-1.4083423368224546E-2</v>
      </c>
      <c r="AC71" s="101">
        <f t="shared" si="67"/>
        <v>-6.3267122819483324E-2</v>
      </c>
      <c r="AD71" s="101">
        <f t="shared" si="67"/>
        <v>0.36188016585617766</v>
      </c>
      <c r="AE71" s="101">
        <f t="shared" si="67"/>
        <v>0.47296206948175601</v>
      </c>
      <c r="AF71" s="101">
        <f t="shared" si="67"/>
        <v>0.17804865616645471</v>
      </c>
      <c r="AG71" s="101">
        <f t="shared" si="67"/>
        <v>-0.42954828911862697</v>
      </c>
      <c r="AH71" s="101">
        <f t="shared" si="67"/>
        <v>0.87459514082517686</v>
      </c>
      <c r="AI71" s="101">
        <f t="shared" si="67"/>
        <v>0.50917889873080058</v>
      </c>
      <c r="AJ71" s="101">
        <f t="shared" si="67"/>
        <v>-0.10223871562110498</v>
      </c>
      <c r="AK71" s="101">
        <f t="shared" si="67"/>
        <v>0.30041093033174282</v>
      </c>
      <c r="AL71" s="101">
        <f t="shared" si="67"/>
        <v>-0.45538817467331782</v>
      </c>
      <c r="AM71" s="101">
        <f t="shared" si="67"/>
        <v>-1.1144580395401977</v>
      </c>
      <c r="AN71" s="101">
        <f t="shared" si="67"/>
        <v>-5.6704291062378323</v>
      </c>
      <c r="AO71" s="101">
        <f t="shared" si="67"/>
        <v>0.54922140955801413</v>
      </c>
      <c r="AP71" s="101">
        <f t="shared" si="67"/>
        <v>0.17124805172687618</v>
      </c>
      <c r="AQ71" s="101">
        <f t="shared" si="67"/>
        <v>6.7189824221291161E-2</v>
      </c>
    </row>
    <row r="72" spans="1:43" ht="18">
      <c r="B72" s="87" t="s">
        <v>20</v>
      </c>
      <c r="C72" s="88">
        <f t="shared" ref="C72:O72" si="68">+C71/C77</f>
        <v>-4.5640111000128729E-5</v>
      </c>
      <c r="D72" s="88">
        <f t="shared" si="68"/>
        <v>5.9519982538118151E-4</v>
      </c>
      <c r="E72" s="88">
        <f t="shared" si="68"/>
        <v>5.933192221208132E-4</v>
      </c>
      <c r="F72" s="88">
        <f t="shared" si="68"/>
        <v>-3.2864489229521244E-3</v>
      </c>
      <c r="G72" s="88">
        <f t="shared" si="68"/>
        <v>-3.2307144534020247E-3</v>
      </c>
      <c r="H72" s="88">
        <f t="shared" si="68"/>
        <v>-2.9169000453242531E-3</v>
      </c>
      <c r="I72" s="88">
        <f t="shared" si="68"/>
        <v>-2.4874120214322341E-3</v>
      </c>
      <c r="J72" s="88">
        <f t="shared" si="68"/>
        <v>-3.1600495640608023E-3</v>
      </c>
      <c r="K72" s="88">
        <f t="shared" si="68"/>
        <v>-4.2326818984339881E-3</v>
      </c>
      <c r="L72" s="88">
        <f t="shared" si="68"/>
        <v>-4.5925797845070421E-3</v>
      </c>
      <c r="M72" s="88">
        <f t="shared" si="68"/>
        <v>-2.4846380670518584E-3</v>
      </c>
      <c r="N72" s="88">
        <f t="shared" si="68"/>
        <v>-4.3474784477094321E-3</v>
      </c>
      <c r="O72" s="88">
        <f t="shared" si="68"/>
        <v>-6.2566887812007151E-3</v>
      </c>
      <c r="P72" s="88">
        <f t="shared" ref="P72:U72" si="69">+P71/P77</f>
        <v>-5.3471754214377207E-3</v>
      </c>
      <c r="Q72" s="88">
        <f t="shared" si="69"/>
        <v>-7.208248781354302E-3</v>
      </c>
      <c r="R72" s="88">
        <f t="shared" si="69"/>
        <v>-3.5527221565452203E-3</v>
      </c>
      <c r="S72" s="88">
        <f t="shared" si="69"/>
        <v>3.6595205759824118E-4</v>
      </c>
      <c r="T72" s="88">
        <f t="shared" si="69"/>
        <v>-1.6274625802965646E-3</v>
      </c>
      <c r="U72" s="88">
        <f t="shared" si="69"/>
        <v>-2.4157238934691414E-3</v>
      </c>
      <c r="V72" s="88">
        <f>+V71/V77</f>
        <v>-2.6821663100987914E-3</v>
      </c>
      <c r="W72" s="88">
        <f>+W71/W77</f>
        <v>-2.7652455379750238E-3</v>
      </c>
      <c r="X72" s="82"/>
      <c r="Y72" s="82"/>
      <c r="Z72" s="82"/>
      <c r="AA72" s="82"/>
      <c r="AB72" s="82"/>
      <c r="AC72" s="82"/>
      <c r="AD72" s="82"/>
      <c r="AE72" s="43"/>
      <c r="AF72" s="43"/>
      <c r="AG72" s="43"/>
      <c r="AH72" s="43"/>
    </row>
    <row r="73" spans="1:4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52"/>
      <c r="Y73" s="52"/>
      <c r="Z73" s="52"/>
      <c r="AA73" s="52"/>
      <c r="AB73" s="52"/>
      <c r="AC73" s="52"/>
      <c r="AD73" s="52"/>
      <c r="AE73" s="2"/>
      <c r="AF73" s="2"/>
      <c r="AG73" s="2"/>
      <c r="AH73" s="2"/>
    </row>
    <row r="74" spans="1:43">
      <c r="B74" s="67" t="s">
        <v>50</v>
      </c>
      <c r="C74" s="67"/>
      <c r="D74" s="67"/>
      <c r="E74" s="67"/>
      <c r="F74" s="79">
        <f t="shared" ref="F74:O74" si="70">F75+F76</f>
        <v>53513.538284420996</v>
      </c>
      <c r="G74" s="79">
        <f t="shared" si="70"/>
        <v>54287.521120116791</v>
      </c>
      <c r="H74" s="79">
        <f t="shared" si="70"/>
        <v>54875.243354896302</v>
      </c>
      <c r="I74" s="83">
        <f t="shared" si="70"/>
        <v>59083.176886204652</v>
      </c>
      <c r="J74" s="83">
        <f t="shared" si="70"/>
        <v>80464.216724490005</v>
      </c>
      <c r="K74" s="83">
        <f t="shared" si="70"/>
        <v>118520.73933808999</v>
      </c>
      <c r="L74" s="83">
        <f t="shared" si="70"/>
        <v>139623.239907407</v>
      </c>
      <c r="M74" s="83">
        <f t="shared" si="70"/>
        <v>79648.260954784302</v>
      </c>
      <c r="N74" s="83">
        <f t="shared" si="70"/>
        <v>149308.33899136659</v>
      </c>
      <c r="O74" s="83">
        <f t="shared" si="70"/>
        <v>225332.94849121282</v>
      </c>
      <c r="P74" s="83">
        <f t="shared" ref="P74:W74" si="71">P75+P76</f>
        <v>202295.14296723792</v>
      </c>
      <c r="Q74" s="83">
        <f t="shared" si="71"/>
        <v>263066.824515844</v>
      </c>
      <c r="R74" s="83">
        <f t="shared" si="71"/>
        <v>143269.27788431101</v>
      </c>
      <c r="S74" s="83">
        <f t="shared" si="71"/>
        <v>-17316.819273182104</v>
      </c>
      <c r="T74" s="83">
        <f t="shared" si="71"/>
        <v>76587.247543653299</v>
      </c>
      <c r="U74" s="83">
        <f t="shared" si="71"/>
        <v>118650.52672736539</v>
      </c>
      <c r="V74" s="83">
        <f t="shared" si="71"/>
        <v>138969.17316925118</v>
      </c>
      <c r="W74" s="83">
        <f t="shared" si="71"/>
        <v>148306.49860201124</v>
      </c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</row>
    <row r="75" spans="1:43">
      <c r="B75" s="68" t="s">
        <v>75</v>
      </c>
      <c r="C75" s="68"/>
      <c r="D75" s="68"/>
      <c r="E75" s="68"/>
      <c r="F75" s="69">
        <v>227584.21788421099</v>
      </c>
      <c r="G75" s="69">
        <v>55664.396301996792</v>
      </c>
      <c r="H75" s="69">
        <v>53092.862177616305</v>
      </c>
      <c r="I75" s="84">
        <f>65634.8704555835-7049</f>
        <v>58585.870455583499</v>
      </c>
      <c r="J75" s="84">
        <v>81212.146862975409</v>
      </c>
      <c r="K75" s="2">
        <f>119561.47764606+3002.4-3728.3</f>
        <v>118835.57764605999</v>
      </c>
      <c r="L75" s="2">
        <f>130663.039907407+9031.2</f>
        <v>139694.239907407</v>
      </c>
      <c r="M75" s="2">
        <f>77196.4963259419+136.4</f>
        <v>77332.896325941896</v>
      </c>
      <c r="N75" s="2">
        <v>142927.290189886</v>
      </c>
      <c r="O75" s="2">
        <v>224000.75917120301</v>
      </c>
      <c r="P75" s="2">
        <v>200371.92401598502</v>
      </c>
      <c r="Q75" s="2">
        <v>101573.821010424</v>
      </c>
      <c r="R75" s="2">
        <v>127166.83997359101</v>
      </c>
      <c r="S75" s="2">
        <v>-25025.808377026304</v>
      </c>
      <c r="T75" s="2">
        <v>68217.263690672902</v>
      </c>
      <c r="U75" s="2">
        <f>57514.0676993127+52818.9</f>
        <v>110332.96769931269</v>
      </c>
      <c r="V75" s="2">
        <v>142809.71267571099</v>
      </c>
      <c r="W75" s="2">
        <f>171302.929984154-12685.2</f>
        <v>158617.72998415399</v>
      </c>
      <c r="X75" s="52"/>
      <c r="Y75" s="52"/>
      <c r="Z75" s="52"/>
      <c r="AA75" s="52"/>
      <c r="AB75" s="52"/>
      <c r="AC75" s="52"/>
      <c r="AD75" s="52"/>
      <c r="AE75" s="2"/>
      <c r="AF75" s="2"/>
      <c r="AG75" s="2"/>
      <c r="AH75" s="2"/>
    </row>
    <row r="76" spans="1:43" ht="13.5" thickBot="1">
      <c r="B76" s="96" t="s">
        <v>76</v>
      </c>
      <c r="C76" s="96"/>
      <c r="D76" s="96"/>
      <c r="E76" s="96"/>
      <c r="F76" s="98">
        <v>-174070.67959978999</v>
      </c>
      <c r="G76" s="98">
        <v>-1376.8751818799997</v>
      </c>
      <c r="H76" s="98">
        <v>1782.38117728</v>
      </c>
      <c r="I76" s="97">
        <v>497.30643062115564</v>
      </c>
      <c r="J76" s="97">
        <v>-747.93013848539999</v>
      </c>
      <c r="K76" s="57">
        <v>-314.83830796999996</v>
      </c>
      <c r="L76" s="57">
        <v>-71</v>
      </c>
      <c r="M76" s="57">
        <v>2315.3646288424002</v>
      </c>
      <c r="N76" s="57">
        <v>6381.0488014805987</v>
      </c>
      <c r="O76" s="57">
        <v>1332.1893200098007</v>
      </c>
      <c r="P76" s="57">
        <v>1923.2189512529005</v>
      </c>
      <c r="Q76" s="57">
        <v>161493.00350542</v>
      </c>
      <c r="R76" s="57">
        <v>16102.43791072</v>
      </c>
      <c r="S76" s="57">
        <v>7708.9891038442011</v>
      </c>
      <c r="T76" s="57">
        <v>8369.9838529804001</v>
      </c>
      <c r="U76" s="57">
        <v>8317.5590280526994</v>
      </c>
      <c r="V76" s="57">
        <v>-3840.5395064597997</v>
      </c>
      <c r="W76" s="57">
        <v>-10311.23138214274</v>
      </c>
      <c r="X76" s="52"/>
      <c r="Y76" s="52"/>
      <c r="Z76" s="52"/>
      <c r="AA76" s="52"/>
      <c r="AB76" s="52"/>
      <c r="AC76" s="52"/>
      <c r="AD76" s="52"/>
      <c r="AE76" s="2"/>
      <c r="AF76" s="2"/>
      <c r="AG76" s="2"/>
      <c r="AH76" s="2"/>
    </row>
    <row r="77" spans="1:43" ht="13.5" thickTop="1">
      <c r="B77" s="89" t="s">
        <v>173</v>
      </c>
      <c r="C77" s="59">
        <v>11613320</v>
      </c>
      <c r="D77" s="59">
        <v>13889052.9</v>
      </c>
      <c r="E77" s="59">
        <v>16208974.699999999</v>
      </c>
      <c r="F77" s="59">
        <v>17626147.699999999</v>
      </c>
      <c r="G77" s="86">
        <v>19802010.600000001</v>
      </c>
      <c r="H77" s="86">
        <v>21623524.600000001</v>
      </c>
      <c r="I77" s="86">
        <v>23752868.600000001</v>
      </c>
      <c r="J77" s="86">
        <v>25462954.600000001</v>
      </c>
      <c r="K77" s="86">
        <v>28001327.600000001</v>
      </c>
      <c r="L77" s="86">
        <v>30401903.199999999</v>
      </c>
      <c r="M77" s="86">
        <v>32056288.199999999</v>
      </c>
      <c r="N77" s="86">
        <v>34343647.5</v>
      </c>
      <c r="O77" s="86">
        <v>36014718.700000003</v>
      </c>
      <c r="P77" s="86">
        <v>37832149.799999997</v>
      </c>
      <c r="Q77" s="86">
        <v>36495246.100000001</v>
      </c>
      <c r="R77" s="86">
        <v>40326625.899999999</v>
      </c>
      <c r="S77" s="86">
        <v>44810030.600000001</v>
      </c>
      <c r="T77" s="86">
        <v>47059272.200000003</v>
      </c>
      <c r="U77" s="86">
        <v>49115934.700000003</v>
      </c>
      <c r="V77" s="86">
        <v>51812301.787569404</v>
      </c>
      <c r="W77" s="86">
        <v>53632317.665484391</v>
      </c>
      <c r="X77" s="52"/>
      <c r="Y77" s="52"/>
      <c r="Z77" s="52"/>
      <c r="AA77" s="52"/>
      <c r="AB77" s="52"/>
      <c r="AC77" s="52"/>
      <c r="AD77" s="52"/>
      <c r="AM77" s="99"/>
    </row>
    <row r="79" spans="1:43" ht="17.25" customHeight="1">
      <c r="A79" s="92"/>
      <c r="B79" s="1" t="s">
        <v>118</v>
      </c>
      <c r="X79" s="93"/>
      <c r="Y79" s="93"/>
      <c r="Z79" s="93"/>
      <c r="AA79" s="93"/>
      <c r="AB79" s="93"/>
      <c r="AC79" s="93"/>
      <c r="AD79" s="1"/>
      <c r="AE79" s="1"/>
      <c r="AF79" s="1"/>
      <c r="AG79" s="1"/>
      <c r="AM79" s="1"/>
    </row>
    <row r="80" spans="1:43" ht="17.25" customHeight="1">
      <c r="A80" s="92"/>
      <c r="B80" s="1" t="s">
        <v>110</v>
      </c>
      <c r="X80" s="93"/>
      <c r="Y80" s="93"/>
      <c r="Z80" s="93"/>
      <c r="AA80" s="93"/>
      <c r="AB80" s="93"/>
      <c r="AC80" s="93"/>
      <c r="AD80" s="1"/>
      <c r="AE80" s="1"/>
      <c r="AF80" s="1"/>
      <c r="AG80" s="1"/>
      <c r="AM80" s="1"/>
    </row>
    <row r="81" spans="1:39" ht="17.25" customHeight="1">
      <c r="A81" s="92"/>
      <c r="B81" s="1" t="s">
        <v>111</v>
      </c>
      <c r="X81" s="93"/>
      <c r="Y81" s="93"/>
      <c r="Z81" s="93"/>
      <c r="AA81" s="93"/>
      <c r="AB81" s="93"/>
      <c r="AC81" s="93"/>
      <c r="AD81" s="1"/>
      <c r="AE81" s="1"/>
      <c r="AF81" s="1"/>
      <c r="AG81" s="1"/>
      <c r="AM81" s="1"/>
    </row>
    <row r="82" spans="1:39" ht="17.25" customHeight="1">
      <c r="A82" s="92"/>
      <c r="X82" s="93"/>
      <c r="Y82" s="93"/>
      <c r="Z82" s="93"/>
      <c r="AA82" s="93"/>
      <c r="AB82" s="93"/>
      <c r="AC82" s="93"/>
      <c r="AD82" s="1"/>
      <c r="AE82" s="1"/>
      <c r="AF82" s="1"/>
      <c r="AG82" s="1"/>
      <c r="AM82" s="1"/>
    </row>
    <row r="83" spans="1:39">
      <c r="B83" s="247" t="s">
        <v>78</v>
      </c>
      <c r="C83" s="247"/>
      <c r="D83" s="24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M83" s="1"/>
    </row>
    <row r="85" spans="1:39">
      <c r="P85" s="2"/>
      <c r="S85" s="2"/>
      <c r="T85" s="2"/>
      <c r="U85" s="2"/>
      <c r="V85" s="2"/>
      <c r="W85" s="2"/>
      <c r="X85" s="2"/>
      <c r="Y85" s="2"/>
      <c r="Z85" s="2"/>
    </row>
    <row r="86" spans="1:39">
      <c r="Q86" s="2"/>
      <c r="R86" s="2"/>
      <c r="S86" s="2"/>
      <c r="T86" s="2"/>
      <c r="U86" s="2"/>
      <c r="V86" s="2"/>
      <c r="W86" s="2"/>
    </row>
    <row r="90" spans="1:39">
      <c r="Q90" s="2"/>
      <c r="R90" s="2"/>
      <c r="S90" s="2"/>
      <c r="T90" s="2"/>
      <c r="U90" s="2"/>
      <c r="V90" s="2"/>
      <c r="W90" s="2"/>
    </row>
  </sheetData>
  <mergeCells count="6">
    <mergeCell ref="B83:AI83"/>
    <mergeCell ref="X6:AQ6"/>
    <mergeCell ref="K6:W6"/>
    <mergeCell ref="A3:AQ3"/>
    <mergeCell ref="A2:AQ2"/>
    <mergeCell ref="A4:AQ4"/>
  </mergeCells>
  <phoneticPr fontId="0" type="noConversion"/>
  <printOptions horizontalCentered="1" verticalCentered="1"/>
  <pageMargins left="0.23622047244094491" right="0.27559055118110237" top="0.35433070866141736" bottom="0.19685039370078741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70629-A80B-4048-98A7-8DA7ADE919FA}">
  <dimension ref="A2:AU89"/>
  <sheetViews>
    <sheetView workbookViewId="0">
      <pane xSplit="2" ySplit="8" topLeftCell="H9" activePane="bottomRight" state="frozen"/>
      <selection activeCell="J49" sqref="J49"/>
      <selection pane="topRight" activeCell="J49" sqref="J49"/>
      <selection pane="bottomLeft" activeCell="J49" sqref="J49"/>
      <selection pane="bottomRight" activeCell="H1" sqref="H1:P1048576"/>
    </sheetView>
  </sheetViews>
  <sheetFormatPr baseColWidth="10" defaultRowHeight="12.75"/>
  <cols>
    <col min="1" max="1" width="3.85546875" style="1" customWidth="1"/>
    <col min="2" max="2" width="41.5703125" style="1" customWidth="1"/>
    <col min="3" max="4" width="10" style="1" customWidth="1"/>
    <col min="5" max="7" width="10.7109375" style="1" customWidth="1"/>
    <col min="8" max="16" width="10.7109375" style="1" hidden="1" customWidth="1"/>
    <col min="17" max="17" width="11.28515625" style="1" bestFit="1" customWidth="1"/>
    <col min="18" max="20" width="10.7109375" style="1" bestFit="1" customWidth="1"/>
    <col min="21" max="23" width="10.7109375" style="1" customWidth="1"/>
    <col min="24" max="24" width="10" style="10" hidden="1" customWidth="1"/>
    <col min="25" max="25" width="6.28515625" style="10" hidden="1" customWidth="1"/>
    <col min="26" max="26" width="6.7109375" style="10" hidden="1" customWidth="1"/>
    <col min="27" max="27" width="7.140625" style="10" hidden="1" customWidth="1"/>
    <col min="28" max="29" width="7.42578125" style="10" hidden="1" customWidth="1"/>
    <col min="30" max="30" width="0.140625" style="10" hidden="1" customWidth="1"/>
    <col min="31" max="32" width="6.5703125" style="10" hidden="1" customWidth="1"/>
    <col min="33" max="33" width="7" style="10" hidden="1" customWidth="1"/>
    <col min="34" max="34" width="6.85546875" style="1" hidden="1" customWidth="1"/>
    <col min="35" max="35" width="6.28515625" style="1" hidden="1" customWidth="1"/>
    <col min="36" max="36" width="7.140625" style="1" hidden="1" customWidth="1"/>
    <col min="37" max="39" width="6.85546875" style="1" bestFit="1" customWidth="1"/>
    <col min="40" max="40" width="8.85546875" style="1" bestFit="1" customWidth="1"/>
    <col min="41" max="41" width="7.140625" style="1" bestFit="1" customWidth="1"/>
    <col min="42" max="43" width="6.85546875" style="1" bestFit="1" customWidth="1"/>
    <col min="44" max="16384" width="11.42578125" style="1"/>
  </cols>
  <sheetData>
    <row r="2" spans="1:43">
      <c r="A2" s="249" t="s">
        <v>80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</row>
    <row r="3" spans="1:43">
      <c r="A3" s="249" t="s">
        <v>117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</row>
    <row r="4" spans="1:43">
      <c r="A4" s="250" t="s">
        <v>77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50"/>
      <c r="AN4" s="250"/>
      <c r="AO4" s="250"/>
      <c r="AP4" s="250"/>
      <c r="AQ4" s="250"/>
    </row>
    <row r="5" spans="1:4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</row>
    <row r="6" spans="1:43" ht="13.5" thickBot="1">
      <c r="B6" s="13"/>
      <c r="O6" s="13"/>
      <c r="P6" s="13"/>
      <c r="Q6" s="13"/>
      <c r="R6" s="13"/>
      <c r="S6" s="13"/>
      <c r="T6" s="13"/>
      <c r="U6" s="13"/>
      <c r="V6" s="13"/>
      <c r="W6" s="13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5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13.5" thickTop="1">
      <c r="C7" s="248" t="s">
        <v>79</v>
      </c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 t="s">
        <v>30</v>
      </c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</row>
    <row r="8" spans="1:43">
      <c r="B8" s="18" t="s">
        <v>1</v>
      </c>
      <c r="C8" s="19">
        <v>2006</v>
      </c>
      <c r="D8" s="19">
        <v>2007</v>
      </c>
      <c r="E8" s="19">
        <v>2008</v>
      </c>
      <c r="F8" s="19">
        <v>2009</v>
      </c>
      <c r="G8" s="19">
        <v>2010</v>
      </c>
      <c r="H8" s="19">
        <v>2011</v>
      </c>
      <c r="I8" s="19">
        <v>2012</v>
      </c>
      <c r="J8" s="19">
        <v>2013</v>
      </c>
      <c r="K8" s="19">
        <v>2014</v>
      </c>
      <c r="L8" s="19">
        <v>2015</v>
      </c>
      <c r="M8" s="91">
        <v>2016</v>
      </c>
      <c r="N8" s="91">
        <v>2017</v>
      </c>
      <c r="O8" s="91">
        <v>2018</v>
      </c>
      <c r="P8" s="91">
        <v>2019</v>
      </c>
      <c r="Q8" s="91">
        <v>2020</v>
      </c>
      <c r="R8" s="91">
        <v>2021</v>
      </c>
      <c r="S8" s="91">
        <v>2022</v>
      </c>
      <c r="T8" s="91">
        <v>2023</v>
      </c>
      <c r="U8" s="91">
        <v>2024</v>
      </c>
      <c r="V8" s="91">
        <v>2025</v>
      </c>
      <c r="W8" s="91">
        <v>2026</v>
      </c>
      <c r="X8" s="20" t="s">
        <v>90</v>
      </c>
      <c r="Y8" s="20" t="s">
        <v>91</v>
      </c>
      <c r="Z8" s="20" t="s">
        <v>92</v>
      </c>
      <c r="AA8" s="20" t="s">
        <v>93</v>
      </c>
      <c r="AB8" s="20" t="s">
        <v>94</v>
      </c>
      <c r="AC8" s="20" t="s">
        <v>95</v>
      </c>
      <c r="AD8" s="20" t="s">
        <v>82</v>
      </c>
      <c r="AE8" s="20" t="s">
        <v>96</v>
      </c>
      <c r="AF8" s="20" t="s">
        <v>97</v>
      </c>
      <c r="AG8" s="20" t="s">
        <v>98</v>
      </c>
      <c r="AH8" s="20" t="s">
        <v>99</v>
      </c>
      <c r="AI8" s="20" t="s">
        <v>100</v>
      </c>
      <c r="AJ8" s="20" t="s">
        <v>101</v>
      </c>
      <c r="AK8" s="20" t="s">
        <v>102</v>
      </c>
      <c r="AL8" s="20" t="s">
        <v>103</v>
      </c>
      <c r="AM8" s="20" t="s">
        <v>104</v>
      </c>
      <c r="AN8" s="20" t="s">
        <v>107</v>
      </c>
      <c r="AO8" s="20" t="s">
        <v>108</v>
      </c>
      <c r="AP8" s="20" t="s">
        <v>109</v>
      </c>
      <c r="AQ8" s="20" t="s">
        <v>119</v>
      </c>
    </row>
    <row r="9" spans="1:43">
      <c r="C9" s="10"/>
      <c r="D9" s="10"/>
    </row>
    <row r="10" spans="1:43">
      <c r="A10" s="1">
        <v>1</v>
      </c>
      <c r="B10" s="6" t="s">
        <v>14</v>
      </c>
      <c r="C10" s="32">
        <f t="shared" ref="C10:L10" si="0">+C12+C35</f>
        <v>617509.09143943002</v>
      </c>
      <c r="D10" s="32">
        <f t="shared" si="0"/>
        <v>807034.79469891987</v>
      </c>
      <c r="E10" s="32">
        <f t="shared" si="0"/>
        <v>1023405.28774324</v>
      </c>
      <c r="F10" s="32">
        <f t="shared" si="0"/>
        <v>935509.70914842992</v>
      </c>
      <c r="G10" s="32">
        <f t="shared" si="0"/>
        <v>1044063.0480792099</v>
      </c>
      <c r="H10" s="32">
        <f t="shared" si="0"/>
        <v>1107300.99054225</v>
      </c>
      <c r="I10" s="32">
        <f t="shared" si="0"/>
        <v>1234316.6272405901</v>
      </c>
      <c r="J10" s="32">
        <f t="shared" si="0"/>
        <v>1356508.7984064103</v>
      </c>
      <c r="K10" s="32">
        <f t="shared" si="0"/>
        <v>1461545.4484199798</v>
      </c>
      <c r="L10" s="32">
        <f t="shared" si="0"/>
        <v>1577306.2342507599</v>
      </c>
      <c r="M10" s="32">
        <f t="shared" ref="M10:W10" si="1">+M12+M35</f>
        <v>1720584.9948428802</v>
      </c>
      <c r="N10" s="32">
        <f t="shared" si="1"/>
        <v>1860445.6578879203</v>
      </c>
      <c r="O10" s="32">
        <f t="shared" si="1"/>
        <v>1892988.41264338</v>
      </c>
      <c r="P10" s="32">
        <f t="shared" si="1"/>
        <v>2085102.4831543905</v>
      </c>
      <c r="Q10" s="32">
        <f t="shared" si="1"/>
        <v>1998855.8750372198</v>
      </c>
      <c r="R10" s="32">
        <f t="shared" si="1"/>
        <v>2614396.2371932096</v>
      </c>
      <c r="S10" s="32">
        <f t="shared" si="1"/>
        <v>2890422.7044333401</v>
      </c>
      <c r="T10" s="32">
        <f t="shared" si="1"/>
        <v>3019749.5641105897</v>
      </c>
      <c r="U10" s="32">
        <f t="shared" si="1"/>
        <v>3046555.7951172008</v>
      </c>
      <c r="V10" s="32">
        <f t="shared" si="1"/>
        <v>3115036.56127762</v>
      </c>
      <c r="W10" s="32">
        <f t="shared" si="1"/>
        <v>3056746.5895780092</v>
      </c>
      <c r="X10" s="101">
        <f>+D10/C10-1</f>
        <v>0.30691969703263866</v>
      </c>
      <c r="Y10" s="101">
        <f t="shared" ref="Y10:AQ10" si="2">+E10/D10-1</f>
        <v>0.26810553208556698</v>
      </c>
      <c r="Z10" s="101">
        <f t="shared" si="2"/>
        <v>-8.5885405955477223E-2</v>
      </c>
      <c r="AA10" s="101">
        <f t="shared" si="2"/>
        <v>0.11603657115391486</v>
      </c>
      <c r="AB10" s="101">
        <f t="shared" si="2"/>
        <v>6.0569084002523255E-2</v>
      </c>
      <c r="AC10" s="101">
        <f t="shared" si="2"/>
        <v>0.11470741720924504</v>
      </c>
      <c r="AD10" s="101">
        <f t="shared" si="2"/>
        <v>9.8995807452574081E-2</v>
      </c>
      <c r="AE10" s="101">
        <f t="shared" si="2"/>
        <v>7.7431602461380145E-2</v>
      </c>
      <c r="AF10" s="101">
        <f t="shared" si="2"/>
        <v>7.9204369563686594E-2</v>
      </c>
      <c r="AG10" s="101">
        <f t="shared" si="2"/>
        <v>9.0837630309740902E-2</v>
      </c>
      <c r="AH10" s="101">
        <f t="shared" si="2"/>
        <v>8.1286692296076879E-2</v>
      </c>
      <c r="AI10" s="101">
        <f t="shared" si="2"/>
        <v>1.7491913626976885E-2</v>
      </c>
      <c r="AJ10" s="101">
        <f t="shared" si="2"/>
        <v>0.10148718778618471</v>
      </c>
      <c r="AK10" s="101">
        <f t="shared" si="2"/>
        <v>-4.1363246561720413E-2</v>
      </c>
      <c r="AL10" s="101">
        <f t="shared" si="2"/>
        <v>0.30794634562861023</v>
      </c>
      <c r="AM10" s="101">
        <f t="shared" si="2"/>
        <v>0.10557943104158918</v>
      </c>
      <c r="AN10" s="101">
        <f t="shared" si="2"/>
        <v>4.4743234087833539E-2</v>
      </c>
      <c r="AO10" s="101">
        <f t="shared" si="2"/>
        <v>8.8769715625429679E-3</v>
      </c>
      <c r="AP10" s="101">
        <f t="shared" si="2"/>
        <v>2.2478093547531719E-2</v>
      </c>
      <c r="AQ10" s="101">
        <f t="shared" si="2"/>
        <v>-1.8712451861464974E-2</v>
      </c>
    </row>
    <row r="11" spans="1:43">
      <c r="B11" s="6"/>
      <c r="C11" s="2"/>
      <c r="D11" s="2"/>
      <c r="E11" s="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</row>
    <row r="12" spans="1:43">
      <c r="B12" s="6" t="s">
        <v>41</v>
      </c>
      <c r="C12" s="31">
        <f t="shared" ref="C12:L12" si="3">+C13+C31+C32+C33</f>
        <v>617497.09143943002</v>
      </c>
      <c r="D12" s="31">
        <f t="shared" si="3"/>
        <v>806979.79469891987</v>
      </c>
      <c r="E12" s="31">
        <f t="shared" si="3"/>
        <v>1023220.28774324</v>
      </c>
      <c r="F12" s="31">
        <f t="shared" si="3"/>
        <v>935509.70914842992</v>
      </c>
      <c r="G12" s="31">
        <f t="shared" si="3"/>
        <v>1043960.0031965799</v>
      </c>
      <c r="H12" s="31">
        <f t="shared" si="3"/>
        <v>1107285.49054225</v>
      </c>
      <c r="I12" s="31">
        <f t="shared" si="3"/>
        <v>1234286.6272405901</v>
      </c>
      <c r="J12" s="31">
        <f t="shared" si="3"/>
        <v>1356508.7984064103</v>
      </c>
      <c r="K12" s="31">
        <f t="shared" si="3"/>
        <v>1461545.4484199798</v>
      </c>
      <c r="L12" s="31">
        <f t="shared" si="3"/>
        <v>1577193.1043114399</v>
      </c>
      <c r="M12" s="31">
        <f t="shared" ref="M12:W12" si="4">+M13+M31+M32+M33</f>
        <v>1716105.5107255301</v>
      </c>
      <c r="N12" s="31">
        <f t="shared" si="4"/>
        <v>1854560.8771500902</v>
      </c>
      <c r="O12" s="31">
        <f t="shared" si="4"/>
        <v>1891518.24442189</v>
      </c>
      <c r="P12" s="31">
        <f t="shared" si="4"/>
        <v>2054726.8081543904</v>
      </c>
      <c r="Q12" s="31">
        <f t="shared" si="4"/>
        <v>1923855.8750372198</v>
      </c>
      <c r="R12" s="31">
        <f t="shared" si="4"/>
        <v>2607861.2882482097</v>
      </c>
      <c r="S12" s="31">
        <f t="shared" si="4"/>
        <v>2882812.5693433401</v>
      </c>
      <c r="T12" s="31">
        <f t="shared" si="4"/>
        <v>3019749.5641105897</v>
      </c>
      <c r="U12" s="31">
        <f t="shared" si="4"/>
        <v>3038972.3587632007</v>
      </c>
      <c r="V12" s="31">
        <f t="shared" si="4"/>
        <v>3107494.8606126201</v>
      </c>
      <c r="W12" s="31">
        <f t="shared" si="4"/>
        <v>3045492.8682910092</v>
      </c>
      <c r="X12" s="102">
        <f>+D12/C12-1</f>
        <v>0.30685602553656088</v>
      </c>
      <c r="Y12" s="102">
        <f t="shared" ref="Y12:AO27" si="5">+E12/D12-1</f>
        <v>0.26796271042324959</v>
      </c>
      <c r="Z12" s="102">
        <f t="shared" si="5"/>
        <v>-8.5720132453843245E-2</v>
      </c>
      <c r="AA12" s="102">
        <f t="shared" si="5"/>
        <v>0.11592642276996723</v>
      </c>
      <c r="AB12" s="102">
        <f t="shared" si="5"/>
        <v>6.0658920985257048E-2</v>
      </c>
      <c r="AC12" s="102">
        <f t="shared" si="5"/>
        <v>0.11469592781907245</v>
      </c>
      <c r="AD12" s="102">
        <f t="shared" si="5"/>
        <v>9.9022519136469977E-2</v>
      </c>
      <c r="AE12" s="102">
        <f t="shared" si="5"/>
        <v>7.7431602461380145E-2</v>
      </c>
      <c r="AF12" s="102">
        <f t="shared" si="5"/>
        <v>7.9126965238393687E-2</v>
      </c>
      <c r="AG12" s="102">
        <f t="shared" si="5"/>
        <v>8.8075712501124448E-2</v>
      </c>
      <c r="AH12" s="102">
        <f t="shared" si="5"/>
        <v>8.0679984744075783E-2</v>
      </c>
      <c r="AI12" s="102">
        <f t="shared" si="5"/>
        <v>1.9927826434359197E-2</v>
      </c>
      <c r="AJ12" s="102">
        <f t="shared" si="5"/>
        <v>8.6284424807323123E-2</v>
      </c>
      <c r="AK12" s="102">
        <f t="shared" si="5"/>
        <v>-6.3692619669824757E-2</v>
      </c>
      <c r="AL12" s="102">
        <f t="shared" si="5"/>
        <v>0.35553880209335165</v>
      </c>
      <c r="AM12" s="102">
        <f t="shared" si="5"/>
        <v>0.10543171231312876</v>
      </c>
      <c r="AN12" s="102">
        <f t="shared" si="5"/>
        <v>4.7501178614064887E-2</v>
      </c>
      <c r="AO12" s="102">
        <f t="shared" si="5"/>
        <v>6.3656916722736323E-3</v>
      </c>
      <c r="AP12" s="102">
        <f t="shared" ref="AP12:AQ18" si="6">+V12/U12-1</f>
        <v>2.254791875675588E-2</v>
      </c>
      <c r="AQ12" s="102">
        <f t="shared" si="6"/>
        <v>-1.9952403818099262E-2</v>
      </c>
    </row>
    <row r="13" spans="1:43">
      <c r="B13" s="33" t="s">
        <v>40</v>
      </c>
      <c r="C13" s="2">
        <v>596210.76595544</v>
      </c>
      <c r="D13" s="2">
        <v>779041.67608197988</v>
      </c>
      <c r="E13" s="2">
        <v>993436.20098425006</v>
      </c>
      <c r="F13" s="2">
        <f t="shared" ref="F13:O13" si="7">+F14+F15+F18+F22+F25+F28</f>
        <v>898718.44047816994</v>
      </c>
      <c r="G13" s="2">
        <f t="shared" si="7"/>
        <v>960174.44000187994</v>
      </c>
      <c r="H13" s="2">
        <f t="shared" si="7"/>
        <v>1018113.1117629401</v>
      </c>
      <c r="I13" s="2">
        <f t="shared" si="7"/>
        <v>1149376.64621702</v>
      </c>
      <c r="J13" s="2">
        <f t="shared" si="7"/>
        <v>1260682.4962259901</v>
      </c>
      <c r="K13" s="2">
        <f t="shared" si="7"/>
        <v>1366593.0011770399</v>
      </c>
      <c r="L13" s="2">
        <f t="shared" si="7"/>
        <v>1465291.2636297999</v>
      </c>
      <c r="M13" s="2">
        <f t="shared" si="7"/>
        <v>1599685.5203465102</v>
      </c>
      <c r="N13" s="2">
        <f t="shared" si="7"/>
        <v>1706074.1588581402</v>
      </c>
      <c r="O13" s="2">
        <f t="shared" si="7"/>
        <v>1733659.31369438</v>
      </c>
      <c r="P13" s="2">
        <f>+P14+P15+P18+P22+P25+P28</f>
        <v>1887762.0179855102</v>
      </c>
      <c r="Q13" s="2">
        <f>+Q14+Q15+Q18+Q22+Q25+Q28</f>
        <v>1772648.65948064</v>
      </c>
      <c r="R13" s="2">
        <f>+R14+R15+R18+R22+R25+R28</f>
        <v>2228465.0935011199</v>
      </c>
      <c r="S13" s="2">
        <f>+S14+S15+S18+S22+S25+S28+S29+S30</f>
        <v>2491307.7907574899</v>
      </c>
      <c r="T13" s="2">
        <f>+T14+T15+T18+T22+T25+T28+T29+T30</f>
        <v>2703348.9872901901</v>
      </c>
      <c r="U13" s="2">
        <f>+U14+U15+U18+U22+U25+U28+U29+U30</f>
        <v>2696774.7044817405</v>
      </c>
      <c r="V13" s="2">
        <f>+V14+V15+V18+V22+V25+V28+V29+V30</f>
        <v>2756133.2646862501</v>
      </c>
      <c r="W13" s="2">
        <f>+W14+W15+W18+W22+W25+W28+W29+W30</f>
        <v>2686430.3327376796</v>
      </c>
      <c r="X13" s="103">
        <f t="shared" ref="X13:X72" si="8">+D13/C13-1</f>
        <v>0.30665482840376024</v>
      </c>
      <c r="Y13" s="103">
        <f t="shared" si="5"/>
        <v>0.27520289540929399</v>
      </c>
      <c r="Z13" s="103">
        <f t="shared" si="5"/>
        <v>-9.5343576580195322E-2</v>
      </c>
      <c r="AA13" s="103">
        <f t="shared" si="5"/>
        <v>6.8381816546472463E-2</v>
      </c>
      <c r="AB13" s="103">
        <f t="shared" si="5"/>
        <v>6.034181847305442E-2</v>
      </c>
      <c r="AC13" s="103">
        <f t="shared" si="5"/>
        <v>0.12892824278314929</v>
      </c>
      <c r="AD13" s="103">
        <f t="shared" si="5"/>
        <v>9.6840187570640612E-2</v>
      </c>
      <c r="AE13" s="103">
        <f t="shared" si="5"/>
        <v>8.4010450901084166E-2</v>
      </c>
      <c r="AF13" s="103">
        <f t="shared" si="5"/>
        <v>7.2222133706049796E-2</v>
      </c>
      <c r="AG13" s="103">
        <f t="shared" si="5"/>
        <v>9.1718459020762033E-2</v>
      </c>
      <c r="AH13" s="103">
        <f t="shared" si="5"/>
        <v>6.6505970803927061E-2</v>
      </c>
      <c r="AI13" s="103">
        <f t="shared" si="5"/>
        <v>1.6168790021825474E-2</v>
      </c>
      <c r="AJ13" s="103">
        <f t="shared" si="5"/>
        <v>8.8888689417727429E-2</v>
      </c>
      <c r="AK13" s="103">
        <f t="shared" si="5"/>
        <v>-6.0978744888463887E-2</v>
      </c>
      <c r="AL13" s="103">
        <f t="shared" si="5"/>
        <v>0.25713862224341022</v>
      </c>
      <c r="AM13" s="103">
        <f t="shared" si="5"/>
        <v>0.11794786376636512</v>
      </c>
      <c r="AN13" s="103">
        <f t="shared" si="5"/>
        <v>8.5112404544854803E-2</v>
      </c>
      <c r="AO13" s="103">
        <f t="shared" si="5"/>
        <v>-2.4319031095720867E-3</v>
      </c>
      <c r="AP13" s="103">
        <f t="shared" si="6"/>
        <v>2.2010945187917352E-2</v>
      </c>
      <c r="AQ13" s="103">
        <f t="shared" si="6"/>
        <v>-2.5290116715929289E-2</v>
      </c>
    </row>
    <row r="14" spans="1:43">
      <c r="B14" s="34" t="s">
        <v>33</v>
      </c>
      <c r="C14" s="2">
        <v>133915.82493018999</v>
      </c>
      <c r="D14" s="2">
        <v>188561.25017931999</v>
      </c>
      <c r="E14" s="2">
        <v>270210.32127028005</v>
      </c>
      <c r="F14" s="2">
        <v>256077.53126004001</v>
      </c>
      <c r="G14" s="80">
        <v>248645.66991778</v>
      </c>
      <c r="H14" s="80">
        <v>270615.66210675001</v>
      </c>
      <c r="I14" s="80">
        <v>298717.90270566999</v>
      </c>
      <c r="J14" s="80">
        <v>333597.09202429006</v>
      </c>
      <c r="K14" s="80">
        <v>359792.12013753003</v>
      </c>
      <c r="L14" s="80">
        <v>424879.39746533002</v>
      </c>
      <c r="M14" s="80">
        <v>498859.41611197003</v>
      </c>
      <c r="N14" s="80">
        <v>555883.38687024999</v>
      </c>
      <c r="O14" s="80">
        <v>566018.68135884998</v>
      </c>
      <c r="P14" s="80">
        <v>705655.15661102999</v>
      </c>
      <c r="Q14" s="80">
        <v>691678.64481238998</v>
      </c>
      <c r="R14" s="80">
        <v>853698.99441179994</v>
      </c>
      <c r="S14" s="80">
        <v>1001088.46842933</v>
      </c>
      <c r="T14" s="80">
        <v>1030654.07225629</v>
      </c>
      <c r="U14" s="80">
        <v>951075.00932817999</v>
      </c>
      <c r="V14" s="80">
        <v>981724.4162199999</v>
      </c>
      <c r="W14" s="80">
        <v>968120.02698487998</v>
      </c>
      <c r="X14" s="103">
        <f t="shared" si="8"/>
        <v>0.40805801164736533</v>
      </c>
      <c r="Y14" s="103">
        <f t="shared" si="5"/>
        <v>0.43301087054372278</v>
      </c>
      <c r="Z14" s="103">
        <f t="shared" si="5"/>
        <v>-5.2302924417545138E-2</v>
      </c>
      <c r="AA14" s="103">
        <f t="shared" si="5"/>
        <v>-2.9021918891873222E-2</v>
      </c>
      <c r="AB14" s="103">
        <f t="shared" si="5"/>
        <v>8.8358635789776097E-2</v>
      </c>
      <c r="AC14" s="103">
        <f t="shared" si="5"/>
        <v>0.10384558077734041</v>
      </c>
      <c r="AD14" s="103">
        <f t="shared" si="5"/>
        <v>0.11676296935234887</v>
      </c>
      <c r="AE14" s="103">
        <f t="shared" si="5"/>
        <v>7.8522951007416575E-2</v>
      </c>
      <c r="AF14" s="103">
        <f t="shared" si="5"/>
        <v>0.18090245362494461</v>
      </c>
      <c r="AG14" s="103">
        <f t="shared" si="5"/>
        <v>0.17412004227076405</v>
      </c>
      <c r="AH14" s="103">
        <f t="shared" si="5"/>
        <v>0.11430869883687</v>
      </c>
      <c r="AI14" s="103">
        <f t="shared" si="5"/>
        <v>1.8232770987569813E-2</v>
      </c>
      <c r="AJ14" s="103">
        <f t="shared" si="5"/>
        <v>0.2466994109045173</v>
      </c>
      <c r="AK14" s="103">
        <f t="shared" si="5"/>
        <v>-1.980643330910159E-2</v>
      </c>
      <c r="AL14" s="103">
        <f t="shared" si="5"/>
        <v>0.2342422320170896</v>
      </c>
      <c r="AM14" s="103">
        <f t="shared" si="5"/>
        <v>0.17264805860417076</v>
      </c>
      <c r="AN14" s="103">
        <f t="shared" si="5"/>
        <v>2.9533457590763534E-2</v>
      </c>
      <c r="AO14" s="103">
        <f t="shared" si="5"/>
        <v>-7.7212194731736572E-2</v>
      </c>
      <c r="AP14" s="103">
        <f t="shared" si="6"/>
        <v>3.2226066915026941E-2</v>
      </c>
      <c r="AQ14" s="103">
        <f t="shared" si="6"/>
        <v>-1.3857645801967355E-2</v>
      </c>
    </row>
    <row r="15" spans="1:43">
      <c r="B15" s="34" t="s">
        <v>34</v>
      </c>
      <c r="C15" s="2">
        <v>36635.227903840001</v>
      </c>
      <c r="D15" s="2">
        <v>48401.485053279997</v>
      </c>
      <c r="E15" s="2">
        <v>57909.942212749993</v>
      </c>
      <c r="F15" s="2">
        <f t="shared" ref="F15:O15" si="9">+F16+F17</f>
        <v>43987.296612600003</v>
      </c>
      <c r="G15" s="2">
        <f t="shared" si="9"/>
        <v>46498.102631469999</v>
      </c>
      <c r="H15" s="2">
        <f t="shared" si="9"/>
        <v>54087.427117439998</v>
      </c>
      <c r="I15" s="2">
        <f t="shared" si="9"/>
        <v>57646.926756269997</v>
      </c>
      <c r="J15" s="2">
        <f t="shared" si="9"/>
        <v>58770.874165069996</v>
      </c>
      <c r="K15" s="2">
        <f t="shared" si="9"/>
        <v>66872.550886869998</v>
      </c>
      <c r="L15" s="2">
        <f t="shared" si="9"/>
        <v>64503.123027479996</v>
      </c>
      <c r="M15" s="2">
        <f t="shared" si="9"/>
        <v>70978.966627420014</v>
      </c>
      <c r="N15" s="2">
        <f t="shared" si="9"/>
        <v>69238.172299259997</v>
      </c>
      <c r="O15" s="2">
        <f t="shared" si="9"/>
        <v>69120.035474539996</v>
      </c>
      <c r="P15" s="2">
        <f t="shared" ref="P15:W15" si="10">+P16+P17</f>
        <v>66999.102040989994</v>
      </c>
      <c r="Q15" s="2">
        <f t="shared" si="10"/>
        <v>46748.607115389997</v>
      </c>
      <c r="R15" s="2">
        <f t="shared" si="10"/>
        <v>68300.396155989991</v>
      </c>
      <c r="S15" s="2">
        <f t="shared" si="10"/>
        <v>62029.26393994</v>
      </c>
      <c r="T15" s="2">
        <f t="shared" si="10"/>
        <v>65532.476850679996</v>
      </c>
      <c r="U15" s="2">
        <f t="shared" si="10"/>
        <v>70008.951937249993</v>
      </c>
      <c r="V15" s="2">
        <f t="shared" si="10"/>
        <v>78232.375887069997</v>
      </c>
      <c r="W15" s="2">
        <f t="shared" si="10"/>
        <v>76621.328568960002</v>
      </c>
      <c r="X15" s="103">
        <f t="shared" si="8"/>
        <v>0.32117330292919211</v>
      </c>
      <c r="Y15" s="103">
        <f t="shared" si="5"/>
        <v>0.19644969878513341</v>
      </c>
      <c r="Z15" s="103">
        <f t="shared" si="5"/>
        <v>-0.24041891716971275</v>
      </c>
      <c r="AA15" s="103">
        <f t="shared" si="5"/>
        <v>5.708025298719499E-2</v>
      </c>
      <c r="AB15" s="103">
        <f t="shared" si="5"/>
        <v>0.1632179391516404</v>
      </c>
      <c r="AC15" s="103">
        <f t="shared" si="5"/>
        <v>6.5810112045101787E-2</v>
      </c>
      <c r="AD15" s="103">
        <f t="shared" si="5"/>
        <v>1.949709155445567E-2</v>
      </c>
      <c r="AE15" s="103">
        <f t="shared" si="5"/>
        <v>0.13785190091004584</v>
      </c>
      <c r="AF15" s="103">
        <f t="shared" si="5"/>
        <v>-3.5431994562289404E-2</v>
      </c>
      <c r="AG15" s="103">
        <f t="shared" si="5"/>
        <v>0.10039581490001881</v>
      </c>
      <c r="AH15" s="103">
        <f t="shared" si="5"/>
        <v>-2.4525495521761087E-2</v>
      </c>
      <c r="AI15" s="103">
        <f t="shared" si="5"/>
        <v>-1.7062383479649057E-3</v>
      </c>
      <c r="AJ15" s="103">
        <f t="shared" si="5"/>
        <v>-3.0684785084221122E-2</v>
      </c>
      <c r="AK15" s="103">
        <f t="shared" si="5"/>
        <v>-0.30225024378999532</v>
      </c>
      <c r="AL15" s="103">
        <f t="shared" si="5"/>
        <v>0.4610145707101716</v>
      </c>
      <c r="AM15" s="103">
        <f t="shared" si="5"/>
        <v>-9.1816923019413688E-2</v>
      </c>
      <c r="AN15" s="103">
        <f>+T15/S15-1</f>
        <v>5.6476777060130656E-2</v>
      </c>
      <c r="AO15" s="103">
        <f>+U15/T15-1</f>
        <v>6.8309261326562343E-2</v>
      </c>
      <c r="AP15" s="103">
        <f t="shared" si="6"/>
        <v>0.11746246333170052</v>
      </c>
      <c r="AQ15" s="103">
        <f t="shared" si="6"/>
        <v>-2.0593102278212427E-2</v>
      </c>
    </row>
    <row r="16" spans="1:43">
      <c r="B16" s="35" t="s">
        <v>45</v>
      </c>
      <c r="C16" s="2">
        <v>29093.59535462</v>
      </c>
      <c r="D16" s="2">
        <v>38248.523540189999</v>
      </c>
      <c r="E16" s="2">
        <v>45224.499137619998</v>
      </c>
      <c r="F16" s="2">
        <v>36466.253759860003</v>
      </c>
      <c r="G16" s="2">
        <v>37427.402455230003</v>
      </c>
      <c r="H16" s="2">
        <v>44696.299368109998</v>
      </c>
      <c r="I16" s="2">
        <v>47949.543244920002</v>
      </c>
      <c r="J16" s="2">
        <v>48932.093869889999</v>
      </c>
      <c r="K16" s="2">
        <v>55703.630514570003</v>
      </c>
      <c r="L16" s="2">
        <v>54360.661178489994</v>
      </c>
      <c r="M16" s="2">
        <v>60490.622167930007</v>
      </c>
      <c r="N16" s="2">
        <v>58563.870471179995</v>
      </c>
      <c r="O16" s="2">
        <v>58335.613465229995</v>
      </c>
      <c r="P16" s="2">
        <v>56968.104256859995</v>
      </c>
      <c r="Q16" s="2">
        <v>39779.029359339998</v>
      </c>
      <c r="R16" s="2">
        <v>57398.882289939997</v>
      </c>
      <c r="S16" s="2">
        <v>50672.325893059999</v>
      </c>
      <c r="T16" s="2">
        <v>52994.504469239997</v>
      </c>
      <c r="U16" s="2">
        <v>56787.879620269989</v>
      </c>
      <c r="V16" s="2">
        <v>64358.540628319999</v>
      </c>
      <c r="W16" s="2">
        <v>62318.972913630001</v>
      </c>
      <c r="X16" s="103">
        <f t="shared" si="8"/>
        <v>0.31467159950432921</v>
      </c>
      <c r="Y16" s="103">
        <f t="shared" si="5"/>
        <v>0.18238548711821334</v>
      </c>
      <c r="Z16" s="103">
        <f t="shared" si="5"/>
        <v>-0.19366152295259909</v>
      </c>
      <c r="AA16" s="103">
        <f t="shared" si="5"/>
        <v>2.6357209646469926E-2</v>
      </c>
      <c r="AB16" s="103">
        <f t="shared" si="5"/>
        <v>0.19421323511763666</v>
      </c>
      <c r="AC16" s="103">
        <f t="shared" si="5"/>
        <v>7.278553085607653E-2</v>
      </c>
      <c r="AD16" s="103">
        <f t="shared" si="5"/>
        <v>2.0491344827859193E-2</v>
      </c>
      <c r="AE16" s="103">
        <f t="shared" si="5"/>
        <v>0.13838640673512681</v>
      </c>
      <c r="AF16" s="103">
        <f t="shared" si="5"/>
        <v>-2.410918864128142E-2</v>
      </c>
      <c r="AG16" s="103">
        <f t="shared" si="5"/>
        <v>0.11276465106472222</v>
      </c>
      <c r="AH16" s="103">
        <f t="shared" si="5"/>
        <v>-3.18520727295728E-2</v>
      </c>
      <c r="AI16" s="103">
        <f t="shared" si="5"/>
        <v>-3.897573779081509E-3</v>
      </c>
      <c r="AJ16" s="103">
        <f t="shared" si="5"/>
        <v>-2.3442098696452085E-2</v>
      </c>
      <c r="AK16" s="103">
        <f t="shared" si="5"/>
        <v>-0.30173155876869673</v>
      </c>
      <c r="AL16" s="103">
        <f t="shared" si="5"/>
        <v>0.44294325966158632</v>
      </c>
      <c r="AM16" s="103">
        <f t="shared" si="5"/>
        <v>-0.11718967562646998</v>
      </c>
      <c r="AN16" s="103">
        <f t="shared" si="5"/>
        <v>4.5827353200261101E-2</v>
      </c>
      <c r="AO16" s="103">
        <f t="shared" si="5"/>
        <v>7.1580538190177956E-2</v>
      </c>
      <c r="AP16" s="103">
        <f t="shared" si="6"/>
        <v>0.13331473297953034</v>
      </c>
      <c r="AQ16" s="103">
        <f t="shared" si="6"/>
        <v>-3.1690707943003216E-2</v>
      </c>
    </row>
    <row r="17" spans="2:43">
      <c r="B17" s="35" t="s">
        <v>46</v>
      </c>
      <c r="C17" s="2">
        <v>7541.6325492199994</v>
      </c>
      <c r="D17" s="2">
        <v>10152.96151309</v>
      </c>
      <c r="E17" s="2">
        <v>12685.443075129997</v>
      </c>
      <c r="F17" s="2">
        <v>7521.0428527399999</v>
      </c>
      <c r="G17" s="2">
        <v>9070.7001762399996</v>
      </c>
      <c r="H17" s="2">
        <v>9391.1277493300004</v>
      </c>
      <c r="I17" s="2">
        <v>9697.383511349999</v>
      </c>
      <c r="J17" s="2">
        <v>9838.7802951799986</v>
      </c>
      <c r="K17" s="2">
        <v>11168.920372299999</v>
      </c>
      <c r="L17" s="2">
        <v>10142.46184899</v>
      </c>
      <c r="M17" s="2">
        <v>10488.344459489999</v>
      </c>
      <c r="N17" s="2">
        <v>10674.301828079999</v>
      </c>
      <c r="O17" s="2">
        <v>10784.422009310001</v>
      </c>
      <c r="P17" s="2">
        <v>10030.997784130001</v>
      </c>
      <c r="Q17" s="2">
        <v>6969.5777560500001</v>
      </c>
      <c r="R17" s="2">
        <v>10901.513866050002</v>
      </c>
      <c r="S17" s="2">
        <v>11356.938046880001</v>
      </c>
      <c r="T17" s="2">
        <v>12537.97238144</v>
      </c>
      <c r="U17" s="2">
        <v>13221.07231698</v>
      </c>
      <c r="V17" s="2">
        <v>13873.835258749998</v>
      </c>
      <c r="W17" s="2">
        <v>14302.35565533</v>
      </c>
      <c r="X17" s="103">
        <f t="shared" si="8"/>
        <v>0.34625513067990554</v>
      </c>
      <c r="Y17" s="103">
        <f t="shared" si="5"/>
        <v>0.24943279443883659</v>
      </c>
      <c r="Z17" s="103">
        <f t="shared" si="5"/>
        <v>-0.40711232487534332</v>
      </c>
      <c r="AA17" s="103">
        <f t="shared" si="5"/>
        <v>0.20604287913815589</v>
      </c>
      <c r="AB17" s="103">
        <f t="shared" si="5"/>
        <v>3.5325561077339529E-2</v>
      </c>
      <c r="AC17" s="103">
        <f t="shared" si="5"/>
        <v>3.2611180488077984E-2</v>
      </c>
      <c r="AD17" s="103">
        <f t="shared" si="5"/>
        <v>1.4580921097377075E-2</v>
      </c>
      <c r="AE17" s="103">
        <f t="shared" si="5"/>
        <v>0.13519359485765059</v>
      </c>
      <c r="AF17" s="103">
        <f t="shared" si="5"/>
        <v>-9.190311051511435E-2</v>
      </c>
      <c r="AG17" s="103">
        <f t="shared" si="5"/>
        <v>3.4102431505270259E-2</v>
      </c>
      <c r="AH17" s="103">
        <f t="shared" si="5"/>
        <v>1.7729906689109898E-2</v>
      </c>
      <c r="AI17" s="103">
        <f t="shared" si="5"/>
        <v>1.0316382560995097E-2</v>
      </c>
      <c r="AJ17" s="103">
        <f t="shared" si="5"/>
        <v>-6.9862272130076342E-2</v>
      </c>
      <c r="AK17" s="103">
        <f t="shared" si="5"/>
        <v>-0.30519596295031193</v>
      </c>
      <c r="AL17" s="103">
        <f t="shared" si="5"/>
        <v>0.56415700457417972</v>
      </c>
      <c r="AM17" s="103">
        <f t="shared" si="5"/>
        <v>4.1776232771514543E-2</v>
      </c>
      <c r="AN17" s="103">
        <f t="shared" si="5"/>
        <v>0.10399231990919033</v>
      </c>
      <c r="AO17" s="103">
        <f t="shared" si="5"/>
        <v>5.448248845652226E-2</v>
      </c>
      <c r="AP17" s="103">
        <f t="shared" si="6"/>
        <v>4.937291969363522E-2</v>
      </c>
      <c r="AQ17" s="103">
        <f t="shared" si="6"/>
        <v>3.088694572106454E-2</v>
      </c>
    </row>
    <row r="18" spans="2:43">
      <c r="B18" s="34" t="s">
        <v>35</v>
      </c>
      <c r="C18" s="2">
        <v>734.35915997999996</v>
      </c>
      <c r="D18" s="2">
        <v>2056.2488517799998</v>
      </c>
      <c r="E18" s="2">
        <v>2472.3305857199998</v>
      </c>
      <c r="F18" s="2">
        <f>+F19+F20</f>
        <v>1715.8476516999997</v>
      </c>
      <c r="G18" s="2">
        <f>+G19+G20</f>
        <v>1680.6399167999998</v>
      </c>
      <c r="H18" s="2">
        <f>+H19+H20</f>
        <v>1589.4536137200002</v>
      </c>
      <c r="I18" s="2">
        <f>+I19+I20</f>
        <v>1576.7477424100002</v>
      </c>
      <c r="J18" s="2">
        <f t="shared" ref="J18:O18" si="11">+J19+J20+J21</f>
        <v>1240.13961412</v>
      </c>
      <c r="K18" s="2">
        <f t="shared" si="11"/>
        <v>2043.38146981</v>
      </c>
      <c r="L18" s="2">
        <f t="shared" si="11"/>
        <v>1812.1522122400002</v>
      </c>
      <c r="M18" s="2">
        <f t="shared" si="11"/>
        <v>2078.9200735300001</v>
      </c>
      <c r="N18" s="2">
        <f t="shared" si="11"/>
        <v>2331.45518846</v>
      </c>
      <c r="O18" s="2">
        <f t="shared" si="11"/>
        <v>2343.6377536999998</v>
      </c>
      <c r="P18" s="2">
        <f t="shared" ref="P18:W18" si="12">+P19+P20+P21</f>
        <v>2076.5091095200005</v>
      </c>
      <c r="Q18" s="2">
        <f t="shared" si="12"/>
        <v>2243.5826439500001</v>
      </c>
      <c r="R18" s="2">
        <f t="shared" si="12"/>
        <v>2565.2466448200003</v>
      </c>
      <c r="S18" s="2">
        <f t="shared" si="12"/>
        <v>1753.7823905999999</v>
      </c>
      <c r="T18" s="2">
        <f t="shared" si="12"/>
        <v>2256.1767291000001</v>
      </c>
      <c r="U18" s="2">
        <f t="shared" si="12"/>
        <v>2106.1383131100001</v>
      </c>
      <c r="V18" s="2">
        <f t="shared" si="12"/>
        <v>1912.6000846999998</v>
      </c>
      <c r="W18" s="2">
        <f t="shared" si="12"/>
        <v>2001.1502198799999</v>
      </c>
      <c r="X18" s="103">
        <f t="shared" si="8"/>
        <v>1.8000588320243751</v>
      </c>
      <c r="Y18" s="103">
        <f t="shared" si="5"/>
        <v>0.20234989241687229</v>
      </c>
      <c r="Z18" s="103">
        <f t="shared" si="5"/>
        <v>-0.30597968507504214</v>
      </c>
      <c r="AA18" s="103">
        <f t="shared" si="5"/>
        <v>-2.0519149742179832E-2</v>
      </c>
      <c r="AB18" s="103">
        <f t="shared" si="5"/>
        <v>-5.4256894750912332E-2</v>
      </c>
      <c r="AC18" s="103">
        <f t="shared" si="5"/>
        <v>-7.9938610352162653E-3</v>
      </c>
      <c r="AD18" s="103">
        <f t="shared" si="5"/>
        <v>-0.21348254970418234</v>
      </c>
      <c r="AE18" s="103">
        <f t="shared" si="5"/>
        <v>0.6477027639020938</v>
      </c>
      <c r="AF18" s="103">
        <f t="shared" si="5"/>
        <v>-0.11316010298923784</v>
      </c>
      <c r="AG18" s="103">
        <f t="shared" si="5"/>
        <v>0.14721051547885611</v>
      </c>
      <c r="AH18" s="103">
        <f t="shared" si="5"/>
        <v>0.12147418178573655</v>
      </c>
      <c r="AI18" s="103">
        <f t="shared" si="5"/>
        <v>5.2253053373274572E-3</v>
      </c>
      <c r="AJ18" s="103">
        <f t="shared" si="5"/>
        <v>-0.1139803469022771</v>
      </c>
      <c r="AK18" s="103">
        <f t="shared" si="5"/>
        <v>8.0458849741631866E-2</v>
      </c>
      <c r="AL18" s="103">
        <f t="shared" si="5"/>
        <v>0.14337069407155245</v>
      </c>
      <c r="AM18" s="103">
        <f t="shared" si="5"/>
        <v>-0.31632991543272815</v>
      </c>
      <c r="AN18" s="103">
        <f t="shared" si="5"/>
        <v>0.28646332703119581</v>
      </c>
      <c r="AO18" s="103">
        <f t="shared" si="5"/>
        <v>-6.6501180539102145E-2</v>
      </c>
      <c r="AP18" s="103">
        <f t="shared" si="6"/>
        <v>-9.1892458916534636E-2</v>
      </c>
      <c r="AQ18" s="103">
        <f t="shared" si="6"/>
        <v>4.6298301400467423E-2</v>
      </c>
    </row>
    <row r="19" spans="2:43">
      <c r="B19" s="35" t="s">
        <v>47</v>
      </c>
      <c r="C19" s="2">
        <v>734.35915997999996</v>
      </c>
      <c r="D19" s="2">
        <v>73.10779402</v>
      </c>
      <c r="E19" s="2">
        <v>66.889689500000003</v>
      </c>
      <c r="F19" s="2">
        <v>56.343171240000004</v>
      </c>
      <c r="G19" s="2">
        <v>64.722893769999999</v>
      </c>
      <c r="H19" s="2">
        <v>65.552060999999995</v>
      </c>
      <c r="I19" s="2">
        <v>64.752516</v>
      </c>
      <c r="J19" s="2">
        <v>64.255310160000008</v>
      </c>
      <c r="K19" s="2">
        <v>75.598771499999998</v>
      </c>
      <c r="L19" s="2">
        <v>63.175494</v>
      </c>
      <c r="M19" s="2">
        <v>75.466200929999999</v>
      </c>
      <c r="N19" s="2">
        <v>83.71773300000001</v>
      </c>
      <c r="O19" s="2">
        <v>81.84904499999999</v>
      </c>
      <c r="P19" s="2">
        <v>65.50613700000001</v>
      </c>
      <c r="Q19" s="2">
        <v>83.686903500000014</v>
      </c>
      <c r="R19" s="2">
        <v>83.585922000000011</v>
      </c>
      <c r="S19" s="2">
        <v>53.989906500000004</v>
      </c>
      <c r="T19" s="2">
        <v>79.871109000000004</v>
      </c>
      <c r="U19" s="2">
        <v>80.615630999999993</v>
      </c>
      <c r="V19" s="2">
        <v>70.517541000000008</v>
      </c>
      <c r="W19" s="2">
        <v>76.581175500000001</v>
      </c>
      <c r="X19" s="103">
        <f t="shared" si="8"/>
        <v>-0.90044681403308013</v>
      </c>
      <c r="Y19" s="103">
        <f t="shared" si="5"/>
        <v>-8.5053920766627433E-2</v>
      </c>
      <c r="Z19" s="103">
        <f t="shared" si="5"/>
        <v>-0.15767031270192988</v>
      </c>
      <c r="AA19" s="103">
        <f t="shared" si="5"/>
        <v>0.1487264977383973</v>
      </c>
      <c r="AB19" s="103">
        <f t="shared" si="5"/>
        <v>1.2811034576830416E-2</v>
      </c>
      <c r="AC19" s="103">
        <f t="shared" si="5"/>
        <v>-1.2197099340629403E-2</v>
      </c>
      <c r="AD19" s="103">
        <f t="shared" si="5"/>
        <v>-7.6785563050553174E-3</v>
      </c>
      <c r="AE19" s="103">
        <f t="shared" si="5"/>
        <v>0.17653733694155416</v>
      </c>
      <c r="AF19" s="103">
        <f t="shared" si="5"/>
        <v>-0.16433173785105748</v>
      </c>
      <c r="AG19" s="103">
        <f t="shared" si="5"/>
        <v>0.19454864777155523</v>
      </c>
      <c r="AH19" s="103">
        <f t="shared" si="5"/>
        <v>0.10934076405480986</v>
      </c>
      <c r="AI19" s="103">
        <f t="shared" si="5"/>
        <v>-2.2321292431557116E-2</v>
      </c>
      <c r="AJ19" s="103">
        <f t="shared" si="5"/>
        <v>-0.19967133397830095</v>
      </c>
      <c r="AK19" s="103">
        <f t="shared" si="5"/>
        <v>0.27754294990712092</v>
      </c>
      <c r="AL19" s="103">
        <f t="shared" si="5"/>
        <v>-1.2066583393183228E-3</v>
      </c>
      <c r="AM19" s="103">
        <f t="shared" si="5"/>
        <v>-0.3540789500413718</v>
      </c>
      <c r="AN19" s="103">
        <f t="shared" si="5"/>
        <v>0.47937113023153688</v>
      </c>
      <c r="AO19" s="103">
        <f t="shared" ref="AO19:AQ27" si="13">+U19/T19-1</f>
        <v>9.3215432879489857E-3</v>
      </c>
      <c r="AP19" s="103">
        <f t="shared" si="13"/>
        <v>-0.12526218395536703</v>
      </c>
      <c r="AQ19" s="103">
        <f t="shared" si="13"/>
        <v>8.5987605551929081E-2</v>
      </c>
    </row>
    <row r="20" spans="2:43">
      <c r="B20" s="35" t="s">
        <v>48</v>
      </c>
      <c r="C20" s="2">
        <v>0</v>
      </c>
      <c r="D20" s="2">
        <v>1983.14105776</v>
      </c>
      <c r="E20" s="2">
        <v>2405.44089622</v>
      </c>
      <c r="F20" s="2">
        <v>1659.5044804599997</v>
      </c>
      <c r="G20" s="2">
        <v>1615.9170230299999</v>
      </c>
      <c r="H20" s="2">
        <v>1523.9015527200002</v>
      </c>
      <c r="I20" s="2">
        <v>1511.9952264100002</v>
      </c>
      <c r="J20" s="2">
        <v>1175.8843039600001</v>
      </c>
      <c r="K20" s="2">
        <v>1307.8214329</v>
      </c>
      <c r="L20" s="2">
        <v>1092.2108562400001</v>
      </c>
      <c r="M20" s="2">
        <v>1319.1825176</v>
      </c>
      <c r="N20" s="2">
        <v>1524.69226321</v>
      </c>
      <c r="O20" s="2">
        <v>1511.2990682</v>
      </c>
      <c r="P20" s="2">
        <v>1272.1213030200001</v>
      </c>
      <c r="Q20" s="2">
        <v>1554.8729012000001</v>
      </c>
      <c r="R20" s="2">
        <v>1652.44051132</v>
      </c>
      <c r="S20" s="2">
        <v>1119.54115585</v>
      </c>
      <c r="T20" s="2">
        <v>1442.0779611</v>
      </c>
      <c r="U20" s="2">
        <v>1350.3372161100001</v>
      </c>
      <c r="V20" s="2">
        <v>1162.9208831999999</v>
      </c>
      <c r="W20" s="2">
        <v>1215.6598546299999</v>
      </c>
      <c r="X20" s="107" t="e">
        <f t="shared" si="8"/>
        <v>#DIV/0!</v>
      </c>
      <c r="Y20" s="103">
        <f t="shared" si="5"/>
        <v>0.21294493238771262</v>
      </c>
      <c r="Z20" s="103">
        <f t="shared" si="5"/>
        <v>-0.31010382210271414</v>
      </c>
      <c r="AA20" s="103">
        <f t="shared" si="5"/>
        <v>-2.62653448322826E-2</v>
      </c>
      <c r="AB20" s="103">
        <f t="shared" si="5"/>
        <v>-5.6943190150606782E-2</v>
      </c>
      <c r="AC20" s="103">
        <f t="shared" si="5"/>
        <v>-7.8130547795219885E-3</v>
      </c>
      <c r="AD20" s="103">
        <f t="shared" si="5"/>
        <v>-0.22229628545061197</v>
      </c>
      <c r="AE20" s="103">
        <f t="shared" si="5"/>
        <v>0.11220247476361234</v>
      </c>
      <c r="AF20" s="103">
        <f t="shared" si="5"/>
        <v>-0.16486239729371843</v>
      </c>
      <c r="AG20" s="103">
        <f t="shared" si="5"/>
        <v>0.20780938045366359</v>
      </c>
      <c r="AH20" s="103">
        <f t="shared" si="5"/>
        <v>0.15578568004667437</v>
      </c>
      <c r="AI20" s="103">
        <f t="shared" si="5"/>
        <v>-8.7841955607506073E-3</v>
      </c>
      <c r="AJ20" s="103">
        <f t="shared" si="5"/>
        <v>-0.15825971855118481</v>
      </c>
      <c r="AK20" s="103">
        <f t="shared" si="5"/>
        <v>0.22226779593168611</v>
      </c>
      <c r="AL20" s="103">
        <f t="shared" si="5"/>
        <v>6.2749572678705956E-2</v>
      </c>
      <c r="AM20" s="103">
        <f t="shared" si="5"/>
        <v>-0.32249230869092538</v>
      </c>
      <c r="AN20" s="103">
        <f t="shared" si="5"/>
        <v>0.28809731876727418</v>
      </c>
      <c r="AO20" s="103">
        <f t="shared" si="13"/>
        <v>-6.3617049469379072E-2</v>
      </c>
      <c r="AP20" s="103">
        <f t="shared" si="13"/>
        <v>-0.13879224439203564</v>
      </c>
      <c r="AQ20" s="103">
        <f t="shared" si="13"/>
        <v>4.5350438015076877E-2</v>
      </c>
    </row>
    <row r="21" spans="2:43">
      <c r="B21" s="35" t="s">
        <v>83</v>
      </c>
      <c r="C21" s="2"/>
      <c r="D21" s="2"/>
      <c r="E21" s="2"/>
      <c r="F21" s="2"/>
      <c r="G21" s="2"/>
      <c r="H21" s="2"/>
      <c r="I21" s="2"/>
      <c r="J21" s="2"/>
      <c r="K21" s="2">
        <v>659.96126541000001</v>
      </c>
      <c r="L21" s="2">
        <v>656.76586199999997</v>
      </c>
      <c r="M21" s="2">
        <v>684.27135499999997</v>
      </c>
      <c r="N21" s="2">
        <v>723.04519225000001</v>
      </c>
      <c r="O21" s="2">
        <v>750.48964050000018</v>
      </c>
      <c r="P21" s="2">
        <v>738.88166950000004</v>
      </c>
      <c r="Q21" s="2">
        <v>605.02283925000006</v>
      </c>
      <c r="R21" s="2">
        <v>829.2202115</v>
      </c>
      <c r="S21" s="2">
        <v>580.25132825000003</v>
      </c>
      <c r="T21" s="2">
        <v>734.22765900000002</v>
      </c>
      <c r="U21" s="2">
        <v>675.18546600000002</v>
      </c>
      <c r="V21" s="2">
        <v>679.16166049999993</v>
      </c>
      <c r="W21" s="2">
        <v>708.90918975</v>
      </c>
      <c r="X21" s="104" t="e">
        <f t="shared" si="8"/>
        <v>#DIV/0!</v>
      </c>
      <c r="Y21" s="104" t="e">
        <f t="shared" si="5"/>
        <v>#DIV/0!</v>
      </c>
      <c r="Z21" s="104" t="e">
        <f t="shared" si="5"/>
        <v>#DIV/0!</v>
      </c>
      <c r="AA21" s="104" t="e">
        <f t="shared" si="5"/>
        <v>#DIV/0!</v>
      </c>
      <c r="AB21" s="104" t="e">
        <f t="shared" si="5"/>
        <v>#DIV/0!</v>
      </c>
      <c r="AC21" s="104" t="e">
        <f t="shared" si="5"/>
        <v>#DIV/0!</v>
      </c>
      <c r="AD21" s="104" t="e">
        <f t="shared" si="5"/>
        <v>#DIV/0!</v>
      </c>
      <c r="AE21" s="107" t="e">
        <f t="shared" si="5"/>
        <v>#DIV/0!</v>
      </c>
      <c r="AF21" s="103">
        <f t="shared" si="5"/>
        <v>-4.8418044777445157E-3</v>
      </c>
      <c r="AG21" s="103">
        <f t="shared" si="5"/>
        <v>4.1880211185519878E-2</v>
      </c>
      <c r="AH21" s="103">
        <f t="shared" si="5"/>
        <v>5.6664416779510063E-2</v>
      </c>
      <c r="AI21" s="103">
        <f t="shared" si="5"/>
        <v>3.7956753663761278E-2</v>
      </c>
      <c r="AJ21" s="103">
        <f t="shared" si="5"/>
        <v>-1.5467196845337594E-2</v>
      </c>
      <c r="AK21" s="103">
        <f t="shared" si="5"/>
        <v>-0.18116409673633127</v>
      </c>
      <c r="AL21" s="103">
        <f t="shared" si="5"/>
        <v>0.37056018005521918</v>
      </c>
      <c r="AM21" s="103">
        <f t="shared" si="5"/>
        <v>-0.30024459099909429</v>
      </c>
      <c r="AN21" s="103">
        <f t="shared" si="5"/>
        <v>0.26536144469394407</v>
      </c>
      <c r="AO21" s="103">
        <f t="shared" si="13"/>
        <v>-8.0414013659488082E-2</v>
      </c>
      <c r="AP21" s="103">
        <f t="shared" si="13"/>
        <v>5.8890404195992563E-3</v>
      </c>
      <c r="AQ21" s="103">
        <f t="shared" si="13"/>
        <v>4.3800365921862872E-2</v>
      </c>
    </row>
    <row r="22" spans="2:43" ht="13.5" customHeight="1">
      <c r="B22" s="34" t="s">
        <v>36</v>
      </c>
      <c r="C22" s="2">
        <v>238282.2153412</v>
      </c>
      <c r="D22" s="2">
        <v>307396.39050862001</v>
      </c>
      <c r="E22" s="2">
        <v>385317.57454639004</v>
      </c>
      <c r="F22" s="2">
        <f t="shared" ref="F22:O22" si="14">+F23+F24</f>
        <v>338039.49616880994</v>
      </c>
      <c r="G22" s="2">
        <f t="shared" si="14"/>
        <v>383643.82890437002</v>
      </c>
      <c r="H22" s="2">
        <f t="shared" si="14"/>
        <v>408176.39306555997</v>
      </c>
      <c r="I22" s="2">
        <f t="shared" si="14"/>
        <v>471307.94925662002</v>
      </c>
      <c r="J22" s="2">
        <f t="shared" si="14"/>
        <v>485556.20105929003</v>
      </c>
      <c r="K22" s="2">
        <f t="shared" si="14"/>
        <v>531840.33868803992</v>
      </c>
      <c r="L22" s="2">
        <f t="shared" si="14"/>
        <v>539145.29995265999</v>
      </c>
      <c r="M22" s="2">
        <f t="shared" si="14"/>
        <v>584155.06879838998</v>
      </c>
      <c r="N22" s="2">
        <f t="shared" si="14"/>
        <v>610155.3688501101</v>
      </c>
      <c r="O22" s="2">
        <f t="shared" si="14"/>
        <v>621280.3686120701</v>
      </c>
      <c r="P22" s="2">
        <f t="shared" ref="P22:W22" si="15">+P23+P24</f>
        <v>633243.30440138001</v>
      </c>
      <c r="Q22" s="2">
        <f t="shared" si="15"/>
        <v>624307.03509919997</v>
      </c>
      <c r="R22" s="2">
        <f t="shared" si="15"/>
        <v>806876.67367091984</v>
      </c>
      <c r="S22" s="2">
        <f t="shared" si="15"/>
        <v>874772.50395683991</v>
      </c>
      <c r="T22" s="2">
        <f t="shared" si="15"/>
        <v>973261.15513997013</v>
      </c>
      <c r="U22" s="2">
        <f t="shared" si="15"/>
        <v>1008851.4181288199</v>
      </c>
      <c r="V22" s="2">
        <f t="shared" si="15"/>
        <v>1044115.90501798</v>
      </c>
      <c r="W22" s="2">
        <f t="shared" si="15"/>
        <v>1004376.02448106</v>
      </c>
      <c r="X22" s="103">
        <f t="shared" si="8"/>
        <v>0.29005175677275941</v>
      </c>
      <c r="Y22" s="103">
        <f t="shared" si="5"/>
        <v>0.25348763500066207</v>
      </c>
      <c r="Z22" s="103">
        <f t="shared" si="5"/>
        <v>-0.12269899298841369</v>
      </c>
      <c r="AA22" s="103">
        <f t="shared" si="5"/>
        <v>0.13490829696653628</v>
      </c>
      <c r="AB22" s="103">
        <f t="shared" si="5"/>
        <v>6.3946197782592584E-2</v>
      </c>
      <c r="AC22" s="103">
        <f t="shared" si="5"/>
        <v>0.15466733810085898</v>
      </c>
      <c r="AD22" s="103">
        <f t="shared" si="5"/>
        <v>3.0231299567816228E-2</v>
      </c>
      <c r="AE22" s="103">
        <f t="shared" si="5"/>
        <v>9.5321895854231453E-2</v>
      </c>
      <c r="AF22" s="103">
        <f t="shared" si="5"/>
        <v>1.3735252355321803E-2</v>
      </c>
      <c r="AG22" s="103">
        <f t="shared" si="5"/>
        <v>8.3483559718840361E-2</v>
      </c>
      <c r="AH22" s="103">
        <f t="shared" si="5"/>
        <v>4.4509243248034958E-2</v>
      </c>
      <c r="AI22" s="103">
        <f t="shared" si="5"/>
        <v>1.8233060511990695E-2</v>
      </c>
      <c r="AJ22" s="103">
        <f t="shared" si="5"/>
        <v>1.9255293412915764E-2</v>
      </c>
      <c r="AK22" s="103">
        <f t="shared" si="5"/>
        <v>-1.4111904918801654E-2</v>
      </c>
      <c r="AL22" s="103">
        <f>+R22/Q22-1</f>
        <v>0.29243565794947401</v>
      </c>
      <c r="AM22" s="103">
        <f>+S22/R22-1</f>
        <v>8.414647802002384E-2</v>
      </c>
      <c r="AN22" s="103">
        <f>+T22/S22-1</f>
        <v>0.11258773079587958</v>
      </c>
      <c r="AO22" s="103">
        <f t="shared" si="13"/>
        <v>3.6568050415750175E-2</v>
      </c>
      <c r="AP22" s="103">
        <f t="shared" si="13"/>
        <v>3.4955084817710258E-2</v>
      </c>
      <c r="AQ22" s="103">
        <f t="shared" si="13"/>
        <v>-3.8060794156981714E-2</v>
      </c>
    </row>
    <row r="23" spans="2:43">
      <c r="B23" s="35" t="s">
        <v>37</v>
      </c>
      <c r="C23" s="2">
        <v>122213.78032347</v>
      </c>
      <c r="D23" s="2">
        <v>155225.41816577001</v>
      </c>
      <c r="E23" s="2">
        <v>189094.82320073002</v>
      </c>
      <c r="F23" s="2">
        <v>192788.00632864999</v>
      </c>
      <c r="G23" s="80">
        <v>208975.78347090003</v>
      </c>
      <c r="H23" s="85">
        <v>222478.34487918997</v>
      </c>
      <c r="I23" s="80">
        <v>252084.61404390002</v>
      </c>
      <c r="J23" s="80">
        <v>266924.98338946002</v>
      </c>
      <c r="K23" s="80">
        <v>280225.62659385998</v>
      </c>
      <c r="L23" s="80">
        <v>292829.21892734</v>
      </c>
      <c r="M23" s="80">
        <v>321418.37895590003</v>
      </c>
      <c r="N23" s="80">
        <v>329845.73489702004</v>
      </c>
      <c r="O23" s="80">
        <v>336543.78949165001</v>
      </c>
      <c r="P23" s="80">
        <v>354647.27781169</v>
      </c>
      <c r="Q23" s="80">
        <v>412197.48331866995</v>
      </c>
      <c r="R23" s="80">
        <v>498489.59413942992</v>
      </c>
      <c r="S23" s="80">
        <v>560533.49040325999</v>
      </c>
      <c r="T23" s="80">
        <v>623762.79447479011</v>
      </c>
      <c r="U23" s="80">
        <v>642256.01209375996</v>
      </c>
      <c r="V23" s="80">
        <v>665259.19314481004</v>
      </c>
      <c r="W23" s="80">
        <v>643826.68737374002</v>
      </c>
      <c r="X23" s="103">
        <f t="shared" si="8"/>
        <v>0.27011387549690613</v>
      </c>
      <c r="Y23" s="103">
        <f t="shared" si="5"/>
        <v>0.21819496726231935</v>
      </c>
      <c r="Z23" s="103">
        <f t="shared" si="5"/>
        <v>1.9530852645286645E-2</v>
      </c>
      <c r="AA23" s="103">
        <f t="shared" si="5"/>
        <v>8.3966723088854334E-2</v>
      </c>
      <c r="AB23" s="103">
        <f t="shared" si="5"/>
        <v>6.4613043597801179E-2</v>
      </c>
      <c r="AC23" s="103">
        <f t="shared" si="5"/>
        <v>0.13307483557910693</v>
      </c>
      <c r="AD23" s="103">
        <f t="shared" si="5"/>
        <v>5.8870587567774191E-2</v>
      </c>
      <c r="AE23" s="103">
        <f t="shared" si="5"/>
        <v>4.9829143137918752E-2</v>
      </c>
      <c r="AF23" s="103">
        <f t="shared" si="5"/>
        <v>4.4976587211799979E-2</v>
      </c>
      <c r="AG23" s="103">
        <f t="shared" si="5"/>
        <v>9.7630831148902031E-2</v>
      </c>
      <c r="AH23" s="103">
        <f t="shared" si="5"/>
        <v>2.6219272116596359E-2</v>
      </c>
      <c r="AI23" s="103">
        <f t="shared" si="5"/>
        <v>2.0306627874758343E-2</v>
      </c>
      <c r="AJ23" s="103">
        <f t="shared" si="5"/>
        <v>5.3792370815653356E-2</v>
      </c>
      <c r="AK23" s="103">
        <f t="shared" si="5"/>
        <v>0.16227448822415003</v>
      </c>
      <c r="AL23" s="103">
        <f t="shared" si="5"/>
        <v>0.2093465251801343</v>
      </c>
      <c r="AM23" s="103">
        <f t="shared" si="5"/>
        <v>0.12446377415548637</v>
      </c>
      <c r="AN23" s="103">
        <f t="shared" si="5"/>
        <v>0.11280200943219576</v>
      </c>
      <c r="AO23" s="103">
        <f t="shared" si="13"/>
        <v>2.9647836938625272E-2</v>
      </c>
      <c r="AP23" s="103">
        <f t="shared" si="13"/>
        <v>3.5816217548605866E-2</v>
      </c>
      <c r="AQ23" s="103">
        <f t="shared" si="13"/>
        <v>-3.221677504335474E-2</v>
      </c>
    </row>
    <row r="24" spans="2:43">
      <c r="B24" s="35" t="s">
        <v>38</v>
      </c>
      <c r="C24" s="2">
        <v>116068.43501773001</v>
      </c>
      <c r="D24" s="2">
        <v>152170.97234285</v>
      </c>
      <c r="E24" s="2">
        <v>196222.75134566001</v>
      </c>
      <c r="F24" s="2">
        <v>145251.48984015998</v>
      </c>
      <c r="G24" s="80">
        <v>174668.04543346999</v>
      </c>
      <c r="H24" s="85">
        <v>185698.04818637</v>
      </c>
      <c r="I24" s="80">
        <v>219223.33521272001</v>
      </c>
      <c r="J24" s="80">
        <v>218631.21766983002</v>
      </c>
      <c r="K24" s="80">
        <v>251614.71209417999</v>
      </c>
      <c r="L24" s="80">
        <v>246316.08102532002</v>
      </c>
      <c r="M24" s="80">
        <v>262736.68984249001</v>
      </c>
      <c r="N24" s="80">
        <v>280309.63395309</v>
      </c>
      <c r="O24" s="80">
        <v>284736.57912042004</v>
      </c>
      <c r="P24" s="80">
        <v>278596.02658969001</v>
      </c>
      <c r="Q24" s="80">
        <v>212109.55178053002</v>
      </c>
      <c r="R24" s="80">
        <v>308387.07953148999</v>
      </c>
      <c r="S24" s="80">
        <v>314239.01355357998</v>
      </c>
      <c r="T24" s="80">
        <v>349498.36066518002</v>
      </c>
      <c r="U24" s="80">
        <v>366595.40603505995</v>
      </c>
      <c r="V24" s="80">
        <v>378856.71187316999</v>
      </c>
      <c r="W24" s="80">
        <v>360549.33710731997</v>
      </c>
      <c r="X24" s="103">
        <f t="shared" si="8"/>
        <v>0.31104526669636878</v>
      </c>
      <c r="Y24" s="103">
        <f t="shared" si="5"/>
        <v>0.28948871341610949</v>
      </c>
      <c r="Z24" s="103">
        <f t="shared" si="5"/>
        <v>-0.25976224039235196</v>
      </c>
      <c r="AA24" s="103">
        <f t="shared" si="5"/>
        <v>0.20252154126392141</v>
      </c>
      <c r="AB24" s="103">
        <f t="shared" si="5"/>
        <v>6.3148372248210016E-2</v>
      </c>
      <c r="AC24" s="103">
        <f t="shared" si="5"/>
        <v>0.18053656112046701</v>
      </c>
      <c r="AD24" s="103">
        <f t="shared" si="5"/>
        <v>-2.7009786267297997E-3</v>
      </c>
      <c r="AE24" s="103">
        <f t="shared" si="5"/>
        <v>0.15086360848138636</v>
      </c>
      <c r="AF24" s="103">
        <f t="shared" si="5"/>
        <v>-2.1058510548765841E-2</v>
      </c>
      <c r="AG24" s="103">
        <f t="shared" si="5"/>
        <v>6.6664785948271188E-2</v>
      </c>
      <c r="AH24" s="103">
        <f t="shared" si="5"/>
        <v>6.6884241105172437E-2</v>
      </c>
      <c r="AI24" s="103">
        <f t="shared" si="5"/>
        <v>1.5793053934317847E-2</v>
      </c>
      <c r="AJ24" s="103">
        <f t="shared" si="5"/>
        <v>-2.1565731209171712E-2</v>
      </c>
      <c r="AK24" s="103">
        <f t="shared" si="5"/>
        <v>-0.23864832396579649</v>
      </c>
      <c r="AL24" s="103">
        <f t="shared" si="5"/>
        <v>0.45390472490639389</v>
      </c>
      <c r="AM24" s="103">
        <f t="shared" si="5"/>
        <v>1.8975937743502147E-2</v>
      </c>
      <c r="AN24" s="103">
        <f t="shared" si="5"/>
        <v>0.11220550469806034</v>
      </c>
      <c r="AO24" s="103">
        <f t="shared" si="13"/>
        <v>4.8918814203706473E-2</v>
      </c>
      <c r="AP24" s="103">
        <f t="shared" si="13"/>
        <v>3.3446425231355548E-2</v>
      </c>
      <c r="AQ24" s="103">
        <f t="shared" si="13"/>
        <v>-4.8322688214584852E-2</v>
      </c>
    </row>
    <row r="25" spans="2:43">
      <c r="B25" s="34" t="s">
        <v>39</v>
      </c>
      <c r="C25" s="2">
        <v>42369.695439559997</v>
      </c>
      <c r="D25" s="2">
        <v>58745.603098959997</v>
      </c>
      <c r="E25" s="2">
        <v>74231.160603340002</v>
      </c>
      <c r="F25" s="2">
        <f t="shared" ref="F25:O25" si="16">+F26+F27</f>
        <v>46634.868785019993</v>
      </c>
      <c r="G25" s="2">
        <f t="shared" si="16"/>
        <v>57699.038854739993</v>
      </c>
      <c r="H25" s="2">
        <f t="shared" si="16"/>
        <v>69575.701954579999</v>
      </c>
      <c r="I25" s="2">
        <f t="shared" si="16"/>
        <v>83978.23540849</v>
      </c>
      <c r="J25" s="2">
        <f t="shared" si="16"/>
        <v>75554.438369009993</v>
      </c>
      <c r="K25" s="2">
        <f t="shared" si="16"/>
        <v>82804.393485109991</v>
      </c>
      <c r="L25" s="2">
        <f t="shared" si="16"/>
        <v>89944.888417790004</v>
      </c>
      <c r="M25" s="2">
        <f t="shared" si="16"/>
        <v>108435.25460880001</v>
      </c>
      <c r="N25" s="2">
        <f t="shared" si="16"/>
        <v>108394.43716496001</v>
      </c>
      <c r="O25" s="2">
        <f t="shared" si="16"/>
        <v>99051.046794299982</v>
      </c>
      <c r="P25" s="2">
        <f t="shared" ref="P25:W25" si="17">+P26+P27</f>
        <v>84601.032048990004</v>
      </c>
      <c r="Q25" s="2">
        <f t="shared" si="17"/>
        <v>56210.889735320001</v>
      </c>
      <c r="R25" s="2">
        <f t="shared" si="17"/>
        <v>76709.310498029998</v>
      </c>
      <c r="S25" s="2">
        <f t="shared" si="17"/>
        <v>75423.190090230011</v>
      </c>
      <c r="T25" s="2">
        <f t="shared" si="17"/>
        <v>110009.20760902</v>
      </c>
      <c r="U25" s="2">
        <f t="shared" si="17"/>
        <v>133970.2318833</v>
      </c>
      <c r="V25" s="2">
        <f t="shared" si="17"/>
        <v>123094.02261096</v>
      </c>
      <c r="W25" s="2">
        <f t="shared" si="17"/>
        <v>113185.01792832001</v>
      </c>
      <c r="X25" s="103">
        <f t="shared" si="8"/>
        <v>0.38650048081558874</v>
      </c>
      <c r="Y25" s="103">
        <f t="shared" si="5"/>
        <v>0.26360368585022065</v>
      </c>
      <c r="Z25" s="103">
        <f t="shared" si="5"/>
        <v>-0.37176155665654953</v>
      </c>
      <c r="AA25" s="103">
        <f t="shared" si="5"/>
        <v>0.23725101748917155</v>
      </c>
      <c r="AB25" s="103">
        <f t="shared" si="5"/>
        <v>0.20583814454414151</v>
      </c>
      <c r="AC25" s="103">
        <f t="shared" si="5"/>
        <v>0.20700521948470141</v>
      </c>
      <c r="AD25" s="103">
        <f t="shared" si="5"/>
        <v>-0.10030928845437947</v>
      </c>
      <c r="AE25" s="103">
        <f t="shared" si="5"/>
        <v>9.5956707145264053E-2</v>
      </c>
      <c r="AF25" s="103">
        <f t="shared" si="5"/>
        <v>8.6233285845684238E-2</v>
      </c>
      <c r="AG25" s="103">
        <f t="shared" si="5"/>
        <v>0.20557439690316892</v>
      </c>
      <c r="AH25" s="103">
        <f t="shared" si="5"/>
        <v>-3.7642226218081998E-4</v>
      </c>
      <c r="AI25" s="103">
        <f t="shared" si="5"/>
        <v>-8.6198061589090491E-2</v>
      </c>
      <c r="AJ25" s="103">
        <f t="shared" si="5"/>
        <v>-0.14588452331370538</v>
      </c>
      <c r="AK25" s="103">
        <f t="shared" si="5"/>
        <v>-0.33557678465707241</v>
      </c>
      <c r="AL25" s="103">
        <f>+R25/Q25-1</f>
        <v>0.36466992177549273</v>
      </c>
      <c r="AM25" s="103">
        <f>+S25/R25-1</f>
        <v>-1.6766157842508789E-2</v>
      </c>
      <c r="AN25" s="103">
        <f>+T25/S25-1</f>
        <v>0.45855946264556247</v>
      </c>
      <c r="AO25" s="103">
        <f t="shared" si="13"/>
        <v>0.21780926156144198</v>
      </c>
      <c r="AP25" s="103">
        <f t="shared" si="13"/>
        <v>-8.1183775824275273E-2</v>
      </c>
      <c r="AQ25" s="103">
        <f t="shared" si="13"/>
        <v>-8.0499478954859649E-2</v>
      </c>
    </row>
    <row r="26" spans="2:43">
      <c r="B26" s="35" t="s">
        <v>37</v>
      </c>
      <c r="C26" s="2">
        <v>6980.6226979000003</v>
      </c>
      <c r="D26" s="2">
        <v>8194.3061675099998</v>
      </c>
      <c r="E26" s="2">
        <v>9730.1372082199996</v>
      </c>
      <c r="F26" s="2">
        <v>10398.20918657</v>
      </c>
      <c r="G26" s="2">
        <v>10700.06999978</v>
      </c>
      <c r="H26" s="2">
        <v>11345.528292999999</v>
      </c>
      <c r="I26" s="2">
        <v>14994.966014439999</v>
      </c>
      <c r="J26" s="2">
        <v>10017.41618919</v>
      </c>
      <c r="K26" s="2">
        <v>11252.69242594</v>
      </c>
      <c r="L26" s="2">
        <v>11312.110207440001</v>
      </c>
      <c r="M26" s="2">
        <v>11110.208166589999</v>
      </c>
      <c r="N26" s="2">
        <v>11080.372610370001</v>
      </c>
      <c r="O26" s="2">
        <v>12815.142807190001</v>
      </c>
      <c r="P26" s="2">
        <v>4168.6223842500003</v>
      </c>
      <c r="Q26" s="2">
        <v>2884.3870099999999</v>
      </c>
      <c r="R26" s="2">
        <v>4618.2048139999997</v>
      </c>
      <c r="S26" s="2">
        <v>5212.7917689999995</v>
      </c>
      <c r="T26" s="2">
        <v>5049.0602049999998</v>
      </c>
      <c r="U26" s="2">
        <v>5751.6418599999997</v>
      </c>
      <c r="V26" s="2">
        <v>5148.8885730000002</v>
      </c>
      <c r="W26" s="2">
        <v>4031.7221329999998</v>
      </c>
      <c r="X26" s="103">
        <f t="shared" si="8"/>
        <v>0.17386464247310141</v>
      </c>
      <c r="Y26" s="103">
        <f t="shared" si="5"/>
        <v>0.18742661176116293</v>
      </c>
      <c r="Z26" s="103">
        <f t="shared" si="5"/>
        <v>6.8660077864638458E-2</v>
      </c>
      <c r="AA26" s="103">
        <f t="shared" si="5"/>
        <v>2.903007698670601E-2</v>
      </c>
      <c r="AB26" s="103">
        <f t="shared" si="5"/>
        <v>6.0322810339864086E-2</v>
      </c>
      <c r="AC26" s="103">
        <f t="shared" si="5"/>
        <v>0.3216630929113844</v>
      </c>
      <c r="AD26" s="103">
        <f t="shared" si="5"/>
        <v>-0.33194805646486092</v>
      </c>
      <c r="AE26" s="103">
        <f t="shared" si="5"/>
        <v>0.12331285966565031</v>
      </c>
      <c r="AF26" s="103">
        <f t="shared" si="5"/>
        <v>5.2803168567043812E-3</v>
      </c>
      <c r="AG26" s="103">
        <f t="shared" si="5"/>
        <v>-1.7848309214421376E-2</v>
      </c>
      <c r="AH26" s="103">
        <f t="shared" si="5"/>
        <v>-2.6854182903356394E-3</v>
      </c>
      <c r="AI26" s="103">
        <f t="shared" si="5"/>
        <v>0.15656244224101701</v>
      </c>
      <c r="AJ26" s="103">
        <f t="shared" si="5"/>
        <v>-0.67471120322504929</v>
      </c>
      <c r="AK26" s="103">
        <f t="shared" si="5"/>
        <v>-0.30807188943333719</v>
      </c>
      <c r="AL26" s="103">
        <f t="shared" si="5"/>
        <v>0.60110442807742359</v>
      </c>
      <c r="AM26" s="103">
        <f t="shared" si="5"/>
        <v>0.12874850270770155</v>
      </c>
      <c r="AN26" s="103">
        <f t="shared" si="5"/>
        <v>-3.1409573076311315E-2</v>
      </c>
      <c r="AO26" s="103">
        <f t="shared" si="13"/>
        <v>0.13915097591909187</v>
      </c>
      <c r="AP26" s="103">
        <f t="shared" si="13"/>
        <v>-0.10479673485789665</v>
      </c>
      <c r="AQ26" s="103">
        <f t="shared" si="13"/>
        <v>-0.21697234736409987</v>
      </c>
    </row>
    <row r="27" spans="2:43">
      <c r="B27" s="35" t="s">
        <v>38</v>
      </c>
      <c r="C27" s="2">
        <v>35389.072741659998</v>
      </c>
      <c r="D27" s="2">
        <v>50551.296931449993</v>
      </c>
      <c r="E27" s="2">
        <v>64501.023395120006</v>
      </c>
      <c r="F27" s="2">
        <v>36236.659598449995</v>
      </c>
      <c r="G27" s="2">
        <v>46998.968854959996</v>
      </c>
      <c r="H27" s="2">
        <v>58230.173661580004</v>
      </c>
      <c r="I27" s="2">
        <v>68983.269394050003</v>
      </c>
      <c r="J27" s="2">
        <v>65537.022179819993</v>
      </c>
      <c r="K27" s="2">
        <v>71551.701059169995</v>
      </c>
      <c r="L27" s="2">
        <v>78632.778210350007</v>
      </c>
      <c r="M27" s="2">
        <v>97325.046442210005</v>
      </c>
      <c r="N27" s="2">
        <v>97314.064554590004</v>
      </c>
      <c r="O27" s="2">
        <v>86235.903987109981</v>
      </c>
      <c r="P27" s="2">
        <v>80432.40966474</v>
      </c>
      <c r="Q27" s="2">
        <v>53326.502725320002</v>
      </c>
      <c r="R27" s="2">
        <v>72091.105684030001</v>
      </c>
      <c r="S27" s="2">
        <v>70210.398321230008</v>
      </c>
      <c r="T27" s="2">
        <v>104960.14740402</v>
      </c>
      <c r="U27" s="2">
        <v>128218.59002330001</v>
      </c>
      <c r="V27" s="2">
        <v>117945.13403796</v>
      </c>
      <c r="W27" s="2">
        <v>109153.29579532001</v>
      </c>
      <c r="X27" s="103">
        <f t="shared" si="8"/>
        <v>0.4284436696172893</v>
      </c>
      <c r="Y27" s="103">
        <f t="shared" si="5"/>
        <v>0.27595190055334329</v>
      </c>
      <c r="Z27" s="103">
        <f t="shared" si="5"/>
        <v>-0.43820023790209239</v>
      </c>
      <c r="AA27" s="103">
        <f t="shared" si="5"/>
        <v>0.29700058934158369</v>
      </c>
      <c r="AB27" s="103">
        <f t="shared" si="5"/>
        <v>0.23896704715543415</v>
      </c>
      <c r="AC27" s="103">
        <f t="shared" si="5"/>
        <v>0.18466535571342191</v>
      </c>
      <c r="AD27" s="103">
        <f t="shared" si="5"/>
        <v>-4.9957725177450896E-2</v>
      </c>
      <c r="AE27" s="103">
        <f t="shared" si="5"/>
        <v>9.1775284858792716E-2</v>
      </c>
      <c r="AF27" s="103">
        <f t="shared" si="5"/>
        <v>9.8964483672083325E-2</v>
      </c>
      <c r="AG27" s="103">
        <f t="shared" si="5"/>
        <v>0.23771598380838643</v>
      </c>
      <c r="AH27" s="103">
        <f t="shared" si="5"/>
        <v>-1.128372194152405E-4</v>
      </c>
      <c r="AI27" s="103">
        <f t="shared" si="5"/>
        <v>-0.11383925456392319</v>
      </c>
      <c r="AJ27" s="103">
        <f t="shared" si="5"/>
        <v>-6.7297889325047877E-2</v>
      </c>
      <c r="AK27" s="103">
        <f t="shared" si="5"/>
        <v>-0.33700229860579078</v>
      </c>
      <c r="AL27" s="103">
        <f t="shared" si="5"/>
        <v>0.35188137229558758</v>
      </c>
      <c r="AM27" s="103">
        <f t="shared" si="5"/>
        <v>-2.6087925063086104E-2</v>
      </c>
      <c r="AN27" s="103">
        <f t="shared" si="5"/>
        <v>0.49493735847788889</v>
      </c>
      <c r="AO27" s="103">
        <f t="shared" si="13"/>
        <v>0.22159308265595312</v>
      </c>
      <c r="AP27" s="103">
        <f t="shared" si="13"/>
        <v>-8.0124543433780615E-2</v>
      </c>
      <c r="AQ27" s="103">
        <f t="shared" si="13"/>
        <v>-7.4541763120218096E-2</v>
      </c>
    </row>
    <row r="28" spans="2:43">
      <c r="B28" s="34" t="s">
        <v>42</v>
      </c>
      <c r="C28" s="2">
        <v>144273.44318067</v>
      </c>
      <c r="D28" s="2">
        <v>173880.69839002</v>
      </c>
      <c r="E28" s="2">
        <v>203294.87176577002</v>
      </c>
      <c r="F28" s="2">
        <v>212263.4</v>
      </c>
      <c r="G28" s="2">
        <v>222007.15977671999</v>
      </c>
      <c r="H28" s="2">
        <v>214068.47390488998</v>
      </c>
      <c r="I28" s="2">
        <v>236148.88434755997</v>
      </c>
      <c r="J28" s="2">
        <v>305963.75099421002</v>
      </c>
      <c r="K28" s="2">
        <v>323240.21650967997</v>
      </c>
      <c r="L28" s="2">
        <v>345006.40255429997</v>
      </c>
      <c r="M28" s="2">
        <v>335177.8941264</v>
      </c>
      <c r="N28" s="2">
        <v>360071.33848510007</v>
      </c>
      <c r="O28" s="2">
        <v>375845.54370092001</v>
      </c>
      <c r="P28" s="2">
        <v>395186.91377360001</v>
      </c>
      <c r="Q28" s="2">
        <v>351459.90007438994</v>
      </c>
      <c r="R28" s="2">
        <v>420314.47211956</v>
      </c>
      <c r="S28" s="2">
        <v>433335.54572532006</v>
      </c>
      <c r="T28" s="2">
        <v>521063.06452840997</v>
      </c>
      <c r="U28" s="2">
        <v>530762.95489108027</v>
      </c>
      <c r="V28" s="2">
        <v>527053.94486554002</v>
      </c>
      <c r="W28" s="2">
        <v>522126.78455457994</v>
      </c>
      <c r="X28" s="103">
        <f t="shared" si="8"/>
        <v>0.20521625156109691</v>
      </c>
      <c r="Y28" s="103">
        <f t="shared" ref="Y28:AQ33" si="18">+E28/D28-1</f>
        <v>0.16916295855778696</v>
      </c>
      <c r="Z28" s="103">
        <f t="shared" si="18"/>
        <v>4.4115860652713446E-2</v>
      </c>
      <c r="AA28" s="103">
        <f t="shared" si="18"/>
        <v>4.5904097346598505E-2</v>
      </c>
      <c r="AB28" s="103">
        <f t="shared" si="18"/>
        <v>-3.5758693007082343E-2</v>
      </c>
      <c r="AC28" s="103">
        <f t="shared" si="18"/>
        <v>0.10314648411274363</v>
      </c>
      <c r="AD28" s="103">
        <f t="shared" si="18"/>
        <v>0.29563919744756317</v>
      </c>
      <c r="AE28" s="103">
        <f t="shared" si="18"/>
        <v>5.6465726607583866E-2</v>
      </c>
      <c r="AF28" s="103">
        <f t="shared" si="18"/>
        <v>6.7337493705608154E-2</v>
      </c>
      <c r="AG28" s="103">
        <f t="shared" si="18"/>
        <v>-2.8487901543662209E-2</v>
      </c>
      <c r="AH28" s="103">
        <f t="shared" si="18"/>
        <v>7.4269350082235563E-2</v>
      </c>
      <c r="AI28" s="103">
        <f t="shared" si="18"/>
        <v>4.3808555499544877E-2</v>
      </c>
      <c r="AJ28" s="103">
        <f t="shared" si="18"/>
        <v>5.1460953566795364E-2</v>
      </c>
      <c r="AK28" s="103">
        <f t="shared" si="18"/>
        <v>-0.11064894148863691</v>
      </c>
      <c r="AL28" s="103">
        <f t="shared" si="18"/>
        <v>0.19591017931376054</v>
      </c>
      <c r="AM28" s="103">
        <f t="shared" si="18"/>
        <v>3.097936062038853E-2</v>
      </c>
      <c r="AN28" s="103">
        <f t="shared" si="18"/>
        <v>0.20244708671717881</v>
      </c>
      <c r="AO28" s="103">
        <f t="shared" si="18"/>
        <v>1.8615578464478588E-2</v>
      </c>
      <c r="AP28" s="103">
        <f t="shared" si="18"/>
        <v>-6.9880725309877656E-3</v>
      </c>
      <c r="AQ28" s="103">
        <f t="shared" si="18"/>
        <v>-9.3484933733245512E-3</v>
      </c>
    </row>
    <row r="29" spans="2:43">
      <c r="B29" s="34" t="s">
        <v>105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10420.84839207</v>
      </c>
      <c r="T29" s="2">
        <v>0</v>
      </c>
      <c r="U29" s="2">
        <v>0</v>
      </c>
      <c r="V29" s="2">
        <v>0</v>
      </c>
      <c r="W29" s="2">
        <v>0</v>
      </c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</row>
    <row r="30" spans="2:43">
      <c r="B30" s="34" t="s">
        <v>106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32484.187833160002</v>
      </c>
      <c r="T30" s="2">
        <v>572.83417672000007</v>
      </c>
      <c r="U30" s="2">
        <v>0</v>
      </c>
      <c r="V30" s="2">
        <v>0</v>
      </c>
      <c r="W30" s="2">
        <v>0</v>
      </c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</row>
    <row r="31" spans="2:43">
      <c r="B31" s="33" t="s">
        <v>43</v>
      </c>
      <c r="C31" s="2">
        <v>11152.30776539</v>
      </c>
      <c r="D31" s="2">
        <v>15723.550613250001</v>
      </c>
      <c r="E31" s="2">
        <v>17363.002363310003</v>
      </c>
      <c r="F31" s="2">
        <v>21615.565882919997</v>
      </c>
      <c r="G31" s="80">
        <v>24468.150552540003</v>
      </c>
      <c r="H31" s="80">
        <v>27284.537282130001</v>
      </c>
      <c r="I31" s="80">
        <v>29372.759757150001</v>
      </c>
      <c r="J31" s="80">
        <v>23467.72789437</v>
      </c>
      <c r="K31" s="80">
        <v>25648.070944409999</v>
      </c>
      <c r="L31" s="80">
        <v>27058.975362470002</v>
      </c>
      <c r="M31" s="80">
        <v>28514.050184079999</v>
      </c>
      <c r="N31" s="80">
        <v>29254.015995379999</v>
      </c>
      <c r="O31" s="80">
        <v>31976.259245469999</v>
      </c>
      <c r="P31" s="80">
        <v>31734.318390499997</v>
      </c>
      <c r="Q31" s="80">
        <v>30690.185643680001</v>
      </c>
      <c r="R31" s="80">
        <v>192243.33113762</v>
      </c>
      <c r="S31" s="80">
        <v>206815.84461120001</v>
      </c>
      <c r="T31" s="80">
        <v>226187.10924471001</v>
      </c>
      <c r="U31" s="80">
        <v>238672.30369908997</v>
      </c>
      <c r="V31" s="80">
        <v>252243.05477111001</v>
      </c>
      <c r="W31" s="80">
        <v>260869.24621777999</v>
      </c>
      <c r="X31" s="103">
        <f t="shared" si="8"/>
        <v>0.40989209982586439</v>
      </c>
      <c r="Y31" s="103">
        <f t="shared" si="18"/>
        <v>0.10426727336499053</v>
      </c>
      <c r="Z31" s="103">
        <f t="shared" si="18"/>
        <v>0.24492097798685686</v>
      </c>
      <c r="AA31" s="103">
        <f t="shared" si="18"/>
        <v>0.13196900257300404</v>
      </c>
      <c r="AB31" s="103">
        <f t="shared" si="18"/>
        <v>0.11510419324674426</v>
      </c>
      <c r="AC31" s="103">
        <f t="shared" si="18"/>
        <v>7.6535015178273991E-2</v>
      </c>
      <c r="AD31" s="103">
        <f t="shared" si="18"/>
        <v>-0.2010376931416048</v>
      </c>
      <c r="AE31" s="103">
        <f t="shared" si="18"/>
        <v>9.2908144318610164E-2</v>
      </c>
      <c r="AF31" s="103">
        <f t="shared" si="18"/>
        <v>5.5010157337681109E-2</v>
      </c>
      <c r="AG31" s="103">
        <f t="shared" si="18"/>
        <v>5.3774202537917981E-2</v>
      </c>
      <c r="AH31" s="103">
        <f t="shared" si="18"/>
        <v>2.5950919161709995E-2</v>
      </c>
      <c r="AI31" s="103">
        <f t="shared" si="18"/>
        <v>9.3055368894305435E-2</v>
      </c>
      <c r="AJ31" s="103">
        <f t="shared" si="18"/>
        <v>-7.5662651191532593E-3</v>
      </c>
      <c r="AK31" s="103">
        <f t="shared" si="18"/>
        <v>-3.2902321517407129E-2</v>
      </c>
      <c r="AL31" s="103">
        <f t="shared" si="18"/>
        <v>5.2640002693241605</v>
      </c>
      <c r="AM31" s="103">
        <f t="shared" si="18"/>
        <v>7.5802439477851591E-2</v>
      </c>
      <c r="AN31" s="103">
        <f t="shared" si="18"/>
        <v>9.3664316048543972E-2</v>
      </c>
      <c r="AO31" s="103">
        <f t="shared" si="18"/>
        <v>5.5198523452865356E-2</v>
      </c>
      <c r="AP31" s="103">
        <f t="shared" si="18"/>
        <v>5.6859345896830948E-2</v>
      </c>
      <c r="AQ31" s="103">
        <f t="shared" si="18"/>
        <v>3.4197934426767551E-2</v>
      </c>
    </row>
    <row r="32" spans="2:43">
      <c r="B32" s="33" t="s">
        <v>16</v>
      </c>
      <c r="C32" s="2">
        <v>4044.1155374700002</v>
      </c>
      <c r="D32" s="2">
        <v>5118.0714586600006</v>
      </c>
      <c r="E32" s="2">
        <v>4217.07678175</v>
      </c>
      <c r="F32" s="2">
        <v>5984.1203350100004</v>
      </c>
      <c r="G32" s="80">
        <v>6080.7227610399987</v>
      </c>
      <c r="H32" s="80">
        <v>6718.0153596200007</v>
      </c>
      <c r="I32" s="80">
        <v>5811.0196813100001</v>
      </c>
      <c r="J32" s="80">
        <v>5524.5560242300007</v>
      </c>
      <c r="K32" s="80">
        <v>7936.9080062200001</v>
      </c>
      <c r="L32" s="80">
        <v>19642.11614016</v>
      </c>
      <c r="M32" s="80">
        <v>18390.559555060001</v>
      </c>
      <c r="N32" s="80">
        <v>47613.092272670001</v>
      </c>
      <c r="O32" s="80">
        <v>34460.508982419997</v>
      </c>
      <c r="P32" s="80">
        <v>46544.192890239996</v>
      </c>
      <c r="Q32" s="80">
        <v>27853.758021690002</v>
      </c>
      <c r="R32" s="80">
        <v>66822.973510520009</v>
      </c>
      <c r="S32" s="80">
        <v>179135.98194567001</v>
      </c>
      <c r="T32" s="80">
        <v>84465.197950849994</v>
      </c>
      <c r="U32" s="80">
        <v>92584.941177579996</v>
      </c>
      <c r="V32" s="80">
        <v>91215.536486090001</v>
      </c>
      <c r="W32" s="80">
        <v>90503.514961359993</v>
      </c>
      <c r="X32" s="103">
        <f t="shared" si="8"/>
        <v>0.26556014813114559</v>
      </c>
      <c r="Y32" s="103">
        <f t="shared" si="18"/>
        <v>-0.1760418321994075</v>
      </c>
      <c r="Z32" s="103">
        <f t="shared" si="18"/>
        <v>0.41902095805016715</v>
      </c>
      <c r="AA32" s="103">
        <f t="shared" si="18"/>
        <v>1.6143128918184813E-2</v>
      </c>
      <c r="AB32" s="103">
        <f t="shared" si="18"/>
        <v>0.10480540284836226</v>
      </c>
      <c r="AC32" s="103">
        <f t="shared" si="18"/>
        <v>-0.1350094677903958</v>
      </c>
      <c r="AD32" s="103">
        <f t="shared" si="18"/>
        <v>-4.9296624824960333E-2</v>
      </c>
      <c r="AE32" s="103">
        <f t="shared" si="18"/>
        <v>0.43665988206287176</v>
      </c>
      <c r="AF32" s="103">
        <f t="shared" si="18"/>
        <v>1.4747818829154697</v>
      </c>
      <c r="AG32" s="103">
        <f t="shared" si="18"/>
        <v>-6.3718011652577733E-2</v>
      </c>
      <c r="AH32" s="103">
        <f t="shared" si="18"/>
        <v>1.5889963886155751</v>
      </c>
      <c r="AI32" s="103">
        <f t="shared" si="18"/>
        <v>-0.27623879614724389</v>
      </c>
      <c r="AJ32" s="103">
        <f t="shared" si="18"/>
        <v>0.35065308855375532</v>
      </c>
      <c r="AK32" s="103">
        <f t="shared" si="18"/>
        <v>-0.40156319635030668</v>
      </c>
      <c r="AL32" s="103">
        <f t="shared" si="18"/>
        <v>1.3990649110430371</v>
      </c>
      <c r="AM32" s="103">
        <f t="shared" si="18"/>
        <v>1.6807544252347353</v>
      </c>
      <c r="AN32" s="103">
        <f t="shared" si="18"/>
        <v>-0.52848558378144617</v>
      </c>
      <c r="AO32" s="103">
        <f t="shared" si="18"/>
        <v>9.6131228289488613E-2</v>
      </c>
      <c r="AP32" s="103">
        <f t="shared" si="18"/>
        <v>-1.4790792909437078E-2</v>
      </c>
      <c r="AQ32" s="103">
        <f t="shared" si="18"/>
        <v>-7.8059237730689901E-3</v>
      </c>
    </row>
    <row r="33" spans="1:44">
      <c r="B33" s="33" t="s">
        <v>44</v>
      </c>
      <c r="C33" s="2">
        <v>6089.9021811300008</v>
      </c>
      <c r="D33" s="2">
        <v>7096.4965450300006</v>
      </c>
      <c r="E33" s="2">
        <v>8204.0076139299999</v>
      </c>
      <c r="F33" s="2">
        <v>9191.5824523299998</v>
      </c>
      <c r="G33" s="80">
        <v>53236.689881119994</v>
      </c>
      <c r="H33" s="80">
        <v>55169.826137559998</v>
      </c>
      <c r="I33" s="80">
        <v>49726.20158511</v>
      </c>
      <c r="J33" s="80">
        <v>66834.018261819991</v>
      </c>
      <c r="K33" s="80">
        <v>61367.468292310004</v>
      </c>
      <c r="L33" s="80">
        <v>65200.749179009988</v>
      </c>
      <c r="M33" s="80">
        <v>69515.380639880008</v>
      </c>
      <c r="N33" s="80">
        <v>71619.610023900008</v>
      </c>
      <c r="O33" s="80">
        <v>91422.162499619997</v>
      </c>
      <c r="P33" s="80">
        <v>88686.278888140005</v>
      </c>
      <c r="Q33" s="80">
        <v>92663.271891209995</v>
      </c>
      <c r="R33" s="80">
        <v>120329.89009894998</v>
      </c>
      <c r="S33" s="80">
        <v>5552.9520289799993</v>
      </c>
      <c r="T33" s="80">
        <v>5748.2696248400007</v>
      </c>
      <c r="U33" s="80">
        <v>10940.40940479</v>
      </c>
      <c r="V33" s="80">
        <v>7903.004669169999</v>
      </c>
      <c r="W33" s="80">
        <v>7689.7743741899994</v>
      </c>
      <c r="X33" s="103">
        <f t="shared" si="8"/>
        <v>0.16528908576216628</v>
      </c>
      <c r="Y33" s="103">
        <f t="shared" si="18"/>
        <v>0.15606448363251024</v>
      </c>
      <c r="Z33" s="103">
        <f t="shared" si="18"/>
        <v>0.12037712358081509</v>
      </c>
      <c r="AA33" s="103">
        <f t="shared" si="18"/>
        <v>4.7918960263066426</v>
      </c>
      <c r="AB33" s="103">
        <f t="shared" si="18"/>
        <v>3.6312104692398872E-2</v>
      </c>
      <c r="AC33" s="103">
        <f t="shared" si="18"/>
        <v>-9.867032277529586E-2</v>
      </c>
      <c r="AD33" s="103">
        <f t="shared" si="18"/>
        <v>0.34404028724029367</v>
      </c>
      <c r="AE33" s="103">
        <f t="shared" si="18"/>
        <v>-8.1792926890838169E-2</v>
      </c>
      <c r="AF33" s="103">
        <f t="shared" si="18"/>
        <v>6.2464380450583779E-2</v>
      </c>
      <c r="AG33" s="103">
        <f t="shared" si="18"/>
        <v>6.617456877717931E-2</v>
      </c>
      <c r="AH33" s="103">
        <f t="shared" si="18"/>
        <v>3.0269982910988036E-2</v>
      </c>
      <c r="AI33" s="103">
        <f t="shared" si="18"/>
        <v>0.27649623432900183</v>
      </c>
      <c r="AJ33" s="103">
        <f t="shared" si="18"/>
        <v>-2.9925824730861805E-2</v>
      </c>
      <c r="AK33" s="103">
        <f t="shared" si="18"/>
        <v>4.4843385616462506E-2</v>
      </c>
      <c r="AL33" s="103">
        <f t="shared" si="18"/>
        <v>0.29857156609170454</v>
      </c>
      <c r="AM33" s="103">
        <f t="shared" si="18"/>
        <v>-0.95385226376909604</v>
      </c>
      <c r="AN33" s="103">
        <f t="shared" si="18"/>
        <v>3.5173650851055172E-2</v>
      </c>
      <c r="AO33" s="103">
        <f t="shared" si="18"/>
        <v>0.90325265146109412</v>
      </c>
      <c r="AP33" s="103">
        <f t="shared" si="18"/>
        <v>-0.27763172503308198</v>
      </c>
      <c r="AQ33" s="103">
        <f t="shared" si="18"/>
        <v>-2.6980914716123294E-2</v>
      </c>
    </row>
    <row r="34" spans="1:44">
      <c r="C34" s="2"/>
      <c r="D34" s="2"/>
      <c r="E34" s="2"/>
      <c r="G34" s="80"/>
      <c r="H34" s="80"/>
      <c r="I34" s="80"/>
      <c r="J34" s="80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</row>
    <row r="35" spans="1:44">
      <c r="B35" s="6" t="s">
        <v>15</v>
      </c>
      <c r="C35" s="2">
        <v>12</v>
      </c>
      <c r="D35" s="8">
        <v>55</v>
      </c>
      <c r="E35" s="8">
        <v>185</v>
      </c>
      <c r="F35" s="80">
        <v>0</v>
      </c>
      <c r="G35" s="2">
        <v>103.04488262999999</v>
      </c>
      <c r="H35" s="2">
        <v>15.5</v>
      </c>
      <c r="I35" s="2">
        <v>30</v>
      </c>
      <c r="J35" s="2">
        <v>0</v>
      </c>
      <c r="K35" s="2">
        <v>0</v>
      </c>
      <c r="L35" s="2">
        <v>113.12993931999999</v>
      </c>
      <c r="M35" s="2">
        <v>4479.4841173500008</v>
      </c>
      <c r="N35" s="2">
        <v>5884.7807378300004</v>
      </c>
      <c r="O35" s="2">
        <v>1470.1682214900002</v>
      </c>
      <c r="P35" s="2">
        <v>30375.674999999999</v>
      </c>
      <c r="Q35" s="2">
        <v>75000</v>
      </c>
      <c r="R35" s="2">
        <v>6534.9489450000001</v>
      </c>
      <c r="S35" s="2">
        <v>7610.1350899999998</v>
      </c>
      <c r="T35" s="2">
        <v>0</v>
      </c>
      <c r="U35" s="2">
        <v>7583.4363540000004</v>
      </c>
      <c r="V35" s="2">
        <v>7541.7006650000003</v>
      </c>
      <c r="W35" s="2">
        <v>11253.721287</v>
      </c>
      <c r="X35" s="105">
        <f t="shared" si="8"/>
        <v>3.583333333333333</v>
      </c>
      <c r="Y35" s="105">
        <f t="shared" ref="Y35:AQ35" si="19">+E35/D35-1</f>
        <v>2.3636363636363638</v>
      </c>
      <c r="Z35" s="105">
        <f t="shared" si="19"/>
        <v>-1</v>
      </c>
      <c r="AA35" s="105" t="e">
        <f t="shared" si="19"/>
        <v>#DIV/0!</v>
      </c>
      <c r="AB35" s="105">
        <f t="shared" si="19"/>
        <v>-0.84958010912919024</v>
      </c>
      <c r="AC35" s="105">
        <f t="shared" si="19"/>
        <v>0.93548387096774199</v>
      </c>
      <c r="AD35" s="105">
        <f t="shared" si="19"/>
        <v>-1</v>
      </c>
      <c r="AE35" s="105" t="e">
        <f t="shared" si="19"/>
        <v>#DIV/0!</v>
      </c>
      <c r="AF35" s="105" t="e">
        <f t="shared" si="19"/>
        <v>#DIV/0!</v>
      </c>
      <c r="AG35" s="102">
        <f t="shared" si="19"/>
        <v>38.59592079935009</v>
      </c>
      <c r="AH35" s="102">
        <f t="shared" si="19"/>
        <v>0.31371840677746454</v>
      </c>
      <c r="AI35" s="102">
        <f t="shared" si="19"/>
        <v>-0.75017451167906701</v>
      </c>
      <c r="AJ35" s="102">
        <f t="shared" si="19"/>
        <v>19.661360078382437</v>
      </c>
      <c r="AK35" s="102">
        <f t="shared" si="19"/>
        <v>1.4690809340039359</v>
      </c>
      <c r="AL35" s="102">
        <f t="shared" si="19"/>
        <v>-0.91286734739999997</v>
      </c>
      <c r="AM35" s="102">
        <f t="shared" si="19"/>
        <v>0.16452862203654139</v>
      </c>
      <c r="AN35" s="102">
        <f t="shared" si="19"/>
        <v>-1</v>
      </c>
      <c r="AO35" s="134" t="e">
        <f t="shared" si="19"/>
        <v>#DIV/0!</v>
      </c>
      <c r="AP35" s="134">
        <f t="shared" si="19"/>
        <v>-5.5035325743830743E-3</v>
      </c>
      <c r="AQ35" s="134">
        <f t="shared" si="19"/>
        <v>0.49219941056888916</v>
      </c>
    </row>
    <row r="36" spans="1:44">
      <c r="C36" s="2"/>
      <c r="D36" s="2"/>
      <c r="E36" s="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</row>
    <row r="37" spans="1:44">
      <c r="A37" s="9">
        <v>2</v>
      </c>
      <c r="B37" s="6" t="s">
        <v>89</v>
      </c>
      <c r="C37" s="32">
        <f>+C41+C57</f>
        <v>671960.91</v>
      </c>
      <c r="D37" s="32">
        <f t="shared" ref="D37:K37" si="20">+D41+D57</f>
        <v>796299.8</v>
      </c>
      <c r="E37" s="73">
        <f t="shared" si="20"/>
        <v>912565.93066666997</v>
      </c>
      <c r="F37" s="32">
        <f t="shared" si="20"/>
        <v>1120680.8999999999</v>
      </c>
      <c r="G37" s="32">
        <f t="shared" si="20"/>
        <v>1400877.6</v>
      </c>
      <c r="H37" s="32">
        <f t="shared" si="20"/>
        <v>1540699.9457106201</v>
      </c>
      <c r="I37" s="32">
        <f t="shared" si="20"/>
        <v>1660537.1857738497</v>
      </c>
      <c r="J37" s="32">
        <f t="shared" si="20"/>
        <v>1878446.0326121398</v>
      </c>
      <c r="K37" s="32">
        <f t="shared" si="20"/>
        <v>2041583.4464851897</v>
      </c>
      <c r="L37" s="32">
        <f t="shared" ref="L37:W37" si="21">+L41+L57+L66</f>
        <v>2250667.47598325</v>
      </c>
      <c r="M37" s="32">
        <f t="shared" si="21"/>
        <v>2307926.3765186304</v>
      </c>
      <c r="N37" s="32">
        <f t="shared" si="21"/>
        <v>2580674.16949401</v>
      </c>
      <c r="O37" s="32">
        <f t="shared" si="21"/>
        <v>2788881.3333538501</v>
      </c>
      <c r="P37" s="32">
        <f t="shared" si="21"/>
        <v>3067729.6851907</v>
      </c>
      <c r="Q37" s="32">
        <f t="shared" si="21"/>
        <v>3048274.9589616302</v>
      </c>
      <c r="R37" s="32">
        <f t="shared" si="21"/>
        <v>3223738.2192770699</v>
      </c>
      <c r="S37" s="32">
        <f t="shared" si="21"/>
        <v>3232563.43749204</v>
      </c>
      <c r="T37" s="32">
        <f t="shared" si="21"/>
        <v>3415522.2608990497</v>
      </c>
      <c r="U37" s="32">
        <f t="shared" si="21"/>
        <v>3705856.1854980397</v>
      </c>
      <c r="V37" s="32">
        <f t="shared" si="21"/>
        <v>3679522.51450213</v>
      </c>
      <c r="W37" s="32">
        <f t="shared" si="21"/>
        <v>3746055.6953791096</v>
      </c>
      <c r="X37" s="101">
        <f t="shared" si="8"/>
        <v>0.18503887376424921</v>
      </c>
      <c r="Y37" s="101">
        <f t="shared" ref="Y37:AQ37" si="22">+E37/D37-1</f>
        <v>0.1460079867741646</v>
      </c>
      <c r="Z37" s="101">
        <f t="shared" si="22"/>
        <v>0.22805472168053953</v>
      </c>
      <c r="AA37" s="101">
        <f t="shared" si="22"/>
        <v>0.25002362403071232</v>
      </c>
      <c r="AB37" s="101">
        <f t="shared" si="22"/>
        <v>9.9810537130881505E-2</v>
      </c>
      <c r="AC37" s="101">
        <f t="shared" si="22"/>
        <v>7.7781037376461359E-2</v>
      </c>
      <c r="AD37" s="101">
        <f t="shared" si="22"/>
        <v>0.13122792353291346</v>
      </c>
      <c r="AE37" s="101">
        <f t="shared" si="22"/>
        <v>8.684700600431583E-2</v>
      </c>
      <c r="AF37" s="101">
        <f t="shared" si="22"/>
        <v>0.10241267867743598</v>
      </c>
      <c r="AG37" s="101">
        <f t="shared" si="22"/>
        <v>2.5440853056432067E-2</v>
      </c>
      <c r="AH37" s="101">
        <f t="shared" si="22"/>
        <v>0.11817872344212454</v>
      </c>
      <c r="AI37" s="101">
        <f t="shared" si="22"/>
        <v>8.0679369104803778E-2</v>
      </c>
      <c r="AJ37" s="101">
        <f t="shared" si="22"/>
        <v>9.9985735679012366E-2</v>
      </c>
      <c r="AK37" s="101">
        <f t="shared" si="22"/>
        <v>-6.3417341896147006E-3</v>
      </c>
      <c r="AL37" s="101">
        <f t="shared" si="22"/>
        <v>5.7561493853956591E-2</v>
      </c>
      <c r="AM37" s="101">
        <f t="shared" si="22"/>
        <v>2.7375728470127036E-3</v>
      </c>
      <c r="AN37" s="101">
        <f t="shared" si="22"/>
        <v>5.6598679947007291E-2</v>
      </c>
      <c r="AO37" s="101">
        <f t="shared" si="22"/>
        <v>8.50042548171146E-2</v>
      </c>
      <c r="AP37" s="101">
        <f t="shared" si="22"/>
        <v>-7.1059613967104918E-3</v>
      </c>
      <c r="AQ37" s="101">
        <f t="shared" si="22"/>
        <v>1.8082014885016262E-2</v>
      </c>
      <c r="AR37" s="2"/>
    </row>
    <row r="38" spans="1:44">
      <c r="A38" s="9"/>
      <c r="B38" s="22"/>
      <c r="C38" s="31"/>
      <c r="D38" s="31"/>
      <c r="E38" s="74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</row>
    <row r="39" spans="1:44">
      <c r="A39" s="9">
        <v>3</v>
      </c>
      <c r="B39" s="6" t="s">
        <v>22</v>
      </c>
      <c r="C39" s="8">
        <f>+C37-C47</f>
        <v>478424.71</v>
      </c>
      <c r="D39" s="8">
        <f t="shared" ref="D39:O39" si="23">+D37-D47</f>
        <v>584100.80000000005</v>
      </c>
      <c r="E39" s="75">
        <f t="shared" si="23"/>
        <v>742846.83066666999</v>
      </c>
      <c r="F39" s="8">
        <f t="shared" si="23"/>
        <v>961165.2</v>
      </c>
      <c r="G39" s="8">
        <f t="shared" si="23"/>
        <v>1218619.9000000001</v>
      </c>
      <c r="H39" s="8">
        <f t="shared" si="23"/>
        <v>1348951.7143940302</v>
      </c>
      <c r="I39" s="8">
        <f t="shared" si="23"/>
        <v>1474682.0785998397</v>
      </c>
      <c r="J39" s="8">
        <f t="shared" si="23"/>
        <v>1648684.1143446399</v>
      </c>
      <c r="K39" s="8">
        <f t="shared" si="23"/>
        <v>1818147.3243736897</v>
      </c>
      <c r="L39" s="8">
        <f t="shared" si="23"/>
        <v>1979404.8267810598</v>
      </c>
      <c r="M39" s="8">
        <f t="shared" si="23"/>
        <v>1992251.3868720904</v>
      </c>
      <c r="N39" s="8">
        <f t="shared" si="23"/>
        <v>2203321.5882664802</v>
      </c>
      <c r="O39" s="8">
        <f t="shared" si="23"/>
        <v>2311468.0329177203</v>
      </c>
      <c r="P39" s="8">
        <f t="shared" ref="P39:W39" si="24">+P37-P47</f>
        <v>2487470.9872988397</v>
      </c>
      <c r="Q39" s="8">
        <f t="shared" si="24"/>
        <v>2358986.3205760401</v>
      </c>
      <c r="R39" s="8">
        <f t="shared" si="24"/>
        <v>2464140.5309172599</v>
      </c>
      <c r="S39" s="8">
        <f t="shared" si="24"/>
        <v>2422690.3050894099</v>
      </c>
      <c r="T39" s="8">
        <f t="shared" si="24"/>
        <v>2522276.5437812498</v>
      </c>
      <c r="U39" s="8">
        <f t="shared" si="24"/>
        <v>2727118.4249384394</v>
      </c>
      <c r="V39" s="8">
        <f t="shared" si="24"/>
        <v>2752016.09634043</v>
      </c>
      <c r="W39" s="8">
        <f t="shared" si="24"/>
        <v>2763105.4028469594</v>
      </c>
      <c r="X39" s="106">
        <f t="shared" si="8"/>
        <v>0.22088342803196781</v>
      </c>
      <c r="Y39" s="106">
        <f t="shared" ref="Y39:AQ39" si="25">+E39/D39-1</f>
        <v>0.271778485266019</v>
      </c>
      <c r="Z39" s="106">
        <f t="shared" si="25"/>
        <v>0.29389419234298875</v>
      </c>
      <c r="AA39" s="106">
        <f t="shared" si="25"/>
        <v>0.26785686789326135</v>
      </c>
      <c r="AB39" s="106">
        <f t="shared" si="25"/>
        <v>0.10695034144283211</v>
      </c>
      <c r="AC39" s="106">
        <f t="shared" si="25"/>
        <v>9.3205978289808256E-2</v>
      </c>
      <c r="AD39" s="106">
        <f t="shared" si="25"/>
        <v>0.1179929140455882</v>
      </c>
      <c r="AE39" s="106">
        <f t="shared" si="25"/>
        <v>0.10278694903081065</v>
      </c>
      <c r="AF39" s="106">
        <f t="shared" si="25"/>
        <v>8.8693308977543683E-2</v>
      </c>
      <c r="AG39" s="106">
        <f t="shared" si="25"/>
        <v>6.4901125415166572E-3</v>
      </c>
      <c r="AH39" s="106">
        <f t="shared" si="25"/>
        <v>0.10594556630013341</v>
      </c>
      <c r="AI39" s="106">
        <f t="shared" si="25"/>
        <v>4.9083368141609851E-2</v>
      </c>
      <c r="AJ39" s="106">
        <f t="shared" si="25"/>
        <v>7.6143365114573758E-2</v>
      </c>
      <c r="AK39" s="106">
        <f t="shared" si="25"/>
        <v>-5.1652729772065364E-2</v>
      </c>
      <c r="AL39" s="106">
        <f t="shared" si="25"/>
        <v>4.4576015309636174E-2</v>
      </c>
      <c r="AM39" s="106">
        <f t="shared" si="25"/>
        <v>-1.6821372526355183E-2</v>
      </c>
      <c r="AN39" s="106">
        <f t="shared" si="25"/>
        <v>4.1105641312319863E-2</v>
      </c>
      <c r="AO39" s="106">
        <f t="shared" si="25"/>
        <v>8.1213093648368373E-2</v>
      </c>
      <c r="AP39" s="106">
        <f t="shared" si="25"/>
        <v>9.1296627144281661E-3</v>
      </c>
      <c r="AQ39" s="106">
        <f t="shared" si="25"/>
        <v>4.0295209469434212E-3</v>
      </c>
    </row>
    <row r="40" spans="1:44">
      <c r="C40" s="2"/>
      <c r="D40" s="2"/>
      <c r="E40" s="74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</row>
    <row r="41" spans="1:44">
      <c r="B41" s="22" t="s">
        <v>3</v>
      </c>
      <c r="C41" s="31">
        <f>+C44+C45+C46+C47+C51</f>
        <v>644121.01</v>
      </c>
      <c r="D41" s="31">
        <f t="shared" ref="D41:O41" si="26">+D44+D45+D46+D47+D51</f>
        <v>753768</v>
      </c>
      <c r="E41" s="76">
        <f t="shared" si="26"/>
        <v>833731.43066666997</v>
      </c>
      <c r="F41" s="31">
        <f t="shared" si="26"/>
        <v>1026260.5</v>
      </c>
      <c r="G41" s="31">
        <f t="shared" si="26"/>
        <v>1298166</v>
      </c>
      <c r="H41" s="31">
        <f t="shared" si="26"/>
        <v>1440604.9258763101</v>
      </c>
      <c r="I41" s="31">
        <f t="shared" si="26"/>
        <v>1572212.9659010698</v>
      </c>
      <c r="J41" s="31">
        <f t="shared" si="26"/>
        <v>1755177.3648685399</v>
      </c>
      <c r="K41" s="31">
        <f t="shared" si="26"/>
        <v>1892334.5586514198</v>
      </c>
      <c r="L41" s="31">
        <f t="shared" si="26"/>
        <v>2076104.4727910801</v>
      </c>
      <c r="M41" s="31">
        <f t="shared" si="26"/>
        <v>2190291.4322900902</v>
      </c>
      <c r="N41" s="31">
        <f t="shared" si="26"/>
        <v>2392222.4188675098</v>
      </c>
      <c r="O41" s="31">
        <f t="shared" si="26"/>
        <v>2617794.3599656401</v>
      </c>
      <c r="P41" s="31">
        <f t="shared" ref="P41:W41" si="27">+P44+P45+P46+P47+P51</f>
        <v>2812969.5032894998</v>
      </c>
      <c r="Q41" s="31">
        <f t="shared" si="27"/>
        <v>2905215.9169330401</v>
      </c>
      <c r="R41" s="31">
        <f t="shared" si="27"/>
        <v>3004073.3911476098</v>
      </c>
      <c r="S41" s="31">
        <f t="shared" si="27"/>
        <v>3069046.2009264901</v>
      </c>
      <c r="T41" s="31">
        <f t="shared" si="27"/>
        <v>3219952.7863591998</v>
      </c>
      <c r="U41" s="31">
        <f t="shared" si="27"/>
        <v>3475928.7798262499</v>
      </c>
      <c r="V41" s="31">
        <f t="shared" si="27"/>
        <v>3461806.7003140599</v>
      </c>
      <c r="W41" s="31">
        <f t="shared" si="27"/>
        <v>3500458.9984391294</v>
      </c>
      <c r="X41" s="102">
        <f t="shared" si="8"/>
        <v>0.17022731489537968</v>
      </c>
      <c r="Y41" s="102">
        <f t="shared" ref="Y41:AQ41" si="28">+E41/D41-1</f>
        <v>0.10608493683291131</v>
      </c>
      <c r="Z41" s="102">
        <f t="shared" si="28"/>
        <v>0.2309245666549713</v>
      </c>
      <c r="AA41" s="102">
        <f t="shared" si="28"/>
        <v>0.26494783731810778</v>
      </c>
      <c r="AB41" s="102">
        <f t="shared" si="28"/>
        <v>0.10972319863277114</v>
      </c>
      <c r="AC41" s="102">
        <f t="shared" si="28"/>
        <v>9.1356094693833878E-2</v>
      </c>
      <c r="AD41" s="102">
        <f t="shared" si="28"/>
        <v>0.11637380109164108</v>
      </c>
      <c r="AE41" s="102">
        <f t="shared" si="28"/>
        <v>7.8144349698329618E-2</v>
      </c>
      <c r="AF41" s="102">
        <f t="shared" si="28"/>
        <v>9.7112803494232347E-2</v>
      </c>
      <c r="AG41" s="102">
        <f t="shared" si="28"/>
        <v>5.5000584505990213E-2</v>
      </c>
      <c r="AH41" s="102">
        <f t="shared" si="28"/>
        <v>9.2193661355049805E-2</v>
      </c>
      <c r="AI41" s="102">
        <f t="shared" si="28"/>
        <v>9.4293883093411246E-2</v>
      </c>
      <c r="AJ41" s="102">
        <f t="shared" si="28"/>
        <v>7.4557095205301627E-2</v>
      </c>
      <c r="AK41" s="102">
        <f t="shared" si="28"/>
        <v>3.2793250526060413E-2</v>
      </c>
      <c r="AL41" s="102">
        <f t="shared" si="28"/>
        <v>3.4027582472744733E-2</v>
      </c>
      <c r="AM41" s="102">
        <f t="shared" si="28"/>
        <v>2.1628236503922205E-2</v>
      </c>
      <c r="AN41" s="102">
        <f t="shared" si="28"/>
        <v>4.9170516034314993E-2</v>
      </c>
      <c r="AO41" s="102">
        <f t="shared" si="28"/>
        <v>7.9496815776756158E-2</v>
      </c>
      <c r="AP41" s="102">
        <f t="shared" si="28"/>
        <v>-4.0628218835070395E-3</v>
      </c>
      <c r="AQ41" s="102">
        <f t="shared" si="28"/>
        <v>1.116535424163434E-2</v>
      </c>
    </row>
    <row r="42" spans="1:44">
      <c r="C42" s="30"/>
      <c r="D42" s="2"/>
      <c r="E42" s="74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</row>
    <row r="43" spans="1:44">
      <c r="B43" s="36" t="s">
        <v>51</v>
      </c>
      <c r="C43" s="8">
        <f>SUM(C44:C45)</f>
        <v>246965.01</v>
      </c>
      <c r="D43" s="8">
        <f t="shared" ref="D43:O43" si="29">SUM(D44:D45)</f>
        <v>274913.7</v>
      </c>
      <c r="E43" s="75">
        <f t="shared" si="29"/>
        <v>329378.59999999998</v>
      </c>
      <c r="F43" s="8">
        <f t="shared" si="29"/>
        <v>441395.5</v>
      </c>
      <c r="G43" s="8">
        <f t="shared" si="29"/>
        <v>543055.30000000005</v>
      </c>
      <c r="H43" s="8">
        <f t="shared" si="29"/>
        <v>616607.93419526005</v>
      </c>
      <c r="I43" s="8">
        <f t="shared" si="29"/>
        <v>674848.25972096995</v>
      </c>
      <c r="J43" s="8">
        <f t="shared" si="29"/>
        <v>738968.91487104003</v>
      </c>
      <c r="K43" s="8">
        <f t="shared" si="29"/>
        <v>798792.28147650999</v>
      </c>
      <c r="L43" s="8">
        <f t="shared" si="29"/>
        <v>875627.85407215997</v>
      </c>
      <c r="M43" s="8">
        <f t="shared" si="29"/>
        <v>904111.55089798011</v>
      </c>
      <c r="N43" s="8">
        <f t="shared" si="29"/>
        <v>943411.96013336978</v>
      </c>
      <c r="O43" s="8">
        <f t="shared" si="29"/>
        <v>999226.6809688299</v>
      </c>
      <c r="P43" s="8">
        <f t="shared" ref="P43:W43" si="30">SUM(P44:P45)</f>
        <v>1029389.8103423</v>
      </c>
      <c r="Q43" s="8">
        <f t="shared" si="30"/>
        <v>1051948.8833182901</v>
      </c>
      <c r="R43" s="8">
        <f t="shared" si="30"/>
        <v>1110980.9650588101</v>
      </c>
      <c r="S43" s="8">
        <f t="shared" si="30"/>
        <v>1110330.2073964502</v>
      </c>
      <c r="T43" s="8">
        <f t="shared" si="30"/>
        <v>1130780.39869379</v>
      </c>
      <c r="U43" s="8">
        <f t="shared" si="30"/>
        <v>1213270.7580405201</v>
      </c>
      <c r="V43" s="8">
        <f t="shared" si="30"/>
        <v>1224330.1566599798</v>
      </c>
      <c r="W43" s="8">
        <f t="shared" si="30"/>
        <v>1260871.0994665797</v>
      </c>
      <c r="X43" s="106">
        <f t="shared" si="8"/>
        <v>0.11316862255102444</v>
      </c>
      <c r="Y43" s="106">
        <f t="shared" ref="Y43:AQ49" si="31">+E43/D43-1</f>
        <v>0.19811635433228658</v>
      </c>
      <c r="Z43" s="106">
        <f t="shared" si="31"/>
        <v>0.34008554289805115</v>
      </c>
      <c r="AA43" s="106">
        <f t="shared" si="31"/>
        <v>0.23031453650977429</v>
      </c>
      <c r="AB43" s="106">
        <f t="shared" si="31"/>
        <v>0.13544225458302317</v>
      </c>
      <c r="AC43" s="106">
        <f t="shared" si="31"/>
        <v>9.4452766978614822E-2</v>
      </c>
      <c r="AD43" s="106">
        <f t="shared" si="31"/>
        <v>9.5014922579161887E-2</v>
      </c>
      <c r="AE43" s="106">
        <f t="shared" si="31"/>
        <v>8.0955186884836605E-2</v>
      </c>
      <c r="AF43" s="106">
        <f t="shared" si="31"/>
        <v>9.6189678314899218E-2</v>
      </c>
      <c r="AG43" s="106">
        <f t="shared" si="31"/>
        <v>3.252945494293602E-2</v>
      </c>
      <c r="AH43" s="106">
        <f t="shared" si="31"/>
        <v>4.3468540133521971E-2</v>
      </c>
      <c r="AI43" s="106">
        <f t="shared" si="31"/>
        <v>5.91626173867561E-2</v>
      </c>
      <c r="AJ43" s="106">
        <f t="shared" si="31"/>
        <v>3.0186473147639115E-2</v>
      </c>
      <c r="AK43" s="106">
        <f t="shared" si="31"/>
        <v>2.1914995417031236E-2</v>
      </c>
      <c r="AL43" s="106">
        <f t="shared" si="31"/>
        <v>5.6116872860122236E-2</v>
      </c>
      <c r="AM43" s="106">
        <f t="shared" si="31"/>
        <v>-5.8575050592823974E-4</v>
      </c>
      <c r="AN43" s="106">
        <f t="shared" si="31"/>
        <v>1.841811666575488E-2</v>
      </c>
      <c r="AO43" s="106">
        <f t="shared" si="31"/>
        <v>7.2949937443218982E-2</v>
      </c>
      <c r="AP43" s="106">
        <f t="shared" si="31"/>
        <v>9.1153590788928263E-3</v>
      </c>
      <c r="AQ43" s="106">
        <f t="shared" si="31"/>
        <v>2.9845660999060053E-2</v>
      </c>
    </row>
    <row r="44" spans="1:44">
      <c r="B44" s="36" t="s">
        <v>4</v>
      </c>
      <c r="C44" s="2">
        <v>204919.41</v>
      </c>
      <c r="D44" s="2">
        <v>229471.9</v>
      </c>
      <c r="E44" s="77">
        <v>274786.09999999998</v>
      </c>
      <c r="F44" s="40">
        <v>367690</v>
      </c>
      <c r="G44" s="2">
        <v>452871.8</v>
      </c>
      <c r="H44" s="2">
        <v>512428.56530634005</v>
      </c>
      <c r="I44" s="2">
        <v>558793.97476380994</v>
      </c>
      <c r="J44" s="2">
        <v>613843.76574328006</v>
      </c>
      <c r="K44" s="2">
        <v>665431.90859328001</v>
      </c>
      <c r="L44" s="2">
        <v>723373.30192067998</v>
      </c>
      <c r="M44" s="2">
        <v>752747.33509749011</v>
      </c>
      <c r="N44" s="2">
        <v>778491.78369276982</v>
      </c>
      <c r="O44" s="2">
        <v>824280.56280815986</v>
      </c>
      <c r="P44" s="2">
        <v>845594.62605980004</v>
      </c>
      <c r="Q44" s="2">
        <v>865945.83322118013</v>
      </c>
      <c r="R44" s="2">
        <v>915371.52833978017</v>
      </c>
      <c r="S44" s="2">
        <v>904945.75517147023</v>
      </c>
      <c r="T44" s="2">
        <v>902905.40231058002</v>
      </c>
      <c r="U44" s="2">
        <v>994559.12782349018</v>
      </c>
      <c r="V44" s="2">
        <v>992386.8651480698</v>
      </c>
      <c r="W44" s="2">
        <v>1031943.9371200697</v>
      </c>
      <c r="X44" s="103">
        <f t="shared" si="8"/>
        <v>0.11981534594502286</v>
      </c>
      <c r="Y44" s="103">
        <f t="shared" si="31"/>
        <v>0.19747167300222812</v>
      </c>
      <c r="Z44" s="103">
        <f t="shared" si="31"/>
        <v>0.33809534033926769</v>
      </c>
      <c r="AA44" s="103">
        <f t="shared" si="31"/>
        <v>0.23166743724333005</v>
      </c>
      <c r="AB44" s="103">
        <f t="shared" si="31"/>
        <v>0.13150910546061834</v>
      </c>
      <c r="AC44" s="103">
        <f t="shared" si="31"/>
        <v>9.0481703395578039E-2</v>
      </c>
      <c r="AD44" s="103">
        <f t="shared" si="31"/>
        <v>9.851536248711068E-2</v>
      </c>
      <c r="AE44" s="103">
        <f t="shared" si="31"/>
        <v>8.4041161169949863E-2</v>
      </c>
      <c r="AF44" s="103">
        <f t="shared" si="31"/>
        <v>8.707336179578129E-2</v>
      </c>
      <c r="AG44" s="103">
        <f t="shared" si="31"/>
        <v>4.0607018670466566E-2</v>
      </c>
      <c r="AH44" s="103">
        <f t="shared" si="31"/>
        <v>3.4200650596717841E-2</v>
      </c>
      <c r="AI44" s="103">
        <f t="shared" si="31"/>
        <v>5.8817292712058267E-2</v>
      </c>
      <c r="AJ44" s="103">
        <f t="shared" si="31"/>
        <v>2.5857777331334209E-2</v>
      </c>
      <c r="AK44" s="103">
        <f t="shared" si="31"/>
        <v>2.4067332660580254E-2</v>
      </c>
      <c r="AL44" s="103">
        <f t="shared" si="31"/>
        <v>5.7077121018926036E-2</v>
      </c>
      <c r="AM44" s="103">
        <f t="shared" si="31"/>
        <v>-1.1389662935244793E-2</v>
      </c>
      <c r="AN44" s="103">
        <f t="shared" si="31"/>
        <v>-2.2546686906151914E-3</v>
      </c>
      <c r="AO44" s="103">
        <f t="shared" si="31"/>
        <v>0.10150977641551795</v>
      </c>
      <c r="AP44" s="103">
        <f t="shared" si="31"/>
        <v>-2.1841463364518088E-3</v>
      </c>
      <c r="AQ44" s="103">
        <f t="shared" si="31"/>
        <v>3.9860535604829606E-2</v>
      </c>
      <c r="AR44" s="2"/>
    </row>
    <row r="45" spans="1:44" ht="14.25">
      <c r="B45" s="36" t="s">
        <v>114</v>
      </c>
      <c r="C45" s="2">
        <v>42045.599999999999</v>
      </c>
      <c r="D45" s="2">
        <v>45441.8</v>
      </c>
      <c r="E45" s="74">
        <v>54592.5</v>
      </c>
      <c r="F45" s="2">
        <v>73705.5</v>
      </c>
      <c r="G45" s="2">
        <v>90183.5</v>
      </c>
      <c r="H45" s="2">
        <v>104179.36888892001</v>
      </c>
      <c r="I45" s="2">
        <v>116054.28495715999</v>
      </c>
      <c r="J45" s="2">
        <v>125125.14912776</v>
      </c>
      <c r="K45" s="2">
        <v>133360.37288322998</v>
      </c>
      <c r="L45" s="2">
        <v>152254.55215148002</v>
      </c>
      <c r="M45" s="2">
        <v>151364.21580049</v>
      </c>
      <c r="N45" s="2">
        <v>164920.17644059999</v>
      </c>
      <c r="O45" s="2">
        <v>174946.11816066998</v>
      </c>
      <c r="P45" s="2">
        <v>183795.18428250001</v>
      </c>
      <c r="Q45" s="2">
        <v>186003.05009711001</v>
      </c>
      <c r="R45" s="2">
        <v>195609.43671903003</v>
      </c>
      <c r="S45" s="2">
        <v>205384.45222497999</v>
      </c>
      <c r="T45" s="2">
        <v>227874.99638321</v>
      </c>
      <c r="U45" s="2">
        <v>218711.63021702998</v>
      </c>
      <c r="V45" s="2">
        <v>231943.29151191012</v>
      </c>
      <c r="W45" s="2">
        <v>228927.16234651004</v>
      </c>
      <c r="X45" s="103">
        <f t="shared" si="8"/>
        <v>8.0774207051391933E-2</v>
      </c>
      <c r="Y45" s="103">
        <f t="shared" si="31"/>
        <v>0.20137186467085355</v>
      </c>
      <c r="Z45" s="103">
        <f t="shared" si="31"/>
        <v>0.35010303613133664</v>
      </c>
      <c r="AA45" s="103">
        <f t="shared" si="31"/>
        <v>0.22356540556674864</v>
      </c>
      <c r="AB45" s="103">
        <f t="shared" si="31"/>
        <v>0.15519323256382833</v>
      </c>
      <c r="AC45" s="103">
        <f t="shared" si="31"/>
        <v>0.11398529473624919</v>
      </c>
      <c r="AD45" s="103">
        <f t="shared" si="31"/>
        <v>7.8160527842193961E-2</v>
      </c>
      <c r="AE45" s="103">
        <f t="shared" si="31"/>
        <v>6.5815895628314802E-2</v>
      </c>
      <c r="AF45" s="103">
        <f t="shared" si="31"/>
        <v>0.14167761277027724</v>
      </c>
      <c r="AG45" s="103">
        <f t="shared" si="31"/>
        <v>-5.8476829651977758E-3</v>
      </c>
      <c r="AH45" s="103">
        <f t="shared" si="31"/>
        <v>8.9558556283724444E-2</v>
      </c>
      <c r="AI45" s="103">
        <f t="shared" si="31"/>
        <v>6.0792693389344565E-2</v>
      </c>
      <c r="AJ45" s="103">
        <f t="shared" si="31"/>
        <v>5.0581666028754357E-2</v>
      </c>
      <c r="AK45" s="103">
        <f t="shared" si="31"/>
        <v>1.2012642350935687E-2</v>
      </c>
      <c r="AL45" s="103">
        <f t="shared" si="31"/>
        <v>5.1646392986054002E-2</v>
      </c>
      <c r="AM45" s="103">
        <f t="shared" si="31"/>
        <v>4.9972105998089544E-2</v>
      </c>
      <c r="AN45" s="103">
        <f t="shared" si="31"/>
        <v>0.10950460911030246</v>
      </c>
      <c r="AO45" s="103">
        <f t="shared" si="31"/>
        <v>-4.0212249310452197E-2</v>
      </c>
      <c r="AP45" s="103">
        <f t="shared" si="31"/>
        <v>6.0498206161923029E-2</v>
      </c>
      <c r="AQ45" s="103">
        <f t="shared" si="31"/>
        <v>-1.3003735291241214E-2</v>
      </c>
      <c r="AR45" s="2"/>
    </row>
    <row r="46" spans="1:44" ht="14.25">
      <c r="B46" s="1" t="s">
        <v>115</v>
      </c>
      <c r="C46" s="2">
        <v>14420.1</v>
      </c>
      <c r="D46" s="2">
        <v>18876.5</v>
      </c>
      <c r="E46" s="74">
        <v>22018.6</v>
      </c>
      <c r="F46" s="2">
        <v>30817.599999999999</v>
      </c>
      <c r="G46" s="2">
        <v>37548.199999999997</v>
      </c>
      <c r="H46" s="2">
        <v>41543.835284360001</v>
      </c>
      <c r="I46" s="2">
        <v>42639.268198929996</v>
      </c>
      <c r="J46" s="2">
        <v>48136.855390980003</v>
      </c>
      <c r="K46" s="2">
        <v>57473.285007979997</v>
      </c>
      <c r="L46" s="2">
        <v>61149.493574529988</v>
      </c>
      <c r="M46" s="2">
        <v>51866.402051219993</v>
      </c>
      <c r="N46" s="2">
        <v>63960.811784040015</v>
      </c>
      <c r="O46" s="2">
        <v>63891.296400420062</v>
      </c>
      <c r="P46" s="2">
        <v>63553.159474879998</v>
      </c>
      <c r="Q46" s="2">
        <v>67342.725210730001</v>
      </c>
      <c r="R46" s="2">
        <v>93417.963273439993</v>
      </c>
      <c r="S46" s="2">
        <v>99911.832267430014</v>
      </c>
      <c r="T46" s="2">
        <v>98426.701513519962</v>
      </c>
      <c r="U46" s="2">
        <v>99080.130170910037</v>
      </c>
      <c r="V46" s="2">
        <v>105530.63573499004</v>
      </c>
      <c r="W46" s="2">
        <v>112394.54223631002</v>
      </c>
      <c r="X46" s="103">
        <f t="shared" si="8"/>
        <v>0.30904085269866366</v>
      </c>
      <c r="Y46" s="103">
        <f t="shared" si="31"/>
        <v>0.16645564590893436</v>
      </c>
      <c r="Z46" s="103">
        <f t="shared" si="31"/>
        <v>0.399616687709482</v>
      </c>
      <c r="AA46" s="103">
        <f t="shared" si="31"/>
        <v>0.21840117335548515</v>
      </c>
      <c r="AB46" s="103">
        <f t="shared" si="31"/>
        <v>0.10641349743423123</v>
      </c>
      <c r="AC46" s="103">
        <f t="shared" si="31"/>
        <v>2.6368121938476818E-2</v>
      </c>
      <c r="AD46" s="103">
        <f t="shared" si="31"/>
        <v>0.12893249401939699</v>
      </c>
      <c r="AE46" s="103">
        <f t="shared" si="31"/>
        <v>0.19395595206972072</v>
      </c>
      <c r="AF46" s="103">
        <f t="shared" si="31"/>
        <v>6.3963780146542248E-2</v>
      </c>
      <c r="AG46" s="103">
        <f t="shared" si="31"/>
        <v>-0.15180978583241433</v>
      </c>
      <c r="AH46" s="103">
        <f t="shared" si="31"/>
        <v>0.23318389659796224</v>
      </c>
      <c r="AI46" s="103">
        <f t="shared" si="31"/>
        <v>-1.0868433605043526E-3</v>
      </c>
      <c r="AJ46" s="103">
        <f t="shared" si="31"/>
        <v>-5.2923785333903739E-3</v>
      </c>
      <c r="AK46" s="103">
        <f t="shared" si="31"/>
        <v>5.9628282325568271E-2</v>
      </c>
      <c r="AL46" s="103">
        <f t="shared" si="31"/>
        <v>0.387202002608521</v>
      </c>
      <c r="AM46" s="103">
        <f t="shared" si="31"/>
        <v>6.9514135894636064E-2</v>
      </c>
      <c r="AN46" s="103">
        <f t="shared" si="31"/>
        <v>-1.48644131551392E-2</v>
      </c>
      <c r="AO46" s="103">
        <f t="shared" si="31"/>
        <v>6.6387336702562472E-3</v>
      </c>
      <c r="AP46" s="103">
        <f t="shared" si="31"/>
        <v>6.5103927023037578E-2</v>
      </c>
      <c r="AQ46" s="103">
        <f t="shared" si="31"/>
        <v>6.5041837884467268E-2</v>
      </c>
      <c r="AR46" s="2"/>
    </row>
    <row r="47" spans="1:44">
      <c r="B47" s="1" t="s">
        <v>23</v>
      </c>
      <c r="C47" s="8">
        <f>+C48+C49</f>
        <v>193536.2</v>
      </c>
      <c r="D47" s="8">
        <f t="shared" ref="D47:O47" si="32">+D48+D49</f>
        <v>212199</v>
      </c>
      <c r="E47" s="75">
        <f t="shared" si="32"/>
        <v>169719.1</v>
      </c>
      <c r="F47" s="8">
        <f t="shared" si="32"/>
        <v>159515.70000000001</v>
      </c>
      <c r="G47" s="8">
        <f t="shared" si="32"/>
        <v>182257.69999999998</v>
      </c>
      <c r="H47" s="8">
        <f t="shared" si="32"/>
        <v>191748.23131659001</v>
      </c>
      <c r="I47" s="8">
        <f t="shared" si="32"/>
        <v>185855.10717401002</v>
      </c>
      <c r="J47" s="8">
        <f t="shared" si="32"/>
        <v>229761.91826749998</v>
      </c>
      <c r="K47" s="8">
        <f t="shared" si="32"/>
        <v>223436.12211150001</v>
      </c>
      <c r="L47" s="8">
        <f t="shared" si="32"/>
        <v>271262.64920219005</v>
      </c>
      <c r="M47" s="8">
        <f t="shared" si="32"/>
        <v>315674.98964653997</v>
      </c>
      <c r="N47" s="8">
        <f t="shared" si="32"/>
        <v>377352.58122752997</v>
      </c>
      <c r="O47" s="8">
        <f t="shared" si="32"/>
        <v>477413.30043612997</v>
      </c>
      <c r="P47" s="8">
        <f t="shared" ref="P47:V47" si="33">+P48+P49</f>
        <v>580258.69789186004</v>
      </c>
      <c r="Q47" s="8">
        <f t="shared" si="33"/>
        <v>689288.63838559005</v>
      </c>
      <c r="R47" s="8">
        <f t="shared" si="33"/>
        <v>759597.68835981004</v>
      </c>
      <c r="S47" s="8">
        <f t="shared" si="33"/>
        <v>809873.13240263006</v>
      </c>
      <c r="T47" s="8">
        <f t="shared" si="33"/>
        <v>893245.71711779991</v>
      </c>
      <c r="U47" s="8">
        <f t="shared" si="33"/>
        <v>978737.76055960008</v>
      </c>
      <c r="V47" s="8">
        <f t="shared" si="33"/>
        <v>927506.41816170001</v>
      </c>
      <c r="W47" s="8">
        <f>+W48+W49</f>
        <v>982950.29253215005</v>
      </c>
      <c r="X47" s="106">
        <f t="shared" si="8"/>
        <v>9.6430538576245617E-2</v>
      </c>
      <c r="Y47" s="106">
        <f t="shared" si="31"/>
        <v>-0.2001889735578396</v>
      </c>
      <c r="Z47" s="106">
        <f t="shared" si="31"/>
        <v>-6.011933836556993E-2</v>
      </c>
      <c r="AA47" s="106">
        <f t="shared" si="31"/>
        <v>0.14256903865889048</v>
      </c>
      <c r="AB47" s="106">
        <f t="shared" si="31"/>
        <v>5.2072045881134343E-2</v>
      </c>
      <c r="AC47" s="106">
        <f t="shared" si="31"/>
        <v>-3.0733655805408877E-2</v>
      </c>
      <c r="AD47" s="106">
        <f t="shared" si="31"/>
        <v>0.23624215530639936</v>
      </c>
      <c r="AE47" s="106">
        <f t="shared" si="31"/>
        <v>-2.7531960925897048E-2</v>
      </c>
      <c r="AF47" s="106">
        <f t="shared" si="31"/>
        <v>0.21405011257232376</v>
      </c>
      <c r="AG47" s="106">
        <f t="shared" si="31"/>
        <v>0.1637244957054389</v>
      </c>
      <c r="AH47" s="106">
        <f t="shared" si="31"/>
        <v>0.19538320615785931</v>
      </c>
      <c r="AI47" s="106">
        <f t="shared" si="31"/>
        <v>0.26516505832052872</v>
      </c>
      <c r="AJ47" s="106">
        <f t="shared" si="31"/>
        <v>0.21542214546971783</v>
      </c>
      <c r="AK47" s="106">
        <f t="shared" si="31"/>
        <v>0.18789884734144802</v>
      </c>
      <c r="AL47" s="106">
        <f t="shared" si="31"/>
        <v>0.10200233408589687</v>
      </c>
      <c r="AM47" s="106">
        <f t="shared" si="31"/>
        <v>6.6186936602425916E-2</v>
      </c>
      <c r="AN47" s="106">
        <f t="shared" si="31"/>
        <v>0.10294524090190582</v>
      </c>
      <c r="AO47" s="106">
        <f t="shared" si="31"/>
        <v>9.5709435604856674E-2</v>
      </c>
      <c r="AP47" s="106">
        <f t="shared" si="31"/>
        <v>-5.2344299425627794E-2</v>
      </c>
      <c r="AQ47" s="106">
        <f t="shared" si="31"/>
        <v>5.9777348474136405E-2</v>
      </c>
    </row>
    <row r="48" spans="1:44">
      <c r="B48" s="1" t="s">
        <v>7</v>
      </c>
      <c r="C48" s="2">
        <v>150801.5</v>
      </c>
      <c r="D48" s="2">
        <v>168728.1</v>
      </c>
      <c r="E48" s="74">
        <v>128142.6</v>
      </c>
      <c r="F48" s="2">
        <v>116852.8</v>
      </c>
      <c r="G48" s="2">
        <v>148976.79999999999</v>
      </c>
      <c r="H48" s="2">
        <v>159804.09681169002</v>
      </c>
      <c r="I48" s="2">
        <v>159892.87582516001</v>
      </c>
      <c r="J48" s="2">
        <v>209684.99147036998</v>
      </c>
      <c r="K48" s="2">
        <v>183469.86468914003</v>
      </c>
      <c r="L48" s="2">
        <v>216379.18231705003</v>
      </c>
      <c r="M48" s="2">
        <v>227775.13835606998</v>
      </c>
      <c r="N48" s="2">
        <v>282954.61334455997</v>
      </c>
      <c r="O48" s="2">
        <v>379071.33073850995</v>
      </c>
      <c r="P48" s="2">
        <v>469839.26206177997</v>
      </c>
      <c r="Q48" s="2">
        <v>579723.21574582008</v>
      </c>
      <c r="R48" s="2">
        <v>637227.3962627101</v>
      </c>
      <c r="S48" s="2">
        <v>674963.83475802001</v>
      </c>
      <c r="T48" s="2">
        <v>720766.72386209993</v>
      </c>
      <c r="U48" s="2">
        <v>747636.13295201003</v>
      </c>
      <c r="V48" s="2">
        <v>712988.19669869007</v>
      </c>
      <c r="W48" s="2">
        <v>790433.73345672002</v>
      </c>
      <c r="X48" s="103">
        <f t="shared" si="8"/>
        <v>0.11887547537657128</v>
      </c>
      <c r="Y48" s="103">
        <f t="shared" si="31"/>
        <v>-0.2405378831386118</v>
      </c>
      <c r="Z48" s="103">
        <f t="shared" si="31"/>
        <v>-8.8103409795025289E-2</v>
      </c>
      <c r="AA48" s="103">
        <f t="shared" si="31"/>
        <v>0.27490997220434576</v>
      </c>
      <c r="AB48" s="103">
        <f t="shared" si="31"/>
        <v>7.2677737820184385E-2</v>
      </c>
      <c r="AC48" s="103">
        <f t="shared" si="31"/>
        <v>5.5554904562060692E-4</v>
      </c>
      <c r="AD48" s="103">
        <f t="shared" si="31"/>
        <v>0.31140921938046051</v>
      </c>
      <c r="AE48" s="103">
        <f t="shared" si="31"/>
        <v>-0.12502147434302346</v>
      </c>
      <c r="AF48" s="103">
        <f t="shared" si="31"/>
        <v>0.17937178775200779</v>
      </c>
      <c r="AG48" s="103">
        <f t="shared" si="31"/>
        <v>5.266660090397246E-2</v>
      </c>
      <c r="AH48" s="103">
        <f t="shared" si="31"/>
        <v>0.24225416077776907</v>
      </c>
      <c r="AI48" s="103">
        <f t="shared" si="31"/>
        <v>0.33968952213868508</v>
      </c>
      <c r="AJ48" s="103">
        <f t="shared" si="31"/>
        <v>0.23944815648926854</v>
      </c>
      <c r="AK48" s="103">
        <f t="shared" si="31"/>
        <v>0.23387563057595484</v>
      </c>
      <c r="AL48" s="103">
        <f t="shared" si="31"/>
        <v>9.9192474882880521E-2</v>
      </c>
      <c r="AM48" s="103">
        <f t="shared" si="31"/>
        <v>5.9219736496941566E-2</v>
      </c>
      <c r="AN48" s="103">
        <f t="shared" si="31"/>
        <v>6.7859767805930948E-2</v>
      </c>
      <c r="AO48" s="103">
        <f t="shared" si="31"/>
        <v>3.7278925622336034E-2</v>
      </c>
      <c r="AP48" s="103">
        <f t="shared" si="31"/>
        <v>-4.6343314249023826E-2</v>
      </c>
      <c r="AQ48" s="103">
        <f>+W48/V48-1</f>
        <v>0.10862106429899088</v>
      </c>
    </row>
    <row r="49" spans="1:44">
      <c r="B49" s="1" t="s">
        <v>8</v>
      </c>
      <c r="C49" s="2">
        <v>42734.7</v>
      </c>
      <c r="D49" s="2">
        <v>43470.9</v>
      </c>
      <c r="E49" s="74">
        <v>41576.5</v>
      </c>
      <c r="F49" s="2">
        <v>42662.9</v>
      </c>
      <c r="G49" s="2">
        <v>33280.9</v>
      </c>
      <c r="H49" s="2">
        <v>31944.134504899997</v>
      </c>
      <c r="I49" s="2">
        <v>25962.23134885</v>
      </c>
      <c r="J49" s="2">
        <v>20076.92679713</v>
      </c>
      <c r="K49" s="2">
        <v>39966.257422359995</v>
      </c>
      <c r="L49" s="2">
        <v>54883.466885140006</v>
      </c>
      <c r="M49" s="2">
        <v>87899.851290469989</v>
      </c>
      <c r="N49" s="2">
        <v>94397.967882969999</v>
      </c>
      <c r="O49" s="2">
        <v>98341.969697620007</v>
      </c>
      <c r="P49" s="2">
        <v>110419.43583008001</v>
      </c>
      <c r="Q49" s="2">
        <v>109565.42263977</v>
      </c>
      <c r="R49" s="2">
        <v>122370.2920971</v>
      </c>
      <c r="S49" s="2">
        <v>134909.29764460999</v>
      </c>
      <c r="T49" s="2">
        <v>172478.99325569998</v>
      </c>
      <c r="U49" s="2">
        <v>231101.62760759</v>
      </c>
      <c r="V49" s="2">
        <v>214518.22146300998</v>
      </c>
      <c r="W49" s="2">
        <v>192516.55907543001</v>
      </c>
      <c r="X49" s="103">
        <f t="shared" si="8"/>
        <v>1.722721816228967E-2</v>
      </c>
      <c r="Y49" s="103">
        <f t="shared" si="31"/>
        <v>-4.3578577853230605E-2</v>
      </c>
      <c r="Z49" s="103">
        <f t="shared" si="31"/>
        <v>2.6130145635154589E-2</v>
      </c>
      <c r="AA49" s="103">
        <f t="shared" si="31"/>
        <v>-0.21991003893312455</v>
      </c>
      <c r="AB49" s="103">
        <f t="shared" si="31"/>
        <v>-4.0166146200974251E-2</v>
      </c>
      <c r="AC49" s="103">
        <f t="shared" si="31"/>
        <v>-0.18726139395426156</v>
      </c>
      <c r="AD49" s="103">
        <f t="shared" si="31"/>
        <v>-0.22668716231051889</v>
      </c>
      <c r="AE49" s="103">
        <f t="shared" si="31"/>
        <v>0.99065613110036232</v>
      </c>
      <c r="AF49" s="103">
        <f t="shared" si="31"/>
        <v>0.37324509285761276</v>
      </c>
      <c r="AG49" s="103">
        <f t="shared" si="31"/>
        <v>0.60157250041121846</v>
      </c>
      <c r="AH49" s="103">
        <f t="shared" si="31"/>
        <v>7.3926366166725543E-2</v>
      </c>
      <c r="AI49" s="103">
        <f t="shared" si="31"/>
        <v>4.178057963641324E-2</v>
      </c>
      <c r="AJ49" s="103">
        <f t="shared" si="31"/>
        <v>0.12281090331620947</v>
      </c>
      <c r="AK49" s="103">
        <f t="shared" si="31"/>
        <v>-7.7342651127489948E-3</v>
      </c>
      <c r="AL49" s="103">
        <f t="shared" si="31"/>
        <v>0.11686962135335288</v>
      </c>
      <c r="AM49" s="103">
        <f t="shared" si="31"/>
        <v>0.10246772588857089</v>
      </c>
      <c r="AN49" s="103">
        <f t="shared" si="31"/>
        <v>0.27848114449501771</v>
      </c>
      <c r="AO49" s="103">
        <f t="shared" si="31"/>
        <v>0.33988274888050851</v>
      </c>
      <c r="AP49" s="103">
        <f t="shared" si="31"/>
        <v>-7.1758067289506955E-2</v>
      </c>
      <c r="AQ49" s="103">
        <f>+W49/V49-1</f>
        <v>-0.10256314003318256</v>
      </c>
    </row>
    <row r="50" spans="1:44">
      <c r="C50" s="2"/>
      <c r="D50" s="2"/>
      <c r="E50" s="74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</row>
    <row r="51" spans="1:44">
      <c r="B51" s="1" t="s">
        <v>120</v>
      </c>
      <c r="C51" s="8">
        <f>+C52+C53+C54+C55</f>
        <v>189199.7</v>
      </c>
      <c r="D51" s="8">
        <f t="shared" ref="D51:O51" si="34">+D52+D53+D54+D55</f>
        <v>247778.79999999996</v>
      </c>
      <c r="E51" s="75">
        <f t="shared" si="34"/>
        <v>312615.13066666998</v>
      </c>
      <c r="F51" s="8">
        <f t="shared" si="34"/>
        <v>394531.7</v>
      </c>
      <c r="G51" s="8">
        <f t="shared" si="34"/>
        <v>535304.80000000005</v>
      </c>
      <c r="H51" s="8">
        <f t="shared" si="34"/>
        <v>590704.92508009996</v>
      </c>
      <c r="I51" s="8">
        <f t="shared" si="34"/>
        <v>668870.33080716</v>
      </c>
      <c r="J51" s="8">
        <f t="shared" si="34"/>
        <v>738309.6763390199</v>
      </c>
      <c r="K51" s="8">
        <f t="shared" si="34"/>
        <v>812632.87005542999</v>
      </c>
      <c r="L51" s="8">
        <f t="shared" si="34"/>
        <v>868064.47594220005</v>
      </c>
      <c r="M51" s="8">
        <f t="shared" si="34"/>
        <v>918638.48969434993</v>
      </c>
      <c r="N51" s="8">
        <f t="shared" si="34"/>
        <v>1007497.0657225702</v>
      </c>
      <c r="O51" s="8">
        <f t="shared" si="34"/>
        <v>1077263.0821602601</v>
      </c>
      <c r="P51" s="8">
        <f t="shared" ref="P51:V51" si="35">+P52+P53+P54+P55</f>
        <v>1139767.8355804598</v>
      </c>
      <c r="Q51" s="8">
        <f t="shared" si="35"/>
        <v>1096635.6700184301</v>
      </c>
      <c r="R51" s="8">
        <f t="shared" si="35"/>
        <v>1040076.7744555499</v>
      </c>
      <c r="S51" s="8">
        <f t="shared" si="35"/>
        <v>1048931.0288599799</v>
      </c>
      <c r="T51" s="8">
        <f t="shared" si="35"/>
        <v>1097499.9690340902</v>
      </c>
      <c r="U51" s="8">
        <f t="shared" si="35"/>
        <v>1184840.1310552203</v>
      </c>
      <c r="V51" s="8">
        <f t="shared" si="35"/>
        <v>1204439.4897573898</v>
      </c>
      <c r="W51" s="8">
        <f>+W52+W53+W54+W55</f>
        <v>1144243.06420409</v>
      </c>
      <c r="X51" s="106">
        <f t="shared" si="8"/>
        <v>0.30961518437925606</v>
      </c>
      <c r="Y51" s="106">
        <f t="shared" ref="Y51:AQ55" si="36">+E51/D51-1</f>
        <v>0.26167021014981917</v>
      </c>
      <c r="Z51" s="106">
        <f t="shared" si="36"/>
        <v>0.26203648287476744</v>
      </c>
      <c r="AA51" s="106">
        <f t="shared" si="36"/>
        <v>0.35681061876650233</v>
      </c>
      <c r="AB51" s="106">
        <f t="shared" si="36"/>
        <v>0.10349267385627758</v>
      </c>
      <c r="AC51" s="106">
        <f t="shared" si="36"/>
        <v>0.13232563740087455</v>
      </c>
      <c r="AD51" s="106">
        <f t="shared" si="36"/>
        <v>0.10381585538121252</v>
      </c>
      <c r="AE51" s="106">
        <f t="shared" si="36"/>
        <v>0.10066669325661404</v>
      </c>
      <c r="AF51" s="106">
        <f t="shared" si="36"/>
        <v>6.821236000826425E-2</v>
      </c>
      <c r="AG51" s="106">
        <f t="shared" si="36"/>
        <v>5.8260665139253209E-2</v>
      </c>
      <c r="AH51" s="106">
        <f t="shared" si="36"/>
        <v>9.6728557561076345E-2</v>
      </c>
      <c r="AI51" s="106">
        <f t="shared" si="36"/>
        <v>6.9246868116339622E-2</v>
      </c>
      <c r="AJ51" s="106">
        <f t="shared" si="36"/>
        <v>5.8021809579566597E-2</v>
      </c>
      <c r="AK51" s="106">
        <f t="shared" si="36"/>
        <v>-3.7842939777348095E-2</v>
      </c>
      <c r="AL51" s="106">
        <f t="shared" si="36"/>
        <v>-5.1574918734797026E-2</v>
      </c>
      <c r="AM51" s="106">
        <f t="shared" si="36"/>
        <v>8.513077709157546E-3</v>
      </c>
      <c r="AN51" s="106">
        <f t="shared" si="36"/>
        <v>4.630327336859974E-2</v>
      </c>
      <c r="AO51" s="106">
        <f t="shared" si="36"/>
        <v>7.9581015476472672E-2</v>
      </c>
      <c r="AP51" s="106">
        <f t="shared" si="36"/>
        <v>1.6541774867731895E-2</v>
      </c>
      <c r="AQ51" s="106">
        <f t="shared" si="36"/>
        <v>-4.997878769769093E-2</v>
      </c>
      <c r="AR51" s="2"/>
    </row>
    <row r="52" spans="1:44">
      <c r="B52" s="1" t="s">
        <v>10</v>
      </c>
      <c r="C52" s="2">
        <v>99590.8</v>
      </c>
      <c r="D52" s="2">
        <v>120427.4</v>
      </c>
      <c r="E52" s="74">
        <v>135455.73066666999</v>
      </c>
      <c r="F52" s="2">
        <v>157123.6</v>
      </c>
      <c r="G52" s="2">
        <v>179052.9</v>
      </c>
      <c r="H52" s="2">
        <v>195657.20838870999</v>
      </c>
      <c r="I52" s="2">
        <v>207945.13183767998</v>
      </c>
      <c r="J52" s="2">
        <v>230138.59765158</v>
      </c>
      <c r="K52" s="2">
        <v>255646.28242130001</v>
      </c>
      <c r="L52" s="2">
        <v>272146.14762655005</v>
      </c>
      <c r="M52" s="2">
        <v>280281.97744774999</v>
      </c>
      <c r="N52" s="2">
        <v>302373.85219900997</v>
      </c>
      <c r="O52" s="2">
        <v>316386.05652042001</v>
      </c>
      <c r="P52" s="2">
        <v>325946.56846309995</v>
      </c>
      <c r="Q52" s="2">
        <v>357238.45657687</v>
      </c>
      <c r="R52" s="2">
        <v>367432.73050907993</v>
      </c>
      <c r="S52" s="2">
        <v>374814.67263307993</v>
      </c>
      <c r="T52" s="2">
        <v>375926.86906755005</v>
      </c>
      <c r="U52" s="2">
        <v>380784.42831263004</v>
      </c>
      <c r="V52" s="2">
        <v>385561.89215726004</v>
      </c>
      <c r="W52" s="2">
        <v>378341.38709410996</v>
      </c>
      <c r="X52" s="103">
        <f t="shared" si="8"/>
        <v>0.20922213698454062</v>
      </c>
      <c r="Y52" s="103">
        <f t="shared" si="36"/>
        <v>0.12479162272597422</v>
      </c>
      <c r="Z52" s="103">
        <f t="shared" si="36"/>
        <v>0.15996273636181835</v>
      </c>
      <c r="AA52" s="103">
        <f t="shared" si="36"/>
        <v>0.13956719423434794</v>
      </c>
      <c r="AB52" s="103">
        <f t="shared" si="36"/>
        <v>9.2734093604236456E-2</v>
      </c>
      <c r="AC52" s="103">
        <f t="shared" si="36"/>
        <v>6.2803326032116802E-2</v>
      </c>
      <c r="AD52" s="103">
        <f t="shared" si="36"/>
        <v>0.10672750844306389</v>
      </c>
      <c r="AE52" s="103">
        <f t="shared" si="36"/>
        <v>0.11083618754094249</v>
      </c>
      <c r="AF52" s="103">
        <f t="shared" si="36"/>
        <v>6.4541776430210751E-2</v>
      </c>
      <c r="AG52" s="103">
        <f t="shared" si="36"/>
        <v>2.9895076201351456E-2</v>
      </c>
      <c r="AH52" s="103">
        <f t="shared" si="36"/>
        <v>7.882017585443335E-2</v>
      </c>
      <c r="AI52" s="103">
        <f t="shared" si="36"/>
        <v>4.6340661467605404E-2</v>
      </c>
      <c r="AJ52" s="103">
        <f t="shared" si="36"/>
        <v>3.0217867524964248E-2</v>
      </c>
      <c r="AK52" s="103">
        <f t="shared" si="36"/>
        <v>9.6003121804034475E-2</v>
      </c>
      <c r="AL52" s="103">
        <f t="shared" si="36"/>
        <v>2.8536328451011395E-2</v>
      </c>
      <c r="AM52" s="103">
        <f t="shared" si="36"/>
        <v>2.0090594851940091E-2</v>
      </c>
      <c r="AN52" s="103">
        <f t="shared" si="36"/>
        <v>2.9673236286533733E-3</v>
      </c>
      <c r="AO52" s="103">
        <f t="shared" si="36"/>
        <v>1.2921553750942838E-2</v>
      </c>
      <c r="AP52" s="103">
        <f t="shared" si="36"/>
        <v>1.2546373983306935E-2</v>
      </c>
      <c r="AQ52" s="103">
        <f>+W52/V52-1</f>
        <v>-1.8727226964134314E-2</v>
      </c>
      <c r="AR52" s="2"/>
    </row>
    <row r="53" spans="1:44">
      <c r="B53" s="1" t="s">
        <v>11</v>
      </c>
      <c r="C53" s="2">
        <v>88217.8</v>
      </c>
      <c r="D53" s="2">
        <v>124521.7</v>
      </c>
      <c r="E53" s="74">
        <v>174403.09999999998</v>
      </c>
      <c r="F53" s="2">
        <v>233629.8</v>
      </c>
      <c r="G53" s="2">
        <v>351629.4</v>
      </c>
      <c r="H53" s="2">
        <v>390826.3532677</v>
      </c>
      <c r="I53" s="2">
        <v>457572.77277581999</v>
      </c>
      <c r="J53" s="2">
        <v>504428.97798883996</v>
      </c>
      <c r="K53" s="2">
        <v>548483.7135977</v>
      </c>
      <c r="L53" s="2">
        <v>590366.99044097005</v>
      </c>
      <c r="M53" s="2">
        <v>629227.95375123003</v>
      </c>
      <c r="N53" s="2">
        <v>683082.25024594017</v>
      </c>
      <c r="O53" s="2">
        <v>744213.79427442979</v>
      </c>
      <c r="P53" s="2">
        <v>805791.87915597996</v>
      </c>
      <c r="Q53" s="2">
        <v>705523.54669559014</v>
      </c>
      <c r="R53" s="2">
        <v>669510.70524102997</v>
      </c>
      <c r="S53" s="2">
        <v>671334.18173364992</v>
      </c>
      <c r="T53" s="2">
        <v>697282.99474461004</v>
      </c>
      <c r="U53" s="2">
        <v>799955.38819766999</v>
      </c>
      <c r="V53" s="2">
        <v>811897.77289219969</v>
      </c>
      <c r="W53" s="2">
        <v>761863.49301422993</v>
      </c>
      <c r="X53" s="103">
        <f t="shared" si="8"/>
        <v>0.41152579184699678</v>
      </c>
      <c r="Y53" s="103">
        <f t="shared" si="36"/>
        <v>0.40058399459692562</v>
      </c>
      <c r="Z53" s="103">
        <f t="shared" si="36"/>
        <v>0.33959660120720336</v>
      </c>
      <c r="AA53" s="103">
        <f t="shared" si="36"/>
        <v>0.5050708428462467</v>
      </c>
      <c r="AB53" s="103">
        <f t="shared" si="36"/>
        <v>0.11147234351763524</v>
      </c>
      <c r="AC53" s="103">
        <f t="shared" si="36"/>
        <v>0.17078280149240976</v>
      </c>
      <c r="AD53" s="103">
        <f t="shared" si="36"/>
        <v>0.10240164625349424</v>
      </c>
      <c r="AE53" s="103">
        <f t="shared" si="36"/>
        <v>8.7335854067120522E-2</v>
      </c>
      <c r="AF53" s="103">
        <f t="shared" si="36"/>
        <v>7.6361933462969711E-2</v>
      </c>
      <c r="AG53" s="103">
        <f t="shared" si="36"/>
        <v>6.5825095134863565E-2</v>
      </c>
      <c r="AH53" s="103">
        <f t="shared" si="36"/>
        <v>8.5587895727852192E-2</v>
      </c>
      <c r="AI53" s="103">
        <f t="shared" si="36"/>
        <v>8.9493679577356211E-2</v>
      </c>
      <c r="AJ53" s="103">
        <f t="shared" si="36"/>
        <v>8.274246641932459E-2</v>
      </c>
      <c r="AK53" s="103">
        <f t="shared" si="36"/>
        <v>-0.12443452838643032</v>
      </c>
      <c r="AL53" s="103">
        <f t="shared" si="36"/>
        <v>-5.1044138247732351E-2</v>
      </c>
      <c r="AM53" s="103">
        <f t="shared" si="36"/>
        <v>2.7235957219884366E-3</v>
      </c>
      <c r="AN53" s="103">
        <f t="shared" si="36"/>
        <v>3.8652602112334122E-2</v>
      </c>
      <c r="AO53" s="103">
        <f t="shared" si="36"/>
        <v>0.14724637518324268</v>
      </c>
      <c r="AP53" s="103">
        <f t="shared" si="36"/>
        <v>1.4928813369750937E-2</v>
      </c>
      <c r="AQ53" s="103">
        <f>+W53/V53-1</f>
        <v>-6.1626329752986209E-2</v>
      </c>
      <c r="AR53" s="2"/>
    </row>
    <row r="54" spans="1:44">
      <c r="B54" s="1" t="s">
        <v>12</v>
      </c>
      <c r="C54" s="2">
        <v>1051.5999999999999</v>
      </c>
      <c r="D54" s="2">
        <v>1517.3</v>
      </c>
      <c r="E54" s="74">
        <v>1810.1</v>
      </c>
      <c r="F54" s="2">
        <v>1857.3</v>
      </c>
      <c r="G54" s="2">
        <v>2471.5</v>
      </c>
      <c r="H54" s="2">
        <v>2389.2256975400001</v>
      </c>
      <c r="I54" s="2">
        <v>1912.67730164</v>
      </c>
      <c r="J54" s="2">
        <v>2092.3264045200003</v>
      </c>
      <c r="K54" s="2">
        <v>2927.3931608500002</v>
      </c>
      <c r="L54" s="2">
        <v>2309.6184045399996</v>
      </c>
      <c r="M54" s="2">
        <v>1584.1309703699999</v>
      </c>
      <c r="N54" s="2">
        <v>2744.8709669100003</v>
      </c>
      <c r="O54" s="2">
        <v>2337.8658654099995</v>
      </c>
      <c r="P54" s="2">
        <v>2372.4319613799994</v>
      </c>
      <c r="Q54" s="2">
        <v>2482.7917459699997</v>
      </c>
      <c r="R54" s="2">
        <v>3133.3387054399991</v>
      </c>
      <c r="S54" s="2">
        <v>2779.8307432499996</v>
      </c>
      <c r="T54" s="2">
        <v>4325.3631988299994</v>
      </c>
      <c r="U54" s="2">
        <v>4088.5889454499998</v>
      </c>
      <c r="V54" s="2">
        <v>6842.4045805699998</v>
      </c>
      <c r="W54" s="2">
        <v>4038.1840957499981</v>
      </c>
      <c r="X54" s="103">
        <f t="shared" si="8"/>
        <v>0.44284899201217209</v>
      </c>
      <c r="Y54" s="103">
        <f t="shared" si="36"/>
        <v>0.19297436235418175</v>
      </c>
      <c r="Z54" s="103">
        <f t="shared" si="36"/>
        <v>2.6075907408430465E-2</v>
      </c>
      <c r="AA54" s="103">
        <f t="shared" si="36"/>
        <v>0.3306950950304206</v>
      </c>
      <c r="AB54" s="103">
        <f t="shared" si="36"/>
        <v>-3.3289218069997961E-2</v>
      </c>
      <c r="AC54" s="103">
        <f t="shared" si="36"/>
        <v>-0.19945725361595801</v>
      </c>
      <c r="AD54" s="103">
        <f t="shared" si="36"/>
        <v>9.3925463916972651E-2</v>
      </c>
      <c r="AE54" s="103">
        <f t="shared" si="36"/>
        <v>0.39910921858369042</v>
      </c>
      <c r="AF54" s="103">
        <f t="shared" si="36"/>
        <v>-0.21103238354585174</v>
      </c>
      <c r="AG54" s="103">
        <f t="shared" si="36"/>
        <v>-0.31411571398284432</v>
      </c>
      <c r="AH54" s="103">
        <f t="shared" si="36"/>
        <v>0.73272981732620912</v>
      </c>
      <c r="AI54" s="103">
        <f t="shared" si="36"/>
        <v>-0.14827840958884164</v>
      </c>
      <c r="AJ54" s="103">
        <f t="shared" si="36"/>
        <v>1.4785320441785821E-2</v>
      </c>
      <c r="AK54" s="103">
        <f t="shared" si="36"/>
        <v>4.6517576219891277E-2</v>
      </c>
      <c r="AL54" s="103">
        <f t="shared" si="36"/>
        <v>0.26202236273982682</v>
      </c>
      <c r="AM54" s="103">
        <f t="shared" si="36"/>
        <v>-0.11282149662794216</v>
      </c>
      <c r="AN54" s="103">
        <f t="shared" si="36"/>
        <v>0.55598077664723666</v>
      </c>
      <c r="AO54" s="103">
        <f t="shared" si="36"/>
        <v>-5.4740895156283442E-2</v>
      </c>
      <c r="AP54" s="103">
        <f t="shared" si="36"/>
        <v>0.67353692725325032</v>
      </c>
      <c r="AQ54" s="103">
        <f t="shared" si="36"/>
        <v>-0.40982968075038895</v>
      </c>
    </row>
    <row r="55" spans="1:44">
      <c r="B55" s="24" t="s">
        <v>49</v>
      </c>
      <c r="C55" s="2">
        <v>339.5</v>
      </c>
      <c r="D55" s="2">
        <v>1312.4</v>
      </c>
      <c r="E55" s="74">
        <v>946.2</v>
      </c>
      <c r="F55" s="2">
        <v>1921</v>
      </c>
      <c r="G55" s="2">
        <v>2151</v>
      </c>
      <c r="H55" s="2">
        <v>1832.1377261500002</v>
      </c>
      <c r="I55" s="2">
        <v>1439.7488920200001</v>
      </c>
      <c r="J55" s="2">
        <v>1649.7742940799999</v>
      </c>
      <c r="K55" s="2">
        <v>5575.4808755799995</v>
      </c>
      <c r="L55" s="2">
        <v>3241.7194701399999</v>
      </c>
      <c r="M55" s="2">
        <v>7544.4275249999992</v>
      </c>
      <c r="N55" s="2">
        <v>19296.092310709999</v>
      </c>
      <c r="O55" s="2">
        <v>14325.3655</v>
      </c>
      <c r="P55" s="2">
        <v>5656.9560000000001</v>
      </c>
      <c r="Q55" s="2">
        <v>31390.875</v>
      </c>
      <c r="R55" s="2">
        <v>0</v>
      </c>
      <c r="S55" s="2">
        <v>2.34375</v>
      </c>
      <c r="T55" s="2">
        <v>19964.742023100003</v>
      </c>
      <c r="U55" s="2">
        <v>11.725599470000001</v>
      </c>
      <c r="V55" s="2">
        <v>137.42012736000001</v>
      </c>
      <c r="W55" s="2">
        <v>0</v>
      </c>
      <c r="X55" s="103">
        <f t="shared" si="8"/>
        <v>2.8656848306332847</v>
      </c>
      <c r="Y55" s="103">
        <f t="shared" si="36"/>
        <v>-0.27903078329777509</v>
      </c>
      <c r="Z55" s="103">
        <f t="shared" si="36"/>
        <v>1.0302261678292113</v>
      </c>
      <c r="AA55" s="103">
        <f t="shared" si="36"/>
        <v>0.11972930765226453</v>
      </c>
      <c r="AB55" s="103">
        <f t="shared" si="36"/>
        <v>-0.14823908593677348</v>
      </c>
      <c r="AC55" s="103">
        <f t="shared" si="36"/>
        <v>-0.21416994395642641</v>
      </c>
      <c r="AD55" s="103">
        <f t="shared" si="36"/>
        <v>0.14587641166045939</v>
      </c>
      <c r="AE55" s="103">
        <f t="shared" si="36"/>
        <v>2.3795416109869612</v>
      </c>
      <c r="AF55" s="103">
        <f t="shared" si="36"/>
        <v>-0.41857580673653116</v>
      </c>
      <c r="AG55" s="103">
        <f t="shared" si="36"/>
        <v>1.3272919185305625</v>
      </c>
      <c r="AH55" s="103">
        <f t="shared" si="36"/>
        <v>1.5576615650118528</v>
      </c>
      <c r="AI55" s="103">
        <f t="shared" si="36"/>
        <v>-0.2576027690306536</v>
      </c>
      <c r="AJ55" s="103">
        <f t="shared" si="36"/>
        <v>-0.60510913316661974</v>
      </c>
      <c r="AK55" s="103">
        <f t="shared" si="36"/>
        <v>4.5490753330943354</v>
      </c>
      <c r="AL55" s="103">
        <f t="shared" si="36"/>
        <v>-1</v>
      </c>
      <c r="AM55" s="103" t="e">
        <f t="shared" si="36"/>
        <v>#DIV/0!</v>
      </c>
      <c r="AN55" s="103">
        <f t="shared" si="36"/>
        <v>8517.2899298560005</v>
      </c>
      <c r="AO55" s="103">
        <f t="shared" si="36"/>
        <v>-0.99941268464894595</v>
      </c>
      <c r="AP55" s="103">
        <f t="shared" si="36"/>
        <v>10.719667528435542</v>
      </c>
      <c r="AQ55" s="103">
        <f t="shared" si="36"/>
        <v>-1</v>
      </c>
    </row>
    <row r="56" spans="1:44">
      <c r="C56" s="2"/>
      <c r="D56" s="2"/>
      <c r="E56" s="74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</row>
    <row r="57" spans="1:44">
      <c r="A57" s="9"/>
      <c r="B57" s="22" t="s">
        <v>13</v>
      </c>
      <c r="C57" s="31">
        <f>+C59+C60</f>
        <v>27839.899999999998</v>
      </c>
      <c r="D57" s="31">
        <f t="shared" ref="D57:O57" si="37">+D59+D60</f>
        <v>42531.8</v>
      </c>
      <c r="E57" s="76">
        <f t="shared" si="37"/>
        <v>78834.5</v>
      </c>
      <c r="F57" s="31">
        <f t="shared" si="37"/>
        <v>94420.4</v>
      </c>
      <c r="G57" s="31">
        <f t="shared" si="37"/>
        <v>102711.6</v>
      </c>
      <c r="H57" s="31">
        <f t="shared" si="37"/>
        <v>100095.01983430999</v>
      </c>
      <c r="I57" s="31">
        <f t="shared" si="37"/>
        <v>88324.219872780013</v>
      </c>
      <c r="J57" s="31">
        <f t="shared" si="37"/>
        <v>123268.66774359999</v>
      </c>
      <c r="K57" s="31">
        <f t="shared" si="37"/>
        <v>149248.88783377002</v>
      </c>
      <c r="L57" s="31">
        <f t="shared" si="37"/>
        <v>172035.28608376</v>
      </c>
      <c r="M57" s="31">
        <f t="shared" si="37"/>
        <v>115777.58843503</v>
      </c>
      <c r="N57" s="31">
        <f t="shared" si="37"/>
        <v>188451.75062650003</v>
      </c>
      <c r="O57" s="31">
        <f t="shared" si="37"/>
        <v>170413.83333771999</v>
      </c>
      <c r="P57" s="31">
        <f t="shared" ref="P57:W57" si="38">+P59+P60</f>
        <v>223916.28913786999</v>
      </c>
      <c r="Q57" s="31">
        <f t="shared" si="38"/>
        <v>143059.04202858999</v>
      </c>
      <c r="R57" s="31">
        <f t="shared" si="38"/>
        <v>215763.32812946002</v>
      </c>
      <c r="S57" s="31">
        <f t="shared" si="38"/>
        <v>159478.61069762998</v>
      </c>
      <c r="T57" s="31">
        <f t="shared" si="38"/>
        <v>190919.87705342998</v>
      </c>
      <c r="U57" s="31">
        <f t="shared" si="38"/>
        <v>226196.58567179</v>
      </c>
      <c r="V57" s="31">
        <f t="shared" si="38"/>
        <v>214135.98818807001</v>
      </c>
      <c r="W57" s="31">
        <f t="shared" si="38"/>
        <v>242413.21318997999</v>
      </c>
      <c r="X57" s="102">
        <f t="shared" si="8"/>
        <v>0.52772818867883897</v>
      </c>
      <c r="Y57" s="102">
        <f t="shared" ref="Y57:AQ57" si="39">+E57/D57-1</f>
        <v>0.85354252582773338</v>
      </c>
      <c r="Z57" s="102">
        <f t="shared" si="39"/>
        <v>0.19770405089142429</v>
      </c>
      <c r="AA57" s="102">
        <f t="shared" si="39"/>
        <v>8.7811532253623259E-2</v>
      </c>
      <c r="AB57" s="102">
        <f t="shared" si="39"/>
        <v>-2.5475020987795083E-2</v>
      </c>
      <c r="AC57" s="102">
        <f t="shared" si="39"/>
        <v>-0.11759625984404121</v>
      </c>
      <c r="AD57" s="102">
        <f t="shared" si="39"/>
        <v>0.39563834156874611</v>
      </c>
      <c r="AE57" s="102">
        <f t="shared" si="39"/>
        <v>0.21076093840982479</v>
      </c>
      <c r="AF57" s="102">
        <f t="shared" si="39"/>
        <v>0.15267382277159047</v>
      </c>
      <c r="AG57" s="102">
        <f t="shared" si="39"/>
        <v>-0.32701255032842169</v>
      </c>
      <c r="AH57" s="102">
        <f t="shared" si="39"/>
        <v>0.62770492263493649</v>
      </c>
      <c r="AI57" s="102">
        <f t="shared" si="39"/>
        <v>-9.5716368931642926E-2</v>
      </c>
      <c r="AJ57" s="102">
        <f t="shared" si="39"/>
        <v>0.31395606068036019</v>
      </c>
      <c r="AK57" s="102">
        <f t="shared" si="39"/>
        <v>-0.36110480135500322</v>
      </c>
      <c r="AL57" s="102">
        <f t="shared" si="39"/>
        <v>0.50821174998739505</v>
      </c>
      <c r="AM57" s="102">
        <f t="shared" si="39"/>
        <v>-0.26086322416225749</v>
      </c>
      <c r="AN57" s="102">
        <f t="shared" si="39"/>
        <v>0.19715036529514518</v>
      </c>
      <c r="AO57" s="102">
        <f t="shared" si="39"/>
        <v>0.18477232000567256</v>
      </c>
      <c r="AP57" s="102">
        <f t="shared" si="39"/>
        <v>-5.3319096076984374E-2</v>
      </c>
      <c r="AQ57" s="102">
        <f t="shared" si="39"/>
        <v>0.13205265140708078</v>
      </c>
    </row>
    <row r="58" spans="1:44">
      <c r="C58" s="2"/>
      <c r="D58" s="2"/>
      <c r="E58" s="74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</row>
    <row r="59" spans="1:44">
      <c r="B59" s="1" t="s">
        <v>84</v>
      </c>
      <c r="C59" s="2">
        <v>5011.7</v>
      </c>
      <c r="D59" s="2">
        <v>8734.6</v>
      </c>
      <c r="E59" s="74">
        <v>12013.1</v>
      </c>
      <c r="F59" s="2">
        <v>18394.8</v>
      </c>
      <c r="G59" s="2">
        <v>16185.100000000002</v>
      </c>
      <c r="H59" s="2">
        <v>14344.684510979998</v>
      </c>
      <c r="I59" s="2">
        <v>12190.83018257</v>
      </c>
      <c r="J59" s="2">
        <v>14966.126153950001</v>
      </c>
      <c r="K59" s="2">
        <v>22723.494952790003</v>
      </c>
      <c r="L59" s="2">
        <v>19575.653140829996</v>
      </c>
      <c r="M59" s="2">
        <v>19381.888774329997</v>
      </c>
      <c r="N59" s="2">
        <v>20437.303839050001</v>
      </c>
      <c r="O59" s="2">
        <v>16924.652173070001</v>
      </c>
      <c r="P59" s="2">
        <v>12027.103101650002</v>
      </c>
      <c r="Q59" s="2">
        <v>15494.453375359999</v>
      </c>
      <c r="R59" s="2">
        <v>92709.643312730012</v>
      </c>
      <c r="S59" s="2">
        <v>61041.877656819997</v>
      </c>
      <c r="T59" s="2">
        <v>93433.538443689977</v>
      </c>
      <c r="U59" s="2">
        <v>75040.628474879995</v>
      </c>
      <c r="V59" s="2">
        <v>67350.709754390002</v>
      </c>
      <c r="W59" s="2">
        <v>63844.319187690002</v>
      </c>
      <c r="X59" s="103">
        <f t="shared" si="8"/>
        <v>0.74284175030428812</v>
      </c>
      <c r="Y59" s="103">
        <f t="shared" ref="Y59:Y64" si="40">+E59/D59-1</f>
        <v>0.37534632381562982</v>
      </c>
      <c r="Z59" s="103">
        <f t="shared" ref="Z59:Z64" si="41">+F59/E59-1</f>
        <v>0.53122840898685597</v>
      </c>
      <c r="AA59" s="103">
        <f t="shared" ref="AA59:AA64" si="42">+G59/F59-1</f>
        <v>-0.12012634005262346</v>
      </c>
      <c r="AB59" s="103">
        <f t="shared" ref="AB59:AB64" si="43">+H59/G59-1</f>
        <v>-0.11371047994884209</v>
      </c>
      <c r="AC59" s="103">
        <f t="shared" ref="AC59:AC64" si="44">+I59/H59-1</f>
        <v>-0.15014999645069582</v>
      </c>
      <c r="AD59" s="103">
        <f t="shared" ref="AD59:AD64" si="45">+J59/I59-1</f>
        <v>0.22765438692994167</v>
      </c>
      <c r="AE59" s="103">
        <f t="shared" ref="AE59:AE64" si="46">+K59/J59-1</f>
        <v>0.51832843843779863</v>
      </c>
      <c r="AF59" s="103">
        <f t="shared" ref="AF59:AF64" si="47">+L59/K59-1</f>
        <v>-0.13852806614915159</v>
      </c>
      <c r="AG59" s="103">
        <f t="shared" ref="AG59:AG64" si="48">+M59/L59-1</f>
        <v>-9.8982325190394294E-3</v>
      </c>
      <c r="AH59" s="103">
        <f t="shared" ref="AH59:AH64" si="49">+N59/M59-1</f>
        <v>5.4453674613891501E-2</v>
      </c>
      <c r="AI59" s="103">
        <f t="shared" ref="AI59:AI64" si="50">+O59/N59-1</f>
        <v>-0.1718745140573924</v>
      </c>
      <c r="AJ59" s="103">
        <f t="shared" ref="AJ59:AJ64" si="51">+P59/O59-1</f>
        <v>-0.28937369118952005</v>
      </c>
      <c r="AK59" s="103">
        <f t="shared" ref="AK59:AQ64" si="52">+Q59/P59-1</f>
        <v>0.28829471605962298</v>
      </c>
      <c r="AL59" s="103">
        <f t="shared" si="52"/>
        <v>4.983408453773607</v>
      </c>
      <c r="AM59" s="103">
        <f t="shared" si="52"/>
        <v>-0.34158006140836583</v>
      </c>
      <c r="AN59" s="103">
        <f t="shared" si="52"/>
        <v>0.53064653366295933</v>
      </c>
      <c r="AO59" s="103">
        <f t="shared" si="52"/>
        <v>-0.1968555432575736</v>
      </c>
      <c r="AP59" s="103">
        <f t="shared" si="52"/>
        <v>-0.10247673662626922</v>
      </c>
      <c r="AQ59" s="103">
        <f t="shared" si="52"/>
        <v>-5.2061672096506029E-2</v>
      </c>
      <c r="AR59" s="2"/>
    </row>
    <row r="60" spans="1:44">
      <c r="B60" s="1" t="s">
        <v>9</v>
      </c>
      <c r="C60" s="8">
        <f>+C61+C62+C63+C64</f>
        <v>22828.199999999997</v>
      </c>
      <c r="D60" s="8">
        <f t="shared" ref="D60:O60" si="53">+D61+D62+D63+D64</f>
        <v>33797.200000000004</v>
      </c>
      <c r="E60" s="75">
        <f t="shared" si="53"/>
        <v>66821.399999999994</v>
      </c>
      <c r="F60" s="8">
        <f t="shared" si="53"/>
        <v>76025.599999999991</v>
      </c>
      <c r="G60" s="8">
        <f t="shared" si="53"/>
        <v>86526.5</v>
      </c>
      <c r="H60" s="8">
        <f t="shared" si="53"/>
        <v>85750.335323329986</v>
      </c>
      <c r="I60" s="8">
        <f t="shared" si="53"/>
        <v>76133.38969021001</v>
      </c>
      <c r="J60" s="8">
        <f t="shared" si="53"/>
        <v>108302.54158964999</v>
      </c>
      <c r="K60" s="8">
        <f t="shared" si="53"/>
        <v>126525.39288098001</v>
      </c>
      <c r="L60" s="8">
        <f t="shared" si="53"/>
        <v>152459.63294293001</v>
      </c>
      <c r="M60" s="8">
        <f t="shared" si="53"/>
        <v>96395.699660700004</v>
      </c>
      <c r="N60" s="8">
        <f t="shared" si="53"/>
        <v>168014.44678745003</v>
      </c>
      <c r="O60" s="8">
        <f t="shared" si="53"/>
        <v>153489.18116464998</v>
      </c>
      <c r="P60" s="8">
        <f t="shared" ref="P60:W60" si="54">+P61+P62+P63+P64</f>
        <v>211889.18603622</v>
      </c>
      <c r="Q60" s="8">
        <f t="shared" si="54"/>
        <v>127564.58865322998</v>
      </c>
      <c r="R60" s="8">
        <f t="shared" si="54"/>
        <v>123053.68481673</v>
      </c>
      <c r="S60" s="8">
        <f t="shared" si="54"/>
        <v>98436.733040809995</v>
      </c>
      <c r="T60" s="8">
        <f t="shared" si="54"/>
        <v>97486.338609740007</v>
      </c>
      <c r="U60" s="8">
        <f t="shared" si="54"/>
        <v>151155.95719691002</v>
      </c>
      <c r="V60" s="8">
        <f t="shared" si="54"/>
        <v>146785.27843368001</v>
      </c>
      <c r="W60" s="8">
        <f t="shared" si="54"/>
        <v>178568.89400228998</v>
      </c>
      <c r="X60" s="106">
        <f t="shared" si="8"/>
        <v>0.48050218589288729</v>
      </c>
      <c r="Y60" s="106">
        <f t="shared" si="40"/>
        <v>0.97712828281632746</v>
      </c>
      <c r="Z60" s="106">
        <f t="shared" si="41"/>
        <v>0.13774329780579264</v>
      </c>
      <c r="AA60" s="106">
        <f t="shared" si="42"/>
        <v>0.13812321112888304</v>
      </c>
      <c r="AB60" s="106">
        <f t="shared" si="43"/>
        <v>-8.9702539299522099E-3</v>
      </c>
      <c r="AC60" s="106">
        <f t="shared" si="44"/>
        <v>-0.11215053092047211</v>
      </c>
      <c r="AD60" s="106">
        <f t="shared" si="45"/>
        <v>0.42253670866800519</v>
      </c>
      <c r="AE60" s="106">
        <f t="shared" si="46"/>
        <v>0.16825875943313506</v>
      </c>
      <c r="AF60" s="106">
        <f t="shared" si="47"/>
        <v>0.20497261040987902</v>
      </c>
      <c r="AG60" s="106">
        <f t="shared" si="48"/>
        <v>-0.36772968818058438</v>
      </c>
      <c r="AH60" s="106">
        <f t="shared" si="49"/>
        <v>0.74296620470455066</v>
      </c>
      <c r="AI60" s="106">
        <f t="shared" si="50"/>
        <v>-8.6452480132113374E-2</v>
      </c>
      <c r="AJ60" s="106">
        <f t="shared" si="51"/>
        <v>0.38048287461331576</v>
      </c>
      <c r="AK60" s="106">
        <f t="shared" si="52"/>
        <v>-0.39796555435620817</v>
      </c>
      <c r="AL60" s="106">
        <f t="shared" si="52"/>
        <v>-3.5361724473257694E-2</v>
      </c>
      <c r="AM60" s="106">
        <f t="shared" si="52"/>
        <v>-0.20005050488803533</v>
      </c>
      <c r="AN60" s="106">
        <f t="shared" si="52"/>
        <v>-9.654875793937312E-3</v>
      </c>
      <c r="AO60" s="106">
        <f t="shared" si="52"/>
        <v>0.55053476571749926</v>
      </c>
      <c r="AP60" s="106">
        <f t="shared" si="52"/>
        <v>-2.8915028188643332E-2</v>
      </c>
      <c r="AQ60" s="106">
        <f t="shared" si="52"/>
        <v>0.21653135728437722</v>
      </c>
    </row>
    <row r="61" spans="1:44">
      <c r="B61" s="1" t="s">
        <v>10</v>
      </c>
      <c r="C61" s="2">
        <v>33.799999999999997</v>
      </c>
      <c r="D61" s="2">
        <v>51.3</v>
      </c>
      <c r="E61" s="74">
        <v>259.89999999999998</v>
      </c>
      <c r="F61" s="2">
        <v>2500.9</v>
      </c>
      <c r="G61" s="2">
        <v>2263.5</v>
      </c>
      <c r="H61" s="2">
        <v>1410.0682059999999</v>
      </c>
      <c r="I61" s="2">
        <v>679.66071499999998</v>
      </c>
      <c r="J61" s="2">
        <v>509.42707999999993</v>
      </c>
      <c r="K61" s="2">
        <v>3366.3155400000001</v>
      </c>
      <c r="L61" s="2">
        <v>1684.5527400000001</v>
      </c>
      <c r="M61" s="2">
        <v>4422.6846690700004</v>
      </c>
      <c r="N61" s="2">
        <v>5072.6265542700003</v>
      </c>
      <c r="O61" s="2">
        <v>5260.4798289999999</v>
      </c>
      <c r="P61" s="2">
        <v>6184.4425932400009</v>
      </c>
      <c r="Q61" s="2">
        <v>5510.9884164699997</v>
      </c>
      <c r="R61" s="2">
        <v>6282.4690012299998</v>
      </c>
      <c r="S61" s="2">
        <v>2267.5493060200001</v>
      </c>
      <c r="T61" s="2">
        <v>561.39408559000003</v>
      </c>
      <c r="U61" s="2">
        <v>1835.04020449</v>
      </c>
      <c r="V61" s="2">
        <v>677.19171789999996</v>
      </c>
      <c r="W61" s="2">
        <v>597.75096744000007</v>
      </c>
      <c r="X61" s="103">
        <f t="shared" si="8"/>
        <v>0.51775147928994092</v>
      </c>
      <c r="Y61" s="103">
        <f t="shared" si="40"/>
        <v>4.0662768031189085</v>
      </c>
      <c r="Z61" s="103">
        <f t="shared" si="41"/>
        <v>8.6225471335128905</v>
      </c>
      <c r="AA61" s="103">
        <f t="shared" si="42"/>
        <v>-9.4925826702387139E-2</v>
      </c>
      <c r="AB61" s="103">
        <f t="shared" si="43"/>
        <v>-0.37704077490611887</v>
      </c>
      <c r="AC61" s="103">
        <f t="shared" si="44"/>
        <v>-0.51799444019234908</v>
      </c>
      <c r="AD61" s="103">
        <f t="shared" si="45"/>
        <v>-0.25046855179793648</v>
      </c>
      <c r="AE61" s="103">
        <f t="shared" si="46"/>
        <v>5.608041998866649</v>
      </c>
      <c r="AF61" s="103">
        <f t="shared" si="47"/>
        <v>-0.49958560925634443</v>
      </c>
      <c r="AG61" s="103">
        <f t="shared" si="48"/>
        <v>1.6254355616494385</v>
      </c>
      <c r="AH61" s="103">
        <f t="shared" si="49"/>
        <v>0.14695641535227733</v>
      </c>
      <c r="AI61" s="103">
        <f t="shared" si="50"/>
        <v>3.7032742844408606E-2</v>
      </c>
      <c r="AJ61" s="103">
        <f t="shared" si="51"/>
        <v>0.17564229771329498</v>
      </c>
      <c r="AK61" s="103">
        <f t="shared" si="52"/>
        <v>-0.10889488690640126</v>
      </c>
      <c r="AL61" s="103">
        <f t="shared" si="52"/>
        <v>0.13998951303442642</v>
      </c>
      <c r="AM61" s="103">
        <f t="shared" si="52"/>
        <v>-0.63906717158874116</v>
      </c>
      <c r="AN61" s="103">
        <f t="shared" si="52"/>
        <v>-0.75242254530052177</v>
      </c>
      <c r="AO61" s="103">
        <f t="shared" si="52"/>
        <v>2.2687202298568123</v>
      </c>
      <c r="AP61" s="103">
        <f t="shared" si="52"/>
        <v>-0.63096627733657362</v>
      </c>
      <c r="AQ61" s="103">
        <f t="shared" si="52"/>
        <v>-0.11730909927006938</v>
      </c>
    </row>
    <row r="62" spans="1:44">
      <c r="B62" s="1" t="s">
        <v>11</v>
      </c>
      <c r="C62" s="2">
        <f>19386.5-1000</f>
        <v>18386.5</v>
      </c>
      <c r="D62" s="2">
        <f>35184.8-1750</f>
        <v>33434.800000000003</v>
      </c>
      <c r="E62" s="74">
        <f>67070-1750</f>
        <v>65320</v>
      </c>
      <c r="F62" s="2">
        <f>73356.3-1818.3</f>
        <v>71538</v>
      </c>
      <c r="G62" s="2">
        <f>77822-2250</f>
        <v>75572</v>
      </c>
      <c r="H62" s="2">
        <f>73443.10649636-2250</f>
        <v>71193.106496359993</v>
      </c>
      <c r="I62" s="2">
        <v>72693.724895610008</v>
      </c>
      <c r="J62" s="2">
        <v>78507.163199629998</v>
      </c>
      <c r="K62" s="2">
        <v>87868.665949990012</v>
      </c>
      <c r="L62" s="2">
        <v>97015.227048569999</v>
      </c>
      <c r="M62" s="2">
        <f>56626.08206252+311.625</f>
        <v>56937.707062519999</v>
      </c>
      <c r="N62" s="2">
        <v>158914.16966191001</v>
      </c>
      <c r="O62" s="2">
        <v>137862.26459732</v>
      </c>
      <c r="P62" s="2">
        <v>119957.73636932002</v>
      </c>
      <c r="Q62" s="2">
        <v>117798.36634371997</v>
      </c>
      <c r="R62" s="2">
        <v>84267.052481110004</v>
      </c>
      <c r="S62" s="2">
        <v>69507.734920799994</v>
      </c>
      <c r="T62" s="2">
        <v>96397.264134030003</v>
      </c>
      <c r="U62" s="2">
        <v>138971.56735918002</v>
      </c>
      <c r="V62" s="2">
        <v>126766.11053048001</v>
      </c>
      <c r="W62" s="2">
        <v>171639.40123664998</v>
      </c>
      <c r="X62" s="103">
        <f t="shared" si="8"/>
        <v>0.81844287928643311</v>
      </c>
      <c r="Y62" s="103">
        <f t="shared" si="40"/>
        <v>0.95365308002440563</v>
      </c>
      <c r="Z62" s="103">
        <f t="shared" si="41"/>
        <v>9.5192896509491698E-2</v>
      </c>
      <c r="AA62" s="103">
        <f t="shared" si="42"/>
        <v>5.6389611115770677E-2</v>
      </c>
      <c r="AB62" s="103">
        <f t="shared" si="43"/>
        <v>-5.794333223469017E-2</v>
      </c>
      <c r="AC62" s="103">
        <f t="shared" si="44"/>
        <v>2.107814187496837E-2</v>
      </c>
      <c r="AD62" s="103">
        <f t="shared" si="45"/>
        <v>7.9971666225224114E-2</v>
      </c>
      <c r="AE62" s="103">
        <f t="shared" si="46"/>
        <v>0.11924393098442931</v>
      </c>
      <c r="AF62" s="103">
        <f t="shared" si="47"/>
        <v>0.10409354688263628</v>
      </c>
      <c r="AG62" s="103">
        <f t="shared" si="48"/>
        <v>-0.4131054598881212</v>
      </c>
      <c r="AH62" s="103">
        <f t="shared" si="49"/>
        <v>1.791018076780218</v>
      </c>
      <c r="AI62" s="103">
        <f t="shared" si="50"/>
        <v>-0.13247342958389396</v>
      </c>
      <c r="AJ62" s="103">
        <f t="shared" si="51"/>
        <v>-0.12987258174161775</v>
      </c>
      <c r="AK62" s="103">
        <f t="shared" si="52"/>
        <v>-1.8001090141880338E-2</v>
      </c>
      <c r="AL62" s="103">
        <f t="shared" si="52"/>
        <v>-0.28465007540741316</v>
      </c>
      <c r="AM62" s="103">
        <f t="shared" si="52"/>
        <v>-0.17514932735565403</v>
      </c>
      <c r="AN62" s="103">
        <f t="shared" si="52"/>
        <v>0.38685664615411586</v>
      </c>
      <c r="AO62" s="103">
        <f t="shared" si="52"/>
        <v>0.44165468395404917</v>
      </c>
      <c r="AP62" s="103">
        <f t="shared" si="52"/>
        <v>-8.7827007067958651E-2</v>
      </c>
      <c r="AQ62" s="103">
        <f t="shared" si="52"/>
        <v>0.35398491377851737</v>
      </c>
    </row>
    <row r="63" spans="1:44">
      <c r="B63" s="1" t="s">
        <v>12</v>
      </c>
      <c r="C63" s="2">
        <v>7.5</v>
      </c>
      <c r="D63" s="2">
        <v>35.200000000000003</v>
      </c>
      <c r="E63" s="74">
        <v>35.4</v>
      </c>
      <c r="F63" s="2">
        <v>41.7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104">
        <f t="shared" si="8"/>
        <v>3.6933333333333334</v>
      </c>
      <c r="Y63" s="104">
        <f t="shared" si="40"/>
        <v>5.6818181818181213E-3</v>
      </c>
      <c r="Z63" s="104">
        <f t="shared" si="41"/>
        <v>0.17796610169491545</v>
      </c>
      <c r="AA63" s="104">
        <f t="shared" si="42"/>
        <v>-1</v>
      </c>
      <c r="AB63" s="104" t="e">
        <f t="shared" si="43"/>
        <v>#DIV/0!</v>
      </c>
      <c r="AC63" s="104" t="e">
        <f t="shared" si="44"/>
        <v>#DIV/0!</v>
      </c>
      <c r="AD63" s="104" t="e">
        <f t="shared" si="45"/>
        <v>#DIV/0!</v>
      </c>
      <c r="AE63" s="104" t="e">
        <f t="shared" si="46"/>
        <v>#DIV/0!</v>
      </c>
      <c r="AF63" s="104" t="e">
        <f t="shared" si="47"/>
        <v>#DIV/0!</v>
      </c>
      <c r="AG63" s="104" t="e">
        <f t="shared" si="48"/>
        <v>#DIV/0!</v>
      </c>
      <c r="AH63" s="104" t="e">
        <f t="shared" si="49"/>
        <v>#DIV/0!</v>
      </c>
      <c r="AI63" s="104" t="e">
        <f t="shared" si="50"/>
        <v>#DIV/0!</v>
      </c>
      <c r="AJ63" s="104" t="e">
        <f t="shared" si="51"/>
        <v>#DIV/0!</v>
      </c>
      <c r="AK63" s="104" t="e">
        <f t="shared" si="52"/>
        <v>#DIV/0!</v>
      </c>
      <c r="AL63" s="104" t="e">
        <f t="shared" si="52"/>
        <v>#DIV/0!</v>
      </c>
      <c r="AM63" s="104" t="e">
        <f t="shared" si="52"/>
        <v>#DIV/0!</v>
      </c>
      <c r="AN63" s="104" t="e">
        <f t="shared" si="52"/>
        <v>#DIV/0!</v>
      </c>
      <c r="AO63" s="104" t="e">
        <f t="shared" si="52"/>
        <v>#DIV/0!</v>
      </c>
      <c r="AP63" s="104" t="e">
        <f t="shared" si="52"/>
        <v>#DIV/0!</v>
      </c>
      <c r="AQ63" s="104" t="e">
        <f t="shared" si="52"/>
        <v>#DIV/0!</v>
      </c>
    </row>
    <row r="64" spans="1:44">
      <c r="B64" s="24" t="s">
        <v>49</v>
      </c>
      <c r="C64" s="2">
        <v>4400.3999999999996</v>
      </c>
      <c r="D64" s="2">
        <v>275.89999999999998</v>
      </c>
      <c r="E64" s="78">
        <v>1206.0999999999999</v>
      </c>
      <c r="F64" s="2">
        <v>1945</v>
      </c>
      <c r="G64" s="2">
        <v>8691</v>
      </c>
      <c r="H64" s="2">
        <v>13147.160620969998</v>
      </c>
      <c r="I64" s="2">
        <v>2760.0040796000003</v>
      </c>
      <c r="J64" s="2">
        <v>29285.951310019995</v>
      </c>
      <c r="K64" s="2">
        <v>35290.411390990004</v>
      </c>
      <c r="L64" s="2">
        <v>53759.853154360004</v>
      </c>
      <c r="M64" s="2">
        <f>35346.93292911-311.625</f>
        <v>35035.30792911</v>
      </c>
      <c r="N64" s="2">
        <v>4027.65057127</v>
      </c>
      <c r="O64" s="2">
        <v>10366.436738329998</v>
      </c>
      <c r="P64" s="2">
        <v>85747.007073659988</v>
      </c>
      <c r="Q64" s="2">
        <v>4255.2338930400001</v>
      </c>
      <c r="R64" s="2">
        <v>32504.163334390003</v>
      </c>
      <c r="S64" s="2">
        <v>26661.448813990002</v>
      </c>
      <c r="T64" s="2">
        <v>527.68039011999997</v>
      </c>
      <c r="U64" s="2">
        <v>10349.349633239999</v>
      </c>
      <c r="V64" s="2">
        <v>19341.976185300002</v>
      </c>
      <c r="W64" s="2">
        <v>6331.7417981999997</v>
      </c>
      <c r="X64" s="103">
        <f t="shared" si="8"/>
        <v>-0.93730115444050544</v>
      </c>
      <c r="Y64" s="103">
        <f t="shared" si="40"/>
        <v>3.3715114171801375</v>
      </c>
      <c r="Z64" s="103">
        <f t="shared" si="41"/>
        <v>0.61263576817842647</v>
      </c>
      <c r="AA64" s="103">
        <f t="shared" si="42"/>
        <v>3.4683804627249355</v>
      </c>
      <c r="AB64" s="103">
        <f t="shared" si="43"/>
        <v>0.51273278345069584</v>
      </c>
      <c r="AC64" s="103">
        <f t="shared" si="44"/>
        <v>-0.79006842928519982</v>
      </c>
      <c r="AD64" s="103">
        <f t="shared" si="45"/>
        <v>9.6108362398740823</v>
      </c>
      <c r="AE64" s="103">
        <f t="shared" si="46"/>
        <v>0.20502868482594327</v>
      </c>
      <c r="AF64" s="103">
        <f t="shared" si="47"/>
        <v>0.52335580786358959</v>
      </c>
      <c r="AG64" s="103">
        <f t="shared" si="48"/>
        <v>-0.34829978369707315</v>
      </c>
      <c r="AH64" s="103">
        <f t="shared" si="49"/>
        <v>-0.88504024056476116</v>
      </c>
      <c r="AI64" s="103">
        <f t="shared" si="50"/>
        <v>1.5738173048763886</v>
      </c>
      <c r="AJ64" s="103">
        <f t="shared" si="51"/>
        <v>7.2715989339528431</v>
      </c>
      <c r="AK64" s="103">
        <f t="shared" si="52"/>
        <v>-0.95037454905703489</v>
      </c>
      <c r="AL64" s="103">
        <f t="shared" si="52"/>
        <v>6.6386314245980405</v>
      </c>
      <c r="AM64" s="103">
        <f t="shared" si="52"/>
        <v>-0.17975280459590548</v>
      </c>
      <c r="AN64" s="103">
        <f t="shared" si="52"/>
        <v>-0.9802081127022958</v>
      </c>
      <c r="AO64" s="103">
        <f t="shared" si="52"/>
        <v>18.612913094773997</v>
      </c>
      <c r="AP64" s="103">
        <f t="shared" si="52"/>
        <v>0.86890740681690004</v>
      </c>
      <c r="AQ64" s="103">
        <f t="shared" si="52"/>
        <v>-0.67264245713361204</v>
      </c>
    </row>
    <row r="65" spans="1:47">
      <c r="B65" s="24"/>
      <c r="C65" s="2"/>
      <c r="D65" s="2"/>
      <c r="E65" s="78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</row>
    <row r="66" spans="1:47">
      <c r="B66" s="3" t="s">
        <v>85</v>
      </c>
      <c r="C66" s="10"/>
      <c r="D66" s="10"/>
      <c r="E66" s="2"/>
      <c r="G66" s="2">
        <v>0</v>
      </c>
      <c r="H66" s="94">
        <f t="shared" ref="H66:M66" si="55">+H67-H68</f>
        <v>0</v>
      </c>
      <c r="I66" s="94">
        <f t="shared" si="55"/>
        <v>0</v>
      </c>
      <c r="J66" s="94">
        <f t="shared" si="55"/>
        <v>0</v>
      </c>
      <c r="K66" s="94">
        <f t="shared" si="55"/>
        <v>0</v>
      </c>
      <c r="L66" s="94">
        <f t="shared" si="55"/>
        <v>2527.71710841</v>
      </c>
      <c r="M66" s="94">
        <f t="shared" si="55"/>
        <v>1857.35579351</v>
      </c>
      <c r="N66" s="94">
        <f t="shared" ref="N66:T66" si="56">+N67-N68</f>
        <v>0</v>
      </c>
      <c r="O66" s="94">
        <f t="shared" si="56"/>
        <v>673.14005049000002</v>
      </c>
      <c r="P66" s="94">
        <f t="shared" si="56"/>
        <v>30843.892763330001</v>
      </c>
      <c r="Q66" s="94">
        <f t="shared" si="56"/>
        <v>0</v>
      </c>
      <c r="R66" s="94">
        <f t="shared" si="56"/>
        <v>3901.5</v>
      </c>
      <c r="S66" s="94">
        <f t="shared" si="56"/>
        <v>4038.62586792</v>
      </c>
      <c r="T66" s="94">
        <f t="shared" si="56"/>
        <v>4649.5974864199998</v>
      </c>
      <c r="U66" s="94">
        <f>+U67-U68</f>
        <v>3730.82</v>
      </c>
      <c r="V66" s="94">
        <f>+V67-V68</f>
        <v>3579.826</v>
      </c>
      <c r="W66" s="94">
        <f>+W67-W68</f>
        <v>3183.4837499999999</v>
      </c>
      <c r="X66" s="102"/>
      <c r="Y66" s="102"/>
      <c r="Z66" s="102"/>
      <c r="AA66" s="102"/>
      <c r="AB66" s="102"/>
      <c r="AC66" s="102"/>
      <c r="AD66" s="102"/>
      <c r="AE66" s="102"/>
      <c r="AF66" s="102"/>
      <c r="AG66" s="103">
        <f t="shared" ref="AG66:AL68" si="57">+M66/L66-1</f>
        <v>-0.26520424800292419</v>
      </c>
      <c r="AH66" s="103">
        <f t="shared" si="57"/>
        <v>-1</v>
      </c>
      <c r="AI66" s="107" t="e">
        <f t="shared" si="57"/>
        <v>#DIV/0!</v>
      </c>
      <c r="AJ66" s="103">
        <f t="shared" si="57"/>
        <v>44.820914594039905</v>
      </c>
      <c r="AK66" s="103">
        <f t="shared" si="57"/>
        <v>-1</v>
      </c>
      <c r="AL66" s="104" t="e">
        <f t="shared" si="57"/>
        <v>#DIV/0!</v>
      </c>
      <c r="AM66" s="103">
        <f t="shared" ref="AM66:AQ68" si="58">+S66/R66-1</f>
        <v>3.5146960891964563E-2</v>
      </c>
      <c r="AN66" s="103">
        <f t="shared" si="58"/>
        <v>0.15128205446142662</v>
      </c>
      <c r="AO66" s="103">
        <f t="shared" si="58"/>
        <v>-0.19760366119937423</v>
      </c>
      <c r="AP66" s="103">
        <f t="shared" si="58"/>
        <v>-4.0472067802788669E-2</v>
      </c>
      <c r="AQ66" s="103">
        <f t="shared" si="58"/>
        <v>-0.11071550684307008</v>
      </c>
    </row>
    <row r="67" spans="1:47">
      <c r="B67" s="53" t="s">
        <v>86</v>
      </c>
      <c r="C67" s="10"/>
      <c r="D67" s="10"/>
      <c r="E67" s="2"/>
      <c r="H67" s="40">
        <v>0</v>
      </c>
      <c r="I67" s="40">
        <v>0</v>
      </c>
      <c r="J67" s="40">
        <v>0</v>
      </c>
      <c r="K67" s="40">
        <v>0</v>
      </c>
      <c r="L67" s="40">
        <v>2527.71710841</v>
      </c>
      <c r="M67" s="40">
        <v>1857.35579351</v>
      </c>
      <c r="N67" s="40">
        <v>0</v>
      </c>
      <c r="O67" s="40">
        <v>673.14005049000002</v>
      </c>
      <c r="P67" s="40">
        <v>30843.892763330001</v>
      </c>
      <c r="Q67" s="40">
        <v>0</v>
      </c>
      <c r="R67" s="40">
        <v>3901.5</v>
      </c>
      <c r="S67" s="40">
        <v>4038.62586792</v>
      </c>
      <c r="T67" s="40">
        <v>4649.5974864199998</v>
      </c>
      <c r="U67" s="40">
        <v>3730.82</v>
      </c>
      <c r="V67" s="40">
        <v>3579.826</v>
      </c>
      <c r="W67" s="40">
        <v>3183.4837499999999</v>
      </c>
      <c r="X67" s="102"/>
      <c r="Y67" s="102"/>
      <c r="Z67" s="102"/>
      <c r="AA67" s="102"/>
      <c r="AB67" s="102"/>
      <c r="AC67" s="102"/>
      <c r="AD67" s="102"/>
      <c r="AE67" s="102"/>
      <c r="AF67" s="102"/>
      <c r="AG67" s="103">
        <f t="shared" si="57"/>
        <v>-0.26520424800292419</v>
      </c>
      <c r="AH67" s="103">
        <f t="shared" si="57"/>
        <v>-1</v>
      </c>
      <c r="AI67" s="107" t="e">
        <f t="shared" si="57"/>
        <v>#DIV/0!</v>
      </c>
      <c r="AJ67" s="103">
        <f t="shared" si="57"/>
        <v>44.820914594039905</v>
      </c>
      <c r="AK67" s="103">
        <f t="shared" si="57"/>
        <v>-1</v>
      </c>
      <c r="AL67" s="104" t="e">
        <f t="shared" si="57"/>
        <v>#DIV/0!</v>
      </c>
      <c r="AM67" s="103">
        <f t="shared" si="58"/>
        <v>3.5146960891964563E-2</v>
      </c>
      <c r="AN67" s="103">
        <f t="shared" si="58"/>
        <v>0.15128205446142662</v>
      </c>
      <c r="AO67" s="103">
        <f t="shared" si="58"/>
        <v>-0.19760366119937423</v>
      </c>
      <c r="AP67" s="103">
        <f t="shared" si="58"/>
        <v>-4.0472067802788669E-2</v>
      </c>
      <c r="AQ67" s="103">
        <f t="shared" si="58"/>
        <v>-0.11071550684307008</v>
      </c>
    </row>
    <row r="68" spans="1:47">
      <c r="B68" s="53" t="s">
        <v>87</v>
      </c>
      <c r="C68" s="10"/>
      <c r="D68" s="10"/>
      <c r="F68" s="3"/>
      <c r="G68" s="3"/>
      <c r="H68" s="94">
        <v>0</v>
      </c>
      <c r="I68" s="94">
        <v>0</v>
      </c>
      <c r="J68" s="94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0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5">
        <v>0</v>
      </c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34" t="e">
        <f t="shared" si="57"/>
        <v>#DIV/0!</v>
      </c>
      <c r="AM68" s="104" t="e">
        <f t="shared" si="58"/>
        <v>#DIV/0!</v>
      </c>
      <c r="AN68" s="104" t="e">
        <f t="shared" si="58"/>
        <v>#DIV/0!</v>
      </c>
      <c r="AO68" s="104" t="e">
        <f t="shared" si="58"/>
        <v>#DIV/0!</v>
      </c>
      <c r="AP68" s="104" t="e">
        <f t="shared" si="58"/>
        <v>#DIV/0!</v>
      </c>
      <c r="AQ68" s="104" t="e">
        <f t="shared" si="58"/>
        <v>#DIV/0!</v>
      </c>
    </row>
    <row r="69" spans="1:47">
      <c r="B69" s="53"/>
      <c r="C69" s="10"/>
      <c r="D69" s="1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</row>
    <row r="70" spans="1:47">
      <c r="A70" s="7" t="s">
        <v>24</v>
      </c>
      <c r="B70" s="6" t="s">
        <v>32</v>
      </c>
      <c r="C70" s="32">
        <f t="shared" ref="C70:O70" si="59">+C10-C39</f>
        <v>139084.38143943</v>
      </c>
      <c r="D70" s="32">
        <f t="shared" si="59"/>
        <v>222933.99469891982</v>
      </c>
      <c r="E70" s="32">
        <f t="shared" si="59"/>
        <v>280558.45707657002</v>
      </c>
      <c r="F70" s="32">
        <f t="shared" si="59"/>
        <v>-25655.490851570037</v>
      </c>
      <c r="G70" s="32">
        <f t="shared" si="59"/>
        <v>-174556.85192079027</v>
      </c>
      <c r="H70" s="32">
        <f t="shared" si="59"/>
        <v>-241650.72385178017</v>
      </c>
      <c r="I70" s="32">
        <f t="shared" si="59"/>
        <v>-240365.45135924965</v>
      </c>
      <c r="J70" s="32">
        <f t="shared" si="59"/>
        <v>-292175.31593822967</v>
      </c>
      <c r="K70" s="32">
        <f t="shared" si="59"/>
        <v>-356601.87595370994</v>
      </c>
      <c r="L70" s="32">
        <f t="shared" si="59"/>
        <v>-402098.59253029991</v>
      </c>
      <c r="M70" s="32">
        <f t="shared" si="59"/>
        <v>-271666.39202921023</v>
      </c>
      <c r="N70" s="32">
        <f t="shared" si="59"/>
        <v>-342875.93037855998</v>
      </c>
      <c r="O70" s="32">
        <f t="shared" si="59"/>
        <v>-418479.62027434027</v>
      </c>
      <c r="P70" s="32">
        <f t="shared" ref="P70:V70" si="60">+P10-P39</f>
        <v>-402368.50414444925</v>
      </c>
      <c r="Q70" s="32">
        <f t="shared" si="60"/>
        <v>-360130.44553882023</v>
      </c>
      <c r="R70" s="32">
        <f t="shared" si="60"/>
        <v>150255.70627594972</v>
      </c>
      <c r="S70" s="32">
        <f t="shared" si="60"/>
        <v>467732.39934393018</v>
      </c>
      <c r="T70" s="32">
        <f t="shared" si="60"/>
        <v>497473.0203293399</v>
      </c>
      <c r="U70" s="32">
        <f t="shared" si="60"/>
        <v>319437.37017876143</v>
      </c>
      <c r="V70" s="32">
        <f t="shared" si="60"/>
        <v>363020.46493719006</v>
      </c>
      <c r="W70" s="32">
        <f t="shared" ref="W70" si="61">+W10-W39</f>
        <v>293641.18673104979</v>
      </c>
      <c r="X70" s="101">
        <f t="shared" si="8"/>
        <v>0.60286864989226396</v>
      </c>
      <c r="Y70" s="101">
        <f t="shared" ref="Y70:AQ70" si="62">+E70/D70-1</f>
        <v>0.25848216847984107</v>
      </c>
      <c r="Z70" s="101">
        <f t="shared" si="62"/>
        <v>-1.0914443682036936</v>
      </c>
      <c r="AA70" s="101">
        <f t="shared" si="62"/>
        <v>5.8038788628403077</v>
      </c>
      <c r="AB70" s="101">
        <f t="shared" si="62"/>
        <v>0.38436687642279144</v>
      </c>
      <c r="AC70" s="101">
        <f t="shared" si="62"/>
        <v>-5.3187198119830637E-3</v>
      </c>
      <c r="AD70" s="101">
        <f t="shared" si="62"/>
        <v>0.21554622049882344</v>
      </c>
      <c r="AE70" s="101">
        <f t="shared" si="62"/>
        <v>0.22050651270315047</v>
      </c>
      <c r="AF70" s="101">
        <f t="shared" si="62"/>
        <v>0.12758406403474964</v>
      </c>
      <c r="AG70" s="101">
        <f t="shared" si="62"/>
        <v>-0.32437865469837734</v>
      </c>
      <c r="AH70" s="101">
        <f t="shared" si="62"/>
        <v>0.26212126504662803</v>
      </c>
      <c r="AI70" s="101">
        <f t="shared" si="62"/>
        <v>0.22049867954367142</v>
      </c>
      <c r="AJ70" s="101">
        <f t="shared" si="62"/>
        <v>-3.8499165429678905E-2</v>
      </c>
      <c r="AK70" s="101">
        <f t="shared" si="62"/>
        <v>-0.10497357067109225</v>
      </c>
      <c r="AL70" s="101">
        <f t="shared" si="62"/>
        <v>-1.4172257806505084</v>
      </c>
      <c r="AM70" s="101">
        <f t="shared" si="62"/>
        <v>2.1129093925053581</v>
      </c>
      <c r="AN70" s="101">
        <f t="shared" si="62"/>
        <v>6.3584692929387954E-2</v>
      </c>
      <c r="AO70" s="101">
        <f t="shared" si="62"/>
        <v>-0.35788001132747727</v>
      </c>
      <c r="AP70" s="101">
        <f t="shared" si="62"/>
        <v>0.13643705723609911</v>
      </c>
      <c r="AQ70" s="101">
        <f t="shared" si="62"/>
        <v>-0.19111671353884774</v>
      </c>
    </row>
    <row r="71" spans="1:47" ht="18">
      <c r="A71" s="8"/>
      <c r="B71" s="87" t="s">
        <v>20</v>
      </c>
      <c r="C71" s="88">
        <f t="shared" ref="C71:O71" si="63">+C70/C77</f>
        <v>1.1976280808539677E-2</v>
      </c>
      <c r="D71" s="88">
        <f t="shared" si="63"/>
        <v>1.6051058074587635E-2</v>
      </c>
      <c r="E71" s="88">
        <f t="shared" si="63"/>
        <v>1.7308834288980043E-2</v>
      </c>
      <c r="F71" s="88">
        <f t="shared" si="63"/>
        <v>-1.4555359054190858E-3</v>
      </c>
      <c r="G71" s="88">
        <f t="shared" si="63"/>
        <v>-8.8151074881653822E-3</v>
      </c>
      <c r="H71" s="88">
        <f t="shared" si="63"/>
        <v>-1.117536240376743E-2</v>
      </c>
      <c r="I71" s="88">
        <f t="shared" si="63"/>
        <v>-1.0119428327037924E-2</v>
      </c>
      <c r="J71" s="88">
        <f t="shared" si="63"/>
        <v>-1.1474525267316373E-2</v>
      </c>
      <c r="K71" s="88">
        <f t="shared" si="63"/>
        <v>-1.2735177454718609E-2</v>
      </c>
      <c r="L71" s="88">
        <f t="shared" si="63"/>
        <v>-1.3226099362433991E-2</v>
      </c>
      <c r="M71" s="88">
        <f t="shared" si="63"/>
        <v>-8.4746677573609482E-3</v>
      </c>
      <c r="N71" s="88">
        <f t="shared" si="63"/>
        <v>-9.9836783608543613E-3</v>
      </c>
      <c r="O71" s="88">
        <f t="shared" si="63"/>
        <v>-1.1619683156773907E-2</v>
      </c>
      <c r="P71" s="88">
        <f t="shared" ref="P71:V71" si="64">+P70/P77</f>
        <v>-1.0635623570734784E-2</v>
      </c>
      <c r="Q71" s="88">
        <f t="shared" si="64"/>
        <v>-9.8678727786088334E-3</v>
      </c>
      <c r="R71" s="88">
        <f t="shared" si="64"/>
        <v>3.7259677179178464E-3</v>
      </c>
      <c r="S71" s="88">
        <f t="shared" si="64"/>
        <v>1.043811827577574E-2</v>
      </c>
      <c r="T71" s="88">
        <f t="shared" si="64"/>
        <v>1.0571200893526353E-2</v>
      </c>
      <c r="U71" s="88">
        <f t="shared" si="64"/>
        <v>6.503742057030657E-3</v>
      </c>
      <c r="V71" s="88">
        <f t="shared" si="64"/>
        <v>7.0064531474701717E-3</v>
      </c>
      <c r="W71" s="88">
        <f t="shared" ref="W71" si="65">+W70/W77</f>
        <v>5.4750791968855277E-3</v>
      </c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U71" s="2"/>
    </row>
    <row r="72" spans="1:47">
      <c r="A72" s="7" t="s">
        <v>25</v>
      </c>
      <c r="B72" s="6" t="s">
        <v>31</v>
      </c>
      <c r="C72" s="32">
        <f t="shared" ref="C72:O72" si="66">+C10-C37</f>
        <v>-54451.818560570013</v>
      </c>
      <c r="D72" s="32">
        <f t="shared" si="66"/>
        <v>10734.994698919822</v>
      </c>
      <c r="E72" s="32">
        <f t="shared" si="66"/>
        <v>110839.35707657004</v>
      </c>
      <c r="F72" s="32">
        <f t="shared" si="66"/>
        <v>-185171.19085156999</v>
      </c>
      <c r="G72" s="32">
        <f t="shared" si="66"/>
        <v>-356814.55192079023</v>
      </c>
      <c r="H72" s="32">
        <f t="shared" si="66"/>
        <v>-433398.95516837016</v>
      </c>
      <c r="I72" s="32">
        <f t="shared" si="66"/>
        <v>-426220.55853325967</v>
      </c>
      <c r="J72" s="32">
        <f t="shared" si="66"/>
        <v>-521937.23420572956</v>
      </c>
      <c r="K72" s="32">
        <f t="shared" si="66"/>
        <v>-580037.99806520995</v>
      </c>
      <c r="L72" s="32">
        <f t="shared" si="66"/>
        <v>-673361.24173249002</v>
      </c>
      <c r="M72" s="32">
        <f t="shared" si="66"/>
        <v>-587341.38167575025</v>
      </c>
      <c r="N72" s="32">
        <f t="shared" si="66"/>
        <v>-720228.51160608977</v>
      </c>
      <c r="O72" s="32">
        <f t="shared" si="66"/>
        <v>-895892.92071047006</v>
      </c>
      <c r="P72" s="32">
        <f t="shared" ref="P72:V72" si="67">+P10-P37</f>
        <v>-982627.20203630952</v>
      </c>
      <c r="Q72" s="32">
        <f t="shared" si="67"/>
        <v>-1049419.0839244104</v>
      </c>
      <c r="R72" s="32">
        <f t="shared" si="67"/>
        <v>-609341.98208386032</v>
      </c>
      <c r="S72" s="32">
        <f t="shared" si="67"/>
        <v>-342140.73305869987</v>
      </c>
      <c r="T72" s="32">
        <f t="shared" si="67"/>
        <v>-395772.69678846002</v>
      </c>
      <c r="U72" s="32">
        <f t="shared" si="67"/>
        <v>-659300.39038083889</v>
      </c>
      <c r="V72" s="32">
        <f t="shared" si="67"/>
        <v>-564485.95322450995</v>
      </c>
      <c r="W72" s="32">
        <f t="shared" ref="W72" si="68">+W10-W37</f>
        <v>-689309.10580110038</v>
      </c>
      <c r="X72" s="101">
        <f t="shared" si="8"/>
        <v>-1.1971466698945719</v>
      </c>
      <c r="Y72" s="101">
        <f t="shared" ref="Y72:AQ72" si="69">+E72/D72-1</f>
        <v>9.3250500056346493</v>
      </c>
      <c r="Z72" s="101">
        <f t="shared" si="69"/>
        <v>-2.6706267136108526</v>
      </c>
      <c r="AA72" s="101">
        <f t="shared" si="69"/>
        <v>0.92694419839210607</v>
      </c>
      <c r="AB72" s="101">
        <f t="shared" si="69"/>
        <v>0.21463363205147812</v>
      </c>
      <c r="AC72" s="101">
        <f t="shared" si="69"/>
        <v>-1.6563022475035161E-2</v>
      </c>
      <c r="AD72" s="101">
        <f t="shared" si="69"/>
        <v>0.22457076214684935</v>
      </c>
      <c r="AE72" s="101">
        <f t="shared" si="69"/>
        <v>0.11131753025418201</v>
      </c>
      <c r="AF72" s="101">
        <f t="shared" si="69"/>
        <v>0.16089160361661059</v>
      </c>
      <c r="AG72" s="101">
        <f t="shared" si="69"/>
        <v>-0.12774697253946399</v>
      </c>
      <c r="AH72" s="101">
        <f t="shared" si="69"/>
        <v>0.22625194491012657</v>
      </c>
      <c r="AI72" s="101">
        <f t="shared" si="69"/>
        <v>0.24390093737424179</v>
      </c>
      <c r="AJ72" s="101">
        <f t="shared" si="69"/>
        <v>9.6813223233259249E-2</v>
      </c>
      <c r="AK72" s="101">
        <f t="shared" si="69"/>
        <v>6.7972758895425756E-2</v>
      </c>
      <c r="AL72" s="101">
        <f t="shared" si="69"/>
        <v>-0.41935305787925692</v>
      </c>
      <c r="AM72" s="101">
        <f t="shared" si="69"/>
        <v>-0.43850786074409531</v>
      </c>
      <c r="AN72" s="101">
        <f t="shared" si="69"/>
        <v>0.15675410305664683</v>
      </c>
      <c r="AO72" s="101">
        <f t="shared" si="69"/>
        <v>0.66585617383615037</v>
      </c>
      <c r="AP72" s="101">
        <f t="shared" si="69"/>
        <v>-0.1438106795319205</v>
      </c>
      <c r="AQ72" s="101">
        <f t="shared" si="69"/>
        <v>0.22112711904266846</v>
      </c>
    </row>
    <row r="73" spans="1:47" ht="18">
      <c r="B73" s="87" t="s">
        <v>20</v>
      </c>
      <c r="C73" s="88">
        <f t="shared" ref="C73:O73" si="70">+C72/C77</f>
        <v>-4.6887383246625438E-3</v>
      </c>
      <c r="D73" s="88">
        <f t="shared" si="70"/>
        <v>7.7291049117681897E-4</v>
      </c>
      <c r="E73" s="88">
        <f t="shared" si="70"/>
        <v>6.8381473306001299E-3</v>
      </c>
      <c r="F73" s="88">
        <f t="shared" si="70"/>
        <v>-1.050548276363133E-2</v>
      </c>
      <c r="G73" s="88">
        <f t="shared" si="70"/>
        <v>-1.8019107207264611E-2</v>
      </c>
      <c r="H73" s="88">
        <f t="shared" si="70"/>
        <v>-2.0042937642477124E-2</v>
      </c>
      <c r="I73" s="88">
        <f t="shared" si="70"/>
        <v>-1.7943961452018459E-2</v>
      </c>
      <c r="J73" s="88">
        <f t="shared" si="70"/>
        <v>-2.0497905384700702E-2</v>
      </c>
      <c r="K73" s="88">
        <f t="shared" si="70"/>
        <v>-2.0714660617206233E-2</v>
      </c>
      <c r="L73" s="88">
        <f t="shared" si="70"/>
        <v>-2.2148654224137192E-2</v>
      </c>
      <c r="M73" s="88">
        <f t="shared" si="70"/>
        <v>-1.8322189331818842E-2</v>
      </c>
      <c r="N73" s="88">
        <f t="shared" si="70"/>
        <v>-2.0971229442245172E-2</v>
      </c>
      <c r="O73" s="88">
        <f t="shared" si="70"/>
        <v>-2.4875743947167635E-2</v>
      </c>
      <c r="P73" s="88">
        <f t="shared" ref="P73:V73" si="71">+P72/P77</f>
        <v>-2.5973337683186843E-2</v>
      </c>
      <c r="Q73" s="88">
        <f t="shared" si="71"/>
        <v>-2.8754952934114078E-2</v>
      </c>
      <c r="R73" s="88">
        <f t="shared" si="71"/>
        <v>-1.5110165268844383E-2</v>
      </c>
      <c r="S73" s="88">
        <f t="shared" si="71"/>
        <v>-7.6353603976048135E-3</v>
      </c>
      <c r="T73" s="88">
        <f t="shared" si="71"/>
        <v>-8.4100896228577887E-3</v>
      </c>
      <c r="U73" s="88">
        <f t="shared" si="71"/>
        <v>-1.3423350169509018E-2</v>
      </c>
      <c r="V73" s="88">
        <f t="shared" si="71"/>
        <v>-1.0894824853350544E-2</v>
      </c>
      <c r="W73" s="88">
        <f t="shared" ref="W73" si="72">+W72/W77</f>
        <v>-1.2852495208214954E-2</v>
      </c>
      <c r="X73" s="101"/>
      <c r="Y73" s="82"/>
      <c r="Z73" s="82"/>
      <c r="AA73" s="82"/>
      <c r="AB73" s="82"/>
      <c r="AC73" s="82"/>
      <c r="AD73" s="82"/>
      <c r="AE73" s="43"/>
      <c r="AF73" s="43"/>
      <c r="AG73" s="43"/>
    </row>
    <row r="74" spans="1:47">
      <c r="B74" s="67" t="s">
        <v>50</v>
      </c>
      <c r="C74" s="67"/>
      <c r="D74" s="67"/>
      <c r="E74" s="69"/>
      <c r="F74" s="83">
        <f t="shared" ref="F74:O74" si="73">F75+F76</f>
        <v>185826.76088421099</v>
      </c>
      <c r="G74" s="83">
        <f t="shared" si="73"/>
        <v>340288.93327044725</v>
      </c>
      <c r="H74" s="83">
        <f t="shared" si="73"/>
        <v>425262.39614279888</v>
      </c>
      <c r="I74" s="83">
        <f t="shared" si="73"/>
        <v>426220.64461714553</v>
      </c>
      <c r="J74" s="83">
        <f t="shared" si="73"/>
        <v>521937.20391185407</v>
      </c>
      <c r="K74" s="83">
        <f t="shared" si="73"/>
        <v>580038</v>
      </c>
      <c r="L74" s="83">
        <f t="shared" si="73"/>
        <v>673361.17242587265</v>
      </c>
      <c r="M74" s="83">
        <f t="shared" si="73"/>
        <v>587341.41639107862</v>
      </c>
      <c r="N74" s="83">
        <f t="shared" si="73"/>
        <v>720228.49421751208</v>
      </c>
      <c r="O74" s="83">
        <f t="shared" si="73"/>
        <v>895892.94355560013</v>
      </c>
      <c r="P74" s="83">
        <f t="shared" ref="P74:W74" si="74">P75+P76</f>
        <v>982627.20203630952</v>
      </c>
      <c r="Q74" s="83">
        <f t="shared" si="74"/>
        <v>1049419.0942268311</v>
      </c>
      <c r="R74" s="83">
        <f t="shared" si="74"/>
        <v>609342.03082016215</v>
      </c>
      <c r="S74" s="83">
        <f t="shared" si="74"/>
        <v>341835.22190952883</v>
      </c>
      <c r="T74" s="83">
        <f t="shared" si="74"/>
        <v>395772.70598533016</v>
      </c>
      <c r="U74" s="83">
        <f t="shared" si="74"/>
        <v>659300.43693441944</v>
      </c>
      <c r="V74" s="83">
        <f t="shared" si="74"/>
        <v>564486.01672479289</v>
      </c>
      <c r="W74" s="83">
        <f t="shared" si="74"/>
        <v>689309.05881595612</v>
      </c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</row>
    <row r="75" spans="1:47">
      <c r="B75" s="68" t="s">
        <v>75</v>
      </c>
      <c r="C75" s="68"/>
      <c r="D75" s="68"/>
      <c r="E75" s="2"/>
      <c r="F75" s="84">
        <v>373117.76088421099</v>
      </c>
      <c r="G75" s="84">
        <v>344345.50150399725</v>
      </c>
      <c r="H75" s="84">
        <v>560832.87667200889</v>
      </c>
      <c r="I75" s="84">
        <f>567307.862705682-2361.3</f>
        <v>564946.56270568201</v>
      </c>
      <c r="J75" s="84">
        <v>158701.52957731401</v>
      </c>
      <c r="K75" s="84">
        <f>142674+24428</f>
        <v>167102</v>
      </c>
      <c r="L75" s="84">
        <f>144645.149156467-5151.2</f>
        <v>139493.94915646699</v>
      </c>
      <c r="M75" s="84">
        <v>583900.79015253007</v>
      </c>
      <c r="N75" s="84">
        <v>731362.36315617908</v>
      </c>
      <c r="O75" s="84">
        <v>904693.74290156108</v>
      </c>
      <c r="P75" s="84">
        <v>987446.95454708533</v>
      </c>
      <c r="Q75" s="84">
        <v>618952.37036406901</v>
      </c>
      <c r="R75" s="84">
        <v>565073.84764972201</v>
      </c>
      <c r="S75" s="84">
        <v>-228994.409873261</v>
      </c>
      <c r="T75" s="84">
        <v>135777.87489869003</v>
      </c>
      <c r="U75" s="84">
        <f>208718.033430666+91638.4</f>
        <v>300356.43343066599</v>
      </c>
      <c r="V75" s="84">
        <v>877595.51648551493</v>
      </c>
      <c r="W75" s="84">
        <v>751082.56530133809</v>
      </c>
      <c r="X75" s="52"/>
      <c r="Y75" s="52"/>
      <c r="Z75" s="52"/>
      <c r="AA75" s="52"/>
      <c r="AB75" s="52"/>
      <c r="AC75" s="52"/>
      <c r="AD75" s="52"/>
      <c r="AE75" s="52"/>
      <c r="AF75" s="2"/>
      <c r="AG75" s="2"/>
      <c r="AH75" s="2"/>
    </row>
    <row r="76" spans="1:47" ht="13.5" thickBot="1">
      <c r="B76" s="96" t="s">
        <v>76</v>
      </c>
      <c r="C76" s="96"/>
      <c r="D76" s="96"/>
      <c r="E76" s="57"/>
      <c r="F76" s="97">
        <v>-187291</v>
      </c>
      <c r="G76" s="97">
        <v>-4056.5682335500005</v>
      </c>
      <c r="H76" s="97">
        <v>-135570.48052921001</v>
      </c>
      <c r="I76" s="97">
        <v>-138725.91808853648</v>
      </c>
      <c r="J76" s="97">
        <v>363235.67433454003</v>
      </c>
      <c r="K76" s="97">
        <v>412936</v>
      </c>
      <c r="L76" s="97">
        <v>533867.22326940566</v>
      </c>
      <c r="M76" s="97">
        <v>3440.6262385486007</v>
      </c>
      <c r="N76" s="97">
        <v>-11133.868938666987</v>
      </c>
      <c r="O76" s="97">
        <v>-8800.7993459609606</v>
      </c>
      <c r="P76" s="97">
        <v>-4819.752510775772</v>
      </c>
      <c r="Q76" s="97">
        <v>430466.7238627621</v>
      </c>
      <c r="R76" s="97">
        <v>44268.183170440192</v>
      </c>
      <c r="S76" s="97">
        <v>570829.63178278983</v>
      </c>
      <c r="T76" s="97">
        <v>259994.8310866401</v>
      </c>
      <c r="U76" s="97">
        <v>358944.0035037534</v>
      </c>
      <c r="V76" s="97">
        <v>-313109.49976072204</v>
      </c>
      <c r="W76" s="97">
        <v>-61773.506485382008</v>
      </c>
      <c r="X76" s="52"/>
      <c r="Y76" s="52"/>
      <c r="Z76" s="52"/>
      <c r="AA76" s="52"/>
      <c r="AB76" s="52"/>
      <c r="AC76" s="52"/>
      <c r="AD76" s="52"/>
      <c r="AE76" s="52"/>
      <c r="AF76" s="2"/>
      <c r="AG76" s="2"/>
      <c r="AH76" s="2"/>
    </row>
    <row r="77" spans="1:47" ht="13.5" thickTop="1">
      <c r="B77" s="89" t="s">
        <v>112</v>
      </c>
      <c r="C77" s="59">
        <v>11613320</v>
      </c>
      <c r="D77" s="59">
        <v>13889052.9</v>
      </c>
      <c r="E77" s="59">
        <v>16208974.699999999</v>
      </c>
      <c r="F77" s="59">
        <v>17626147.699999999</v>
      </c>
      <c r="G77" s="86">
        <v>19802010.600000001</v>
      </c>
      <c r="H77" s="86">
        <v>21623524.600000001</v>
      </c>
      <c r="I77" s="86">
        <v>23752868.600000001</v>
      </c>
      <c r="J77" s="86">
        <v>25462954.600000001</v>
      </c>
      <c r="K77" s="86">
        <v>28001327.600000001</v>
      </c>
      <c r="L77" s="86">
        <v>30401903.199999999</v>
      </c>
      <c r="M77" s="86">
        <v>32056288.199999999</v>
      </c>
      <c r="N77" s="86">
        <v>34343647.5</v>
      </c>
      <c r="O77" s="86">
        <v>36014718.700000003</v>
      </c>
      <c r="P77" s="86">
        <v>37832149.799999997</v>
      </c>
      <c r="Q77" s="86">
        <v>36495246.100000001</v>
      </c>
      <c r="R77" s="86">
        <v>40326625.899999999</v>
      </c>
      <c r="S77" s="86">
        <v>44810030.600000001</v>
      </c>
      <c r="T77" s="86">
        <v>47059272.200000003</v>
      </c>
      <c r="U77" s="86">
        <v>49115934.700000003</v>
      </c>
      <c r="V77" s="86">
        <v>51812301.787569404</v>
      </c>
      <c r="W77" s="86">
        <v>53632317.665484391</v>
      </c>
      <c r="X77" s="52"/>
      <c r="Y77" s="52"/>
      <c r="Z77" s="52"/>
      <c r="AA77" s="52"/>
      <c r="AB77" s="52"/>
      <c r="AC77" s="52"/>
      <c r="AD77" s="52"/>
      <c r="AE77" s="52"/>
      <c r="AM77" s="99"/>
    </row>
    <row r="78" spans="1:47" ht="9.75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86"/>
      <c r="R78" s="86"/>
      <c r="S78" s="86"/>
      <c r="T78" s="86"/>
      <c r="U78" s="86"/>
      <c r="V78" s="86"/>
      <c r="W78" s="86"/>
      <c r="X78" s="52"/>
      <c r="Y78" s="52"/>
      <c r="Z78" s="52"/>
      <c r="AA78" s="52"/>
      <c r="AB78" s="52"/>
      <c r="AC78" s="52"/>
      <c r="AD78" s="52"/>
      <c r="AE78" s="52"/>
    </row>
    <row r="79" spans="1:47">
      <c r="AL79" s="100"/>
    </row>
    <row r="80" spans="1:47" ht="17.25" customHeight="1">
      <c r="A80" s="92"/>
      <c r="B80" s="1" t="s">
        <v>118</v>
      </c>
      <c r="X80" s="93"/>
      <c r="Y80" s="93"/>
      <c r="Z80" s="93"/>
      <c r="AA80" s="93"/>
      <c r="AB80" s="93"/>
      <c r="AC80" s="93"/>
      <c r="AD80" s="1"/>
      <c r="AE80" s="1"/>
      <c r="AF80" s="1"/>
      <c r="AG80" s="1"/>
    </row>
    <row r="81" spans="1:35" ht="17.25" customHeight="1">
      <c r="A81" s="92"/>
      <c r="B81" s="1" t="s">
        <v>110</v>
      </c>
      <c r="X81" s="93"/>
      <c r="Y81" s="93"/>
      <c r="Z81" s="93"/>
      <c r="AA81" s="93"/>
      <c r="AB81" s="93"/>
      <c r="AC81" s="93"/>
      <c r="AD81" s="1"/>
      <c r="AE81" s="1"/>
      <c r="AF81" s="1"/>
      <c r="AG81" s="1"/>
    </row>
    <row r="82" spans="1:35" ht="17.25" customHeight="1">
      <c r="A82" s="92"/>
      <c r="B82" s="1" t="s">
        <v>111</v>
      </c>
      <c r="X82" s="93"/>
      <c r="Y82" s="93"/>
      <c r="Z82" s="93"/>
      <c r="AA82" s="93"/>
      <c r="AB82" s="93"/>
      <c r="AC82" s="93"/>
      <c r="AD82" s="1"/>
      <c r="AE82" s="1"/>
      <c r="AF82" s="1"/>
      <c r="AG82" s="1"/>
    </row>
    <row r="83" spans="1:35" ht="17.25" customHeight="1">
      <c r="A83" s="92"/>
      <c r="X83" s="93"/>
      <c r="Y83" s="93"/>
      <c r="Z83" s="93"/>
      <c r="AA83" s="93"/>
      <c r="AB83" s="93"/>
      <c r="AC83" s="93"/>
      <c r="AD83" s="1"/>
      <c r="AE83" s="1"/>
      <c r="AF83" s="1"/>
      <c r="AG83" s="1"/>
    </row>
    <row r="84" spans="1:35" ht="25.5" customHeight="1">
      <c r="B84" s="247" t="s">
        <v>78</v>
      </c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</row>
    <row r="85" spans="1:35">
      <c r="S85" s="2"/>
      <c r="T85" s="2"/>
      <c r="U85" s="2"/>
      <c r="V85" s="2"/>
      <c r="W85" s="2"/>
    </row>
    <row r="86" spans="1:35">
      <c r="P86" s="2"/>
      <c r="Q86" s="2"/>
      <c r="R86" s="2"/>
      <c r="S86" s="2"/>
      <c r="T86" s="2"/>
      <c r="U86" s="2"/>
      <c r="V86" s="2"/>
      <c r="W86" s="2"/>
    </row>
    <row r="87" spans="1:35">
      <c r="P87" s="2"/>
      <c r="Q87" s="2"/>
      <c r="R87" s="2"/>
      <c r="S87" s="2"/>
      <c r="T87" s="2"/>
      <c r="U87" s="2"/>
      <c r="V87" s="2"/>
      <c r="W87" s="2"/>
    </row>
    <row r="88" spans="1:35">
      <c r="P88" s="2"/>
    </row>
    <row r="89" spans="1:35">
      <c r="P89" s="2"/>
    </row>
  </sheetData>
  <mergeCells count="6">
    <mergeCell ref="B84:AI84"/>
    <mergeCell ref="X7:AQ7"/>
    <mergeCell ref="C7:W7"/>
    <mergeCell ref="A2:AQ2"/>
    <mergeCell ref="A3:AQ3"/>
    <mergeCell ref="A4:AQ4"/>
  </mergeCells>
  <phoneticPr fontId="0" type="noConversion"/>
  <printOptions horizontalCentered="1" verticalCentered="1"/>
  <pageMargins left="0.23622047244094491" right="0.27559055118110237" top="0.78740157480314965" bottom="0.19685039370078741" header="0" footer="0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62E1-7476-42D0-A710-4D044139AB39}">
  <dimension ref="A1:K113"/>
  <sheetViews>
    <sheetView zoomScale="75" workbookViewId="0">
      <pane xSplit="2" ySplit="7" topLeftCell="D92" activePane="bottomRight" state="frozen"/>
      <selection activeCell="C67" sqref="C67:F67"/>
      <selection pane="topRight" activeCell="C67" sqref="C67:F67"/>
      <selection pane="bottomLeft" activeCell="C67" sqref="C67:F67"/>
      <selection pane="bottomRight" activeCell="H105" sqref="H105"/>
    </sheetView>
  </sheetViews>
  <sheetFormatPr baseColWidth="10" defaultRowHeight="12.75"/>
  <cols>
    <col min="1" max="1" width="3.85546875" style="1" customWidth="1"/>
    <col min="2" max="2" width="37.28515625" style="1" customWidth="1"/>
    <col min="3" max="3" width="12" style="1" customWidth="1"/>
    <col min="4" max="4" width="13.140625" style="10" customWidth="1"/>
    <col min="5" max="5" width="15" style="10" bestFit="1" customWidth="1"/>
    <col min="6" max="6" width="13" style="1" customWidth="1"/>
    <col min="7" max="7" width="11.85546875" style="1" customWidth="1"/>
    <col min="8" max="8" width="11.85546875" style="12" customWidth="1"/>
    <col min="9" max="9" width="11.85546875" style="1" customWidth="1"/>
    <col min="10" max="16384" width="11.42578125" style="1"/>
  </cols>
  <sheetData>
    <row r="1" spans="1:9">
      <c r="F1" s="11"/>
    </row>
    <row r="2" spans="1:9">
      <c r="B2" s="248" t="s">
        <v>0</v>
      </c>
      <c r="C2" s="248"/>
      <c r="D2" s="248"/>
      <c r="E2" s="248"/>
      <c r="F2" s="248"/>
      <c r="G2" s="248"/>
      <c r="H2" s="248"/>
      <c r="I2" s="248"/>
    </row>
    <row r="3" spans="1:9">
      <c r="B3" s="248" t="s">
        <v>74</v>
      </c>
      <c r="C3" s="248"/>
      <c r="D3" s="248"/>
      <c r="E3" s="248"/>
      <c r="F3" s="248"/>
      <c r="G3" s="248"/>
      <c r="H3" s="248"/>
      <c r="I3" s="248"/>
    </row>
    <row r="4" spans="1:9">
      <c r="B4" s="255"/>
      <c r="C4" s="255"/>
      <c r="D4" s="255"/>
      <c r="E4" s="255"/>
      <c r="F4" s="255"/>
      <c r="G4" s="255"/>
      <c r="H4" s="255"/>
      <c r="I4" s="255"/>
    </row>
    <row r="5" spans="1:9" ht="13.5" thickBot="1">
      <c r="B5" s="13"/>
      <c r="C5" s="13"/>
      <c r="D5" s="14"/>
      <c r="E5" s="14"/>
      <c r="F5" s="15"/>
      <c r="G5" s="13"/>
      <c r="H5" s="16"/>
      <c r="I5" s="13"/>
    </row>
    <row r="6" spans="1:9" ht="13.5" thickTop="1">
      <c r="F6" s="17"/>
      <c r="G6" s="248" t="s">
        <v>30</v>
      </c>
      <c r="H6" s="248"/>
      <c r="I6" s="248"/>
    </row>
    <row r="7" spans="1:9">
      <c r="B7" s="18" t="s">
        <v>1</v>
      </c>
      <c r="C7" s="19">
        <v>2008</v>
      </c>
      <c r="D7" s="19">
        <v>2007</v>
      </c>
      <c r="E7" s="19">
        <v>2006</v>
      </c>
      <c r="F7" s="19">
        <v>2005</v>
      </c>
      <c r="G7" s="20" t="s">
        <v>28</v>
      </c>
      <c r="H7" s="20" t="s">
        <v>27</v>
      </c>
      <c r="I7" s="20" t="s">
        <v>29</v>
      </c>
    </row>
    <row r="9" spans="1:9">
      <c r="A9" s="1">
        <v>1</v>
      </c>
      <c r="B9" s="6" t="s">
        <v>14</v>
      </c>
      <c r="C9" s="32">
        <f>+C11+C31</f>
        <v>1023405.28774324</v>
      </c>
      <c r="D9" s="32">
        <f>+D11+D31</f>
        <v>807034.79469891987</v>
      </c>
      <c r="E9" s="32">
        <f>+E11+E31</f>
        <v>617509.09143943002</v>
      </c>
      <c r="F9" s="32">
        <f>+F11+F31</f>
        <v>509897.56920466997</v>
      </c>
      <c r="G9" s="42">
        <f>+C9/D9-1</f>
        <v>0.26810553208556698</v>
      </c>
      <c r="H9" s="42">
        <f>+D9/E9-1</f>
        <v>0.30691969703263866</v>
      </c>
      <c r="I9" s="42">
        <f>+E9/F9-1</f>
        <v>0.21104537211779761</v>
      </c>
    </row>
    <row r="10" spans="1:9">
      <c r="B10" s="6"/>
      <c r="C10" s="2"/>
      <c r="D10" s="2"/>
      <c r="E10" s="2"/>
      <c r="F10" s="2"/>
      <c r="G10" s="42"/>
      <c r="H10" s="42"/>
      <c r="I10" s="42"/>
    </row>
    <row r="11" spans="1:9">
      <c r="B11" s="6" t="s">
        <v>41</v>
      </c>
      <c r="C11" s="31">
        <f>+C12+C27+C28+C29</f>
        <v>1023220.28774324</v>
      </c>
      <c r="D11" s="31">
        <f>+D12+D27+D28+D29</f>
        <v>806979.79469891987</v>
      </c>
      <c r="E11" s="31">
        <f>+E12+E27+E28+E29</f>
        <v>617497.09143943002</v>
      </c>
      <c r="F11" s="31">
        <f>+F12+F27+F28+F29</f>
        <v>509897.56920466997</v>
      </c>
      <c r="G11" s="42">
        <f t="shared" ref="G11:G29" si="0">+C11/D11-1</f>
        <v>0.26796271042324959</v>
      </c>
      <c r="H11" s="42">
        <f t="shared" ref="H11:H29" si="1">+D11/E11-1</f>
        <v>0.30685602553656088</v>
      </c>
      <c r="I11" s="42">
        <f t="shared" ref="I11:I29" si="2">+E11/F11-1</f>
        <v>0.21102183797932605</v>
      </c>
    </row>
    <row r="12" spans="1:9">
      <c r="B12" s="33" t="s">
        <v>40</v>
      </c>
      <c r="C12" s="2">
        <v>993436.20098425006</v>
      </c>
      <c r="D12" s="2">
        <v>779041.67608197988</v>
      </c>
      <c r="E12" s="2">
        <v>596210.76595544</v>
      </c>
      <c r="F12" s="2">
        <v>488974.01979299</v>
      </c>
      <c r="G12" s="44">
        <f t="shared" si="0"/>
        <v>0.27520289540929399</v>
      </c>
      <c r="H12" s="44">
        <f t="shared" si="1"/>
        <v>0.30665482840376024</v>
      </c>
      <c r="I12" s="44">
        <f t="shared" si="2"/>
        <v>0.2193097011735905</v>
      </c>
    </row>
    <row r="13" spans="1:9">
      <c r="B13" s="34" t="s">
        <v>33</v>
      </c>
      <c r="C13" s="2">
        <v>270210.32127028005</v>
      </c>
      <c r="D13" s="2">
        <v>188561.25017931999</v>
      </c>
      <c r="E13" s="2">
        <v>133915.82493018999</v>
      </c>
      <c r="F13" s="2">
        <v>119091.71165622001</v>
      </c>
      <c r="G13" s="44">
        <f t="shared" si="0"/>
        <v>0.43301087054372278</v>
      </c>
      <c r="H13" s="44">
        <f t="shared" si="1"/>
        <v>0.40805801164736533</v>
      </c>
      <c r="I13" s="44">
        <f t="shared" si="2"/>
        <v>0.124476448174349</v>
      </c>
    </row>
    <row r="14" spans="1:9">
      <c r="B14" s="34" t="s">
        <v>34</v>
      </c>
      <c r="C14" s="2">
        <v>57909.942212749993</v>
      </c>
      <c r="D14" s="2">
        <v>48401.485053279997</v>
      </c>
      <c r="E14" s="2">
        <v>36635.227903840001</v>
      </c>
      <c r="F14" s="2">
        <v>29061.097323610004</v>
      </c>
      <c r="G14" s="44">
        <f t="shared" si="0"/>
        <v>0.19644969878513341</v>
      </c>
      <c r="H14" s="44">
        <f t="shared" si="1"/>
        <v>0.32117330292919211</v>
      </c>
      <c r="I14" s="44">
        <f t="shared" si="2"/>
        <v>0.26062782474757329</v>
      </c>
    </row>
    <row r="15" spans="1:9">
      <c r="B15" s="35" t="s">
        <v>45</v>
      </c>
      <c r="C15" s="2">
        <v>45224.499137619998</v>
      </c>
      <c r="D15" s="2">
        <v>38248.523540189999</v>
      </c>
      <c r="E15" s="2">
        <v>29093.59535462</v>
      </c>
      <c r="F15" s="2">
        <v>23184.317846710001</v>
      </c>
      <c r="G15" s="44">
        <f t="shared" si="0"/>
        <v>0.18238548711821334</v>
      </c>
      <c r="H15" s="44">
        <f t="shared" si="1"/>
        <v>0.31467159950432921</v>
      </c>
      <c r="I15" s="44">
        <f t="shared" si="2"/>
        <v>0.25488252649834009</v>
      </c>
    </row>
    <row r="16" spans="1:9">
      <c r="B16" s="35" t="s">
        <v>46</v>
      </c>
      <c r="C16" s="2">
        <v>12685.443075129997</v>
      </c>
      <c r="D16" s="2">
        <v>10152.96151309</v>
      </c>
      <c r="E16" s="2">
        <v>7541.6325492199994</v>
      </c>
      <c r="F16" s="2">
        <v>5876.7794769000011</v>
      </c>
      <c r="G16" s="44">
        <f t="shared" si="0"/>
        <v>0.24943279443883659</v>
      </c>
      <c r="H16" s="44">
        <f t="shared" si="1"/>
        <v>0.34625513067990554</v>
      </c>
      <c r="I16" s="44">
        <f t="shared" si="2"/>
        <v>0.28329343969159915</v>
      </c>
    </row>
    <row r="17" spans="2:9">
      <c r="B17" s="34" t="s">
        <v>35</v>
      </c>
      <c r="C17" s="2">
        <v>2472.3305857199998</v>
      </c>
      <c r="D17" s="2">
        <v>2056.2488517799998</v>
      </c>
      <c r="E17" s="2">
        <v>734.35915997999996</v>
      </c>
      <c r="F17" s="2">
        <v>961.81399580999982</v>
      </c>
      <c r="G17" s="44">
        <f t="shared" si="0"/>
        <v>0.20234989241687229</v>
      </c>
      <c r="H17" s="44">
        <f t="shared" si="1"/>
        <v>1.8000588320243751</v>
      </c>
      <c r="I17" s="44">
        <f t="shared" si="2"/>
        <v>-0.2364852630767208</v>
      </c>
    </row>
    <row r="18" spans="2:9">
      <c r="B18" s="35" t="s">
        <v>47</v>
      </c>
      <c r="C18" s="2">
        <v>66.889689500000003</v>
      </c>
      <c r="D18" s="2">
        <v>73.10779402</v>
      </c>
      <c r="E18" s="2">
        <v>734.35915997999996</v>
      </c>
      <c r="F18" s="2">
        <v>59.798489770000003</v>
      </c>
      <c r="G18" s="44">
        <f t="shared" si="0"/>
        <v>-8.5053920766627433E-2</v>
      </c>
      <c r="H18" s="44">
        <f t="shared" si="1"/>
        <v>-0.90044681403308013</v>
      </c>
      <c r="I18" s="44">
        <f t="shared" si="2"/>
        <v>11.280563653104444</v>
      </c>
    </row>
    <row r="19" spans="2:9">
      <c r="B19" s="35" t="s">
        <v>48</v>
      </c>
      <c r="C19" s="2">
        <v>2405.44089622</v>
      </c>
      <c r="D19" s="2">
        <v>1983.14105776</v>
      </c>
      <c r="E19" s="2">
        <v>0</v>
      </c>
      <c r="F19" s="2">
        <v>902.01550603999988</v>
      </c>
      <c r="G19" s="44">
        <f t="shared" si="0"/>
        <v>0.21294493238771262</v>
      </c>
      <c r="H19" s="44" t="e">
        <f t="shared" si="1"/>
        <v>#DIV/0!</v>
      </c>
      <c r="I19" s="44">
        <f t="shared" si="2"/>
        <v>-1</v>
      </c>
    </row>
    <row r="20" spans="2:9">
      <c r="B20" s="34" t="s">
        <v>36</v>
      </c>
      <c r="C20" s="2">
        <v>385317.57454639004</v>
      </c>
      <c r="D20" s="2">
        <v>307396.39050862001</v>
      </c>
      <c r="E20" s="2">
        <v>238282.2153412</v>
      </c>
      <c r="F20" s="2">
        <v>187921.38689149002</v>
      </c>
      <c r="G20" s="44">
        <f t="shared" si="0"/>
        <v>0.25348763500066207</v>
      </c>
      <c r="H20" s="44">
        <f t="shared" si="1"/>
        <v>0.29005175677275941</v>
      </c>
      <c r="I20" s="44">
        <f t="shared" si="2"/>
        <v>0.26798880788799972</v>
      </c>
    </row>
    <row r="21" spans="2:9">
      <c r="B21" s="35" t="s">
        <v>37</v>
      </c>
      <c r="C21" s="2">
        <v>189094.82320073002</v>
      </c>
      <c r="D21" s="2">
        <v>155225.41816577001</v>
      </c>
      <c r="E21" s="2">
        <v>122213.78032347</v>
      </c>
      <c r="F21" s="2">
        <v>97351.383142700011</v>
      </c>
      <c r="G21" s="44">
        <f t="shared" si="0"/>
        <v>0.21819496726231935</v>
      </c>
      <c r="H21" s="44">
        <f t="shared" si="1"/>
        <v>0.27011387549690613</v>
      </c>
      <c r="I21" s="44">
        <f t="shared" si="2"/>
        <v>0.25538822745154111</v>
      </c>
    </row>
    <row r="22" spans="2:9">
      <c r="B22" s="35" t="s">
        <v>38</v>
      </c>
      <c r="C22" s="2">
        <v>196222.75134566001</v>
      </c>
      <c r="D22" s="2">
        <v>152170.97234285</v>
      </c>
      <c r="E22" s="2">
        <v>116068.43501773001</v>
      </c>
      <c r="F22" s="2">
        <v>90570.003748789997</v>
      </c>
      <c r="G22" s="44">
        <f t="shared" si="0"/>
        <v>0.28948871341610949</v>
      </c>
      <c r="H22" s="44">
        <f t="shared" si="1"/>
        <v>0.31104526669636878</v>
      </c>
      <c r="I22" s="44">
        <f t="shared" si="2"/>
        <v>0.28153284987890559</v>
      </c>
    </row>
    <row r="23" spans="2:9">
      <c r="B23" s="34" t="s">
        <v>39</v>
      </c>
      <c r="C23" s="2">
        <v>74231.160603340002</v>
      </c>
      <c r="D23" s="2">
        <v>58745.603098959997</v>
      </c>
      <c r="E23" s="2">
        <v>42369.695439559997</v>
      </c>
      <c r="F23" s="2">
        <v>33697.056347079997</v>
      </c>
      <c r="G23" s="44">
        <f t="shared" si="0"/>
        <v>0.26360368585022065</v>
      </c>
      <c r="H23" s="44">
        <f t="shared" si="1"/>
        <v>0.38650048081558874</v>
      </c>
      <c r="I23" s="44">
        <f t="shared" si="2"/>
        <v>0.25737082204308104</v>
      </c>
    </row>
    <row r="24" spans="2:9">
      <c r="B24" s="35" t="s">
        <v>37</v>
      </c>
      <c r="C24" s="2">
        <v>9730.1372082199996</v>
      </c>
      <c r="D24" s="2">
        <v>8194.3061675099998</v>
      </c>
      <c r="E24" s="2">
        <v>6980.6226979000003</v>
      </c>
      <c r="F24" s="2">
        <v>5885.2679425099996</v>
      </c>
      <c r="G24" s="44">
        <f t="shared" si="0"/>
        <v>0.18742661176116293</v>
      </c>
      <c r="H24" s="44">
        <f t="shared" si="1"/>
        <v>0.17386464247310141</v>
      </c>
      <c r="I24" s="44">
        <f t="shared" si="2"/>
        <v>0.18611807756077203</v>
      </c>
    </row>
    <row r="25" spans="2:9">
      <c r="B25" s="35" t="s">
        <v>38</v>
      </c>
      <c r="C25" s="2">
        <v>64501.023395120006</v>
      </c>
      <c r="D25" s="2">
        <v>50551.296931449993</v>
      </c>
      <c r="E25" s="2">
        <v>35389.072741659998</v>
      </c>
      <c r="F25" s="2">
        <v>27811.788404570001</v>
      </c>
      <c r="G25" s="44">
        <f t="shared" si="0"/>
        <v>0.27595190055334329</v>
      </c>
      <c r="H25" s="44">
        <f t="shared" si="1"/>
        <v>0.4284436696172893</v>
      </c>
      <c r="I25" s="44">
        <f t="shared" si="2"/>
        <v>0.27244865475263391</v>
      </c>
    </row>
    <row r="26" spans="2:9">
      <c r="B26" s="34" t="s">
        <v>42</v>
      </c>
      <c r="C26" s="2">
        <v>203294.87176577002</v>
      </c>
      <c r="D26" s="2">
        <v>173880.69839002</v>
      </c>
      <c r="E26" s="2">
        <v>144273.44318067</v>
      </c>
      <c r="F26" s="2">
        <v>118240.95357877998</v>
      </c>
      <c r="G26" s="44">
        <f t="shared" si="0"/>
        <v>0.16916295855778696</v>
      </c>
      <c r="H26" s="44">
        <f t="shared" si="1"/>
        <v>0.20521625156109691</v>
      </c>
      <c r="I26" s="44">
        <f t="shared" si="2"/>
        <v>0.22016474676471076</v>
      </c>
    </row>
    <row r="27" spans="2:9">
      <c r="B27" s="33" t="s">
        <v>43</v>
      </c>
      <c r="C27" s="2">
        <v>17363.002363310003</v>
      </c>
      <c r="D27" s="2">
        <v>15723.550613250001</v>
      </c>
      <c r="E27" s="2">
        <v>11152.30776539</v>
      </c>
      <c r="F27" s="2">
        <v>12579.674805520001</v>
      </c>
      <c r="G27" s="44">
        <f t="shared" si="0"/>
        <v>0.10426727336499053</v>
      </c>
      <c r="H27" s="44">
        <f t="shared" si="1"/>
        <v>0.40989209982586439</v>
      </c>
      <c r="I27" s="44">
        <f t="shared" si="2"/>
        <v>-0.11346613185133114</v>
      </c>
    </row>
    <row r="28" spans="2:9">
      <c r="B28" s="33" t="s">
        <v>16</v>
      </c>
      <c r="C28" s="2">
        <v>4217.07678175</v>
      </c>
      <c r="D28" s="2">
        <v>5118.0714586600006</v>
      </c>
      <c r="E28" s="2">
        <v>4044.1155374700002</v>
      </c>
      <c r="F28" s="2">
        <v>3726.3499625899999</v>
      </c>
      <c r="G28" s="44">
        <f t="shared" si="0"/>
        <v>-0.1760418321994075</v>
      </c>
      <c r="H28" s="44">
        <f t="shared" si="1"/>
        <v>0.26556014813114559</v>
      </c>
      <c r="I28" s="44">
        <f t="shared" si="2"/>
        <v>8.5275290316301211E-2</v>
      </c>
    </row>
    <row r="29" spans="2:9">
      <c r="B29" s="33" t="s">
        <v>44</v>
      </c>
      <c r="C29" s="2">
        <v>8204.0076139299999</v>
      </c>
      <c r="D29" s="2">
        <v>7096.4965450300006</v>
      </c>
      <c r="E29" s="2">
        <v>6089.9021811300008</v>
      </c>
      <c r="F29" s="2">
        <v>4617.5246435700001</v>
      </c>
      <c r="G29" s="44">
        <f t="shared" si="0"/>
        <v>0.15606448363251024</v>
      </c>
      <c r="H29" s="44">
        <f t="shared" si="1"/>
        <v>0.16528908576216628</v>
      </c>
      <c r="I29" s="44">
        <f t="shared" si="2"/>
        <v>0.31886728306048506</v>
      </c>
    </row>
    <row r="30" spans="2:9">
      <c r="C30" s="2"/>
      <c r="D30" s="2"/>
      <c r="E30" s="2"/>
      <c r="F30" s="2"/>
      <c r="G30" s="42"/>
      <c r="H30" s="42"/>
      <c r="I30" s="42"/>
    </row>
    <row r="31" spans="2:9" ht="15">
      <c r="B31" s="21" t="s">
        <v>15</v>
      </c>
      <c r="C31" s="8">
        <v>185</v>
      </c>
      <c r="D31" s="8">
        <v>55</v>
      </c>
      <c r="E31" s="8">
        <v>12</v>
      </c>
      <c r="F31" s="8">
        <v>0</v>
      </c>
      <c r="G31" s="42">
        <f>+C31/D31-1</f>
        <v>2.3636363636363638</v>
      </c>
      <c r="H31" s="42">
        <f>+D31/E31-1</f>
        <v>3.583333333333333</v>
      </c>
      <c r="I31" s="42">
        <v>0</v>
      </c>
    </row>
    <row r="32" spans="2:9">
      <c r="C32" s="2"/>
      <c r="D32" s="2"/>
      <c r="E32" s="2"/>
      <c r="F32" s="2"/>
      <c r="G32" s="45"/>
      <c r="H32" s="46"/>
      <c r="I32" s="45"/>
    </row>
    <row r="33" spans="1:11">
      <c r="A33" s="9">
        <v>2</v>
      </c>
      <c r="B33" s="22" t="s">
        <v>2</v>
      </c>
      <c r="C33" s="32">
        <f>+C37+C53</f>
        <v>912565.89999999991</v>
      </c>
      <c r="D33" s="32">
        <f>+D37+D53</f>
        <v>796299.8</v>
      </c>
      <c r="E33" s="32">
        <f>+E37+E53</f>
        <v>671960.91</v>
      </c>
      <c r="F33" s="32">
        <f>+F37+F53</f>
        <v>576624.90214697004</v>
      </c>
      <c r="G33" s="42">
        <f>+C33/D33-1</f>
        <v>0.14600794826270191</v>
      </c>
      <c r="H33" s="42">
        <f>+D33/E33-1</f>
        <v>0.18503887376424921</v>
      </c>
      <c r="I33" s="42">
        <f>+E33/F33-1</f>
        <v>0.16533453116239283</v>
      </c>
    </row>
    <row r="34" spans="1:11">
      <c r="A34" s="9"/>
      <c r="B34" s="22"/>
      <c r="C34" s="2"/>
      <c r="D34" s="31"/>
      <c r="E34" s="31"/>
      <c r="F34" s="31"/>
      <c r="G34" s="23"/>
      <c r="H34" s="23"/>
      <c r="I34" s="23"/>
    </row>
    <row r="35" spans="1:11">
      <c r="A35" s="9">
        <v>3</v>
      </c>
      <c r="B35" s="6" t="s">
        <v>22</v>
      </c>
      <c r="C35" s="8">
        <f>+C33-C43</f>
        <v>742846.79999999993</v>
      </c>
      <c r="D35" s="8">
        <f>+D33-D43</f>
        <v>584100.80000000005</v>
      </c>
      <c r="E35" s="8">
        <f>+E33-E43</f>
        <v>478424.71</v>
      </c>
      <c r="F35" s="8">
        <f>+F33-F43</f>
        <v>407816.20214697003</v>
      </c>
      <c r="G35" s="42">
        <f>+C35/D35-1</f>
        <v>0.27177843276365965</v>
      </c>
      <c r="H35" s="42">
        <f>+D35/E35-1</f>
        <v>0.22088342803196781</v>
      </c>
      <c r="I35" s="42">
        <f>+E35/F35-1</f>
        <v>0.17313806435670709</v>
      </c>
    </row>
    <row r="36" spans="1:11">
      <c r="C36" s="2"/>
      <c r="D36" s="2"/>
      <c r="E36" s="2"/>
      <c r="F36" s="2"/>
      <c r="G36" s="10"/>
      <c r="H36" s="10"/>
    </row>
    <row r="37" spans="1:11">
      <c r="B37" s="22" t="s">
        <v>3</v>
      </c>
      <c r="C37" s="31">
        <f>+C40+C41+C42+C43+C47</f>
        <v>831981.39999999991</v>
      </c>
      <c r="D37" s="31">
        <f>+D40+D41+D42+D43+D47</f>
        <v>752018</v>
      </c>
      <c r="E37" s="31">
        <f>+E40+E41+E42+E43+E47</f>
        <v>643121.01</v>
      </c>
      <c r="F37" s="31">
        <f>+F40+F41+F42+F43+F47</f>
        <v>556655.40214697004</v>
      </c>
      <c r="G37" s="42">
        <f>+C37/D37-1</f>
        <v>0.10633176333545191</v>
      </c>
      <c r="H37" s="42">
        <f>+D37/E37-1</f>
        <v>0.16932581630321786</v>
      </c>
      <c r="I37" s="42">
        <f>+E37/F37-1</f>
        <v>0.15533058247443554</v>
      </c>
    </row>
    <row r="38" spans="1:11">
      <c r="C38" s="2"/>
      <c r="D38" s="2"/>
      <c r="E38" s="30"/>
      <c r="F38" s="30"/>
      <c r="G38" s="10"/>
      <c r="H38" s="10"/>
    </row>
    <row r="39" spans="1:11">
      <c r="B39" s="36" t="s">
        <v>51</v>
      </c>
      <c r="C39" s="8">
        <f>SUM(C40:C41)</f>
        <v>329378.59999999998</v>
      </c>
      <c r="D39" s="8">
        <f>SUM(D40:D41)</f>
        <v>274913.7</v>
      </c>
      <c r="E39" s="8">
        <f>SUM(E40:E41)</f>
        <v>246965.01</v>
      </c>
      <c r="F39" s="8">
        <f>SUM(F40:F41)</f>
        <v>219075.66</v>
      </c>
      <c r="G39" s="47">
        <f t="shared" ref="G39:I45" si="3">+C39/D39-1</f>
        <v>0.19811635433228658</v>
      </c>
      <c r="H39" s="47">
        <f t="shared" si="3"/>
        <v>0.11316862255102444</v>
      </c>
      <c r="I39" s="47">
        <f t="shared" si="3"/>
        <v>0.12730464899660698</v>
      </c>
    </row>
    <row r="40" spans="1:11">
      <c r="B40" s="36" t="s">
        <v>4</v>
      </c>
      <c r="C40" s="40">
        <v>274786.09999999998</v>
      </c>
      <c r="D40" s="2">
        <v>229471.9</v>
      </c>
      <c r="E40" s="2">
        <v>204919.41</v>
      </c>
      <c r="F40" s="2">
        <v>177856.4</v>
      </c>
      <c r="G40" s="44">
        <f t="shared" si="3"/>
        <v>0.19747167300222812</v>
      </c>
      <c r="H40" s="44">
        <f t="shared" si="3"/>
        <v>0.11981534594502286</v>
      </c>
      <c r="I40" s="44">
        <f t="shared" si="3"/>
        <v>0.15216213754467089</v>
      </c>
    </row>
    <row r="41" spans="1:11">
      <c r="B41" s="36" t="s">
        <v>5</v>
      </c>
      <c r="C41" s="2">
        <v>54592.5</v>
      </c>
      <c r="D41" s="2">
        <v>45441.8</v>
      </c>
      <c r="E41" s="2">
        <v>42045.599999999999</v>
      </c>
      <c r="F41" s="2">
        <v>41219.26</v>
      </c>
      <c r="G41" s="44">
        <f t="shared" si="3"/>
        <v>0.20137186467085355</v>
      </c>
      <c r="H41" s="44">
        <f t="shared" si="3"/>
        <v>8.0774207051391933E-2</v>
      </c>
      <c r="I41" s="44">
        <f t="shared" si="3"/>
        <v>2.0047424432170668E-2</v>
      </c>
    </row>
    <row r="42" spans="1:11">
      <c r="B42" s="1" t="s">
        <v>6</v>
      </c>
      <c r="C42" s="2">
        <v>22018.6</v>
      </c>
      <c r="D42" s="2">
        <v>18876.5</v>
      </c>
      <c r="E42" s="2">
        <v>14420.1</v>
      </c>
      <c r="F42" s="2">
        <v>10883.6</v>
      </c>
      <c r="G42" s="44">
        <f t="shared" si="3"/>
        <v>0.16645564590893436</v>
      </c>
      <c r="H42" s="44">
        <f t="shared" si="3"/>
        <v>0.30904085269866366</v>
      </c>
      <c r="I42" s="44">
        <f t="shared" si="3"/>
        <v>0.32493843948693435</v>
      </c>
    </row>
    <row r="43" spans="1:11">
      <c r="B43" s="1" t="s">
        <v>23</v>
      </c>
      <c r="C43" s="8">
        <f>+C44+C45</f>
        <v>169719.1</v>
      </c>
      <c r="D43" s="8">
        <f>+D44+D45</f>
        <v>212199</v>
      </c>
      <c r="E43" s="8">
        <f>+E44+E45</f>
        <v>193536.2</v>
      </c>
      <c r="F43" s="8">
        <f>+F44+F45</f>
        <v>168808.7</v>
      </c>
      <c r="G43" s="47">
        <f t="shared" si="3"/>
        <v>-0.2001889735578396</v>
      </c>
      <c r="H43" s="47">
        <f t="shared" si="3"/>
        <v>9.6430538576245617E-2</v>
      </c>
      <c r="I43" s="47">
        <f t="shared" si="3"/>
        <v>0.14648237916647666</v>
      </c>
    </row>
    <row r="44" spans="1:11">
      <c r="B44" s="1" t="s">
        <v>7</v>
      </c>
      <c r="C44" s="2">
        <v>128142.6</v>
      </c>
      <c r="D44" s="2">
        <v>168728.1</v>
      </c>
      <c r="E44" s="2">
        <v>150801.5</v>
      </c>
      <c r="F44" s="2">
        <v>129497.5</v>
      </c>
      <c r="G44" s="44">
        <f t="shared" si="3"/>
        <v>-0.2405378831386118</v>
      </c>
      <c r="H44" s="44">
        <f t="shared" si="3"/>
        <v>0.11887547537657128</v>
      </c>
      <c r="I44" s="44">
        <f t="shared" si="3"/>
        <v>0.16451282843298132</v>
      </c>
    </row>
    <row r="45" spans="1:11">
      <c r="B45" s="1" t="s">
        <v>8</v>
      </c>
      <c r="C45" s="2">
        <v>41576.5</v>
      </c>
      <c r="D45" s="2">
        <v>43470.9</v>
      </c>
      <c r="E45" s="2">
        <v>42734.7</v>
      </c>
      <c r="F45" s="2">
        <v>39311.199999999997</v>
      </c>
      <c r="G45" s="44">
        <f t="shared" si="3"/>
        <v>-4.3578577853230605E-2</v>
      </c>
      <c r="H45" s="44">
        <f t="shared" si="3"/>
        <v>1.722721816228967E-2</v>
      </c>
      <c r="I45" s="44">
        <f t="shared" si="3"/>
        <v>8.7087140560450971E-2</v>
      </c>
    </row>
    <row r="46" spans="1:11">
      <c r="C46" s="2"/>
      <c r="D46" s="2"/>
      <c r="E46" s="2"/>
      <c r="F46" s="2"/>
      <c r="G46" s="10"/>
      <c r="H46" s="10"/>
    </row>
    <row r="47" spans="1:11">
      <c r="B47" s="1" t="s">
        <v>9</v>
      </c>
      <c r="C47" s="8">
        <f>+C48+C49+C50+C51</f>
        <v>310865.09999999998</v>
      </c>
      <c r="D47" s="8">
        <f>+D48+D49+D50+D51</f>
        <v>246028.79999999999</v>
      </c>
      <c r="E47" s="8">
        <f>+E48+E49+E50+E51</f>
        <v>188199.7</v>
      </c>
      <c r="F47" s="8">
        <f>+F48+F49+F50+F51</f>
        <v>157887.44214697002</v>
      </c>
      <c r="G47" s="47">
        <f t="shared" ref="G47:I51" si="4">+C47/D47-1</f>
        <v>0.26353134267207734</v>
      </c>
      <c r="H47" s="47">
        <f t="shared" si="4"/>
        <v>0.30727519756939015</v>
      </c>
      <c r="I47" s="47">
        <f t="shared" si="4"/>
        <v>0.19198650279490703</v>
      </c>
    </row>
    <row r="48" spans="1:11">
      <c r="B48" s="1" t="s">
        <v>10</v>
      </c>
      <c r="C48" s="2">
        <f>149054.9-13599.2</f>
        <v>135455.69999999998</v>
      </c>
      <c r="D48" s="2">
        <f>132359.2-11931.8</f>
        <v>120427.40000000001</v>
      </c>
      <c r="E48" s="2">
        <f>110386.5-10795.7</f>
        <v>99590.8</v>
      </c>
      <c r="F48" s="2">
        <f>98306.31-8953.4</f>
        <v>89352.91</v>
      </c>
      <c r="G48" s="44">
        <f t="shared" si="4"/>
        <v>0.12479136807736424</v>
      </c>
      <c r="H48" s="44">
        <f t="shared" si="4"/>
        <v>0.20922213698454084</v>
      </c>
      <c r="I48" s="44">
        <f t="shared" si="4"/>
        <v>0.11457813741041001</v>
      </c>
      <c r="K48" s="1">
        <v>107298.9</v>
      </c>
    </row>
    <row r="49" spans="1:11">
      <c r="B49" s="1" t="s">
        <v>11</v>
      </c>
      <c r="C49" s="2">
        <f>159053.9+13599.2</f>
        <v>172653.1</v>
      </c>
      <c r="D49" s="2">
        <f>110839.9+11931.8</f>
        <v>122771.7</v>
      </c>
      <c r="E49" s="2">
        <f>76422.1+10795.7</f>
        <v>87217.8</v>
      </c>
      <c r="F49" s="2">
        <f>58033.19175525+8953.4</f>
        <v>66986.591755250003</v>
      </c>
      <c r="G49" s="44">
        <f t="shared" si="4"/>
        <v>0.40629395862401529</v>
      </c>
      <c r="H49" s="44">
        <f t="shared" si="4"/>
        <v>0.40764499907129048</v>
      </c>
      <c r="I49" s="44">
        <f t="shared" si="4"/>
        <v>0.30201877293099333</v>
      </c>
      <c r="K49" s="2">
        <f>+K48-C48</f>
        <v>-28156.799999999988</v>
      </c>
    </row>
    <row r="50" spans="1:11">
      <c r="B50" s="1" t="s">
        <v>12</v>
      </c>
      <c r="C50" s="2">
        <v>1810.1</v>
      </c>
      <c r="D50" s="2">
        <v>1517.3</v>
      </c>
      <c r="E50" s="2">
        <v>1051.5999999999999</v>
      </c>
      <c r="F50" s="2">
        <v>625.44039172000009</v>
      </c>
      <c r="G50" s="44">
        <f t="shared" si="4"/>
        <v>0.19297436235418175</v>
      </c>
      <c r="H50" s="44">
        <f t="shared" si="4"/>
        <v>0.44284899201217209</v>
      </c>
      <c r="I50" s="44">
        <f t="shared" si="4"/>
        <v>0.68137525801305276</v>
      </c>
    </row>
    <row r="51" spans="1:11">
      <c r="B51" s="24" t="s">
        <v>49</v>
      </c>
      <c r="C51" s="2">
        <v>946.2</v>
      </c>
      <c r="D51" s="2">
        <v>1312.4</v>
      </c>
      <c r="E51" s="2">
        <v>339.5</v>
      </c>
      <c r="F51" s="2">
        <v>922.5</v>
      </c>
      <c r="G51" s="44">
        <f t="shared" si="4"/>
        <v>-0.27903078329777509</v>
      </c>
      <c r="H51" s="44">
        <f t="shared" si="4"/>
        <v>2.8656848306332847</v>
      </c>
      <c r="I51" s="44">
        <f t="shared" si="4"/>
        <v>-0.63197831978319785</v>
      </c>
    </row>
    <row r="52" spans="1:11">
      <c r="C52" s="2"/>
      <c r="D52" s="2"/>
      <c r="E52" s="2"/>
      <c r="F52" s="2"/>
      <c r="G52" s="10"/>
      <c r="H52" s="10"/>
      <c r="I52" s="10"/>
    </row>
    <row r="53" spans="1:11">
      <c r="A53" s="9"/>
      <c r="B53" s="22" t="s">
        <v>13</v>
      </c>
      <c r="C53" s="32">
        <f>+C55+C56</f>
        <v>80584.5</v>
      </c>
      <c r="D53" s="32">
        <f>+D55+D56</f>
        <v>44281.8</v>
      </c>
      <c r="E53" s="32">
        <f>+E55+E56</f>
        <v>28839.899999999998</v>
      </c>
      <c r="F53" s="32">
        <f>+F55+F56</f>
        <v>19969.5</v>
      </c>
      <c r="G53" s="42">
        <f>+C53/D53-1</f>
        <v>0.81981084779751479</v>
      </c>
      <c r="H53" s="42">
        <f>+D53/E53-1</f>
        <v>0.53543528236921789</v>
      </c>
      <c r="I53" s="42">
        <f>+E53/F53-1</f>
        <v>0.44419740103658079</v>
      </c>
    </row>
    <row r="54" spans="1:11">
      <c r="C54" s="2"/>
      <c r="D54" s="2"/>
      <c r="E54" s="2"/>
      <c r="F54" s="2"/>
      <c r="G54" s="10"/>
      <c r="H54" s="10"/>
    </row>
    <row r="55" spans="1:11">
      <c r="B55" s="1" t="s">
        <v>17</v>
      </c>
      <c r="C55" s="2">
        <v>12013.1</v>
      </c>
      <c r="D55" s="2">
        <v>8734.6</v>
      </c>
      <c r="E55" s="2">
        <v>5011.7</v>
      </c>
      <c r="F55" s="2">
        <v>4444.6000000000004</v>
      </c>
      <c r="G55" s="44">
        <f t="shared" ref="G55:I56" si="5">+C55/D55-1</f>
        <v>0.37534632381562982</v>
      </c>
      <c r="H55" s="44">
        <f t="shared" si="5"/>
        <v>0.74284175030428812</v>
      </c>
      <c r="I55" s="44">
        <f t="shared" si="5"/>
        <v>0.12759303424380142</v>
      </c>
    </row>
    <row r="56" spans="1:11">
      <c r="B56" s="1" t="s">
        <v>9</v>
      </c>
      <c r="C56" s="8">
        <f>+C57+C58+C59+C60</f>
        <v>68571.399999999994</v>
      </c>
      <c r="D56" s="8">
        <f>+D57+D58+D59+D60</f>
        <v>35547.200000000004</v>
      </c>
      <c r="E56" s="8">
        <f>+E57+E58+E59+E60</f>
        <v>23828.199999999997</v>
      </c>
      <c r="F56" s="8">
        <f>+F57+F58+F59+F60</f>
        <v>15524.900000000001</v>
      </c>
      <c r="G56" s="47">
        <f t="shared" si="5"/>
        <v>0.92902394562722201</v>
      </c>
      <c r="H56" s="47">
        <f t="shared" si="5"/>
        <v>0.49181222249267709</v>
      </c>
      <c r="I56" s="47">
        <f t="shared" si="5"/>
        <v>0.53483758349490151</v>
      </c>
    </row>
    <row r="57" spans="1:11">
      <c r="B57" s="1" t="s">
        <v>10</v>
      </c>
      <c r="C57" s="2">
        <v>259.89999999999998</v>
      </c>
      <c r="D57" s="2">
        <v>51.3</v>
      </c>
      <c r="E57" s="2">
        <v>33.799999999999997</v>
      </c>
      <c r="F57" s="2">
        <v>15.83</v>
      </c>
      <c r="G57" s="44">
        <f>+C57/D57-1</f>
        <v>4.0662768031189085</v>
      </c>
      <c r="H57" s="44">
        <v>0</v>
      </c>
      <c r="I57" s="44">
        <f>+E57/F57-1</f>
        <v>1.1351863550221095</v>
      </c>
    </row>
    <row r="58" spans="1:11">
      <c r="B58" s="1" t="s">
        <v>11</v>
      </c>
      <c r="C58" s="2">
        <v>67070</v>
      </c>
      <c r="D58" s="2">
        <v>35184.800000000003</v>
      </c>
      <c r="E58" s="2">
        <v>19386.5</v>
      </c>
      <c r="F58" s="2">
        <v>13743.04</v>
      </c>
      <c r="G58" s="44">
        <f>+C58/D58-1</f>
        <v>0.90622086810213487</v>
      </c>
      <c r="H58" s="44">
        <f>+D58/E58-1</f>
        <v>0.81491243906842414</v>
      </c>
      <c r="I58" s="44">
        <f>+E58/F58-1</f>
        <v>0.41064131371224999</v>
      </c>
    </row>
    <row r="59" spans="1:11">
      <c r="B59" s="1" t="s">
        <v>12</v>
      </c>
      <c r="C59" s="2">
        <v>35.4</v>
      </c>
      <c r="D59" s="2">
        <v>35.200000000000003</v>
      </c>
      <c r="E59" s="2">
        <v>7.5</v>
      </c>
      <c r="F59" s="2">
        <v>5</v>
      </c>
      <c r="G59" s="44">
        <v>0</v>
      </c>
      <c r="H59" s="44">
        <f>+D59/E59-1</f>
        <v>3.6933333333333334</v>
      </c>
      <c r="I59" s="44">
        <v>0</v>
      </c>
    </row>
    <row r="60" spans="1:11">
      <c r="B60" s="24" t="s">
        <v>49</v>
      </c>
      <c r="C60" s="2">
        <v>1206.0999999999999</v>
      </c>
      <c r="D60" s="2">
        <v>275.89999999999998</v>
      </c>
      <c r="E60" s="2">
        <v>4400.3999999999996</v>
      </c>
      <c r="F60" s="2">
        <v>1761.03</v>
      </c>
      <c r="G60" s="44">
        <f>+C60/D60-1</f>
        <v>3.3715114171801375</v>
      </c>
      <c r="H60" s="44">
        <f>+D60/E60-1</f>
        <v>-0.93730115444050544</v>
      </c>
      <c r="I60" s="44">
        <f>+E60/F60-1</f>
        <v>1.4987649273436565</v>
      </c>
    </row>
    <row r="61" spans="1:11">
      <c r="F61" s="10"/>
      <c r="G61" s="10"/>
      <c r="H61" s="10"/>
    </row>
    <row r="62" spans="1:11">
      <c r="B62" s="3"/>
    </row>
    <row r="63" spans="1:11">
      <c r="A63" s="7" t="s">
        <v>24</v>
      </c>
      <c r="B63" s="6" t="s">
        <v>32</v>
      </c>
      <c r="C63" s="32">
        <f>+C9-C35</f>
        <v>280558.48774324008</v>
      </c>
      <c r="D63" s="32">
        <f>+D9-D35</f>
        <v>222933.99469891982</v>
      </c>
      <c r="E63" s="32">
        <f>+E9-E35</f>
        <v>139084.38143943</v>
      </c>
      <c r="F63" s="32">
        <f>+F9-F35</f>
        <v>102081.36705769994</v>
      </c>
      <c r="G63" s="42">
        <f>+C63/D63-1</f>
        <v>0.25848230603925693</v>
      </c>
      <c r="H63" s="42">
        <f>+D63/E63-1</f>
        <v>0.60286864989226396</v>
      </c>
      <c r="I63" s="42">
        <f>+E63/F63-1</f>
        <v>0.36248549023461507</v>
      </c>
    </row>
    <row r="64" spans="1:11">
      <c r="A64" s="8"/>
      <c r="B64" s="6" t="s">
        <v>20</v>
      </c>
      <c r="C64" s="43" t="e">
        <f>+C63/C78</f>
        <v>#DIV/0!</v>
      </c>
      <c r="D64" s="43" t="e">
        <f>+D63/D78</f>
        <v>#DIV/0!</v>
      </c>
      <c r="E64" s="43" t="e">
        <f>+E63/E78</f>
        <v>#DIV/0!</v>
      </c>
      <c r="F64" s="43" t="e">
        <f>+F63/F78</f>
        <v>#DIV/0!</v>
      </c>
      <c r="G64" s="9"/>
      <c r="H64" s="48"/>
      <c r="I64" s="9"/>
    </row>
    <row r="65" spans="1:9">
      <c r="A65" s="2"/>
      <c r="B65" s="4"/>
      <c r="D65" s="49"/>
      <c r="F65" s="25"/>
      <c r="G65" s="9"/>
      <c r="H65" s="48"/>
      <c r="I65" s="9"/>
    </row>
    <row r="66" spans="1:9">
      <c r="A66" s="7" t="s">
        <v>25</v>
      </c>
      <c r="B66" s="6" t="s">
        <v>31</v>
      </c>
      <c r="C66" s="32">
        <f>+C9-C33</f>
        <v>110839.38774324011</v>
      </c>
      <c r="D66" s="32">
        <f>+D9-D33</f>
        <v>10734.994698919822</v>
      </c>
      <c r="E66" s="32">
        <f>+E9-E33</f>
        <v>-54451.818560570013</v>
      </c>
      <c r="F66" s="32">
        <f>+F9-F33</f>
        <v>-66727.332942300069</v>
      </c>
      <c r="G66" s="42">
        <f>+C66/D66-1</f>
        <v>9.3250528623356477</v>
      </c>
      <c r="H66" s="42">
        <f>+D66/E66-1</f>
        <v>-1.1971466698945719</v>
      </c>
      <c r="I66" s="42">
        <f>+E66/F66-1</f>
        <v>-0.18396530837437852</v>
      </c>
    </row>
    <row r="67" spans="1:9">
      <c r="B67" s="3" t="s">
        <v>21</v>
      </c>
      <c r="C67" s="43" t="e">
        <f>+C66/C78</f>
        <v>#DIV/0!</v>
      </c>
      <c r="D67" s="50" t="e">
        <f>+D66/D78</f>
        <v>#DIV/0!</v>
      </c>
      <c r="E67" s="43" t="e">
        <f>+E66/E78</f>
        <v>#DIV/0!</v>
      </c>
      <c r="F67" s="43" t="e">
        <f>+F66/F78</f>
        <v>#DIV/0!</v>
      </c>
    </row>
    <row r="68" spans="1:9">
      <c r="B68" s="3"/>
      <c r="D68" s="26"/>
    </row>
    <row r="69" spans="1:9">
      <c r="B69" s="3" t="s">
        <v>52</v>
      </c>
      <c r="C69" s="2">
        <f>C66+C71</f>
        <v>110839.38774324011</v>
      </c>
      <c r="D69" s="2">
        <f>D66+D71</f>
        <v>10734.994698919822</v>
      </c>
      <c r="E69" s="2">
        <f>E66+E71</f>
        <v>-54451.818560570013</v>
      </c>
      <c r="F69" s="2">
        <f>F66+F71</f>
        <v>-66727.332942300069</v>
      </c>
    </row>
    <row r="70" spans="1:9">
      <c r="B70" s="3"/>
      <c r="C70" s="2"/>
      <c r="D70" s="52"/>
      <c r="E70" s="2"/>
      <c r="F70" s="2"/>
    </row>
    <row r="71" spans="1:9">
      <c r="B71" s="38" t="s">
        <v>50</v>
      </c>
      <c r="C71" s="32">
        <f>+C73+C81</f>
        <v>0</v>
      </c>
      <c r="D71" s="32">
        <f>+D73+D81</f>
        <v>0</v>
      </c>
      <c r="E71" s="32">
        <f>+E73+E81</f>
        <v>0</v>
      </c>
      <c r="F71" s="32">
        <f>+F73+F81</f>
        <v>0</v>
      </c>
    </row>
    <row r="72" spans="1:9">
      <c r="B72" s="3"/>
      <c r="C72" s="2"/>
      <c r="D72" s="52"/>
      <c r="E72" s="2"/>
      <c r="F72" s="2"/>
    </row>
    <row r="73" spans="1:9">
      <c r="B73" s="3" t="s">
        <v>53</v>
      </c>
      <c r="C73" s="2">
        <f>C74+C79</f>
        <v>0</v>
      </c>
      <c r="D73" s="2">
        <f>D74+D79</f>
        <v>0</v>
      </c>
      <c r="E73" s="2">
        <f>E74+E79</f>
        <v>0</v>
      </c>
      <c r="F73" s="2">
        <f>F74+F79</f>
        <v>0</v>
      </c>
    </row>
    <row r="74" spans="1:9">
      <c r="B74" s="3" t="s">
        <v>54</v>
      </c>
      <c r="C74" s="2">
        <f>SUM(C75:C77)</f>
        <v>0</v>
      </c>
      <c r="D74" s="2">
        <f>SUM(D75:D77)</f>
        <v>0</v>
      </c>
      <c r="E74" s="2">
        <f>SUM(E75:E77)</f>
        <v>0</v>
      </c>
      <c r="F74" s="2">
        <f>SUM(F75:F77)</f>
        <v>0</v>
      </c>
    </row>
    <row r="75" spans="1:9">
      <c r="B75" s="53" t="s">
        <v>55</v>
      </c>
      <c r="C75" s="51"/>
      <c r="D75" s="2"/>
      <c r="E75" s="2"/>
      <c r="F75" s="2"/>
    </row>
    <row r="76" spans="1:9" ht="25.5">
      <c r="B76" s="53" t="s">
        <v>56</v>
      </c>
      <c r="C76" s="2">
        <v>0</v>
      </c>
      <c r="D76" s="52"/>
      <c r="E76" s="2"/>
      <c r="F76" s="2"/>
    </row>
    <row r="77" spans="1:9">
      <c r="B77" s="53" t="s">
        <v>57</v>
      </c>
      <c r="C77" s="2">
        <v>0</v>
      </c>
      <c r="D77" s="52"/>
      <c r="E77" s="2"/>
      <c r="F77" s="2"/>
    </row>
    <row r="78" spans="1:9">
      <c r="B78" s="3"/>
      <c r="C78" s="2"/>
      <c r="D78" s="52"/>
      <c r="E78" s="2"/>
      <c r="F78" s="2"/>
    </row>
    <row r="79" spans="1:9">
      <c r="B79" s="3" t="s">
        <v>58</v>
      </c>
      <c r="C79" s="2"/>
      <c r="D79" s="2"/>
      <c r="E79" s="2"/>
      <c r="F79" s="2"/>
    </row>
    <row r="80" spans="1:9">
      <c r="B80" s="3"/>
      <c r="C80" s="2"/>
      <c r="D80" s="52"/>
      <c r="E80" s="2"/>
      <c r="F80" s="2"/>
    </row>
    <row r="81" spans="2:9">
      <c r="B81" s="3" t="s">
        <v>59</v>
      </c>
      <c r="C81" s="8">
        <f>C82+C86+C88+C87+C85</f>
        <v>0</v>
      </c>
      <c r="D81" s="8">
        <f>D82+D86+D88+D87+D85</f>
        <v>0</v>
      </c>
      <c r="E81" s="8">
        <f>E82+E86+E88+E87+E85</f>
        <v>0</v>
      </c>
      <c r="F81" s="8">
        <f>F82+F86+F88+F87+F85</f>
        <v>0</v>
      </c>
    </row>
    <row r="82" spans="2:9">
      <c r="B82" s="3" t="s">
        <v>60</v>
      </c>
      <c r="C82" s="8">
        <f>SUM(C83:C84)</f>
        <v>0</v>
      </c>
      <c r="D82" s="8">
        <f>SUM(D83:D84)</f>
        <v>0</v>
      </c>
      <c r="E82" s="8">
        <f>SUM(E83:E84)</f>
        <v>0</v>
      </c>
      <c r="F82" s="8">
        <f>SUM(F83:F84)</f>
        <v>0</v>
      </c>
    </row>
    <row r="83" spans="2:9" ht="14.25">
      <c r="B83" s="53" t="s">
        <v>61</v>
      </c>
      <c r="C83" s="54"/>
      <c r="D83" s="54"/>
      <c r="E83" s="54"/>
      <c r="F83" s="54"/>
    </row>
    <row r="84" spans="2:9" ht="25.5">
      <c r="B84" s="53" t="s">
        <v>62</v>
      </c>
      <c r="C84" s="55"/>
      <c r="D84" s="54"/>
      <c r="E84" s="54"/>
      <c r="F84" s="54"/>
    </row>
    <row r="85" spans="2:9" ht="14.25">
      <c r="B85" s="3" t="s">
        <v>63</v>
      </c>
      <c r="C85" s="55"/>
      <c r="D85" s="54"/>
      <c r="E85" s="54"/>
      <c r="F85" s="54"/>
    </row>
    <row r="86" spans="2:9" ht="14.25">
      <c r="B86" s="3" t="s">
        <v>64</v>
      </c>
      <c r="C86" s="54"/>
      <c r="D86" s="54"/>
      <c r="E86" s="54"/>
      <c r="F86" s="54"/>
    </row>
    <row r="87" spans="2:9" ht="14.25">
      <c r="B87" s="3" t="s">
        <v>65</v>
      </c>
      <c r="C87" s="54"/>
      <c r="D87" s="8"/>
      <c r="E87" s="8"/>
      <c r="F87" s="8"/>
    </row>
    <row r="88" spans="2:9" ht="15">
      <c r="B88" s="56" t="s">
        <v>66</v>
      </c>
      <c r="C88" s="54"/>
      <c r="D88" s="54"/>
      <c r="E88" s="54"/>
      <c r="F88" s="54"/>
    </row>
    <row r="89" spans="2:9" ht="13.5" thickBot="1">
      <c r="B89" s="39"/>
      <c r="C89" s="57"/>
      <c r="D89" s="58"/>
      <c r="E89" s="14"/>
      <c r="F89" s="13"/>
    </row>
    <row r="90" spans="2:9" ht="13.5" thickTop="1">
      <c r="B90" s="5"/>
      <c r="D90" s="52"/>
      <c r="G90" s="22"/>
      <c r="H90" s="27"/>
      <c r="I90" s="22"/>
    </row>
    <row r="91" spans="2:9">
      <c r="B91" s="6" t="s">
        <v>26</v>
      </c>
      <c r="C91" s="59">
        <v>15873797.199999999</v>
      </c>
      <c r="D91" s="59">
        <v>13551156.300000001</v>
      </c>
      <c r="E91" s="59">
        <v>11515367.9</v>
      </c>
      <c r="F91" s="59">
        <v>9511599.6999999993</v>
      </c>
    </row>
    <row r="92" spans="2:9" s="28" customFormat="1">
      <c r="B92" s="60"/>
      <c r="C92" s="1"/>
      <c r="D92" s="52"/>
      <c r="E92" s="10"/>
      <c r="F92" s="1"/>
      <c r="H92" s="29"/>
    </row>
    <row r="93" spans="2:9">
      <c r="B93" s="60"/>
      <c r="D93" s="52"/>
    </row>
    <row r="94" spans="2:9">
      <c r="C94" s="2"/>
      <c r="D94" s="2"/>
      <c r="E94" s="1"/>
    </row>
    <row r="95" spans="2:9">
      <c r="B95" s="3" t="s">
        <v>52</v>
      </c>
      <c r="C95" s="61">
        <f>C69</f>
        <v>110839.38774324011</v>
      </c>
      <c r="D95" s="61">
        <f>D69</f>
        <v>10734.994698919822</v>
      </c>
      <c r="E95" s="61">
        <f>E69</f>
        <v>-54451.818560570013</v>
      </c>
      <c r="F95" s="61">
        <f>F69</f>
        <v>-66727.332942300069</v>
      </c>
    </row>
    <row r="96" spans="2:9">
      <c r="B96" s="1" t="s">
        <v>67</v>
      </c>
      <c r="C96" s="2">
        <f>C106</f>
        <v>-1023220.28774324</v>
      </c>
      <c r="D96" s="2">
        <f>D106</f>
        <v>-806979.79469891987</v>
      </c>
      <c r="E96" s="2">
        <f>E106</f>
        <v>-617497.09143943002</v>
      </c>
      <c r="F96" s="2">
        <f>F106</f>
        <v>-509897.56920466997</v>
      </c>
    </row>
    <row r="97" spans="2:6">
      <c r="B97" s="1" t="s">
        <v>68</v>
      </c>
      <c r="D97" s="2"/>
      <c r="E97" s="1"/>
    </row>
    <row r="98" spans="2:6">
      <c r="B98" s="1" t="s">
        <v>69</v>
      </c>
      <c r="C98" s="62">
        <f>C112</f>
        <v>912565.89999999991</v>
      </c>
      <c r="D98" s="62">
        <f>-D112*-1</f>
        <v>796299.8</v>
      </c>
      <c r="E98" s="62">
        <f>E112</f>
        <v>671960.91</v>
      </c>
      <c r="F98" s="62">
        <f>F112</f>
        <v>576624.90214697004</v>
      </c>
    </row>
    <row r="99" spans="2:6">
      <c r="D99" s="2"/>
      <c r="E99" s="1"/>
    </row>
    <row r="100" spans="2:6">
      <c r="B100" s="22"/>
      <c r="C100" s="63">
        <f>SUM(C96:C98)-(-1*(C95))</f>
        <v>185</v>
      </c>
      <c r="D100" s="63">
        <f>SUM(D96:D98)-(-1*(D95))</f>
        <v>55</v>
      </c>
      <c r="E100" s="63">
        <f>SUM(E96:E98)-(-1*(E95))</f>
        <v>12</v>
      </c>
      <c r="F100" s="63">
        <f>SUM(F96:F98)-(-1*(F95))</f>
        <v>0</v>
      </c>
    </row>
    <row r="101" spans="2:6">
      <c r="B101" s="22"/>
      <c r="C101" s="63"/>
      <c r="D101" s="63"/>
      <c r="E101" s="63"/>
      <c r="F101" s="63"/>
    </row>
    <row r="102" spans="2:6">
      <c r="B102" s="22"/>
      <c r="C102" s="63"/>
      <c r="D102" s="63"/>
      <c r="E102" s="63"/>
      <c r="F102" s="63"/>
    </row>
    <row r="103" spans="2:6">
      <c r="B103" s="22"/>
      <c r="C103" s="63"/>
      <c r="D103" s="63"/>
      <c r="E103" s="63"/>
      <c r="F103" s="63"/>
    </row>
    <row r="104" spans="2:6">
      <c r="B104" s="3" t="s">
        <v>70</v>
      </c>
      <c r="C104" s="41"/>
      <c r="D104" s="41"/>
      <c r="E104" s="41"/>
      <c r="F104" s="41"/>
    </row>
    <row r="105" spans="2:6">
      <c r="B105" s="3" t="s">
        <v>71</v>
      </c>
      <c r="C105" s="2">
        <f>+C11</f>
        <v>1023220.28774324</v>
      </c>
      <c r="D105" s="2">
        <f>+D11</f>
        <v>806979.79469891987</v>
      </c>
      <c r="E105" s="2">
        <f>+E11</f>
        <v>617497.09143943002</v>
      </c>
      <c r="F105" s="2">
        <f>+F11</f>
        <v>509897.56920466997</v>
      </c>
    </row>
    <row r="106" spans="2:6" ht="13.5" thickBot="1">
      <c r="B106" s="37"/>
      <c r="C106" s="64">
        <f>+C104-C105</f>
        <v>-1023220.28774324</v>
      </c>
      <c r="D106" s="64">
        <f>+D104-D105</f>
        <v>-806979.79469891987</v>
      </c>
      <c r="E106" s="64">
        <f>+E104-E105</f>
        <v>-617497.09143943002</v>
      </c>
      <c r="F106" s="64">
        <f>+F104-F105</f>
        <v>-509897.56920466997</v>
      </c>
    </row>
    <row r="107" spans="2:6" ht="13.5" thickTop="1">
      <c r="B107" s="22"/>
      <c r="C107" s="65"/>
      <c r="D107" s="65"/>
      <c r="E107" s="65"/>
      <c r="F107" s="65"/>
    </row>
    <row r="108" spans="2:6">
      <c r="B108" s="22"/>
      <c r="C108" s="63"/>
      <c r="D108" s="63"/>
      <c r="E108" s="63"/>
      <c r="F108" s="63"/>
    </row>
    <row r="109" spans="2:6">
      <c r="D109" s="2"/>
      <c r="E109" s="1"/>
    </row>
    <row r="110" spans="2:6">
      <c r="B110" s="3" t="s">
        <v>72</v>
      </c>
      <c r="C110" s="66"/>
      <c r="D110" s="66"/>
      <c r="E110" s="66"/>
      <c r="F110" s="66"/>
    </row>
    <row r="111" spans="2:6">
      <c r="B111" s="3" t="s">
        <v>73</v>
      </c>
      <c r="C111" s="2">
        <f>C33</f>
        <v>912565.89999999991</v>
      </c>
      <c r="D111" s="2">
        <f>D33</f>
        <v>796299.8</v>
      </c>
      <c r="E111" s="2">
        <f>E33</f>
        <v>671960.91</v>
      </c>
      <c r="F111" s="2">
        <f>F33</f>
        <v>576624.90214697004</v>
      </c>
    </row>
    <row r="112" spans="2:6" ht="13.5" thickBot="1">
      <c r="C112" s="64">
        <f>C111-C110</f>
        <v>912565.89999999991</v>
      </c>
      <c r="D112" s="64">
        <f>D111-D110</f>
        <v>796299.8</v>
      </c>
      <c r="E112" s="64">
        <f>E111-E110</f>
        <v>671960.91</v>
      </c>
      <c r="F112" s="64">
        <f>F111-F110</f>
        <v>576624.90214697004</v>
      </c>
    </row>
    <row r="113" spans="3:6" ht="13.5" thickTop="1">
      <c r="C113" s="2"/>
      <c r="D113" s="2"/>
      <c r="E113" s="2"/>
      <c r="F113" s="2"/>
    </row>
  </sheetData>
  <mergeCells count="4">
    <mergeCell ref="G6:I6"/>
    <mergeCell ref="B2:I2"/>
    <mergeCell ref="B3:I3"/>
    <mergeCell ref="B4:I4"/>
  </mergeCells>
  <phoneticPr fontId="0" type="noConversion"/>
  <pageMargins left="0.25" right="0.26" top="0.78740157480314965" bottom="0.19685039370078741" header="0" footer="0"/>
  <pageSetup scale="7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479D-770F-485F-9D9C-6920D17010D3}">
  <dimension ref="A1:N64"/>
  <sheetViews>
    <sheetView workbookViewId="0">
      <selection activeCell="P22" sqref="P22"/>
    </sheetView>
  </sheetViews>
  <sheetFormatPr baseColWidth="10" defaultRowHeight="12.75"/>
  <cols>
    <col min="2" max="2" width="35.140625" bestFit="1" customWidth="1"/>
    <col min="3" max="5" width="7.85546875" bestFit="1" customWidth="1"/>
    <col min="6" max="7" width="6.85546875" bestFit="1" customWidth="1"/>
    <col min="9" max="9" width="35.140625" bestFit="1" customWidth="1"/>
    <col min="10" max="12" width="9.140625" bestFit="1" customWidth="1"/>
    <col min="13" max="13" width="6.85546875" bestFit="1" customWidth="1"/>
    <col min="14" max="14" width="6.140625" bestFit="1" customWidth="1"/>
  </cols>
  <sheetData>
    <row r="1" spans="1:14">
      <c r="A1" s="135"/>
      <c r="B1" s="136"/>
      <c r="C1" s="137" t="s">
        <v>121</v>
      </c>
      <c r="D1" s="137" t="s">
        <v>121</v>
      </c>
      <c r="E1" s="137" t="s">
        <v>121</v>
      </c>
      <c r="F1" s="138" t="s">
        <v>121</v>
      </c>
      <c r="G1" s="138"/>
      <c r="H1" s="135"/>
      <c r="I1" s="135"/>
      <c r="J1" s="139" t="s">
        <v>121</v>
      </c>
      <c r="K1" s="139" t="s">
        <v>121</v>
      </c>
      <c r="L1" s="139" t="s">
        <v>121</v>
      </c>
      <c r="M1" s="138"/>
      <c r="N1" s="138"/>
    </row>
    <row r="2" spans="1:14">
      <c r="A2" s="135"/>
      <c r="B2" s="256" t="s">
        <v>122</v>
      </c>
      <c r="C2" s="256"/>
      <c r="D2" s="256"/>
      <c r="E2" s="256"/>
      <c r="F2" s="256"/>
      <c r="G2" s="256"/>
      <c r="H2" s="135"/>
      <c r="I2" s="256" t="s">
        <v>122</v>
      </c>
      <c r="J2" s="256"/>
      <c r="K2" s="256"/>
      <c r="L2" s="256"/>
      <c r="M2" s="256"/>
      <c r="N2" s="256"/>
    </row>
    <row r="3" spans="1:14">
      <c r="A3" s="135"/>
      <c r="B3" s="256" t="s">
        <v>123</v>
      </c>
      <c r="C3" s="256"/>
      <c r="D3" s="256"/>
      <c r="E3" s="256"/>
      <c r="F3" s="256"/>
      <c r="G3" s="256"/>
      <c r="H3" s="135"/>
      <c r="I3" s="256" t="s">
        <v>123</v>
      </c>
      <c r="J3" s="256"/>
      <c r="K3" s="256"/>
      <c r="L3" s="256"/>
      <c r="M3" s="256"/>
      <c r="N3" s="256"/>
    </row>
    <row r="4" spans="1:14">
      <c r="A4" s="135"/>
      <c r="B4" s="256" t="s">
        <v>124</v>
      </c>
      <c r="C4" s="256"/>
      <c r="D4" s="256"/>
      <c r="E4" s="256"/>
      <c r="F4" s="256"/>
      <c r="G4" s="256"/>
      <c r="H4" s="135"/>
      <c r="I4" s="256" t="s">
        <v>125</v>
      </c>
      <c r="J4" s="256"/>
      <c r="K4" s="256"/>
      <c r="L4" s="256"/>
      <c r="M4" s="256"/>
      <c r="N4" s="256"/>
    </row>
    <row r="5" spans="1:14">
      <c r="A5" s="135"/>
      <c r="B5" s="256" t="s">
        <v>126</v>
      </c>
      <c r="C5" s="256"/>
      <c r="D5" s="256"/>
      <c r="E5" s="256"/>
      <c r="F5" s="256"/>
      <c r="G5" s="256"/>
      <c r="H5" s="135"/>
      <c r="I5" s="256" t="s">
        <v>126</v>
      </c>
      <c r="J5" s="256"/>
      <c r="K5" s="256"/>
      <c r="L5" s="256"/>
      <c r="M5" s="256"/>
      <c r="N5" s="256"/>
    </row>
    <row r="6" spans="1:14">
      <c r="A6" s="135"/>
      <c r="B6" s="140"/>
      <c r="C6" s="140"/>
      <c r="D6" s="140"/>
      <c r="E6" s="140"/>
      <c r="F6" s="140"/>
      <c r="G6" s="140"/>
      <c r="H6" s="135"/>
      <c r="I6" s="140"/>
      <c r="J6" s="140"/>
      <c r="K6" s="140"/>
      <c r="L6" s="140"/>
      <c r="M6" s="140"/>
      <c r="N6" s="140"/>
    </row>
    <row r="7" spans="1:14" ht="12.75" customHeight="1">
      <c r="A7" s="135"/>
      <c r="B7" s="141" t="s">
        <v>1</v>
      </c>
      <c r="C7" s="142">
        <v>2024</v>
      </c>
      <c r="D7" s="143">
        <v>2025</v>
      </c>
      <c r="E7" s="143">
        <v>2026</v>
      </c>
      <c r="F7" s="257" t="s">
        <v>127</v>
      </c>
      <c r="G7" s="258"/>
      <c r="H7" s="135"/>
      <c r="I7" s="141" t="s">
        <v>1</v>
      </c>
      <c r="J7" s="142">
        <v>2024</v>
      </c>
      <c r="K7" s="143">
        <v>2025</v>
      </c>
      <c r="L7" s="143">
        <v>2026</v>
      </c>
      <c r="M7" s="257" t="s">
        <v>127</v>
      </c>
      <c r="N7" s="258"/>
    </row>
    <row r="8" spans="1:14">
      <c r="A8" s="135"/>
      <c r="B8" s="144"/>
      <c r="C8" s="144"/>
      <c r="D8" s="145"/>
      <c r="E8" s="146"/>
      <c r="F8" s="110" t="s">
        <v>109</v>
      </c>
      <c r="G8" s="110" t="s">
        <v>119</v>
      </c>
      <c r="H8" s="135"/>
      <c r="I8" s="144"/>
      <c r="J8" s="142"/>
      <c r="K8" s="142"/>
      <c r="L8" s="143"/>
      <c r="M8" s="110" t="s">
        <v>109</v>
      </c>
      <c r="N8" s="110" t="s">
        <v>119</v>
      </c>
    </row>
    <row r="9" spans="1:14">
      <c r="A9" s="139"/>
      <c r="B9" s="147" t="s">
        <v>128</v>
      </c>
      <c r="C9" s="148">
        <v>527244.47884091001</v>
      </c>
      <c r="D9" s="149">
        <v>531956.73898828996</v>
      </c>
      <c r="E9" s="150">
        <f>E10+E64</f>
        <v>526986.93332319998</v>
      </c>
      <c r="F9" s="203">
        <f>D9/C9-1</f>
        <v>8.937523931477287E-3</v>
      </c>
      <c r="G9" s="204">
        <f>E9/D9-1</f>
        <v>-9.3424996824776896E-3</v>
      </c>
      <c r="H9" s="135"/>
      <c r="I9" s="147" t="s">
        <v>128</v>
      </c>
      <c r="J9" s="151">
        <v>3046555.7951172004</v>
      </c>
      <c r="K9" s="152">
        <v>3115036.56127762</v>
      </c>
      <c r="L9" s="150">
        <f>L10+L64</f>
        <v>3056746.5895780097</v>
      </c>
      <c r="M9" s="204">
        <f>K9/J9-1</f>
        <v>2.2478093547531941E-2</v>
      </c>
      <c r="N9" s="204">
        <f>L9/K9-1</f>
        <v>-1.8712451861464863E-2</v>
      </c>
    </row>
    <row r="10" spans="1:14">
      <c r="A10" s="139"/>
      <c r="B10" s="153" t="s">
        <v>129</v>
      </c>
      <c r="C10" s="154">
        <v>527244.47884091001</v>
      </c>
      <c r="D10" s="155">
        <v>531956.73898828996</v>
      </c>
      <c r="E10" s="156">
        <f>E12++E61+E62+E63</f>
        <v>526986.93332319998</v>
      </c>
      <c r="F10" s="205">
        <f t="shared" ref="F10:G63" si="0">D10/C10-1</f>
        <v>8.937523931477287E-3</v>
      </c>
      <c r="G10" s="206">
        <f>E10/D10-1</f>
        <v>-9.3424996824776896E-3</v>
      </c>
      <c r="H10" s="135"/>
      <c r="I10" s="153" t="s">
        <v>129</v>
      </c>
      <c r="J10" s="154">
        <v>3038972.3587632002</v>
      </c>
      <c r="K10" s="155">
        <v>3107494.8606126201</v>
      </c>
      <c r="L10" s="156">
        <f>L12++L61+L62+L63</f>
        <v>3045492.8682910097</v>
      </c>
      <c r="M10" s="206">
        <f t="shared" ref="M10" si="1">K10/J10-1</f>
        <v>2.2547918756756102E-2</v>
      </c>
      <c r="N10" s="206">
        <f>L10/K10-1</f>
        <v>-1.995240381809904E-2</v>
      </c>
    </row>
    <row r="11" spans="1:14">
      <c r="A11" s="139"/>
      <c r="B11" s="157"/>
      <c r="C11" s="148"/>
      <c r="D11" s="158"/>
      <c r="E11" s="150"/>
      <c r="F11" s="207"/>
      <c r="G11" s="208"/>
      <c r="H11" s="135"/>
      <c r="I11" s="157"/>
      <c r="J11" s="159"/>
      <c r="K11" s="160"/>
      <c r="L11" s="150"/>
      <c r="M11" s="209"/>
      <c r="N11" s="209"/>
    </row>
    <row r="12" spans="1:14">
      <c r="A12" s="139"/>
      <c r="B12" s="199" t="s">
        <v>130</v>
      </c>
      <c r="C12" s="111">
        <v>463124.42165948998</v>
      </c>
      <c r="D12" s="112">
        <v>466192.60197466001</v>
      </c>
      <c r="E12" s="113">
        <f>E14+E21+E26+E30+E35+E39+E43+E58+E59</f>
        <v>463348.01252999</v>
      </c>
      <c r="F12" s="210">
        <f t="shared" si="0"/>
        <v>6.6249590211113762E-3</v>
      </c>
      <c r="G12" s="211">
        <f>E12/D12-1</f>
        <v>-6.1017472877543666E-3</v>
      </c>
      <c r="H12" s="135"/>
      <c r="I12" s="161" t="s">
        <v>130</v>
      </c>
      <c r="J12" s="114">
        <v>2696774.70448174</v>
      </c>
      <c r="K12" s="112">
        <v>2756133.2646862501</v>
      </c>
      <c r="L12" s="113">
        <f>L14+L21+L26+L30+L35+L39+L43+L58+L59</f>
        <v>2686430.3327376801</v>
      </c>
      <c r="M12" s="210">
        <f t="shared" ref="M12" si="2">K12/J12-1</f>
        <v>2.2010945187917574E-2</v>
      </c>
      <c r="N12" s="211">
        <f>L12/K12-1</f>
        <v>-2.5290116715929178E-2</v>
      </c>
    </row>
    <row r="13" spans="1:14">
      <c r="A13" s="139"/>
      <c r="B13" s="200"/>
      <c r="C13" s="115"/>
      <c r="D13" s="115"/>
      <c r="E13" s="116"/>
      <c r="F13" s="212"/>
      <c r="G13" s="213"/>
      <c r="H13" s="135"/>
      <c r="I13" s="162"/>
      <c r="J13" s="117"/>
      <c r="K13" s="115"/>
      <c r="L13" s="116"/>
      <c r="M13" s="212"/>
      <c r="N13" s="213"/>
    </row>
    <row r="14" spans="1:14">
      <c r="A14" s="139"/>
      <c r="B14" s="201" t="s">
        <v>131</v>
      </c>
      <c r="C14" s="164">
        <v>133243.45615652</v>
      </c>
      <c r="D14" s="164">
        <v>140794.11646332999</v>
      </c>
      <c r="E14" s="165">
        <f>SUM(E15:E19)</f>
        <v>135804.70060683999</v>
      </c>
      <c r="F14" s="214">
        <f t="shared" si="0"/>
        <v>5.6668151101846975E-2</v>
      </c>
      <c r="G14" s="215">
        <f>E14/D14-1</f>
        <v>-3.5437672978256174E-2</v>
      </c>
      <c r="H14" s="166"/>
      <c r="I14" s="163" t="s">
        <v>131</v>
      </c>
      <c r="J14" s="167">
        <v>951075.00932817999</v>
      </c>
      <c r="K14" s="164">
        <v>981724.41622000001</v>
      </c>
      <c r="L14" s="165">
        <f>SUM(L15:L19)</f>
        <v>968120.02698487998</v>
      </c>
      <c r="M14" s="214">
        <f t="shared" ref="M14:N18" si="3">K14/J14-1</f>
        <v>3.2226066915027163E-2</v>
      </c>
      <c r="N14" s="215">
        <f t="shared" si="3"/>
        <v>-1.3857645801967466E-2</v>
      </c>
    </row>
    <row r="15" spans="1:14">
      <c r="A15" s="139"/>
      <c r="B15" s="200" t="s">
        <v>132</v>
      </c>
      <c r="C15" s="118">
        <v>59140.114654680001</v>
      </c>
      <c r="D15" s="118">
        <v>63012.813082879999</v>
      </c>
      <c r="E15" s="119">
        <v>63267.1893929</v>
      </c>
      <c r="F15" s="216">
        <f>D15/C15-1</f>
        <v>6.5483444711136318E-2</v>
      </c>
      <c r="G15" s="217">
        <f>E15/D15-1</f>
        <v>4.0368981731608855E-3</v>
      </c>
      <c r="H15" s="135"/>
      <c r="I15" s="162" t="s">
        <v>132</v>
      </c>
      <c r="J15" s="120">
        <v>321129.50094613002</v>
      </c>
      <c r="K15" s="118">
        <v>340228.05444122001</v>
      </c>
      <c r="L15" s="119">
        <v>340115.02155180997</v>
      </c>
      <c r="M15" s="218">
        <f t="shared" si="3"/>
        <v>5.9473058186248151E-2</v>
      </c>
      <c r="N15" s="219">
        <f t="shared" si="3"/>
        <v>-3.3222683413236531E-4</v>
      </c>
    </row>
    <row r="16" spans="1:14">
      <c r="A16" s="139"/>
      <c r="B16" s="200" t="s">
        <v>133</v>
      </c>
      <c r="C16" s="118">
        <v>57202.547260449996</v>
      </c>
      <c r="D16" s="118">
        <v>58774.46788507</v>
      </c>
      <c r="E16" s="119">
        <v>51578.775539629998</v>
      </c>
      <c r="F16" s="216">
        <f t="shared" ref="F16:G18" si="4">D16/C16-1</f>
        <v>2.7479906051436132E-2</v>
      </c>
      <c r="G16" s="217">
        <f t="shared" si="4"/>
        <v>-0.12242888118546225</v>
      </c>
      <c r="H16" s="135"/>
      <c r="I16" s="162" t="s">
        <v>133</v>
      </c>
      <c r="J16" s="120">
        <v>526479.45720223</v>
      </c>
      <c r="K16" s="118">
        <v>542148.78513171</v>
      </c>
      <c r="L16" s="119">
        <v>531296.85925975</v>
      </c>
      <c r="M16" s="218">
        <f t="shared" si="3"/>
        <v>2.97624678705386E-2</v>
      </c>
      <c r="N16" s="219">
        <f t="shared" si="3"/>
        <v>-2.0016508695714696E-2</v>
      </c>
    </row>
    <row r="17" spans="1:14">
      <c r="A17" s="139"/>
      <c r="B17" s="200" t="s">
        <v>134</v>
      </c>
      <c r="C17" s="118">
        <v>0</v>
      </c>
      <c r="D17" s="118">
        <v>0</v>
      </c>
      <c r="E17" s="119">
        <v>0</v>
      </c>
      <c r="F17" s="220" t="e">
        <f t="shared" si="4"/>
        <v>#DIV/0!</v>
      </c>
      <c r="G17" s="221" t="e">
        <f t="shared" si="4"/>
        <v>#DIV/0!</v>
      </c>
      <c r="H17" s="135"/>
      <c r="I17" s="162" t="s">
        <v>134</v>
      </c>
      <c r="J17" s="120">
        <v>0</v>
      </c>
      <c r="K17" s="118">
        <v>0</v>
      </c>
      <c r="L17" s="119">
        <v>0</v>
      </c>
      <c r="M17" s="222" t="e">
        <f t="shared" si="3"/>
        <v>#DIV/0!</v>
      </c>
      <c r="N17" s="223" t="e">
        <f t="shared" si="3"/>
        <v>#DIV/0!</v>
      </c>
    </row>
    <row r="18" spans="1:14">
      <c r="A18" s="139"/>
      <c r="B18" s="200" t="s">
        <v>135</v>
      </c>
      <c r="C18" s="118">
        <v>16900.794241389998</v>
      </c>
      <c r="D18" s="118">
        <v>19006.835495380001</v>
      </c>
      <c r="E18" s="119">
        <v>20958.735674310003</v>
      </c>
      <c r="F18" s="216">
        <f t="shared" si="4"/>
        <v>0.12461196934948271</v>
      </c>
      <c r="G18" s="217">
        <f t="shared" si="4"/>
        <v>0.10269464264077266</v>
      </c>
      <c r="H18" s="135"/>
      <c r="I18" s="162" t="s">
        <v>135</v>
      </c>
      <c r="J18" s="120">
        <v>103466.05117982</v>
      </c>
      <c r="K18" s="118">
        <v>99347.576647070004</v>
      </c>
      <c r="L18" s="119">
        <v>96708.146173320012</v>
      </c>
      <c r="M18" s="218">
        <f t="shared" si="3"/>
        <v>-3.9805080852967412E-2</v>
      </c>
      <c r="N18" s="219">
        <f t="shared" si="3"/>
        <v>-2.6567638213526923E-2</v>
      </c>
    </row>
    <row r="19" spans="1:14">
      <c r="A19" s="139"/>
      <c r="B19" s="200" t="s">
        <v>136</v>
      </c>
      <c r="C19" s="118">
        <v>0</v>
      </c>
      <c r="D19" s="118">
        <v>0</v>
      </c>
      <c r="E19" s="119">
        <v>0</v>
      </c>
      <c r="F19" s="216">
        <v>0</v>
      </c>
      <c r="G19" s="217">
        <v>0</v>
      </c>
      <c r="H19" s="135"/>
      <c r="I19" s="162" t="s">
        <v>136</v>
      </c>
      <c r="J19" s="120">
        <v>0</v>
      </c>
      <c r="K19" s="118">
        <v>0</v>
      </c>
      <c r="L19" s="119">
        <v>0</v>
      </c>
      <c r="M19" s="218">
        <v>0</v>
      </c>
      <c r="N19" s="219">
        <v>0</v>
      </c>
    </row>
    <row r="20" spans="1:14">
      <c r="A20" s="139"/>
      <c r="B20" s="202"/>
      <c r="C20" s="168"/>
      <c r="D20" s="168"/>
      <c r="E20" s="169"/>
      <c r="F20" s="216"/>
      <c r="G20" s="217"/>
      <c r="H20" s="139"/>
      <c r="I20" s="162"/>
      <c r="J20" s="170"/>
      <c r="K20" s="168"/>
      <c r="L20" s="169"/>
      <c r="M20" s="216"/>
      <c r="N20" s="217"/>
    </row>
    <row r="21" spans="1:14">
      <c r="A21" s="139"/>
      <c r="B21" s="171" t="s">
        <v>137</v>
      </c>
      <c r="C21" s="172">
        <v>2762.8178776100003</v>
      </c>
      <c r="D21" s="173">
        <v>4481.2598147299996</v>
      </c>
      <c r="E21" s="174">
        <f t="shared" ref="E21" si="5">SUM(E22:E24)</f>
        <v>3624.1476033599997</v>
      </c>
      <c r="F21" s="224">
        <f t="shared" si="0"/>
        <v>0.62198885820391192</v>
      </c>
      <c r="G21" s="225">
        <f>E21/D21-1</f>
        <v>-0.19126590441211488</v>
      </c>
      <c r="H21" s="135"/>
      <c r="I21" s="171" t="s">
        <v>137</v>
      </c>
      <c r="J21" s="172">
        <v>78183.940532859997</v>
      </c>
      <c r="K21" s="173">
        <v>98010.357428459989</v>
      </c>
      <c r="L21" s="174">
        <f>SUM(L22:L24)</f>
        <v>74971.362957370002</v>
      </c>
      <c r="M21" s="226">
        <f t="shared" ref="M21:N28" si="6">K21/J21-1</f>
        <v>0.25358682052188364</v>
      </c>
      <c r="N21" s="224">
        <f>L21/K21-1</f>
        <v>-0.23506693655215649</v>
      </c>
    </row>
    <row r="22" spans="1:14">
      <c r="A22" s="139"/>
      <c r="B22" s="162" t="s">
        <v>138</v>
      </c>
      <c r="C22" s="120">
        <v>1538.8742440000001</v>
      </c>
      <c r="D22" s="118">
        <v>2125.3683367799999</v>
      </c>
      <c r="E22" s="119">
        <v>2043.1514350699999</v>
      </c>
      <c r="F22" s="217">
        <f t="shared" si="0"/>
        <v>0.38111892187858332</v>
      </c>
      <c r="G22" s="227">
        <f>E22/D22-1</f>
        <v>-3.8683601466728001E-2</v>
      </c>
      <c r="H22" s="135"/>
      <c r="I22" s="162" t="s">
        <v>138</v>
      </c>
      <c r="J22" s="120">
        <v>52083.523831010003</v>
      </c>
      <c r="K22" s="118">
        <v>69344.795473859995</v>
      </c>
      <c r="L22" s="119">
        <v>46390.507683129996</v>
      </c>
      <c r="M22" s="228">
        <f t="shared" si="6"/>
        <v>0.33141520337325581</v>
      </c>
      <c r="N22" s="217">
        <f t="shared" si="6"/>
        <v>-0.33101673505379037</v>
      </c>
    </row>
    <row r="23" spans="1:14">
      <c r="A23" s="139"/>
      <c r="B23" s="162" t="s">
        <v>139</v>
      </c>
      <c r="C23" s="120">
        <v>90.289548999999994</v>
      </c>
      <c r="D23" s="118">
        <v>173.353714</v>
      </c>
      <c r="E23" s="119">
        <v>140.13244</v>
      </c>
      <c r="F23" s="217">
        <f t="shared" si="0"/>
        <v>0.91997541155067686</v>
      </c>
      <c r="G23" s="227">
        <f>E23/D23-1</f>
        <v>-0.19163866313242062</v>
      </c>
      <c r="H23" s="135"/>
      <c r="I23" s="162" t="s">
        <v>139</v>
      </c>
      <c r="J23" s="120">
        <v>4908.0870100000002</v>
      </c>
      <c r="K23" s="118">
        <v>5223.3093060000001</v>
      </c>
      <c r="L23" s="119">
        <v>5573.2647001100004</v>
      </c>
      <c r="M23" s="228">
        <f>K23/J23-1</f>
        <v>6.422508308384689E-2</v>
      </c>
      <c r="N23" s="217">
        <f t="shared" si="6"/>
        <v>6.6998788241011686E-2</v>
      </c>
    </row>
    <row r="24" spans="1:14">
      <c r="A24" s="139"/>
      <c r="B24" s="175" t="s">
        <v>140</v>
      </c>
      <c r="C24" s="120">
        <v>1133.6540846099999</v>
      </c>
      <c r="D24" s="118">
        <v>2182.5377639499998</v>
      </c>
      <c r="E24" s="119">
        <v>1440.8637282899999</v>
      </c>
      <c r="F24" s="217">
        <f t="shared" si="0"/>
        <v>0.92522374644893302</v>
      </c>
      <c r="G24" s="227">
        <f t="shared" si="0"/>
        <v>-0.3398218568817355</v>
      </c>
      <c r="H24" s="135"/>
      <c r="I24" s="175" t="s">
        <v>140</v>
      </c>
      <c r="J24" s="120">
        <v>21192.329691849998</v>
      </c>
      <c r="K24" s="118">
        <v>23442.252648600002</v>
      </c>
      <c r="L24" s="119">
        <v>23007.590574130001</v>
      </c>
      <c r="M24" s="228">
        <f>K24/J24-1</f>
        <v>0.10616685326555975</v>
      </c>
      <c r="N24" s="217">
        <f t="shared" si="6"/>
        <v>-1.854182193945253E-2</v>
      </c>
    </row>
    <row r="25" spans="1:14">
      <c r="A25" s="139"/>
      <c r="B25" s="176"/>
      <c r="C25" s="121"/>
      <c r="D25" s="122"/>
      <c r="E25" s="123"/>
      <c r="F25" s="229"/>
      <c r="G25" s="230"/>
      <c r="H25" s="135"/>
      <c r="I25" s="176"/>
      <c r="J25" s="121"/>
      <c r="K25" s="122"/>
      <c r="L25" s="123"/>
      <c r="M25" s="231"/>
      <c r="N25" s="229"/>
    </row>
    <row r="26" spans="1:14">
      <c r="A26" s="139"/>
      <c r="B26" s="163" t="s">
        <v>141</v>
      </c>
      <c r="C26" s="167">
        <v>14767.661569350001</v>
      </c>
      <c r="D26" s="164">
        <v>15876.357554540002</v>
      </c>
      <c r="E26" s="165">
        <f t="shared" ref="E26" si="7">SUM(E27:E28)</f>
        <v>14977.517672359998</v>
      </c>
      <c r="F26" s="232">
        <f t="shared" si="0"/>
        <v>7.5075933991545218E-2</v>
      </c>
      <c r="G26" s="233">
        <f>E26/D26-1</f>
        <v>-5.6614993652808754E-2</v>
      </c>
      <c r="H26" s="135"/>
      <c r="I26" s="163" t="s">
        <v>141</v>
      </c>
      <c r="J26" s="167">
        <v>70008.951937249993</v>
      </c>
      <c r="K26" s="164">
        <v>78232.375887069997</v>
      </c>
      <c r="L26" s="165">
        <f>SUM(L27:L28)</f>
        <v>76621.328568960002</v>
      </c>
      <c r="M26" s="233">
        <f t="shared" ref="M26:M28" si="8">K26/J26-1</f>
        <v>0.11746246333170052</v>
      </c>
      <c r="N26" s="233">
        <f>L26/K26-1</f>
        <v>-2.0593102278212427E-2</v>
      </c>
    </row>
    <row r="27" spans="1:14">
      <c r="A27" s="139"/>
      <c r="B27" s="162" t="s">
        <v>142</v>
      </c>
      <c r="C27" s="120">
        <v>11913.35251801</v>
      </c>
      <c r="D27" s="118">
        <v>13113.410646120001</v>
      </c>
      <c r="E27" s="119">
        <v>12488.585457969999</v>
      </c>
      <c r="F27" s="216">
        <f t="shared" si="0"/>
        <v>0.10073219325087646</v>
      </c>
      <c r="G27" s="217">
        <f>E27/D27-1</f>
        <v>-4.7647801553051705E-2</v>
      </c>
      <c r="H27" s="135"/>
      <c r="I27" s="162" t="s">
        <v>142</v>
      </c>
      <c r="J27" s="120">
        <v>56787.879620269989</v>
      </c>
      <c r="K27" s="118">
        <v>64358.540628319999</v>
      </c>
      <c r="L27" s="119">
        <v>62318.972913630001</v>
      </c>
      <c r="M27" s="217">
        <f t="shared" si="8"/>
        <v>0.13331473297953034</v>
      </c>
      <c r="N27" s="217">
        <f t="shared" si="6"/>
        <v>-3.1690707943003216E-2</v>
      </c>
    </row>
    <row r="28" spans="1:14">
      <c r="A28" s="139"/>
      <c r="B28" s="162" t="s">
        <v>143</v>
      </c>
      <c r="C28" s="120">
        <v>2854.3090513400002</v>
      </c>
      <c r="D28" s="118">
        <v>2762.94690842</v>
      </c>
      <c r="E28" s="119">
        <v>2488.9322143899999</v>
      </c>
      <c r="F28" s="216">
        <f t="shared" si="0"/>
        <v>-3.2008497074662912E-2</v>
      </c>
      <c r="G28" s="217">
        <f>E28/D28-1</f>
        <v>-9.9174795286492201E-2</v>
      </c>
      <c r="H28" s="135"/>
      <c r="I28" s="162" t="s">
        <v>143</v>
      </c>
      <c r="J28" s="120">
        <v>13221.07231698</v>
      </c>
      <c r="K28" s="118">
        <v>13873.835258749998</v>
      </c>
      <c r="L28" s="119">
        <v>14302.35565533</v>
      </c>
      <c r="M28" s="217">
        <f t="shared" si="8"/>
        <v>4.937291969363522E-2</v>
      </c>
      <c r="N28" s="217">
        <f t="shared" si="6"/>
        <v>3.088694572106454E-2</v>
      </c>
    </row>
    <row r="29" spans="1:14">
      <c r="A29" s="139"/>
      <c r="B29" s="162"/>
      <c r="C29" s="170"/>
      <c r="D29" s="168"/>
      <c r="E29" s="169"/>
      <c r="F29" s="216"/>
      <c r="G29" s="217"/>
      <c r="H29" s="135"/>
      <c r="I29" s="162"/>
      <c r="J29" s="170"/>
      <c r="K29" s="168"/>
      <c r="L29" s="169"/>
      <c r="M29" s="217"/>
      <c r="N29" s="217"/>
    </row>
    <row r="30" spans="1:14">
      <c r="A30" s="139"/>
      <c r="B30" s="171" t="s">
        <v>144</v>
      </c>
      <c r="C30" s="172">
        <v>466.15019520999999</v>
      </c>
      <c r="D30" s="173">
        <v>377.94163025</v>
      </c>
      <c r="E30" s="174">
        <f>SUM(E31:E33)</f>
        <v>374.49052753000001</v>
      </c>
      <c r="F30" s="224">
        <f t="shared" si="0"/>
        <v>-0.18922777651152145</v>
      </c>
      <c r="G30" s="225">
        <f>E30/D30-1</f>
        <v>-9.1313114083705349E-3</v>
      </c>
      <c r="H30" s="135"/>
      <c r="I30" s="171" t="s">
        <v>144</v>
      </c>
      <c r="J30" s="172">
        <v>2106.1383131100001</v>
      </c>
      <c r="K30" s="173">
        <v>1912.6000846999998</v>
      </c>
      <c r="L30" s="174">
        <f>SUM(L31:L33)</f>
        <v>2001.1502198799999</v>
      </c>
      <c r="M30" s="226">
        <f t="shared" ref="M30:N37" si="9">K30/J30-1</f>
        <v>-9.1892458916534636E-2</v>
      </c>
      <c r="N30" s="224">
        <f t="shared" si="9"/>
        <v>4.6298301400467423E-2</v>
      </c>
    </row>
    <row r="31" spans="1:14">
      <c r="A31" s="139"/>
      <c r="B31" s="162" t="s">
        <v>145</v>
      </c>
      <c r="C31" s="120">
        <v>18.450585</v>
      </c>
      <c r="D31" s="118">
        <v>13.803295500000001</v>
      </c>
      <c r="E31" s="119">
        <v>14.768802000000001</v>
      </c>
      <c r="F31" s="217">
        <f t="shared" si="0"/>
        <v>-0.25187762339242903</v>
      </c>
      <c r="G31" s="227">
        <f>E31/D31-1</f>
        <v>6.9947535354872414E-2</v>
      </c>
      <c r="H31" s="135"/>
      <c r="I31" s="162" t="s">
        <v>145</v>
      </c>
      <c r="J31" s="120">
        <v>80.615630999999993</v>
      </c>
      <c r="K31" s="118">
        <v>70.517541000000008</v>
      </c>
      <c r="L31" s="119">
        <v>76.581175500000001</v>
      </c>
      <c r="M31" s="228">
        <f t="shared" si="9"/>
        <v>-0.12526218395536703</v>
      </c>
      <c r="N31" s="217">
        <f t="shared" si="9"/>
        <v>8.5987605551929081E-2</v>
      </c>
    </row>
    <row r="32" spans="1:14">
      <c r="A32" s="139"/>
      <c r="B32" s="162" t="s">
        <v>146</v>
      </c>
      <c r="C32" s="120">
        <v>303.42331521</v>
      </c>
      <c r="D32" s="118">
        <v>225.14883649999999</v>
      </c>
      <c r="E32" s="119">
        <v>224.14719378000001</v>
      </c>
      <c r="F32" s="217">
        <f t="shared" si="0"/>
        <v>-0.25797120651663197</v>
      </c>
      <c r="G32" s="227">
        <f>E32/D32-1</f>
        <v>-4.4488025591017388E-3</v>
      </c>
      <c r="H32" s="135"/>
      <c r="I32" s="162" t="s">
        <v>146</v>
      </c>
      <c r="J32" s="120">
        <v>1350.3372161100001</v>
      </c>
      <c r="K32" s="118">
        <v>1162.9208831999999</v>
      </c>
      <c r="L32" s="119">
        <v>1215.6598546299999</v>
      </c>
      <c r="M32" s="228">
        <f t="shared" si="9"/>
        <v>-0.13879224439203564</v>
      </c>
      <c r="N32" s="217">
        <f t="shared" si="9"/>
        <v>4.5350438015076877E-2</v>
      </c>
    </row>
    <row r="33" spans="1:14">
      <c r="A33" s="139"/>
      <c r="B33" s="177" t="s">
        <v>147</v>
      </c>
      <c r="C33" s="120">
        <v>144.276295</v>
      </c>
      <c r="D33" s="118">
        <v>138.98949825</v>
      </c>
      <c r="E33" s="119">
        <v>135.57453175000001</v>
      </c>
      <c r="F33" s="217">
        <f t="shared" si="0"/>
        <v>-3.6643557765328016E-2</v>
      </c>
      <c r="G33" s="227">
        <f t="shared" si="0"/>
        <v>-2.4569960630100973E-2</v>
      </c>
      <c r="H33" s="135"/>
      <c r="I33" s="177" t="s">
        <v>147</v>
      </c>
      <c r="J33" s="120">
        <v>675.18546600000002</v>
      </c>
      <c r="K33" s="118">
        <v>679.16166049999993</v>
      </c>
      <c r="L33" s="119">
        <v>708.90918975</v>
      </c>
      <c r="M33" s="228">
        <f t="shared" si="9"/>
        <v>5.8890404195992563E-3</v>
      </c>
      <c r="N33" s="217">
        <f t="shared" si="9"/>
        <v>4.3800365921862872E-2</v>
      </c>
    </row>
    <row r="34" spans="1:14">
      <c r="A34" s="139"/>
      <c r="B34" s="178"/>
      <c r="C34" s="121"/>
      <c r="D34" s="122"/>
      <c r="E34" s="123"/>
      <c r="F34" s="229"/>
      <c r="G34" s="230"/>
      <c r="H34" s="135"/>
      <c r="I34" s="178"/>
      <c r="J34" s="121"/>
      <c r="K34" s="122"/>
      <c r="L34" s="123"/>
      <c r="M34" s="231"/>
      <c r="N34" s="229"/>
    </row>
    <row r="35" spans="1:14">
      <c r="A35" s="139"/>
      <c r="B35" s="163" t="s">
        <v>148</v>
      </c>
      <c r="C35" s="167">
        <v>195193.12771362998</v>
      </c>
      <c r="D35" s="164">
        <v>201621.36278170999</v>
      </c>
      <c r="E35" s="179">
        <f t="shared" ref="E35" si="10">SUM(E36:E37)</f>
        <v>193268.64273453</v>
      </c>
      <c r="F35" s="234">
        <f t="shared" si="0"/>
        <v>3.2932691552086668E-2</v>
      </c>
      <c r="G35" s="233">
        <f>E35/D35-1</f>
        <v>-4.1427753150459767E-2</v>
      </c>
      <c r="H35" s="135"/>
      <c r="I35" s="163" t="s">
        <v>148</v>
      </c>
      <c r="J35" s="167">
        <v>1008851.4181288199</v>
      </c>
      <c r="K35" s="164">
        <v>1044115.90501798</v>
      </c>
      <c r="L35" s="179">
        <f>SUM(L36:L37)</f>
        <v>1004376.02448106</v>
      </c>
      <c r="M35" s="233">
        <f t="shared" ref="M35:M37" si="11">K35/J35-1</f>
        <v>3.4955084817710258E-2</v>
      </c>
      <c r="N35" s="233">
        <f t="shared" si="9"/>
        <v>-3.8060794156981714E-2</v>
      </c>
    </row>
    <row r="36" spans="1:14">
      <c r="A36" s="139"/>
      <c r="B36" s="162" t="s">
        <v>149</v>
      </c>
      <c r="C36" s="120">
        <v>118713.39061661999</v>
      </c>
      <c r="D36" s="118">
        <v>124415.90925098</v>
      </c>
      <c r="E36" s="124">
        <v>121388.48875053</v>
      </c>
      <c r="F36" s="228">
        <f t="shared" si="0"/>
        <v>4.8036018554773241E-2</v>
      </c>
      <c r="G36" s="217">
        <f>E36/D36-1</f>
        <v>-2.4333065752410232E-2</v>
      </c>
      <c r="H36" s="135"/>
      <c r="I36" s="162" t="s">
        <v>149</v>
      </c>
      <c r="J36" s="120">
        <v>642256.01209375996</v>
      </c>
      <c r="K36" s="118">
        <v>665259.19314481004</v>
      </c>
      <c r="L36" s="124">
        <v>643826.68737374002</v>
      </c>
      <c r="M36" s="217">
        <f t="shared" si="11"/>
        <v>3.5816217548605866E-2</v>
      </c>
      <c r="N36" s="217">
        <f t="shared" si="9"/>
        <v>-3.221677504335474E-2</v>
      </c>
    </row>
    <row r="37" spans="1:14">
      <c r="A37" s="139"/>
      <c r="B37" s="162" t="s">
        <v>150</v>
      </c>
      <c r="C37" s="120">
        <v>76479.737097009987</v>
      </c>
      <c r="D37" s="118">
        <v>77205.453530729996</v>
      </c>
      <c r="E37" s="124">
        <v>71880.153984000004</v>
      </c>
      <c r="F37" s="228">
        <f t="shared" si="0"/>
        <v>9.489002724989426E-3</v>
      </c>
      <c r="G37" s="217">
        <f>E37/D37-1</f>
        <v>-6.8975691524308824E-2</v>
      </c>
      <c r="H37" s="135"/>
      <c r="I37" s="162" t="s">
        <v>150</v>
      </c>
      <c r="J37" s="120">
        <v>366595.40603505995</v>
      </c>
      <c r="K37" s="118">
        <v>378856.71187316999</v>
      </c>
      <c r="L37" s="124">
        <v>360549.33710731997</v>
      </c>
      <c r="M37" s="217">
        <f t="shared" si="11"/>
        <v>3.3446425231355548E-2</v>
      </c>
      <c r="N37" s="217">
        <f t="shared" si="9"/>
        <v>-4.8322688214584852E-2</v>
      </c>
    </row>
    <row r="38" spans="1:14">
      <c r="A38" s="139"/>
      <c r="B38" s="180" t="s">
        <v>121</v>
      </c>
      <c r="C38" s="181"/>
      <c r="D38" s="182"/>
      <c r="E38" s="124"/>
      <c r="F38" s="228"/>
      <c r="G38" s="229"/>
      <c r="H38" s="135"/>
      <c r="I38" s="180" t="s">
        <v>121</v>
      </c>
      <c r="J38" s="181"/>
      <c r="K38" s="182"/>
      <c r="L38" s="183"/>
      <c r="M38" s="217"/>
      <c r="N38" s="217"/>
    </row>
    <row r="39" spans="1:14">
      <c r="A39" s="139"/>
      <c r="B39" s="171" t="s">
        <v>151</v>
      </c>
      <c r="C39" s="172">
        <v>30145.795454220002</v>
      </c>
      <c r="D39" s="173">
        <v>24562.226877089997</v>
      </c>
      <c r="E39" s="184">
        <f t="shared" ref="E39" si="12">SUM(E40:E41)</f>
        <v>22183.86982448</v>
      </c>
      <c r="F39" s="235">
        <f t="shared" si="0"/>
        <v>-0.18521881718494781</v>
      </c>
      <c r="G39" s="224">
        <f>E39/D39-1</f>
        <v>-9.682986255730619E-2</v>
      </c>
      <c r="H39" s="135"/>
      <c r="I39" s="171" t="s">
        <v>151</v>
      </c>
      <c r="J39" s="172">
        <v>133970.2318833</v>
      </c>
      <c r="K39" s="173">
        <v>123094.02261096</v>
      </c>
      <c r="L39" s="184">
        <f>SUM(L40:L41)</f>
        <v>113185.01792832001</v>
      </c>
      <c r="M39" s="224">
        <f t="shared" ref="M39:M41" si="13">K39/J39-1</f>
        <v>-8.1183775824275273E-2</v>
      </c>
      <c r="N39" s="224">
        <f>L39/K39-1</f>
        <v>-8.0499478954859649E-2</v>
      </c>
    </row>
    <row r="40" spans="1:14">
      <c r="A40" s="139"/>
      <c r="B40" s="162" t="s">
        <v>152</v>
      </c>
      <c r="C40" s="120">
        <v>815.00770699999998</v>
      </c>
      <c r="D40" s="118">
        <v>902.36788100000001</v>
      </c>
      <c r="E40" s="124">
        <v>528.74771799999996</v>
      </c>
      <c r="F40" s="216">
        <f t="shared" si="0"/>
        <v>0.10718938391585064</v>
      </c>
      <c r="G40" s="217">
        <f>E40/D40-1</f>
        <v>-0.41404417296630269</v>
      </c>
      <c r="H40" s="135"/>
      <c r="I40" s="162" t="s">
        <v>152</v>
      </c>
      <c r="J40" s="120">
        <v>5751.6418599999997</v>
      </c>
      <c r="K40" s="118">
        <v>5148.8885730000002</v>
      </c>
      <c r="L40" s="124">
        <v>4031.7221329999998</v>
      </c>
      <c r="M40" s="217">
        <f t="shared" si="13"/>
        <v>-0.10479673485789665</v>
      </c>
      <c r="N40" s="217">
        <f>L40/K40-1</f>
        <v>-0.21697234736409987</v>
      </c>
    </row>
    <row r="41" spans="1:14">
      <c r="A41" s="139"/>
      <c r="B41" s="162" t="s">
        <v>153</v>
      </c>
      <c r="C41" s="120">
        <v>29330.787747220002</v>
      </c>
      <c r="D41" s="118">
        <v>23659.858996089999</v>
      </c>
      <c r="E41" s="124">
        <v>21655.122106480001</v>
      </c>
      <c r="F41" s="216">
        <f t="shared" si="0"/>
        <v>-0.19334389515902106</v>
      </c>
      <c r="G41" s="217">
        <f>E41/D41-1</f>
        <v>-8.4731565388504571E-2</v>
      </c>
      <c r="H41" s="135"/>
      <c r="I41" s="162" t="s">
        <v>153</v>
      </c>
      <c r="J41" s="120">
        <v>128218.59002330001</v>
      </c>
      <c r="K41" s="118">
        <v>117945.13403796</v>
      </c>
      <c r="L41" s="124">
        <v>109153.29579532001</v>
      </c>
      <c r="M41" s="217">
        <f t="shared" si="13"/>
        <v>-8.0124543433780615E-2</v>
      </c>
      <c r="N41" s="217">
        <f>L41/K41-1</f>
        <v>-7.4541763120218096E-2</v>
      </c>
    </row>
    <row r="42" spans="1:14">
      <c r="A42" s="139"/>
      <c r="B42" s="185" t="s">
        <v>121</v>
      </c>
      <c r="C42" s="181"/>
      <c r="D42" s="182"/>
      <c r="E42" s="124"/>
      <c r="F42" s="236"/>
      <c r="G42" s="229"/>
      <c r="H42" s="135"/>
      <c r="I42" s="185" t="s">
        <v>121</v>
      </c>
      <c r="J42" s="181"/>
      <c r="K42" s="182"/>
      <c r="L42" s="183"/>
      <c r="M42" s="229"/>
      <c r="N42" s="229"/>
    </row>
    <row r="43" spans="1:14">
      <c r="A43" s="139"/>
      <c r="B43" s="171" t="s">
        <v>154</v>
      </c>
      <c r="C43" s="172">
        <v>86545.412692949976</v>
      </c>
      <c r="D43" s="173">
        <v>78479.336853009998</v>
      </c>
      <c r="E43" s="184">
        <f>SUM(E44:E57)-E45-E46</f>
        <v>93114.643560889992</v>
      </c>
      <c r="F43" s="234">
        <f t="shared" si="0"/>
        <v>-9.3200501204577901E-2</v>
      </c>
      <c r="G43" s="233">
        <f>E43/D43-1</f>
        <v>0.18648611589687092</v>
      </c>
      <c r="H43" s="135"/>
      <c r="I43" s="171" t="s">
        <v>154</v>
      </c>
      <c r="J43" s="172">
        <v>452579.01435821998</v>
      </c>
      <c r="K43" s="173">
        <v>429043.58743708004</v>
      </c>
      <c r="L43" s="184">
        <f>SUM(L44:L57)-L45-L46</f>
        <v>447155.42159721011</v>
      </c>
      <c r="M43" s="224">
        <f t="shared" ref="M43:M59" si="14">K43/J43-1</f>
        <v>-5.2002912584257488E-2</v>
      </c>
      <c r="N43" s="225">
        <f>L43/K43-1</f>
        <v>4.2214438556982703E-2</v>
      </c>
    </row>
    <row r="44" spans="1:14">
      <c r="A44" s="139"/>
      <c r="B44" s="162" t="s">
        <v>155</v>
      </c>
      <c r="C44" s="120">
        <v>51741.314899720004</v>
      </c>
      <c r="D44" s="118">
        <v>46799.46191749</v>
      </c>
      <c r="E44" s="124">
        <v>62588.567558980001</v>
      </c>
      <c r="F44" s="228">
        <f>D44/C44-1</f>
        <v>-9.5510773002344895E-2</v>
      </c>
      <c r="G44" s="217">
        <f>E44/D44-1</f>
        <v>0.33737793116782089</v>
      </c>
      <c r="H44" s="135"/>
      <c r="I44" s="162" t="s">
        <v>155</v>
      </c>
      <c r="J44" s="120">
        <v>281934.40597443003</v>
      </c>
      <c r="K44" s="118">
        <v>263686.30772703001</v>
      </c>
      <c r="L44" s="119">
        <v>284777.33955295</v>
      </c>
      <c r="M44" s="217">
        <f>K44/J44-1</f>
        <v>-6.4724623390076896E-2</v>
      </c>
      <c r="N44" s="227">
        <f>L44/K44-1</f>
        <v>7.9985312880764381E-2</v>
      </c>
    </row>
    <row r="45" spans="1:14">
      <c r="A45" s="139"/>
      <c r="B45" s="162" t="s">
        <v>156</v>
      </c>
      <c r="C45" s="120">
        <v>29749.302989</v>
      </c>
      <c r="D45" s="118">
        <v>26689.058716</v>
      </c>
      <c r="E45" s="124">
        <v>35988.756628000003</v>
      </c>
      <c r="F45" s="228">
        <f t="shared" ref="F45:G59" si="15">D45/C45-1</f>
        <v>-0.10286776379707263</v>
      </c>
      <c r="G45" s="217">
        <f t="shared" si="15"/>
        <v>0.34844608088125884</v>
      </c>
      <c r="H45" s="135"/>
      <c r="I45" s="162" t="s">
        <v>156</v>
      </c>
      <c r="J45" s="120">
        <v>167802.96755099998</v>
      </c>
      <c r="K45" s="118">
        <v>157305.25725699999</v>
      </c>
      <c r="L45" s="119">
        <v>169770.80177200001</v>
      </c>
      <c r="M45" s="217">
        <f t="shared" ref="M45:N56" si="16">K45/J45-1</f>
        <v>-6.255974162560296E-2</v>
      </c>
      <c r="N45" s="227">
        <f t="shared" si="16"/>
        <v>7.9244296931756386E-2</v>
      </c>
    </row>
    <row r="46" spans="1:14">
      <c r="A46" s="139"/>
      <c r="B46" s="162" t="s">
        <v>157</v>
      </c>
      <c r="C46" s="120">
        <v>21992.011910720001</v>
      </c>
      <c r="D46" s="118">
        <v>20110.40320149</v>
      </c>
      <c r="E46" s="124">
        <v>26599.810930979998</v>
      </c>
      <c r="F46" s="228">
        <f t="shared" si="15"/>
        <v>-8.5558734547284021E-2</v>
      </c>
      <c r="G46" s="217">
        <f t="shared" si="15"/>
        <v>0.32268909103767696</v>
      </c>
      <c r="H46" s="135"/>
      <c r="I46" s="162" t="s">
        <v>157</v>
      </c>
      <c r="J46" s="120">
        <v>114131.43842343001</v>
      </c>
      <c r="K46" s="118">
        <v>106381.05047003001</v>
      </c>
      <c r="L46" s="119">
        <v>115006.53778094999</v>
      </c>
      <c r="M46" s="217">
        <f t="shared" si="16"/>
        <v>-6.7907563949609617E-2</v>
      </c>
      <c r="N46" s="227">
        <f t="shared" si="16"/>
        <v>8.1081050363851936E-2</v>
      </c>
    </row>
    <row r="47" spans="1:14">
      <c r="A47" s="139"/>
      <c r="B47" s="162" t="s">
        <v>158</v>
      </c>
      <c r="C47" s="120">
        <v>5379.7156023699999</v>
      </c>
      <c r="D47" s="118">
        <v>5291.6712454500002</v>
      </c>
      <c r="E47" s="124">
        <v>5141.0239688000001</v>
      </c>
      <c r="F47" s="228">
        <f t="shared" si="0"/>
        <v>-1.6365987243119773E-2</v>
      </c>
      <c r="G47" s="217">
        <f t="shared" si="15"/>
        <v>-2.8468752056268198E-2</v>
      </c>
      <c r="H47" s="135"/>
      <c r="I47" s="162" t="s">
        <v>158</v>
      </c>
      <c r="J47" s="120">
        <v>27033.225058800002</v>
      </c>
      <c r="K47" s="118">
        <v>26023.445928859997</v>
      </c>
      <c r="L47" s="119">
        <v>26752.731875040001</v>
      </c>
      <c r="M47" s="217">
        <f>K47/J47-1</f>
        <v>-3.7353261689777373E-2</v>
      </c>
      <c r="N47" s="227">
        <f t="shared" si="16"/>
        <v>2.8024188194509136E-2</v>
      </c>
    </row>
    <row r="48" spans="1:14">
      <c r="A48" s="139"/>
      <c r="B48" s="162" t="s">
        <v>159</v>
      </c>
      <c r="C48" s="120">
        <v>293.44193906999999</v>
      </c>
      <c r="D48" s="118">
        <v>141.24130047999998</v>
      </c>
      <c r="E48" s="124">
        <v>247.00455625000001</v>
      </c>
      <c r="F48" s="228">
        <f t="shared" si="0"/>
        <v>-0.51867377605384779</v>
      </c>
      <c r="G48" s="217">
        <f t="shared" si="15"/>
        <v>0.7488125315369516</v>
      </c>
      <c r="H48" s="135"/>
      <c r="I48" s="162" t="s">
        <v>159</v>
      </c>
      <c r="J48" s="120">
        <v>1208.4363647499999</v>
      </c>
      <c r="K48" s="118">
        <v>1110.6238963800001</v>
      </c>
      <c r="L48" s="119">
        <v>1030.7769721</v>
      </c>
      <c r="M48" s="217">
        <f t="shared" si="14"/>
        <v>-8.0941348028892857E-2</v>
      </c>
      <c r="N48" s="227">
        <f>L48/K48-1</f>
        <v>-7.1893756779640272E-2</v>
      </c>
    </row>
    <row r="49" spans="1:14">
      <c r="A49" s="139"/>
      <c r="B49" s="162" t="s">
        <v>160</v>
      </c>
      <c r="C49" s="120">
        <v>4350.5707436599996</v>
      </c>
      <c r="D49" s="118">
        <v>4733.7826722299997</v>
      </c>
      <c r="E49" s="124">
        <v>4050.3805631099999</v>
      </c>
      <c r="F49" s="228">
        <f t="shared" si="0"/>
        <v>8.8083139236029506E-2</v>
      </c>
      <c r="G49" s="217">
        <f t="shared" si="15"/>
        <v>-0.14436702240875399</v>
      </c>
      <c r="H49" s="135"/>
      <c r="I49" s="162" t="s">
        <v>160</v>
      </c>
      <c r="J49" s="120">
        <v>24827.576320969998</v>
      </c>
      <c r="K49" s="118">
        <v>24963.606195280001</v>
      </c>
      <c r="L49" s="119">
        <v>24156.578365019999</v>
      </c>
      <c r="M49" s="217">
        <f t="shared" si="14"/>
        <v>5.4789832302362118E-3</v>
      </c>
      <c r="N49" s="227">
        <f t="shared" si="16"/>
        <v>-3.232817502194818E-2</v>
      </c>
    </row>
    <row r="50" spans="1:14">
      <c r="A50" s="139"/>
      <c r="B50" s="175" t="s">
        <v>161</v>
      </c>
      <c r="C50" s="120">
        <v>2057.6669680199998</v>
      </c>
      <c r="D50" s="118">
        <v>2170.2876728200004</v>
      </c>
      <c r="E50" s="124">
        <v>1701.0876018900001</v>
      </c>
      <c r="F50" s="228">
        <f>D50/C50-1</f>
        <v>5.473223147882389E-2</v>
      </c>
      <c r="G50" s="217">
        <f t="shared" si="15"/>
        <v>-0.21619257060071539</v>
      </c>
      <c r="H50" s="135"/>
      <c r="I50" s="175" t="s">
        <v>161</v>
      </c>
      <c r="J50" s="120">
        <v>10547.42962768</v>
      </c>
      <c r="K50" s="118">
        <v>8649.1288250199996</v>
      </c>
      <c r="L50" s="119">
        <v>7757.7562888499997</v>
      </c>
      <c r="M50" s="217">
        <f t="shared" si="14"/>
        <v>-0.17997757460056629</v>
      </c>
      <c r="N50" s="227">
        <f t="shared" si="16"/>
        <v>-0.10305922760584374</v>
      </c>
    </row>
    <row r="51" spans="1:14">
      <c r="A51" s="139"/>
      <c r="B51" s="162" t="s">
        <v>162</v>
      </c>
      <c r="C51" s="120">
        <v>2755.5934269999998</v>
      </c>
      <c r="D51" s="118">
        <v>2574.4634289999999</v>
      </c>
      <c r="E51" s="124">
        <v>2393.9955409999998</v>
      </c>
      <c r="F51" s="228">
        <f t="shared" si="0"/>
        <v>-6.5731757168979499E-2</v>
      </c>
      <c r="G51" s="217">
        <f t="shared" si="15"/>
        <v>-7.0099223771106112E-2</v>
      </c>
      <c r="H51" s="135"/>
      <c r="I51" s="162" t="s">
        <v>162</v>
      </c>
      <c r="J51" s="120">
        <v>13403.005571</v>
      </c>
      <c r="K51" s="118">
        <v>13558.082738999999</v>
      </c>
      <c r="L51" s="119">
        <v>12826.027064000002</v>
      </c>
      <c r="M51" s="217">
        <f t="shared" si="14"/>
        <v>1.1570327802857827E-2</v>
      </c>
      <c r="N51" s="227">
        <f t="shared" si="16"/>
        <v>-5.3994040978539659E-2</v>
      </c>
    </row>
    <row r="52" spans="1:14">
      <c r="A52" s="139"/>
      <c r="B52" s="162" t="s">
        <v>163</v>
      </c>
      <c r="C52" s="120">
        <v>6022.9800830000004</v>
      </c>
      <c r="D52" s="118">
        <v>5548.4613529999997</v>
      </c>
      <c r="E52" s="124">
        <v>4666.771463</v>
      </c>
      <c r="F52" s="228">
        <f t="shared" si="0"/>
        <v>-7.8784708476679288E-2</v>
      </c>
      <c r="G52" s="217">
        <f t="shared" si="15"/>
        <v>-0.15890709764487743</v>
      </c>
      <c r="H52" s="135"/>
      <c r="I52" s="162" t="s">
        <v>163</v>
      </c>
      <c r="J52" s="120">
        <v>26782.911634000004</v>
      </c>
      <c r="K52" s="118">
        <v>26859.976703</v>
      </c>
      <c r="L52" s="119">
        <v>25723.028442220002</v>
      </c>
      <c r="M52" s="217">
        <f t="shared" si="14"/>
        <v>2.8773969780853115E-3</v>
      </c>
      <c r="N52" s="227">
        <f t="shared" si="16"/>
        <v>-4.2328713585705113E-2</v>
      </c>
    </row>
    <row r="53" spans="1:14">
      <c r="A53" s="139"/>
      <c r="B53" s="162" t="s">
        <v>164</v>
      </c>
      <c r="C53" s="120">
        <v>732.72158289000004</v>
      </c>
      <c r="D53" s="118">
        <v>76.310135119999998</v>
      </c>
      <c r="E53" s="124">
        <v>32.53180107</v>
      </c>
      <c r="F53" s="228">
        <f t="shared" si="0"/>
        <v>-0.89585384557799208</v>
      </c>
      <c r="G53" s="217">
        <f t="shared" si="15"/>
        <v>-0.57368964137145406</v>
      </c>
      <c r="H53" s="135"/>
      <c r="I53" s="162" t="s">
        <v>164</v>
      </c>
      <c r="J53" s="120">
        <v>3321.9200939000002</v>
      </c>
      <c r="K53" s="118">
        <v>1574.4843793299999</v>
      </c>
      <c r="L53" s="119">
        <v>157.6454865</v>
      </c>
      <c r="M53" s="217">
        <f t="shared" si="14"/>
        <v>-0.52603183254732544</v>
      </c>
      <c r="N53" s="227">
        <f t="shared" si="16"/>
        <v>-0.899874848826964</v>
      </c>
    </row>
    <row r="54" spans="1:14">
      <c r="A54" s="139"/>
      <c r="B54" s="162" t="s">
        <v>165</v>
      </c>
      <c r="C54" s="120">
        <v>4355.4854341800001</v>
      </c>
      <c r="D54" s="118">
        <v>4051.7284398000002</v>
      </c>
      <c r="E54" s="124">
        <v>3612.95189794</v>
      </c>
      <c r="F54" s="228">
        <f t="shared" si="0"/>
        <v>-6.9741249045684794E-2</v>
      </c>
      <c r="G54" s="217">
        <f t="shared" si="15"/>
        <v>-0.10829366981999877</v>
      </c>
      <c r="H54" s="135"/>
      <c r="I54" s="162" t="s">
        <v>165</v>
      </c>
      <c r="J54" s="120">
        <v>27980.702637750001</v>
      </c>
      <c r="K54" s="118">
        <v>27977.836334849999</v>
      </c>
      <c r="L54" s="119">
        <v>27214.790119620004</v>
      </c>
      <c r="M54" s="217">
        <f t="shared" si="14"/>
        <v>-1.0243856050040634E-4</v>
      </c>
      <c r="N54" s="227">
        <f t="shared" si="16"/>
        <v>-2.7273238934474864E-2</v>
      </c>
    </row>
    <row r="55" spans="1:14">
      <c r="A55" s="139"/>
      <c r="B55" s="162" t="s">
        <v>166</v>
      </c>
      <c r="C55" s="120">
        <v>122.13678566999999</v>
      </c>
      <c r="D55" s="118">
        <v>0</v>
      </c>
      <c r="E55" s="124">
        <v>138.7254973</v>
      </c>
      <c r="F55" s="228">
        <f t="shared" si="0"/>
        <v>-1</v>
      </c>
      <c r="G55" s="217" t="e">
        <f t="shared" si="15"/>
        <v>#DIV/0!</v>
      </c>
      <c r="H55" s="135"/>
      <c r="I55" s="162" t="s">
        <v>166</v>
      </c>
      <c r="J55" s="120">
        <v>575.81724689999999</v>
      </c>
      <c r="K55" s="118">
        <v>172.07121186000001</v>
      </c>
      <c r="L55" s="119">
        <v>296.69880569999998</v>
      </c>
      <c r="M55" s="217">
        <f t="shared" si="14"/>
        <v>-0.70117044463955946</v>
      </c>
      <c r="N55" s="227">
        <f t="shared" si="16"/>
        <v>0.72427916612454069</v>
      </c>
    </row>
    <row r="56" spans="1:14">
      <c r="A56" s="139"/>
      <c r="B56" s="162" t="s">
        <v>167</v>
      </c>
      <c r="C56" s="120">
        <v>3451.2267847899998</v>
      </c>
      <c r="D56" s="118">
        <v>1212.5681192300001</v>
      </c>
      <c r="E56" s="124">
        <v>1811.68358696</v>
      </c>
      <c r="F56" s="228">
        <f t="shared" si="0"/>
        <v>-0.64865591430446012</v>
      </c>
      <c r="G56" s="217">
        <f t="shared" si="15"/>
        <v>0.49408809140590604</v>
      </c>
      <c r="H56" s="135"/>
      <c r="I56" s="162" t="s">
        <v>167</v>
      </c>
      <c r="J56" s="120">
        <v>10453.65575905</v>
      </c>
      <c r="K56" s="118">
        <v>6900.4935041899998</v>
      </c>
      <c r="L56" s="119">
        <v>7109.5742963899993</v>
      </c>
      <c r="M56" s="217">
        <f t="shared" si="14"/>
        <v>-0.33989661959013096</v>
      </c>
      <c r="N56" s="227">
        <f t="shared" si="16"/>
        <v>3.0299397002989004E-2</v>
      </c>
    </row>
    <row r="57" spans="1:14">
      <c r="A57" s="139"/>
      <c r="B57" s="162" t="s">
        <v>168</v>
      </c>
      <c r="C57" s="120">
        <v>5282.5584425799989</v>
      </c>
      <c r="D57" s="118">
        <v>5879.3605683899996</v>
      </c>
      <c r="E57" s="124">
        <v>6729.9195245900009</v>
      </c>
      <c r="F57" s="228">
        <f t="shared" si="0"/>
        <v>0.11297596274552957</v>
      </c>
      <c r="G57" s="217">
        <f t="shared" si="15"/>
        <v>0.14466861596701119</v>
      </c>
      <c r="H57" s="135"/>
      <c r="I57" s="162" t="s">
        <v>168</v>
      </c>
      <c r="J57" s="120">
        <v>24509.928068989997</v>
      </c>
      <c r="K57" s="118">
        <v>27567.529992279997</v>
      </c>
      <c r="L57" s="119">
        <v>29352.474328820001</v>
      </c>
      <c r="M57" s="217">
        <f t="shared" si="14"/>
        <v>0.1247495265870846</v>
      </c>
      <c r="N57" s="227">
        <f>L57/K57-1</f>
        <v>6.4748069088520488E-2</v>
      </c>
    </row>
    <row r="58" spans="1:14">
      <c r="A58" s="139"/>
      <c r="B58" s="162" t="s">
        <v>169</v>
      </c>
      <c r="C58" s="120">
        <v>0</v>
      </c>
      <c r="D58" s="118">
        <v>0</v>
      </c>
      <c r="E58" s="124">
        <v>0</v>
      </c>
      <c r="F58" s="237" t="e">
        <f t="shared" si="0"/>
        <v>#DIV/0!</v>
      </c>
      <c r="G58" s="221" t="e">
        <f t="shared" si="15"/>
        <v>#DIV/0!</v>
      </c>
      <c r="H58" s="135"/>
      <c r="I58" s="162" t="s">
        <v>169</v>
      </c>
      <c r="J58" s="120">
        <v>0</v>
      </c>
      <c r="K58" s="118">
        <v>0</v>
      </c>
      <c r="L58" s="119">
        <v>0</v>
      </c>
      <c r="M58" s="221" t="e">
        <f t="shared" si="14"/>
        <v>#DIV/0!</v>
      </c>
      <c r="N58" s="238" t="e">
        <f>L58/K58-1</f>
        <v>#DIV/0!</v>
      </c>
    </row>
    <row r="59" spans="1:14">
      <c r="A59" s="139"/>
      <c r="B59" s="162" t="s">
        <v>170</v>
      </c>
      <c r="C59" s="120">
        <v>0</v>
      </c>
      <c r="D59" s="118">
        <v>0</v>
      </c>
      <c r="E59" s="124">
        <v>0</v>
      </c>
      <c r="F59" s="237" t="e">
        <f t="shared" si="0"/>
        <v>#DIV/0!</v>
      </c>
      <c r="G59" s="221" t="e">
        <f t="shared" si="15"/>
        <v>#DIV/0!</v>
      </c>
      <c r="H59" s="135"/>
      <c r="I59" s="162" t="s">
        <v>170</v>
      </c>
      <c r="J59" s="120">
        <v>0</v>
      </c>
      <c r="K59" s="118">
        <v>0</v>
      </c>
      <c r="L59" s="119">
        <v>0</v>
      </c>
      <c r="M59" s="221" t="e">
        <f t="shared" si="14"/>
        <v>#DIV/0!</v>
      </c>
      <c r="N59" s="238" t="e">
        <f>L59/K59-1</f>
        <v>#DIV/0!</v>
      </c>
    </row>
    <row r="60" spans="1:14">
      <c r="A60" s="139"/>
      <c r="B60" s="187"/>
      <c r="C60" s="188"/>
      <c r="D60" s="189"/>
      <c r="E60" s="190"/>
      <c r="F60" s="231"/>
      <c r="G60" s="229"/>
      <c r="H60" s="135"/>
      <c r="I60" s="187"/>
      <c r="J60" s="191"/>
      <c r="K60" s="192"/>
      <c r="L60" s="193"/>
      <c r="M60" s="229"/>
      <c r="N60" s="230"/>
    </row>
    <row r="61" spans="1:14">
      <c r="A61" s="139"/>
      <c r="B61" s="194" t="s">
        <v>43</v>
      </c>
      <c r="C61" s="125">
        <v>47825.546266769998</v>
      </c>
      <c r="D61" s="126">
        <v>51550.353250740001</v>
      </c>
      <c r="E61" s="126">
        <v>51693.451838949994</v>
      </c>
      <c r="F61" s="239">
        <f t="shared" si="0"/>
        <v>7.7883208342108601E-2</v>
      </c>
      <c r="G61" s="240">
        <f>E61/D61-1</f>
        <v>2.7758992749082889E-3</v>
      </c>
      <c r="H61" s="135"/>
      <c r="I61" s="194" t="s">
        <v>43</v>
      </c>
      <c r="J61" s="125">
        <v>238672.30369908997</v>
      </c>
      <c r="K61" s="126">
        <v>252243.05477111001</v>
      </c>
      <c r="L61" s="127">
        <v>260869.24621777999</v>
      </c>
      <c r="M61" s="240">
        <f t="shared" ref="M61:M63" si="17">K61/J61-1</f>
        <v>5.6859345896830948E-2</v>
      </c>
      <c r="N61" s="240">
        <f>L61/K61-1</f>
        <v>3.4197934426767551E-2</v>
      </c>
    </row>
    <row r="62" spans="1:14">
      <c r="A62" s="139"/>
      <c r="B62" s="194" t="s">
        <v>16</v>
      </c>
      <c r="C62" s="128">
        <v>14362.094488590001</v>
      </c>
      <c r="D62" s="241">
        <v>12265.746146520001</v>
      </c>
      <c r="E62" s="128">
        <v>9815.2262042800012</v>
      </c>
      <c r="F62" s="242">
        <f t="shared" si="0"/>
        <v>-0.14596397090518021</v>
      </c>
      <c r="G62" s="243">
        <f t="shared" si="0"/>
        <v>-0.19978563985976949</v>
      </c>
      <c r="H62" s="135"/>
      <c r="I62" s="194" t="s">
        <v>16</v>
      </c>
      <c r="J62" s="128">
        <v>92584.941177579996</v>
      </c>
      <c r="K62" s="129">
        <v>91215.536486090001</v>
      </c>
      <c r="L62" s="130">
        <v>90503.514961359993</v>
      </c>
      <c r="M62" s="243">
        <f t="shared" si="17"/>
        <v>-1.4790792909437078E-2</v>
      </c>
      <c r="N62" s="243">
        <f>L62/K62-1</f>
        <v>-7.8059237730689901E-3</v>
      </c>
    </row>
    <row r="63" spans="1:14">
      <c r="A63" s="139"/>
      <c r="B63" s="195" t="s">
        <v>171</v>
      </c>
      <c r="C63" s="131">
        <v>1932.41642606</v>
      </c>
      <c r="D63" s="132">
        <v>1948.0376163699998</v>
      </c>
      <c r="E63" s="132">
        <v>2130.2427499800001</v>
      </c>
      <c r="F63" s="244">
        <f t="shared" si="0"/>
        <v>8.083759845619598E-3</v>
      </c>
      <c r="G63" s="245">
        <f t="shared" si="0"/>
        <v>9.3532656699681027E-2</v>
      </c>
      <c r="H63" s="135"/>
      <c r="I63" s="194" t="s">
        <v>171</v>
      </c>
      <c r="J63" s="131">
        <v>10940.40940479</v>
      </c>
      <c r="K63" s="132">
        <v>7903.004669169999</v>
      </c>
      <c r="L63" s="133">
        <v>7689.7743741899994</v>
      </c>
      <c r="M63" s="245">
        <f t="shared" si="17"/>
        <v>-0.27763172503308198</v>
      </c>
      <c r="N63" s="245">
        <f>L63/K63-1</f>
        <v>-2.6980914716123294E-2</v>
      </c>
    </row>
    <row r="64" spans="1:14">
      <c r="A64" s="139"/>
      <c r="B64" s="195" t="s">
        <v>172</v>
      </c>
      <c r="C64" s="131">
        <v>0</v>
      </c>
      <c r="D64" s="132">
        <v>0</v>
      </c>
      <c r="E64" s="132">
        <v>0</v>
      </c>
      <c r="F64" s="244">
        <v>0</v>
      </c>
      <c r="G64" s="245">
        <v>0</v>
      </c>
      <c r="H64" s="196"/>
      <c r="I64" s="197" t="s">
        <v>172</v>
      </c>
      <c r="J64" s="131">
        <v>7583.4363540000004</v>
      </c>
      <c r="K64" s="132">
        <v>7541.7006650000003</v>
      </c>
      <c r="L64" s="133">
        <v>11253.721287</v>
      </c>
      <c r="M64" s="246">
        <v>0</v>
      </c>
      <c r="N64" s="245">
        <v>0</v>
      </c>
    </row>
  </sheetData>
  <mergeCells count="10">
    <mergeCell ref="B5:G5"/>
    <mergeCell ref="I5:N5"/>
    <mergeCell ref="F7:G7"/>
    <mergeCell ref="M7:N7"/>
    <mergeCell ref="B2:G2"/>
    <mergeCell ref="I2:N2"/>
    <mergeCell ref="B3:G3"/>
    <mergeCell ref="I3:N3"/>
    <mergeCell ref="B4:G4"/>
    <mergeCell ref="I4:N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1e5b3963d25a1fe7c53d53a2901cfde0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29f927d52f5e5c2374d36927b0e2d5eb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9B4BA-5EA3-47FD-AF3E-9D8257ACF1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42D7EA-66AB-4BB5-A898-6EFD2CCB802C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customXml/itemProps3.xml><?xml version="1.0" encoding="utf-8"?>
<ds:datastoreItem xmlns:ds="http://schemas.openxmlformats.org/officeDocument/2006/customXml" ds:itemID="{0205F00C-CBB0-4A59-ACDB-ABE17E9744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SIMPLE</vt:lpstr>
      <vt:lpstr>ACUMULADO</vt:lpstr>
      <vt:lpstr>machote</vt:lpstr>
      <vt:lpstr>Ingresos</vt:lpstr>
      <vt:lpstr>machote!Área_de_impresión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Leonel Rivera Solano</cp:lastModifiedBy>
  <cp:lastPrinted>2016-07-20T19:29:50Z</cp:lastPrinted>
  <dcterms:created xsi:type="dcterms:W3CDTF">1996-11-27T10:00:04Z</dcterms:created>
  <dcterms:modified xsi:type="dcterms:W3CDTF">2026-06-19T21:16:13Z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