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5_INGRESOS Y GASTOS RECONOCIDO/2026/04 Abril 2026/"/>
    </mc:Choice>
  </mc:AlternateContent>
  <xr:revisionPtr revIDLastSave="386" documentId="8_{0B7CE3CA-0774-40C9-855C-5BEF482179E1}" xr6:coauthVersionLast="47" xr6:coauthVersionMax="47" xr10:uidLastSave="{AA813F17-F7A1-4331-A865-35DA9106E0F7}"/>
  <bookViews>
    <workbookView xWindow="15240" yWindow="-120" windowWidth="29040" windowHeight="15720" tabRatio="766" activeTab="1" xr2:uid="{3C676D6A-BCAE-4212-B363-E9EFC522EC87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ANITA">#REF!</definedName>
    <definedName name="_xlnm.Print_Area" localSheetId="1">ACUMULADO!$A$1:$AD$85</definedName>
    <definedName name="_xlnm.Print_Area" localSheetId="2">INGRESOS!$A$1:$N$1</definedName>
    <definedName name="_xlnm.Print_Area" localSheetId="0">SIMPLE!$A$1:$AC$84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0" l="1"/>
  <c r="W74" i="10" s="1"/>
  <c r="W75" i="1"/>
  <c r="W74" i="1" s="1"/>
  <c r="N63" i="11"/>
  <c r="M63" i="11"/>
  <c r="G63" i="11"/>
  <c r="F63" i="11"/>
  <c r="N62" i="11"/>
  <c r="M62" i="11"/>
  <c r="G62" i="11"/>
  <c r="F62" i="11"/>
  <c r="N61" i="11"/>
  <c r="M61" i="11"/>
  <c r="G61" i="11"/>
  <c r="F61" i="11"/>
  <c r="N59" i="11"/>
  <c r="M59" i="11"/>
  <c r="G59" i="11"/>
  <c r="F59" i="11"/>
  <c r="N58" i="11"/>
  <c r="M58" i="11"/>
  <c r="G58" i="11"/>
  <c r="F58" i="11"/>
  <c r="N57" i="11"/>
  <c r="M57" i="11"/>
  <c r="G57" i="11"/>
  <c r="F57" i="11"/>
  <c r="N56" i="11"/>
  <c r="M56" i="11"/>
  <c r="G56" i="11"/>
  <c r="F56" i="11"/>
  <c r="N55" i="11"/>
  <c r="M55" i="11"/>
  <c r="G55" i="11"/>
  <c r="F55" i="11"/>
  <c r="N54" i="11"/>
  <c r="M54" i="11"/>
  <c r="G54" i="11"/>
  <c r="F54" i="11"/>
  <c r="N53" i="11"/>
  <c r="M53" i="11"/>
  <c r="G53" i="11"/>
  <c r="F53" i="11"/>
  <c r="N52" i="11"/>
  <c r="M52" i="11"/>
  <c r="F52" i="11"/>
  <c r="G52" i="11"/>
  <c r="N51" i="11"/>
  <c r="M51" i="11"/>
  <c r="G51" i="11"/>
  <c r="F51" i="11"/>
  <c r="N50" i="11"/>
  <c r="M50" i="11"/>
  <c r="F50" i="11"/>
  <c r="G50" i="11"/>
  <c r="N49" i="11"/>
  <c r="M49" i="11"/>
  <c r="G49" i="11"/>
  <c r="F49" i="11"/>
  <c r="N48" i="11"/>
  <c r="M48" i="11"/>
  <c r="F48" i="11"/>
  <c r="G48" i="11"/>
  <c r="N47" i="11"/>
  <c r="M47" i="11"/>
  <c r="G47" i="11"/>
  <c r="F47" i="11"/>
  <c r="N46" i="11"/>
  <c r="M46" i="11"/>
  <c r="F46" i="11"/>
  <c r="G46" i="11"/>
  <c r="M45" i="11"/>
  <c r="N45" i="11"/>
  <c r="G45" i="11"/>
  <c r="F45" i="11"/>
  <c r="N44" i="11"/>
  <c r="M44" i="11"/>
  <c r="F44" i="11"/>
  <c r="G44" i="11"/>
  <c r="M43" i="11"/>
  <c r="L43" i="11"/>
  <c r="N43" i="11" s="1"/>
  <c r="F43" i="11"/>
  <c r="N41" i="11"/>
  <c r="M41" i="11"/>
  <c r="F41" i="11"/>
  <c r="G41" i="11"/>
  <c r="M40" i="11"/>
  <c r="N40" i="11"/>
  <c r="G40" i="11"/>
  <c r="F40" i="11"/>
  <c r="M39" i="11"/>
  <c r="F39" i="11"/>
  <c r="E39" i="11"/>
  <c r="G39" i="11" s="1"/>
  <c r="M37" i="11"/>
  <c r="N37" i="11"/>
  <c r="G37" i="11"/>
  <c r="F37" i="11"/>
  <c r="M36" i="11"/>
  <c r="N36" i="11"/>
  <c r="F36" i="11"/>
  <c r="E35" i="11"/>
  <c r="G35" i="11" s="1"/>
  <c r="M35" i="11"/>
  <c r="L35" i="11"/>
  <c r="N35" i="11" s="1"/>
  <c r="F35" i="11"/>
  <c r="M33" i="11"/>
  <c r="N33" i="11"/>
  <c r="F33" i="11"/>
  <c r="G33" i="11"/>
  <c r="M32" i="11"/>
  <c r="N32" i="11"/>
  <c r="G32" i="11"/>
  <c r="F32" i="11"/>
  <c r="M31" i="11"/>
  <c r="N31" i="11"/>
  <c r="F31" i="11"/>
  <c r="G31" i="11"/>
  <c r="M30" i="11"/>
  <c r="F30" i="11"/>
  <c r="M28" i="11"/>
  <c r="N28" i="11"/>
  <c r="F28" i="11"/>
  <c r="G28" i="11"/>
  <c r="M27" i="11"/>
  <c r="L26" i="11"/>
  <c r="N26" i="11" s="1"/>
  <c r="G27" i="11"/>
  <c r="F27" i="11"/>
  <c r="M26" i="11"/>
  <c r="F26" i="11"/>
  <c r="M24" i="11"/>
  <c r="N24" i="11"/>
  <c r="G24" i="11"/>
  <c r="F24" i="11"/>
  <c r="M23" i="11"/>
  <c r="N23" i="11"/>
  <c r="F23" i="11"/>
  <c r="G23" i="11"/>
  <c r="M22" i="11"/>
  <c r="L21" i="11"/>
  <c r="N21" i="11" s="1"/>
  <c r="G22" i="11"/>
  <c r="F22" i="11"/>
  <c r="M21" i="11"/>
  <c r="F21" i="11"/>
  <c r="L14" i="11"/>
  <c r="N18" i="11"/>
  <c r="M18" i="11"/>
  <c r="G18" i="11"/>
  <c r="F18" i="11"/>
  <c r="N17" i="11"/>
  <c r="M17" i="11"/>
  <c r="G17" i="11"/>
  <c r="F17" i="11"/>
  <c r="N16" i="11"/>
  <c r="M16" i="11"/>
  <c r="G16" i="11"/>
  <c r="F16" i="11"/>
  <c r="N15" i="11"/>
  <c r="M15" i="11"/>
  <c r="G15" i="11"/>
  <c r="F15" i="11"/>
  <c r="M14" i="11"/>
  <c r="G14" i="11"/>
  <c r="F14" i="11"/>
  <c r="E14" i="11"/>
  <c r="M12" i="11"/>
  <c r="F12" i="11"/>
  <c r="M10" i="11"/>
  <c r="F10" i="11"/>
  <c r="M9" i="11"/>
  <c r="F9" i="11"/>
  <c r="AJ63" i="1"/>
  <c r="AJ62" i="1"/>
  <c r="AJ61" i="1"/>
  <c r="AJ60" i="1"/>
  <c r="AJ58" i="1"/>
  <c r="AJ54" i="1"/>
  <c r="AJ53" i="1"/>
  <c r="AJ52" i="1"/>
  <c r="AJ51" i="1"/>
  <c r="AJ48" i="1"/>
  <c r="AJ47" i="1"/>
  <c r="AJ45" i="1"/>
  <c r="AJ44" i="1"/>
  <c r="AJ43" i="1"/>
  <c r="AJ34" i="1"/>
  <c r="AJ32" i="1"/>
  <c r="AJ31" i="1"/>
  <c r="AJ30" i="1"/>
  <c r="AJ27" i="1"/>
  <c r="AJ26" i="1"/>
  <c r="AJ25" i="1"/>
  <c r="AJ23" i="1"/>
  <c r="AJ22" i="1"/>
  <c r="AJ20" i="1"/>
  <c r="AJ19" i="1"/>
  <c r="AJ18" i="1"/>
  <c r="AJ16" i="1"/>
  <c r="AJ15" i="1"/>
  <c r="AJ13" i="1"/>
  <c r="W65" i="1"/>
  <c r="W59" i="1"/>
  <c r="W56" i="1" s="1"/>
  <c r="W50" i="1"/>
  <c r="W46" i="1"/>
  <c r="W42" i="1"/>
  <c r="W24" i="1"/>
  <c r="W21" i="1"/>
  <c r="W17" i="1"/>
  <c r="W14" i="1"/>
  <c r="AJ66" i="10"/>
  <c r="AJ63" i="10"/>
  <c r="AJ62" i="10"/>
  <c r="AJ61" i="10"/>
  <c r="AJ60" i="10"/>
  <c r="AJ58" i="10"/>
  <c r="AJ54" i="10"/>
  <c r="AJ53" i="10"/>
  <c r="AJ52" i="10"/>
  <c r="AJ51" i="10"/>
  <c r="AJ48" i="10"/>
  <c r="AJ47" i="10"/>
  <c r="AJ45" i="10"/>
  <c r="AJ44" i="10"/>
  <c r="AJ43" i="10"/>
  <c r="AJ34" i="10"/>
  <c r="AJ32" i="10"/>
  <c r="AJ31" i="10"/>
  <c r="AJ30" i="10"/>
  <c r="AJ29" i="10"/>
  <c r="AJ27" i="10"/>
  <c r="AJ26" i="10"/>
  <c r="AJ25" i="10"/>
  <c r="AJ23" i="10"/>
  <c r="AJ22" i="10"/>
  <c r="AJ20" i="10"/>
  <c r="AJ19" i="10"/>
  <c r="AJ18" i="10"/>
  <c r="AJ16" i="10"/>
  <c r="AJ15" i="10"/>
  <c r="AJ13" i="10"/>
  <c r="N14" i="11" l="1"/>
  <c r="L30" i="11"/>
  <c r="N30" i="11" s="1"/>
  <c r="L39" i="11"/>
  <c r="N39" i="11" s="1"/>
  <c r="N22" i="11"/>
  <c r="N27" i="11"/>
  <c r="E26" i="11"/>
  <c r="G26" i="11" s="1"/>
  <c r="G36" i="11"/>
  <c r="E30" i="11"/>
  <c r="G30" i="11" s="1"/>
  <c r="E43" i="11"/>
  <c r="G43" i="11" s="1"/>
  <c r="E21" i="11"/>
  <c r="G21" i="11" s="1"/>
  <c r="AJ42" i="1"/>
  <c r="W40" i="1"/>
  <c r="W36" i="1" s="1"/>
  <c r="AJ46" i="1"/>
  <c r="W12" i="1"/>
  <c r="W65" i="10"/>
  <c r="AJ65" i="10" s="1"/>
  <c r="W59" i="10"/>
  <c r="AJ59" i="10" s="1"/>
  <c r="W50" i="10"/>
  <c r="AJ50" i="10" s="1"/>
  <c r="W46" i="10"/>
  <c r="AJ46" i="10" s="1"/>
  <c r="W42" i="10"/>
  <c r="AJ42" i="10" s="1"/>
  <c r="W24" i="10"/>
  <c r="AJ24" i="10" s="1"/>
  <c r="W21" i="10"/>
  <c r="AJ21" i="10" s="1"/>
  <c r="W17" i="10"/>
  <c r="AJ17" i="10" s="1"/>
  <c r="W14" i="10"/>
  <c r="AJ14" i="10" s="1"/>
  <c r="V74" i="1"/>
  <c r="V14" i="1"/>
  <c r="AJ14" i="1" s="1"/>
  <c r="AI63" i="1"/>
  <c r="AI62" i="1"/>
  <c r="AI61" i="1"/>
  <c r="AI60" i="1"/>
  <c r="AI58" i="1"/>
  <c r="AI54" i="1"/>
  <c r="AI53" i="1"/>
  <c r="AI52" i="1"/>
  <c r="AI51" i="1"/>
  <c r="AI48" i="1"/>
  <c r="AI47" i="1"/>
  <c r="AI45" i="1"/>
  <c r="AI44" i="1"/>
  <c r="AI43" i="1"/>
  <c r="AI34" i="1"/>
  <c r="AI32" i="1"/>
  <c r="AI31" i="1"/>
  <c r="AI30" i="1"/>
  <c r="AI27" i="1"/>
  <c r="AI26" i="1"/>
  <c r="AI25" i="1"/>
  <c r="AI23" i="1"/>
  <c r="AI22" i="1"/>
  <c r="AI20" i="1"/>
  <c r="AI19" i="1"/>
  <c r="AI18" i="1"/>
  <c r="AI16" i="1"/>
  <c r="AI15" i="1"/>
  <c r="AI13" i="1"/>
  <c r="V65" i="1"/>
  <c r="V59" i="1"/>
  <c r="AJ59" i="1" s="1"/>
  <c r="AI59" i="1"/>
  <c r="V50" i="1"/>
  <c r="AJ50" i="1" s="1"/>
  <c r="V46" i="1"/>
  <c r="V42" i="1"/>
  <c r="V24" i="1"/>
  <c r="AJ24" i="1" s="1"/>
  <c r="V21" i="1"/>
  <c r="AJ21" i="1" s="1"/>
  <c r="V17" i="1"/>
  <c r="AJ17" i="1" s="1"/>
  <c r="V74" i="10"/>
  <c r="V65" i="10"/>
  <c r="AI65" i="10"/>
  <c r="V59" i="10"/>
  <c r="V50" i="10"/>
  <c r="V46" i="10"/>
  <c r="V42" i="10"/>
  <c r="V24" i="10"/>
  <c r="V21" i="10"/>
  <c r="V17" i="10"/>
  <c r="V14" i="10"/>
  <c r="AI66" i="10"/>
  <c r="AI63" i="10"/>
  <c r="AI61" i="10"/>
  <c r="AI60" i="10"/>
  <c r="AI58" i="10"/>
  <c r="AI54" i="10"/>
  <c r="AI53" i="10"/>
  <c r="AI52" i="10"/>
  <c r="AI51" i="10"/>
  <c r="AI48" i="10"/>
  <c r="AI47" i="10"/>
  <c r="AI45" i="10"/>
  <c r="AI44" i="10"/>
  <c r="AI43" i="10"/>
  <c r="AI34" i="10"/>
  <c r="AI32" i="10"/>
  <c r="AI31" i="10"/>
  <c r="AI30" i="10"/>
  <c r="AI29" i="10"/>
  <c r="AI27" i="10"/>
  <c r="AI26" i="10"/>
  <c r="AI25" i="10"/>
  <c r="AI23" i="10"/>
  <c r="AI22" i="10"/>
  <c r="AI20" i="10"/>
  <c r="AI19" i="10"/>
  <c r="AI18" i="10"/>
  <c r="AI16" i="10"/>
  <c r="AI15" i="10"/>
  <c r="AI13" i="10"/>
  <c r="U74" i="10"/>
  <c r="S75" i="10"/>
  <c r="AF63" i="1"/>
  <c r="U74" i="1"/>
  <c r="AH66" i="10"/>
  <c r="AH63" i="10"/>
  <c r="AH61" i="10"/>
  <c r="AH60" i="10"/>
  <c r="AH58" i="10"/>
  <c r="AH54" i="10"/>
  <c r="AH53" i="10"/>
  <c r="AH52" i="10"/>
  <c r="AH51" i="10"/>
  <c r="AH48" i="10"/>
  <c r="AH47" i="10"/>
  <c r="AH45" i="10"/>
  <c r="AH44" i="10"/>
  <c r="AH43" i="10"/>
  <c r="AH34" i="10"/>
  <c r="AH32" i="10"/>
  <c r="AH31" i="10"/>
  <c r="AH30" i="10"/>
  <c r="AH29" i="10"/>
  <c r="AH27" i="10"/>
  <c r="AH26" i="10"/>
  <c r="AH25" i="10"/>
  <c r="AH23" i="10"/>
  <c r="AH22" i="10"/>
  <c r="AH20" i="10"/>
  <c r="AH19" i="10"/>
  <c r="AH18" i="10"/>
  <c r="AH16" i="10"/>
  <c r="AH15" i="10"/>
  <c r="AH13" i="10"/>
  <c r="U65" i="10"/>
  <c r="U59" i="10"/>
  <c r="AI59" i="10"/>
  <c r="U50" i="10"/>
  <c r="AH50" i="10"/>
  <c r="U46" i="10"/>
  <c r="U42" i="10"/>
  <c r="U24" i="10"/>
  <c r="AI24" i="10"/>
  <c r="U21" i="10"/>
  <c r="U17" i="10"/>
  <c r="U14" i="10"/>
  <c r="AH63" i="1"/>
  <c r="AH62" i="1"/>
  <c r="AH61" i="1"/>
  <c r="AH60" i="1"/>
  <c r="AH58" i="1"/>
  <c r="AH54" i="1"/>
  <c r="AH53" i="1"/>
  <c r="AH52" i="1"/>
  <c r="AH51" i="1"/>
  <c r="AH48" i="1"/>
  <c r="AH47" i="1"/>
  <c r="AH45" i="1"/>
  <c r="AH44" i="1"/>
  <c r="AH43" i="1"/>
  <c r="AH34" i="1"/>
  <c r="AH32" i="1"/>
  <c r="AH31" i="1"/>
  <c r="AH30" i="1"/>
  <c r="AH27" i="1"/>
  <c r="AH26" i="1"/>
  <c r="AH25" i="1"/>
  <c r="AH23" i="1"/>
  <c r="AH22" i="1"/>
  <c r="AH20" i="1"/>
  <c r="AH19" i="1"/>
  <c r="AH18" i="1"/>
  <c r="AH16" i="1"/>
  <c r="AH15" i="1"/>
  <c r="AH13" i="1"/>
  <c r="U65" i="1"/>
  <c r="U59" i="1"/>
  <c r="U56" i="1"/>
  <c r="U50" i="1"/>
  <c r="U46" i="1"/>
  <c r="U42" i="1"/>
  <c r="U24" i="1"/>
  <c r="U21" i="1"/>
  <c r="AI21" i="1" s="1"/>
  <c r="U17" i="1"/>
  <c r="U14" i="1"/>
  <c r="AH14" i="1" s="1"/>
  <c r="S65" i="1"/>
  <c r="S59" i="1"/>
  <c r="S56" i="1" s="1"/>
  <c r="S50" i="1"/>
  <c r="S40" i="1" s="1"/>
  <c r="S46" i="1"/>
  <c r="S42" i="1"/>
  <c r="S17" i="1"/>
  <c r="S14" i="1"/>
  <c r="T75" i="10"/>
  <c r="T74" i="10"/>
  <c r="AF29" i="10"/>
  <c r="AG29" i="10"/>
  <c r="T65" i="1"/>
  <c r="T65" i="10"/>
  <c r="AH65" i="10"/>
  <c r="AG66" i="10"/>
  <c r="AG63" i="10"/>
  <c r="AG61" i="10"/>
  <c r="AG60" i="10"/>
  <c r="AG58" i="10"/>
  <c r="AG54" i="10"/>
  <c r="AG53" i="10"/>
  <c r="AG52" i="10"/>
  <c r="AG51" i="10"/>
  <c r="AG48" i="10"/>
  <c r="AG47" i="10"/>
  <c r="AG45" i="10"/>
  <c r="AG44" i="10"/>
  <c r="AG43" i="10"/>
  <c r="AG34" i="10"/>
  <c r="AG32" i="10"/>
  <c r="AG31" i="10"/>
  <c r="AG30" i="10"/>
  <c r="AG27" i="10"/>
  <c r="AG26" i="10"/>
  <c r="AG25" i="10"/>
  <c r="AG23" i="10"/>
  <c r="AG22" i="10"/>
  <c r="AG20" i="10"/>
  <c r="AG19" i="10"/>
  <c r="AG18" i="10"/>
  <c r="AG16" i="10"/>
  <c r="AG15" i="10"/>
  <c r="AG13" i="10"/>
  <c r="T59" i="10"/>
  <c r="T50" i="10"/>
  <c r="T46" i="10"/>
  <c r="T42" i="10"/>
  <c r="AH42" i="10"/>
  <c r="T24" i="10"/>
  <c r="T21" i="10"/>
  <c r="T17" i="10"/>
  <c r="T14" i="10"/>
  <c r="AG63" i="1"/>
  <c r="AG62" i="1"/>
  <c r="AG61" i="1"/>
  <c r="AG60" i="1"/>
  <c r="AG58" i="1"/>
  <c r="AG54" i="1"/>
  <c r="AG53" i="1"/>
  <c r="AG52" i="1"/>
  <c r="AG51" i="1"/>
  <c r="AG48" i="1"/>
  <c r="AG47" i="1"/>
  <c r="AG45" i="1"/>
  <c r="AG44" i="1"/>
  <c r="AG43" i="1"/>
  <c r="AG34" i="1"/>
  <c r="AG32" i="1"/>
  <c r="AG31" i="1"/>
  <c r="AG30" i="1"/>
  <c r="AG27" i="1"/>
  <c r="AG26" i="1"/>
  <c r="AG25" i="1"/>
  <c r="AG23" i="1"/>
  <c r="AG22" i="1"/>
  <c r="AG20" i="1"/>
  <c r="AG19" i="1"/>
  <c r="AG18" i="1"/>
  <c r="AG16" i="1"/>
  <c r="AG15" i="1"/>
  <c r="AG13" i="1"/>
  <c r="T74" i="1"/>
  <c r="T59" i="1"/>
  <c r="AH59" i="1" s="1"/>
  <c r="T50" i="1"/>
  <c r="AH50" i="1" s="1"/>
  <c r="T46" i="1"/>
  <c r="T42" i="1"/>
  <c r="T24" i="1"/>
  <c r="AG24" i="1" s="1"/>
  <c r="T21" i="1"/>
  <c r="AG21" i="1" s="1"/>
  <c r="T17" i="1"/>
  <c r="T14" i="1"/>
  <c r="AG14" i="1" s="1"/>
  <c r="S74" i="10"/>
  <c r="S24" i="10"/>
  <c r="AG24" i="10"/>
  <c r="R74" i="10"/>
  <c r="AF66" i="10"/>
  <c r="AF63" i="10"/>
  <c r="AF61" i="10"/>
  <c r="AF60" i="10"/>
  <c r="AF58" i="10"/>
  <c r="AF54" i="10"/>
  <c r="AF53" i="10"/>
  <c r="AF52" i="10"/>
  <c r="AF51" i="10"/>
  <c r="AF48" i="10"/>
  <c r="AF47" i="10"/>
  <c r="AF45" i="10"/>
  <c r="AF44" i="10"/>
  <c r="AF43" i="10"/>
  <c r="AF34" i="10"/>
  <c r="AF32" i="10"/>
  <c r="AF31" i="10"/>
  <c r="AF30" i="10"/>
  <c r="AF27" i="10"/>
  <c r="AF26" i="10"/>
  <c r="AF25" i="10"/>
  <c r="AF23" i="10"/>
  <c r="AF22" i="10"/>
  <c r="AF20" i="10"/>
  <c r="AF19" i="10"/>
  <c r="AF18" i="10"/>
  <c r="AF16" i="10"/>
  <c r="AF15" i="10"/>
  <c r="AF13" i="10"/>
  <c r="S65" i="10"/>
  <c r="S59" i="10"/>
  <c r="S56" i="10"/>
  <c r="S50" i="10"/>
  <c r="S46" i="10"/>
  <c r="S42" i="10"/>
  <c r="S21" i="10"/>
  <c r="S17" i="10"/>
  <c r="S14" i="10"/>
  <c r="AF62" i="1"/>
  <c r="AF61" i="1"/>
  <c r="AF60" i="1"/>
  <c r="AF58" i="1"/>
  <c r="AF54" i="1"/>
  <c r="AF53" i="1"/>
  <c r="AF52" i="1"/>
  <c r="AF51" i="1"/>
  <c r="AF48" i="1"/>
  <c r="AF47" i="1"/>
  <c r="AF45" i="1"/>
  <c r="AF44" i="1"/>
  <c r="AF43" i="1"/>
  <c r="AF34" i="1"/>
  <c r="AF32" i="1"/>
  <c r="AF31" i="1"/>
  <c r="AF30" i="1"/>
  <c r="AF27" i="1"/>
  <c r="AF26" i="1"/>
  <c r="AF25" i="1"/>
  <c r="AF23" i="1"/>
  <c r="AF22" i="1"/>
  <c r="AF20" i="1"/>
  <c r="AF19" i="1"/>
  <c r="AF18" i="1"/>
  <c r="AF16" i="1"/>
  <c r="AF15" i="1"/>
  <c r="AF13" i="1"/>
  <c r="R24" i="1"/>
  <c r="Z34" i="10"/>
  <c r="R24" i="10"/>
  <c r="AE63" i="1"/>
  <c r="AE62" i="1"/>
  <c r="AE61" i="1"/>
  <c r="AE60" i="1"/>
  <c r="AE58" i="1"/>
  <c r="AE54" i="1"/>
  <c r="AE53" i="1"/>
  <c r="AE52" i="1"/>
  <c r="AE51" i="1"/>
  <c r="AE48" i="1"/>
  <c r="AE47" i="1"/>
  <c r="AE45" i="1"/>
  <c r="AE44" i="1"/>
  <c r="AE43" i="1"/>
  <c r="AE34" i="1"/>
  <c r="AE32" i="1"/>
  <c r="AE31" i="1"/>
  <c r="AE30" i="1"/>
  <c r="AE27" i="1"/>
  <c r="AE26" i="1"/>
  <c r="AE25" i="1"/>
  <c r="AE23" i="1"/>
  <c r="AE22" i="1"/>
  <c r="AE20" i="1"/>
  <c r="AE19" i="1"/>
  <c r="AE18" i="1"/>
  <c r="AE16" i="1"/>
  <c r="AE15" i="1"/>
  <c r="AE13" i="1"/>
  <c r="R74" i="1"/>
  <c r="R65" i="1"/>
  <c r="R59" i="1"/>
  <c r="R50" i="1"/>
  <c r="R46" i="1"/>
  <c r="R42" i="1"/>
  <c r="AF42" i="1" s="1"/>
  <c r="R21" i="1"/>
  <c r="AF21" i="1"/>
  <c r="R17" i="1"/>
  <c r="AE17" i="1" s="1"/>
  <c r="R14" i="1"/>
  <c r="R21" i="10"/>
  <c r="R17" i="10"/>
  <c r="R14" i="10"/>
  <c r="AF14" i="10"/>
  <c r="AE66" i="10"/>
  <c r="AE63" i="10"/>
  <c r="AE61" i="10"/>
  <c r="AE60" i="10"/>
  <c r="AE58" i="10"/>
  <c r="AE54" i="10"/>
  <c r="AE53" i="10"/>
  <c r="AE52" i="10"/>
  <c r="AE51" i="10"/>
  <c r="AE48" i="10"/>
  <c r="AE47" i="10"/>
  <c r="AE45" i="10"/>
  <c r="AE44" i="10"/>
  <c r="AE43" i="10"/>
  <c r="AE34" i="10"/>
  <c r="AE32" i="10"/>
  <c r="AE31" i="10"/>
  <c r="AE30" i="10"/>
  <c r="AE27" i="10"/>
  <c r="AE26" i="10"/>
  <c r="AE25" i="10"/>
  <c r="AE23" i="10"/>
  <c r="AE22" i="10"/>
  <c r="AE20" i="10"/>
  <c r="AE19" i="10"/>
  <c r="AE18" i="10"/>
  <c r="AE16" i="10"/>
  <c r="AE15" i="10"/>
  <c r="AE13" i="10"/>
  <c r="R65" i="10"/>
  <c r="AF65" i="10"/>
  <c r="R59" i="10"/>
  <c r="R56" i="10"/>
  <c r="R50" i="10"/>
  <c r="R46" i="10"/>
  <c r="R42" i="10"/>
  <c r="Q17" i="1"/>
  <c r="Q65" i="1"/>
  <c r="AD54" i="1"/>
  <c r="AD66" i="10"/>
  <c r="AC66" i="10"/>
  <c r="AB66" i="10"/>
  <c r="AA66" i="10"/>
  <c r="Z66" i="10"/>
  <c r="Y66" i="10"/>
  <c r="AD63" i="10"/>
  <c r="AC63" i="10"/>
  <c r="AB63" i="10"/>
  <c r="Y63" i="10"/>
  <c r="AD61" i="10"/>
  <c r="AC61" i="10"/>
  <c r="AB61" i="10"/>
  <c r="Y61" i="10"/>
  <c r="AD60" i="10"/>
  <c r="AC60" i="10"/>
  <c r="AB60" i="10"/>
  <c r="AA60" i="10"/>
  <c r="Z60" i="10"/>
  <c r="Y60" i="10"/>
  <c r="AD58" i="10"/>
  <c r="AC58" i="10"/>
  <c r="AB58" i="10"/>
  <c r="AA58" i="10"/>
  <c r="Z58" i="10"/>
  <c r="Y58" i="10"/>
  <c r="AD54" i="10"/>
  <c r="AC54" i="10"/>
  <c r="AB54" i="10"/>
  <c r="AD53" i="10"/>
  <c r="AC53" i="10"/>
  <c r="AB53" i="10"/>
  <c r="AA53" i="10"/>
  <c r="Z53" i="10"/>
  <c r="Y53" i="10"/>
  <c r="AD52" i="10"/>
  <c r="AC52" i="10"/>
  <c r="AB52" i="10"/>
  <c r="Y52" i="10"/>
  <c r="AD51" i="10"/>
  <c r="AC51" i="10"/>
  <c r="AB51" i="10"/>
  <c r="AA51" i="10"/>
  <c r="Z51" i="10"/>
  <c r="Y51" i="10"/>
  <c r="AD48" i="10"/>
  <c r="AC48" i="10"/>
  <c r="AB48" i="10"/>
  <c r="AA48" i="10"/>
  <c r="Z48" i="10"/>
  <c r="Y48" i="10"/>
  <c r="AD47" i="10"/>
  <c r="AC47" i="10"/>
  <c r="AB47" i="10"/>
  <c r="AA47" i="10"/>
  <c r="Z47" i="10"/>
  <c r="Y47" i="10"/>
  <c r="AD45" i="10"/>
  <c r="AC45" i="10"/>
  <c r="AB45" i="10"/>
  <c r="AA45" i="10"/>
  <c r="Z45" i="10"/>
  <c r="Y45" i="10"/>
  <c r="AD44" i="10"/>
  <c r="AC44" i="10"/>
  <c r="AB44" i="10"/>
  <c r="AA44" i="10"/>
  <c r="Z44" i="10"/>
  <c r="Y44" i="10"/>
  <c r="AD43" i="10"/>
  <c r="AC43" i="10"/>
  <c r="AB43" i="10"/>
  <c r="AA43" i="10"/>
  <c r="Z43" i="10"/>
  <c r="Y43" i="10"/>
  <c r="AD34" i="10"/>
  <c r="AC34" i="10"/>
  <c r="AB34" i="10"/>
  <c r="AA34" i="10"/>
  <c r="Y34" i="10"/>
  <c r="AD32" i="10"/>
  <c r="AC32" i="10"/>
  <c r="AB32" i="10"/>
  <c r="AA32" i="10"/>
  <c r="Z32" i="10"/>
  <c r="Y32" i="10"/>
  <c r="AD31" i="10"/>
  <c r="AC31" i="10"/>
  <c r="AB31" i="10"/>
  <c r="AA31" i="10"/>
  <c r="Z31" i="10"/>
  <c r="Y31" i="10"/>
  <c r="AD30" i="10"/>
  <c r="AC30" i="10"/>
  <c r="AB30" i="10"/>
  <c r="AA30" i="10"/>
  <c r="Z30" i="10"/>
  <c r="Y30" i="10"/>
  <c r="AD27" i="10"/>
  <c r="AC27" i="10"/>
  <c r="AB27" i="10"/>
  <c r="AA27" i="10"/>
  <c r="Z27" i="10"/>
  <c r="Y27" i="10"/>
  <c r="AD26" i="10"/>
  <c r="AC26" i="10"/>
  <c r="AB26" i="10"/>
  <c r="AA26" i="10"/>
  <c r="Z26" i="10"/>
  <c r="Y26" i="10"/>
  <c r="AD25" i="10"/>
  <c r="AC25" i="10"/>
  <c r="AB25" i="10"/>
  <c r="AA25" i="10"/>
  <c r="Z25" i="10"/>
  <c r="Y25" i="10"/>
  <c r="AD23" i="10"/>
  <c r="AC23" i="10"/>
  <c r="AB23" i="10"/>
  <c r="AA23" i="10"/>
  <c r="Z23" i="10"/>
  <c r="Y23" i="10"/>
  <c r="AD22" i="10"/>
  <c r="AC22" i="10"/>
  <c r="AB22" i="10"/>
  <c r="AA22" i="10"/>
  <c r="Z22" i="10"/>
  <c r="Y22" i="10"/>
  <c r="AD20" i="10"/>
  <c r="AC20" i="10"/>
  <c r="AB20" i="10"/>
  <c r="AA20" i="10"/>
  <c r="Z20" i="10"/>
  <c r="Y20" i="10"/>
  <c r="AD19" i="10"/>
  <c r="AC19" i="10"/>
  <c r="AB19" i="10"/>
  <c r="AA19" i="10"/>
  <c r="Z19" i="10"/>
  <c r="Y19" i="10"/>
  <c r="AD18" i="10"/>
  <c r="AC18" i="10"/>
  <c r="AB18" i="10"/>
  <c r="AA18" i="10"/>
  <c r="Z18" i="10"/>
  <c r="Y18" i="10"/>
  <c r="AD16" i="10"/>
  <c r="AC16" i="10"/>
  <c r="AB16" i="10"/>
  <c r="AA16" i="10"/>
  <c r="Z16" i="10"/>
  <c r="Y16" i="10"/>
  <c r="AD15" i="10"/>
  <c r="AC15" i="10"/>
  <c r="AB15" i="10"/>
  <c r="AA15" i="10"/>
  <c r="Z15" i="10"/>
  <c r="Y15" i="10"/>
  <c r="AD13" i="10"/>
  <c r="AC13" i="10"/>
  <c r="AB13" i="10"/>
  <c r="AA13" i="10"/>
  <c r="Z13" i="10"/>
  <c r="Y13" i="10"/>
  <c r="X66" i="10"/>
  <c r="X63" i="10"/>
  <c r="X61" i="10"/>
  <c r="X60" i="10"/>
  <c r="X58" i="10"/>
  <c r="X53" i="10"/>
  <c r="X52" i="10"/>
  <c r="X51" i="10"/>
  <c r="X48" i="10"/>
  <c r="X47" i="10"/>
  <c r="X45" i="10"/>
  <c r="X44" i="10"/>
  <c r="X43" i="10"/>
  <c r="X34" i="10"/>
  <c r="X32" i="10"/>
  <c r="X31" i="10"/>
  <c r="X30" i="10"/>
  <c r="X27" i="10"/>
  <c r="X26" i="10"/>
  <c r="X25" i="10"/>
  <c r="X23" i="10"/>
  <c r="X22" i="10"/>
  <c r="X20" i="10"/>
  <c r="X19" i="10"/>
  <c r="X18" i="10"/>
  <c r="X16" i="10"/>
  <c r="X15" i="10"/>
  <c r="X13" i="10"/>
  <c r="O74" i="10"/>
  <c r="O65" i="10"/>
  <c r="O59" i="10"/>
  <c r="O56" i="10"/>
  <c r="O50" i="10"/>
  <c r="O46" i="10"/>
  <c r="AB46" i="10"/>
  <c r="O42" i="10"/>
  <c r="O24" i="10"/>
  <c r="O21" i="10"/>
  <c r="O17" i="10"/>
  <c r="O14" i="10"/>
  <c r="N74" i="10"/>
  <c r="N65" i="10"/>
  <c r="N59" i="10"/>
  <c r="N50" i="10"/>
  <c r="N40" i="10"/>
  <c r="N46" i="10"/>
  <c r="N42" i="10"/>
  <c r="N24" i="10"/>
  <c r="N21" i="10"/>
  <c r="N17" i="10"/>
  <c r="N14" i="10"/>
  <c r="M74" i="10"/>
  <c r="M65" i="10"/>
  <c r="M63" i="10"/>
  <c r="Z63" i="10"/>
  <c r="M61" i="10"/>
  <c r="Z61" i="10"/>
  <c r="M54" i="10"/>
  <c r="AA54" i="10"/>
  <c r="M52" i="10"/>
  <c r="Z52" i="10"/>
  <c r="M46" i="10"/>
  <c r="M42" i="10"/>
  <c r="M24" i="10"/>
  <c r="M21" i="10"/>
  <c r="M17" i="10"/>
  <c r="M14" i="10"/>
  <c r="AA14" i="10"/>
  <c r="L75" i="10"/>
  <c r="L74" i="10"/>
  <c r="L65" i="10"/>
  <c r="Y65" i="10"/>
  <c r="L59" i="10"/>
  <c r="L56" i="10"/>
  <c r="L50" i="10"/>
  <c r="L46" i="10"/>
  <c r="L42" i="10"/>
  <c r="L24" i="10"/>
  <c r="L21" i="10"/>
  <c r="L17" i="10"/>
  <c r="Y17" i="10"/>
  <c r="L14" i="10"/>
  <c r="K75" i="10"/>
  <c r="K74" i="10"/>
  <c r="K65" i="10"/>
  <c r="K59" i="10"/>
  <c r="X59" i="10"/>
  <c r="K54" i="10"/>
  <c r="K50" i="10"/>
  <c r="K46" i="10"/>
  <c r="X46" i="10"/>
  <c r="K42" i="10"/>
  <c r="K24" i="10"/>
  <c r="K21" i="10"/>
  <c r="X21" i="10"/>
  <c r="K17" i="10"/>
  <c r="K14" i="10"/>
  <c r="J74" i="10"/>
  <c r="J65" i="10"/>
  <c r="J59" i="10"/>
  <c r="J56" i="10"/>
  <c r="J50" i="10"/>
  <c r="J40" i="10"/>
  <c r="J36" i="10"/>
  <c r="J38" i="10"/>
  <c r="J46" i="10"/>
  <c r="J42" i="10"/>
  <c r="J24" i="10"/>
  <c r="J12" i="10"/>
  <c r="J11" i="10"/>
  <c r="J9" i="10"/>
  <c r="J21" i="10"/>
  <c r="J17" i="10"/>
  <c r="J14" i="10"/>
  <c r="I74" i="10"/>
  <c r="I72" i="10"/>
  <c r="I70" i="10"/>
  <c r="I65" i="10"/>
  <c r="I56" i="10"/>
  <c r="I50" i="10"/>
  <c r="I46" i="10"/>
  <c r="I42" i="10"/>
  <c r="I11" i="10"/>
  <c r="I9" i="10"/>
  <c r="H72" i="10"/>
  <c r="H70" i="10"/>
  <c r="H65" i="10"/>
  <c r="G72" i="10"/>
  <c r="G70" i="10"/>
  <c r="F72" i="10"/>
  <c r="F70" i="10"/>
  <c r="E72" i="10"/>
  <c r="E70" i="10"/>
  <c r="C61" i="10"/>
  <c r="C59" i="10"/>
  <c r="C56" i="10"/>
  <c r="C50" i="10"/>
  <c r="C46" i="10"/>
  <c r="C42" i="10"/>
  <c r="C11" i="10"/>
  <c r="C9" i="10"/>
  <c r="AD63" i="1"/>
  <c r="AC63" i="1"/>
  <c r="AB63" i="1"/>
  <c r="AA63" i="1"/>
  <c r="Z63" i="1"/>
  <c r="Y63" i="1"/>
  <c r="AD62" i="1"/>
  <c r="AC62" i="1"/>
  <c r="AB62" i="1"/>
  <c r="AA62" i="1"/>
  <c r="Z62" i="1"/>
  <c r="Y62" i="1"/>
  <c r="AD61" i="1"/>
  <c r="AC61" i="1"/>
  <c r="AB61" i="1"/>
  <c r="AA61" i="1"/>
  <c r="Z61" i="1"/>
  <c r="Y61" i="1"/>
  <c r="AD60" i="1"/>
  <c r="AC60" i="1"/>
  <c r="AB60" i="1"/>
  <c r="Y60" i="1"/>
  <c r="AD58" i="1"/>
  <c r="AC58" i="1"/>
  <c r="AB58" i="1"/>
  <c r="AA58" i="1"/>
  <c r="Z58" i="1"/>
  <c r="Y58" i="1"/>
  <c r="AD53" i="1"/>
  <c r="AC53" i="1"/>
  <c r="AB53" i="1"/>
  <c r="AA53" i="1"/>
  <c r="Z53" i="1"/>
  <c r="Y53" i="1"/>
  <c r="AD52" i="1"/>
  <c r="AC52" i="1"/>
  <c r="AB52" i="1"/>
  <c r="AA52" i="1"/>
  <c r="Z52" i="1"/>
  <c r="Y52" i="1"/>
  <c r="AD51" i="1"/>
  <c r="AC51" i="1"/>
  <c r="AB51" i="1"/>
  <c r="AA51" i="1"/>
  <c r="Z51" i="1"/>
  <c r="Y51" i="1"/>
  <c r="AD48" i="1"/>
  <c r="AC48" i="1"/>
  <c r="AB48" i="1"/>
  <c r="AA48" i="1"/>
  <c r="Z48" i="1"/>
  <c r="Y48" i="1"/>
  <c r="AD47" i="1"/>
  <c r="AC47" i="1"/>
  <c r="AB47" i="1"/>
  <c r="AA47" i="1"/>
  <c r="Z47" i="1"/>
  <c r="Y47" i="1"/>
  <c r="AD45" i="1"/>
  <c r="AC45" i="1"/>
  <c r="AB45" i="1"/>
  <c r="AA45" i="1"/>
  <c r="Z45" i="1"/>
  <c r="Y45" i="1"/>
  <c r="AD44" i="1"/>
  <c r="AC44" i="1"/>
  <c r="AB44" i="1"/>
  <c r="AA44" i="1"/>
  <c r="Z44" i="1"/>
  <c r="Y44" i="1"/>
  <c r="AD43" i="1"/>
  <c r="AC43" i="1"/>
  <c r="AB43" i="1"/>
  <c r="AA43" i="1"/>
  <c r="Z43" i="1"/>
  <c r="Y43" i="1"/>
  <c r="AD34" i="1"/>
  <c r="AC34" i="1"/>
  <c r="AB34" i="1"/>
  <c r="AA34" i="1"/>
  <c r="Z34" i="1"/>
  <c r="Y34" i="1"/>
  <c r="AD32" i="1"/>
  <c r="AC32" i="1"/>
  <c r="AB32" i="1"/>
  <c r="AA32" i="1"/>
  <c r="Z32" i="1"/>
  <c r="Y32" i="1"/>
  <c r="AD31" i="1"/>
  <c r="AC31" i="1"/>
  <c r="AB31" i="1"/>
  <c r="AA31" i="1"/>
  <c r="Z31" i="1"/>
  <c r="Y31" i="1"/>
  <c r="AD30" i="1"/>
  <c r="AC30" i="1"/>
  <c r="AB30" i="1"/>
  <c r="AA30" i="1"/>
  <c r="Z30" i="1"/>
  <c r="Y30" i="1"/>
  <c r="AD27" i="1"/>
  <c r="AC27" i="1"/>
  <c r="AB27" i="1"/>
  <c r="AA27" i="1"/>
  <c r="Z27" i="1"/>
  <c r="Y27" i="1"/>
  <c r="AD26" i="1"/>
  <c r="AC26" i="1"/>
  <c r="AB26" i="1"/>
  <c r="AA26" i="1"/>
  <c r="Z26" i="1"/>
  <c r="Y26" i="1"/>
  <c r="AD25" i="1"/>
  <c r="AC25" i="1"/>
  <c r="AB25" i="1"/>
  <c r="AA25" i="1"/>
  <c r="Z25" i="1"/>
  <c r="Y25" i="1"/>
  <c r="AD23" i="1"/>
  <c r="AC23" i="1"/>
  <c r="AB23" i="1"/>
  <c r="AA23" i="1"/>
  <c r="Z23" i="1"/>
  <c r="Y23" i="1"/>
  <c r="AD22" i="1"/>
  <c r="AC22" i="1"/>
  <c r="AB22" i="1"/>
  <c r="AA22" i="1"/>
  <c r="Z22" i="1"/>
  <c r="Y22" i="1"/>
  <c r="AD20" i="1"/>
  <c r="AC20" i="1"/>
  <c r="AB20" i="1"/>
  <c r="AA20" i="1"/>
  <c r="Z20" i="1"/>
  <c r="Y20" i="1"/>
  <c r="AD19" i="1"/>
  <c r="AC19" i="1"/>
  <c r="AB19" i="1"/>
  <c r="AA19" i="1"/>
  <c r="Z19" i="1"/>
  <c r="Y19" i="1"/>
  <c r="AD18" i="1"/>
  <c r="AC18" i="1"/>
  <c r="AB18" i="1"/>
  <c r="AA18" i="1"/>
  <c r="Z18" i="1"/>
  <c r="Y18" i="1"/>
  <c r="AD16" i="1"/>
  <c r="AC16" i="1"/>
  <c r="AB16" i="1"/>
  <c r="AA16" i="1"/>
  <c r="Z16" i="1"/>
  <c r="Y16" i="1"/>
  <c r="AD15" i="1"/>
  <c r="AC15" i="1"/>
  <c r="AB15" i="1"/>
  <c r="AA15" i="1"/>
  <c r="Z15" i="1"/>
  <c r="Y15" i="1"/>
  <c r="AD13" i="1"/>
  <c r="AC13" i="1"/>
  <c r="AB13" i="1"/>
  <c r="AA13" i="1"/>
  <c r="Z13" i="1"/>
  <c r="Y13" i="1"/>
  <c r="X63" i="1"/>
  <c r="X62" i="1"/>
  <c r="X61" i="1"/>
  <c r="X60" i="1"/>
  <c r="X58" i="1"/>
  <c r="X53" i="1"/>
  <c r="X52" i="1"/>
  <c r="X51" i="1"/>
  <c r="X48" i="1"/>
  <c r="X47" i="1"/>
  <c r="X45" i="1"/>
  <c r="X44" i="1"/>
  <c r="X43" i="1"/>
  <c r="X34" i="1"/>
  <c r="X32" i="1"/>
  <c r="X31" i="1"/>
  <c r="X30" i="1"/>
  <c r="X27" i="1"/>
  <c r="X26" i="1"/>
  <c r="X25" i="1"/>
  <c r="X23" i="1"/>
  <c r="X22" i="1"/>
  <c r="X20" i="1"/>
  <c r="X19" i="1"/>
  <c r="X18" i="1"/>
  <c r="X16" i="1"/>
  <c r="X15" i="1"/>
  <c r="X13" i="1"/>
  <c r="Q74" i="1"/>
  <c r="Q59" i="1"/>
  <c r="Q56" i="1" s="1"/>
  <c r="Q50" i="1"/>
  <c r="Q46" i="1"/>
  <c r="AE46" i="1"/>
  <c r="Q42" i="1"/>
  <c r="Q24" i="1"/>
  <c r="AE24" i="1" s="1"/>
  <c r="Q21" i="1"/>
  <c r="Q14" i="1"/>
  <c r="O74" i="1"/>
  <c r="O65" i="1"/>
  <c r="O59" i="1"/>
  <c r="O56" i="1" s="1"/>
  <c r="O50" i="1"/>
  <c r="AB50" i="1" s="1"/>
  <c r="O46" i="1"/>
  <c r="AC46" i="1" s="1"/>
  <c r="O42" i="1"/>
  <c r="O24" i="1"/>
  <c r="AB24" i="1" s="1"/>
  <c r="O21" i="1"/>
  <c r="O17" i="1"/>
  <c r="O14" i="1"/>
  <c r="N74" i="1"/>
  <c r="N65" i="1"/>
  <c r="N59" i="1"/>
  <c r="N56" i="1" s="1"/>
  <c r="N50" i="1"/>
  <c r="N46" i="1"/>
  <c r="N40" i="1" s="1"/>
  <c r="N42" i="1"/>
  <c r="AA42" i="1"/>
  <c r="N24" i="1"/>
  <c r="N21" i="1"/>
  <c r="AB21" i="1" s="1"/>
  <c r="N17" i="1"/>
  <c r="AA17" i="1" s="1"/>
  <c r="N14" i="1"/>
  <c r="M74" i="1"/>
  <c r="M65" i="1"/>
  <c r="M60" i="1"/>
  <c r="M59" i="1" s="1"/>
  <c r="Z60" i="1"/>
  <c r="M50" i="1"/>
  <c r="M40" i="1" s="1"/>
  <c r="M46" i="1"/>
  <c r="M42" i="1"/>
  <c r="M24" i="1"/>
  <c r="M21" i="1"/>
  <c r="M17" i="1"/>
  <c r="M14" i="1"/>
  <c r="L75" i="1"/>
  <c r="L74" i="1" s="1"/>
  <c r="L65" i="1"/>
  <c r="L59" i="1"/>
  <c r="L56" i="1"/>
  <c r="L50" i="1"/>
  <c r="Z50" i="1" s="1"/>
  <c r="L46" i="1"/>
  <c r="L42" i="1"/>
  <c r="L24" i="1"/>
  <c r="Y24" i="1" s="1"/>
  <c r="L21" i="1"/>
  <c r="Z21" i="1" s="1"/>
  <c r="L17" i="1"/>
  <c r="Z17" i="1" s="1"/>
  <c r="L14" i="1"/>
  <c r="L12" i="1" s="1"/>
  <c r="K75" i="1"/>
  <c r="K74" i="1" s="1"/>
  <c r="K65" i="1"/>
  <c r="K59" i="1"/>
  <c r="K56" i="1" s="1"/>
  <c r="Y56" i="1" s="1"/>
  <c r="K50" i="1"/>
  <c r="K46" i="1"/>
  <c r="K40" i="1" s="1"/>
  <c r="K42" i="1"/>
  <c r="K24" i="1"/>
  <c r="K21" i="1"/>
  <c r="X21" i="1" s="1"/>
  <c r="K17" i="1"/>
  <c r="K14" i="1"/>
  <c r="X14" i="1" s="1"/>
  <c r="J74" i="1"/>
  <c r="J65" i="1"/>
  <c r="J59" i="1"/>
  <c r="J50" i="1"/>
  <c r="J40" i="1" s="1"/>
  <c r="J46" i="1"/>
  <c r="J42" i="1"/>
  <c r="J24" i="1"/>
  <c r="J21" i="1"/>
  <c r="J17" i="1"/>
  <c r="J14" i="1"/>
  <c r="I74" i="1"/>
  <c r="I65" i="1"/>
  <c r="I59" i="1"/>
  <c r="I56" i="1" s="1"/>
  <c r="I50" i="1"/>
  <c r="I46" i="1"/>
  <c r="I45" i="1"/>
  <c r="I42" i="1"/>
  <c r="I24" i="1"/>
  <c r="I21" i="1"/>
  <c r="I17" i="1"/>
  <c r="I14" i="1"/>
  <c r="H74" i="1"/>
  <c r="H65" i="1"/>
  <c r="H59" i="1"/>
  <c r="H56" i="1"/>
  <c r="H50" i="1"/>
  <c r="H46" i="1"/>
  <c r="H40" i="1" s="1"/>
  <c r="H36" i="1" s="1"/>
  <c r="H38" i="1" s="1"/>
  <c r="H42" i="1"/>
  <c r="H27" i="1"/>
  <c r="H24" i="1"/>
  <c r="H21" i="1"/>
  <c r="H17" i="1"/>
  <c r="H14" i="1"/>
  <c r="G74" i="1"/>
  <c r="G65" i="1"/>
  <c r="G61" i="1"/>
  <c r="G59" i="1" s="1"/>
  <c r="G56" i="1" s="1"/>
  <c r="G50" i="1"/>
  <c r="G46" i="1"/>
  <c r="G42" i="1"/>
  <c r="G24" i="1"/>
  <c r="G21" i="1"/>
  <c r="G17" i="1"/>
  <c r="G14" i="1"/>
  <c r="F74" i="1"/>
  <c r="F61" i="1"/>
  <c r="F59" i="1" s="1"/>
  <c r="F56" i="1" s="1"/>
  <c r="F50" i="1"/>
  <c r="F46" i="1"/>
  <c r="F40" i="1"/>
  <c r="F36" i="1" s="1"/>
  <c r="F38" i="1" s="1"/>
  <c r="F42" i="1"/>
  <c r="F27" i="1"/>
  <c r="F12" i="1" s="1"/>
  <c r="F11" i="1" s="1"/>
  <c r="F9" i="1" s="1"/>
  <c r="E61" i="1"/>
  <c r="E59" i="1" s="1"/>
  <c r="E56" i="1" s="1"/>
  <c r="E50" i="1"/>
  <c r="E46" i="1"/>
  <c r="E40" i="1" s="1"/>
  <c r="E42" i="1"/>
  <c r="E11" i="1"/>
  <c r="E9" i="1" s="1"/>
  <c r="D59" i="1"/>
  <c r="D56" i="1" s="1"/>
  <c r="D50" i="1"/>
  <c r="D46" i="1"/>
  <c r="D42" i="1"/>
  <c r="D11" i="1"/>
  <c r="D9" i="1" s="1"/>
  <c r="C59" i="1"/>
  <c r="C56" i="1" s="1"/>
  <c r="C50" i="1"/>
  <c r="C46" i="1"/>
  <c r="C42" i="1"/>
  <c r="C11" i="1"/>
  <c r="C9" i="1" s="1"/>
  <c r="P74" i="10"/>
  <c r="P74" i="1"/>
  <c r="P59" i="10"/>
  <c r="X62" i="10"/>
  <c r="Y62" i="10"/>
  <c r="P65" i="10"/>
  <c r="P50" i="10"/>
  <c r="AC50" i="10"/>
  <c r="P46" i="10"/>
  <c r="P42" i="10"/>
  <c r="AC42" i="10"/>
  <c r="P24" i="10"/>
  <c r="P21" i="10"/>
  <c r="AC21" i="10"/>
  <c r="P17" i="10"/>
  <c r="AC17" i="10"/>
  <c r="P14" i="10"/>
  <c r="P65" i="1"/>
  <c r="P59" i="1"/>
  <c r="P56" i="1" s="1"/>
  <c r="P50" i="1"/>
  <c r="P40" i="1" s="1"/>
  <c r="P46" i="1"/>
  <c r="P42" i="1"/>
  <c r="AC42" i="1" s="1"/>
  <c r="P24" i="1"/>
  <c r="P21" i="1"/>
  <c r="AC21" i="1"/>
  <c r="P17" i="1"/>
  <c r="AD17" i="1" s="1"/>
  <c r="P14" i="1"/>
  <c r="AC14" i="1" s="1"/>
  <c r="Q74" i="10"/>
  <c r="Q65" i="10"/>
  <c r="AE65" i="10"/>
  <c r="Q59" i="10"/>
  <c r="Q56" i="10"/>
  <c r="AD59" i="10"/>
  <c r="Q50" i="10"/>
  <c r="Q46" i="10"/>
  <c r="AD46" i="10"/>
  <c r="Q42" i="10"/>
  <c r="AE42" i="10"/>
  <c r="Q24" i="10"/>
  <c r="Q21" i="10"/>
  <c r="AD21" i="10"/>
  <c r="Q17" i="10"/>
  <c r="AE17" i="10"/>
  <c r="Q14" i="10"/>
  <c r="AA60" i="1"/>
  <c r="Y17" i="1"/>
  <c r="X54" i="10"/>
  <c r="Y54" i="10"/>
  <c r="T56" i="10"/>
  <c r="AG46" i="10"/>
  <c r="AF46" i="1"/>
  <c r="AG65" i="10"/>
  <c r="AG14" i="10"/>
  <c r="R12" i="10"/>
  <c r="R11" i="10"/>
  <c r="AB65" i="10"/>
  <c r="Y14" i="10"/>
  <c r="AB42" i="1"/>
  <c r="AG21" i="10"/>
  <c r="AB17" i="10"/>
  <c r="M59" i="10"/>
  <c r="M56" i="10"/>
  <c r="AH14" i="10"/>
  <c r="S40" i="10"/>
  <c r="S36" i="10"/>
  <c r="S38" i="10"/>
  <c r="AF42" i="10"/>
  <c r="AE59" i="10"/>
  <c r="X65" i="10"/>
  <c r="AI14" i="10"/>
  <c r="AF59" i="10"/>
  <c r="K12" i="10"/>
  <c r="K11" i="10"/>
  <c r="AA24" i="10"/>
  <c r="AH59" i="10"/>
  <c r="Y21" i="10"/>
  <c r="AG59" i="10"/>
  <c r="AD42" i="10"/>
  <c r="AB24" i="10"/>
  <c r="AG50" i="10"/>
  <c r="AH21" i="10"/>
  <c r="AA61" i="10"/>
  <c r="K56" i="10"/>
  <c r="X56" i="10"/>
  <c r="Q40" i="10"/>
  <c r="U40" i="10"/>
  <c r="AH46" i="10"/>
  <c r="X42" i="1"/>
  <c r="Y42" i="1"/>
  <c r="S12" i="1"/>
  <c r="S11" i="1" s="1"/>
  <c r="AH46" i="1"/>
  <c r="Z42" i="1"/>
  <c r="AE21" i="1"/>
  <c r="AB14" i="1"/>
  <c r="AH17" i="1"/>
  <c r="AD59" i="1"/>
  <c r="X24" i="1"/>
  <c r="R12" i="1"/>
  <c r="R11" i="1" s="1"/>
  <c r="AD46" i="1"/>
  <c r="AG17" i="1"/>
  <c r="Y59" i="10"/>
  <c r="AC24" i="10"/>
  <c r="Z21" i="10"/>
  <c r="AB14" i="10"/>
  <c r="N56" i="10"/>
  <c r="AA56" i="10"/>
  <c r="X17" i="10"/>
  <c r="AF46" i="10"/>
  <c r="T40" i="10"/>
  <c r="T36" i="10"/>
  <c r="Z59" i="10"/>
  <c r="AA46" i="10"/>
  <c r="AH21" i="1"/>
  <c r="AA21" i="1"/>
  <c r="AF24" i="1"/>
  <c r="X17" i="1"/>
  <c r="Z46" i="1"/>
  <c r="AG42" i="1"/>
  <c r="AG46" i="1"/>
  <c r="AI17" i="1"/>
  <c r="AC59" i="1"/>
  <c r="V56" i="10"/>
  <c r="V56" i="1"/>
  <c r="AI56" i="1" s="1"/>
  <c r="V40" i="10"/>
  <c r="V12" i="1"/>
  <c r="AD65" i="10"/>
  <c r="I40" i="10"/>
  <c r="I36" i="10"/>
  <c r="I38" i="10"/>
  <c r="AA65" i="10"/>
  <c r="U12" i="10"/>
  <c r="AH12" i="10"/>
  <c r="X24" i="10"/>
  <c r="AC59" i="10"/>
  <c r="Y56" i="10"/>
  <c r="V12" i="10"/>
  <c r="V11" i="10"/>
  <c r="AI21" i="10"/>
  <c r="AF56" i="10"/>
  <c r="N12" i="10"/>
  <c r="N11" i="10"/>
  <c r="AE50" i="10"/>
  <c r="AI42" i="10"/>
  <c r="AB59" i="10"/>
  <c r="AI46" i="10"/>
  <c r="AA52" i="10"/>
  <c r="Z42" i="10"/>
  <c r="AA42" i="10"/>
  <c r="AI50" i="10"/>
  <c r="C40" i="10"/>
  <c r="Z24" i="10"/>
  <c r="AD24" i="10"/>
  <c r="X50" i="10"/>
  <c r="Z46" i="10"/>
  <c r="O40" i="10"/>
  <c r="AB40" i="10"/>
  <c r="AH24" i="10"/>
  <c r="Z56" i="10"/>
  <c r="Y46" i="10"/>
  <c r="AB50" i="10"/>
  <c r="AD17" i="10"/>
  <c r="AG56" i="10"/>
  <c r="P12" i="10"/>
  <c r="P11" i="10"/>
  <c r="Z65" i="10"/>
  <c r="S12" i="10"/>
  <c r="AG12" i="10"/>
  <c r="V36" i="10"/>
  <c r="V38" i="10"/>
  <c r="X14" i="10"/>
  <c r="K40" i="10"/>
  <c r="X40" i="10"/>
  <c r="AG42" i="10"/>
  <c r="L12" i="10"/>
  <c r="L11" i="10"/>
  <c r="Z17" i="10"/>
  <c r="AB21" i="10"/>
  <c r="T12" i="10"/>
  <c r="AI17" i="10"/>
  <c r="Q12" i="10"/>
  <c r="AE12" i="10"/>
  <c r="AC46" i="10"/>
  <c r="AF50" i="10"/>
  <c r="AE21" i="10"/>
  <c r="X42" i="10"/>
  <c r="R40" i="10"/>
  <c r="AF40" i="10"/>
  <c r="AF21" i="10"/>
  <c r="J69" i="10"/>
  <c r="J70" i="10"/>
  <c r="J71" i="10"/>
  <c r="J72" i="10"/>
  <c r="X11" i="10"/>
  <c r="K9" i="10"/>
  <c r="AE56" i="10"/>
  <c r="Q36" i="10"/>
  <c r="R9" i="10"/>
  <c r="N36" i="10"/>
  <c r="T11" i="10"/>
  <c r="T38" i="10"/>
  <c r="AG38" i="10"/>
  <c r="AG36" i="10"/>
  <c r="AD12" i="10"/>
  <c r="Q11" i="10"/>
  <c r="AE11" i="10"/>
  <c r="C36" i="10"/>
  <c r="C38" i="10"/>
  <c r="C69" i="10"/>
  <c r="V9" i="10"/>
  <c r="AA17" i="10"/>
  <c r="AI40" i="10"/>
  <c r="X12" i="10"/>
  <c r="Y50" i="10"/>
  <c r="AH17" i="10"/>
  <c r="AA59" i="10"/>
  <c r="AD50" i="10"/>
  <c r="Y24" i="10"/>
  <c r="Z62" i="10"/>
  <c r="AF17" i="10"/>
  <c r="AE14" i="10"/>
  <c r="AC14" i="10"/>
  <c r="AC65" i="10"/>
  <c r="Z14" i="10"/>
  <c r="Z54" i="10"/>
  <c r="AD14" i="10"/>
  <c r="AI12" i="10"/>
  <c r="L40" i="10"/>
  <c r="AE24" i="10"/>
  <c r="Y42" i="10"/>
  <c r="U56" i="10"/>
  <c r="AI56" i="10"/>
  <c r="M50" i="10"/>
  <c r="AB42" i="10"/>
  <c r="AF24" i="10"/>
  <c r="AG40" i="10"/>
  <c r="AG17" i="10"/>
  <c r="P40" i="10"/>
  <c r="P56" i="10"/>
  <c r="AC56" i="10"/>
  <c r="AA21" i="10"/>
  <c r="AA63" i="10"/>
  <c r="AB56" i="10"/>
  <c r="AH40" i="10"/>
  <c r="M12" i="10"/>
  <c r="AA12" i="10"/>
  <c r="AE46" i="10"/>
  <c r="O12" i="10"/>
  <c r="U11" i="10"/>
  <c r="AI11" i="10"/>
  <c r="AF12" i="10"/>
  <c r="S11" i="10"/>
  <c r="O36" i="10"/>
  <c r="K36" i="10"/>
  <c r="AE40" i="10"/>
  <c r="R36" i="10"/>
  <c r="AF36" i="10"/>
  <c r="Y12" i="10"/>
  <c r="AD56" i="10"/>
  <c r="Y11" i="10"/>
  <c r="L9" i="10"/>
  <c r="AC40" i="10"/>
  <c r="P36" i="10"/>
  <c r="AD36" i="10"/>
  <c r="C71" i="10"/>
  <c r="N38" i="10"/>
  <c r="M40" i="10"/>
  <c r="AA50" i="10"/>
  <c r="Z50" i="10"/>
  <c r="N9" i="10"/>
  <c r="Q38" i="10"/>
  <c r="Q9" i="10"/>
  <c r="AE9" i="10"/>
  <c r="AD11" i="10"/>
  <c r="AH11" i="10"/>
  <c r="U9" i="10"/>
  <c r="AI9" i="10"/>
  <c r="K38" i="10"/>
  <c r="X38" i="10"/>
  <c r="X36" i="10"/>
  <c r="AB12" i="10"/>
  <c r="O11" i="10"/>
  <c r="M11" i="10"/>
  <c r="AA11" i="10"/>
  <c r="Z12" i="10"/>
  <c r="R71" i="10"/>
  <c r="AA62" i="10"/>
  <c r="AB62" i="10"/>
  <c r="AF11" i="10"/>
  <c r="S9" i="10"/>
  <c r="O38" i="10"/>
  <c r="AB36" i="10"/>
  <c r="K71" i="10"/>
  <c r="X9" i="10"/>
  <c r="U36" i="10"/>
  <c r="AH56" i="10"/>
  <c r="AG11" i="10"/>
  <c r="T9" i="10"/>
  <c r="AC12" i="10"/>
  <c r="R38" i="10"/>
  <c r="AE36" i="10"/>
  <c r="P9" i="10"/>
  <c r="Y40" i="10"/>
  <c r="L36" i="10"/>
  <c r="V69" i="10"/>
  <c r="V71" i="10"/>
  <c r="AD40" i="10"/>
  <c r="K69" i="10"/>
  <c r="AB38" i="10"/>
  <c r="N71" i="10"/>
  <c r="N69" i="10"/>
  <c r="AB11" i="10"/>
  <c r="O9" i="10"/>
  <c r="Z40" i="10"/>
  <c r="M36" i="10"/>
  <c r="AA40" i="10"/>
  <c r="AD62" i="10"/>
  <c r="S71" i="10"/>
  <c r="AF9" i="10"/>
  <c r="S69" i="10"/>
  <c r="AH36" i="10"/>
  <c r="U38" i="10"/>
  <c r="AI36" i="10"/>
  <c r="M9" i="10"/>
  <c r="AA9" i="10"/>
  <c r="Z11" i="10"/>
  <c r="AC62" i="10"/>
  <c r="Y36" i="10"/>
  <c r="L38" i="10"/>
  <c r="Y38" i="10"/>
  <c r="AC11" i="10"/>
  <c r="U71" i="10"/>
  <c r="AI71" i="10"/>
  <c r="AH9" i="10"/>
  <c r="T71" i="10"/>
  <c r="AG9" i="10"/>
  <c r="T69" i="10"/>
  <c r="P38" i="10"/>
  <c r="AC38" i="10"/>
  <c r="AC36" i="10"/>
  <c r="K70" i="10"/>
  <c r="X69" i="10"/>
  <c r="X71" i="10"/>
  <c r="K72" i="10"/>
  <c r="AC9" i="10"/>
  <c r="P71" i="10"/>
  <c r="P69" i="10"/>
  <c r="AE38" i="10"/>
  <c r="AF38" i="10"/>
  <c r="R69" i="10"/>
  <c r="AD9" i="10"/>
  <c r="Q71" i="10"/>
  <c r="Q69" i="10"/>
  <c r="V72" i="10"/>
  <c r="AE71" i="10"/>
  <c r="R72" i="10"/>
  <c r="AD38" i="10"/>
  <c r="Y9" i="10"/>
  <c r="L71" i="10"/>
  <c r="V70" i="10"/>
  <c r="N70" i="10"/>
  <c r="T72" i="10"/>
  <c r="AG71" i="10"/>
  <c r="N72" i="10"/>
  <c r="L69" i="10"/>
  <c r="P70" i="10"/>
  <c r="AC69" i="10"/>
  <c r="AC71" i="10"/>
  <c r="P72" i="10"/>
  <c r="AH71" i="10"/>
  <c r="U72" i="10"/>
  <c r="AF69" i="10"/>
  <c r="S70" i="10"/>
  <c r="AE69" i="10"/>
  <c r="R70" i="10"/>
  <c r="AF71" i="10"/>
  <c r="S72" i="10"/>
  <c r="L72" i="10"/>
  <c r="Y71" i="10"/>
  <c r="T70" i="10"/>
  <c r="AG69" i="10"/>
  <c r="AH38" i="10"/>
  <c r="AI38" i="10"/>
  <c r="U69" i="10"/>
  <c r="AD69" i="10"/>
  <c r="Q70" i="10"/>
  <c r="AE62" i="10"/>
  <c r="AF62" i="10"/>
  <c r="M38" i="10"/>
  <c r="Z36" i="10"/>
  <c r="AA36" i="10"/>
  <c r="Q72" i="10"/>
  <c r="AD71" i="10"/>
  <c r="M71" i="10"/>
  <c r="M69" i="10"/>
  <c r="AA69" i="10"/>
  <c r="Z9" i="10"/>
  <c r="AB9" i="10"/>
  <c r="O71" i="10"/>
  <c r="O69" i="10"/>
  <c r="M70" i="10"/>
  <c r="Z69" i="10"/>
  <c r="AG62" i="10"/>
  <c r="AH62" i="10"/>
  <c r="U70" i="10"/>
  <c r="AH69" i="10"/>
  <c r="AI69" i="10"/>
  <c r="Z71" i="10"/>
  <c r="M72" i="10"/>
  <c r="Z38" i="10"/>
  <c r="AA38" i="10"/>
  <c r="Y69" i="10"/>
  <c r="L70" i="10"/>
  <c r="AA71" i="10"/>
  <c r="AB69" i="10"/>
  <c r="O70" i="10"/>
  <c r="AB71" i="10"/>
  <c r="O72" i="10"/>
  <c r="AI62" i="10"/>
  <c r="L12" i="11" l="1"/>
  <c r="E12" i="11"/>
  <c r="W56" i="10"/>
  <c r="AJ56" i="10" s="1"/>
  <c r="W40" i="10"/>
  <c r="AJ40" i="10" s="1"/>
  <c r="Z40" i="1"/>
  <c r="AB59" i="1"/>
  <c r="G40" i="1"/>
  <c r="X59" i="1"/>
  <c r="AE14" i="1"/>
  <c r="I40" i="1"/>
  <c r="AA14" i="1"/>
  <c r="AF17" i="1"/>
  <c r="Z14" i="1"/>
  <c r="AH24" i="1"/>
  <c r="P36" i="1"/>
  <c r="AC36" i="1" s="1"/>
  <c r="U12" i="1"/>
  <c r="U11" i="1" s="1"/>
  <c r="U9" i="1" s="1"/>
  <c r="AB17" i="1"/>
  <c r="K12" i="1"/>
  <c r="Y59" i="1"/>
  <c r="D40" i="1"/>
  <c r="AA24" i="1"/>
  <c r="AI50" i="1"/>
  <c r="AB46" i="1"/>
  <c r="U40" i="1"/>
  <c r="H12" i="1"/>
  <c r="H11" i="1" s="1"/>
  <c r="H9" i="1" s="1"/>
  <c r="H71" i="1" s="1"/>
  <c r="H72" i="1" s="1"/>
  <c r="V40" i="1"/>
  <c r="AI40" i="1" s="1"/>
  <c r="AD21" i="1"/>
  <c r="I12" i="1"/>
  <c r="I11" i="1" s="1"/>
  <c r="I9" i="1" s="1"/>
  <c r="J12" i="1"/>
  <c r="J11" i="1" s="1"/>
  <c r="N12" i="1"/>
  <c r="N11" i="1" s="1"/>
  <c r="AE42" i="1"/>
  <c r="AC24" i="1"/>
  <c r="Y46" i="1"/>
  <c r="AA46" i="1"/>
  <c r="O40" i="1"/>
  <c r="O36" i="1" s="1"/>
  <c r="AD50" i="1"/>
  <c r="AI14" i="1"/>
  <c r="AD56" i="1"/>
  <c r="AE59" i="1"/>
  <c r="L40" i="1"/>
  <c r="X50" i="1"/>
  <c r="L36" i="1"/>
  <c r="AA50" i="1"/>
  <c r="AH42" i="1"/>
  <c r="AI42" i="1"/>
  <c r="AJ56" i="1"/>
  <c r="AC50" i="1"/>
  <c r="C40" i="1"/>
  <c r="G12" i="1"/>
  <c r="G11" i="1" s="1"/>
  <c r="G9" i="1" s="1"/>
  <c r="G69" i="1" s="1"/>
  <c r="G70" i="1" s="1"/>
  <c r="AI46" i="1"/>
  <c r="Q40" i="1"/>
  <c r="AD40" i="1" s="1"/>
  <c r="AE50" i="1"/>
  <c r="T40" i="1"/>
  <c r="AG40" i="1" s="1"/>
  <c r="R40" i="1"/>
  <c r="W38" i="1"/>
  <c r="W11" i="1"/>
  <c r="AJ12" i="1"/>
  <c r="AA56" i="1"/>
  <c r="F69" i="1"/>
  <c r="F70" i="1" s="1"/>
  <c r="F71" i="1"/>
  <c r="F72" i="1" s="1"/>
  <c r="G36" i="1"/>
  <c r="G38" i="1" s="1"/>
  <c r="I36" i="1"/>
  <c r="I38" i="1" s="1"/>
  <c r="I69" i="1" s="1"/>
  <c r="I70" i="1" s="1"/>
  <c r="D36" i="1"/>
  <c r="D38" i="1" s="1"/>
  <c r="D69" i="1" s="1"/>
  <c r="D70" i="1" s="1"/>
  <c r="Y12" i="1"/>
  <c r="L11" i="1"/>
  <c r="J9" i="1"/>
  <c r="I71" i="1"/>
  <c r="I72" i="1" s="1"/>
  <c r="AF11" i="1"/>
  <c r="S9" i="1"/>
  <c r="E36" i="1"/>
  <c r="E38" i="1" s="1"/>
  <c r="E69" i="1" s="1"/>
  <c r="E70" i="1" s="1"/>
  <c r="K36" i="1"/>
  <c r="Y40" i="1"/>
  <c r="X40" i="1"/>
  <c r="N36" i="1"/>
  <c r="AA40" i="1"/>
  <c r="S36" i="1"/>
  <c r="L38" i="1"/>
  <c r="R9" i="1"/>
  <c r="P38" i="1"/>
  <c r="C36" i="1"/>
  <c r="C38" i="1" s="1"/>
  <c r="C69" i="1" s="1"/>
  <c r="C70" i="1" s="1"/>
  <c r="G71" i="1"/>
  <c r="G72" i="1" s="1"/>
  <c r="M56" i="1"/>
  <c r="AA59" i="1"/>
  <c r="Z59" i="1"/>
  <c r="AB56" i="1"/>
  <c r="AC56" i="1"/>
  <c r="X46" i="1"/>
  <c r="V11" i="1"/>
  <c r="AD14" i="1"/>
  <c r="U36" i="1"/>
  <c r="O12" i="1"/>
  <c r="Q12" i="1"/>
  <c r="Y21" i="1"/>
  <c r="P12" i="1"/>
  <c r="AG50" i="1"/>
  <c r="AF12" i="1"/>
  <c r="J56" i="1"/>
  <c r="X56" i="1" s="1"/>
  <c r="Z24" i="1"/>
  <c r="AF14" i="1"/>
  <c r="R56" i="1"/>
  <c r="AE56" i="1" s="1"/>
  <c r="T56" i="1"/>
  <c r="AG59" i="1"/>
  <c r="AD42" i="1"/>
  <c r="AD24" i="1"/>
  <c r="T12" i="1"/>
  <c r="AF59" i="1"/>
  <c r="M12" i="1"/>
  <c r="N9" i="1"/>
  <c r="AF50" i="1"/>
  <c r="Y14" i="1"/>
  <c r="AI24" i="1"/>
  <c r="Y50" i="1"/>
  <c r="AC17" i="1"/>
  <c r="W12" i="10"/>
  <c r="G12" i="11" l="1"/>
  <c r="E10" i="11"/>
  <c r="L10" i="11"/>
  <c r="N12" i="11"/>
  <c r="W36" i="10"/>
  <c r="AJ36" i="10" s="1"/>
  <c r="AF56" i="1"/>
  <c r="V36" i="1"/>
  <c r="C71" i="1"/>
  <c r="C72" i="1" s="1"/>
  <c r="AI36" i="1"/>
  <c r="H69" i="1"/>
  <c r="H70" i="1" s="1"/>
  <c r="AJ40" i="1"/>
  <c r="AC40" i="1"/>
  <c r="X12" i="1"/>
  <c r="K11" i="1"/>
  <c r="AB40" i="1"/>
  <c r="AE40" i="1"/>
  <c r="E71" i="1"/>
  <c r="E72" i="1" s="1"/>
  <c r="R36" i="1"/>
  <c r="AI12" i="1"/>
  <c r="AF40" i="1"/>
  <c r="Q36" i="1"/>
  <c r="AD36" i="1" s="1"/>
  <c r="T36" i="1"/>
  <c r="AH40" i="1"/>
  <c r="W9" i="1"/>
  <c r="AJ11" i="1"/>
  <c r="W11" i="10"/>
  <c r="AJ12" i="10"/>
  <c r="N38" i="1"/>
  <c r="N69" i="1" s="1"/>
  <c r="Z12" i="1"/>
  <c r="M11" i="1"/>
  <c r="R71" i="1"/>
  <c r="R69" i="1"/>
  <c r="AB36" i="1"/>
  <c r="O38" i="1"/>
  <c r="AB38" i="1" s="1"/>
  <c r="K38" i="1"/>
  <c r="Y36" i="1"/>
  <c r="Q38" i="1"/>
  <c r="AD38" i="1" s="1"/>
  <c r="V9" i="1"/>
  <c r="AI11" i="1"/>
  <c r="AG36" i="1"/>
  <c r="T38" i="1"/>
  <c r="L9" i="1"/>
  <c r="Y11" i="1"/>
  <c r="P11" i="1"/>
  <c r="AC12" i="1"/>
  <c r="Z56" i="1"/>
  <c r="M36" i="1"/>
  <c r="R38" i="1"/>
  <c r="AE38" i="1" s="1"/>
  <c r="AE36" i="1"/>
  <c r="O11" i="1"/>
  <c r="AB12" i="1"/>
  <c r="AF9" i="1"/>
  <c r="S71" i="1"/>
  <c r="U38" i="1"/>
  <c r="AH36" i="1"/>
  <c r="U71" i="1"/>
  <c r="S38" i="1"/>
  <c r="S69" i="1" s="1"/>
  <c r="AF36" i="1"/>
  <c r="N71" i="1"/>
  <c r="J36" i="1"/>
  <c r="J38" i="1" s="1"/>
  <c r="J69" i="1" s="1"/>
  <c r="J70" i="1" s="1"/>
  <c r="T11" i="1"/>
  <c r="AH12" i="1"/>
  <c r="AG12" i="1"/>
  <c r="AA12" i="1"/>
  <c r="AD12" i="1"/>
  <c r="AE12" i="1"/>
  <c r="Q11" i="1"/>
  <c r="D71" i="1"/>
  <c r="D72" i="1" s="1"/>
  <c r="AG56" i="1"/>
  <c r="AH56" i="1"/>
  <c r="L9" i="11" l="1"/>
  <c r="N9" i="11" s="1"/>
  <c r="N10" i="11"/>
  <c r="G10" i="11"/>
  <c r="E9" i="11"/>
  <c r="G9" i="11" s="1"/>
  <c r="W38" i="10"/>
  <c r="AJ38" i="10" s="1"/>
  <c r="K9" i="1"/>
  <c r="K69" i="1" s="1"/>
  <c r="X11" i="1"/>
  <c r="X36" i="1"/>
  <c r="AJ36" i="1"/>
  <c r="V38" i="1"/>
  <c r="AJ38" i="1" s="1"/>
  <c r="AG38" i="1"/>
  <c r="AJ9" i="1"/>
  <c r="W71" i="1"/>
  <c r="W69" i="1"/>
  <c r="W9" i="10"/>
  <c r="AJ11" i="10"/>
  <c r="AH38" i="1"/>
  <c r="U69" i="1"/>
  <c r="R70" i="1"/>
  <c r="Z11" i="1"/>
  <c r="M9" i="1"/>
  <c r="AA11" i="1"/>
  <c r="U72" i="1"/>
  <c r="AH11" i="1"/>
  <c r="T9" i="1"/>
  <c r="AG11" i="1"/>
  <c r="X38" i="1"/>
  <c r="L69" i="1"/>
  <c r="L71" i="1"/>
  <c r="Y9" i="1"/>
  <c r="N70" i="1"/>
  <c r="AB11" i="1"/>
  <c r="O9" i="1"/>
  <c r="P9" i="1"/>
  <c r="AC11" i="1"/>
  <c r="AF71" i="1"/>
  <c r="S72" i="1"/>
  <c r="R72" i="1"/>
  <c r="AC38" i="1"/>
  <c r="J71" i="1"/>
  <c r="J72" i="1" s="1"/>
  <c r="S70" i="1"/>
  <c r="AF69" i="1"/>
  <c r="N72" i="1"/>
  <c r="Q9" i="1"/>
  <c r="AD11" i="1"/>
  <c r="AE11" i="1"/>
  <c r="V69" i="1"/>
  <c r="AI9" i="1"/>
  <c r="V71" i="1"/>
  <c r="Z36" i="1"/>
  <c r="M38" i="1"/>
  <c r="Z38" i="1" s="1"/>
  <c r="Y38" i="1"/>
  <c r="AF38" i="1"/>
  <c r="AI38" i="1"/>
  <c r="AA36" i="1"/>
  <c r="X9" i="1" l="1"/>
  <c r="K71" i="1"/>
  <c r="K72" i="1" s="1"/>
  <c r="W70" i="1"/>
  <c r="AJ69" i="1"/>
  <c r="W72" i="1"/>
  <c r="AJ71" i="1"/>
  <c r="AJ9" i="10"/>
  <c r="W71" i="10"/>
  <c r="W69" i="10"/>
  <c r="O71" i="1"/>
  <c r="O69" i="1"/>
  <c r="AB9" i="1"/>
  <c r="AC9" i="1"/>
  <c r="P71" i="1"/>
  <c r="P69" i="1"/>
  <c r="AA38" i="1"/>
  <c r="M69" i="1"/>
  <c r="M71" i="1"/>
  <c r="Z9" i="1"/>
  <c r="AA9" i="1"/>
  <c r="AI71" i="1"/>
  <c r="V72" i="1"/>
  <c r="Y71" i="1"/>
  <c r="L72" i="1"/>
  <c r="Y69" i="1"/>
  <c r="L70" i="1"/>
  <c r="V70" i="1"/>
  <c r="AI69" i="1"/>
  <c r="X69" i="1"/>
  <c r="K70" i="1"/>
  <c r="U70" i="1"/>
  <c r="AH69" i="1"/>
  <c r="Q71" i="1"/>
  <c r="Q69" i="1"/>
  <c r="AD9" i="1"/>
  <c r="AE9" i="1"/>
  <c r="T71" i="1"/>
  <c r="AH9" i="1"/>
  <c r="AG9" i="1"/>
  <c r="T69" i="1"/>
  <c r="X71" i="1"/>
  <c r="W70" i="10" l="1"/>
  <c r="AJ69" i="10"/>
  <c r="W72" i="10"/>
  <c r="AJ71" i="10"/>
  <c r="Z71" i="1"/>
  <c r="M72" i="1"/>
  <c r="AA71" i="1"/>
  <c r="M70" i="1"/>
  <c r="Z69" i="1"/>
  <c r="AA69" i="1"/>
  <c r="P72" i="1"/>
  <c r="AC71" i="1"/>
  <c r="Q72" i="1"/>
  <c r="AD71" i="1"/>
  <c r="AE71" i="1"/>
  <c r="T70" i="1"/>
  <c r="AG69" i="1"/>
  <c r="Q70" i="1"/>
  <c r="AD69" i="1"/>
  <c r="AE69" i="1"/>
  <c r="AC69" i="1"/>
  <c r="P70" i="1"/>
  <c r="AG71" i="1"/>
  <c r="T72" i="1"/>
  <c r="AH71" i="1"/>
  <c r="AB69" i="1"/>
  <c r="O70" i="1"/>
  <c r="O72" i="1"/>
  <c r="AB71" i="1"/>
</calcChain>
</file>

<file path=xl/sharedStrings.xml><?xml version="1.0" encoding="utf-8"?>
<sst xmlns="http://schemas.openxmlformats.org/spreadsheetml/2006/main" count="285" uniqueCount="135">
  <si>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</si>
  <si>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</si>
  <si>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</si>
  <si>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</si>
  <si>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</si>
  <si>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</si>
  <si>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</si>
  <si>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</si>
  <si>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</si>
  <si>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</si>
  <si>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</si>
  <si>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</si>
  <si>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</si>
  <si>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</si>
  <si>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</si>
  <si>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</si>
  <si>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</si>
  <si>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</si>
  <si>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</si>
  <si>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</si>
  <si>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</si>
  <si>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</si>
  <si>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</si>
  <si>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</si>
  <si>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</si>
  <si>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</si>
  <si>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</si>
  <si>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</si>
  <si>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</si>
  <si>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</si>
  <si>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</si>
  <si>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</si>
  <si>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</si>
  <si>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</si>
  <si>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</si>
  <si>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</si>
  <si>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</si>
  <si>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</si>
  <si>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</si>
  <si>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</si>
  <si>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</si>
  <si>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</si>
  <si>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</si>
  <si>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>en millones de colones</t>
  </si>
  <si>
    <t>INGRESO, GASTO Y FINANCIAMIENTO DEL GOBIERNO CENTRAL</t>
  </si>
  <si>
    <t>Fuente:  Cuadro elaborado en la Secretaría Técnica de la Autoridad Presupuestaria, con información suministrada por la Contabilidad Nacional y la Dirección de Crédito Público.</t>
  </si>
  <si>
    <t>Acumulado al mes de abril</t>
  </si>
  <si>
    <t>Mes de abril</t>
  </si>
  <si>
    <t>% PIB</t>
  </si>
  <si>
    <t xml:space="preserve"> Impuesto Exportaciones Vía Terrestre</t>
  </si>
  <si>
    <t>Concesión Neta de Préstamos</t>
  </si>
  <si>
    <t xml:space="preserve">Concesión </t>
  </si>
  <si>
    <t xml:space="preserve">Recuperación 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</si>
  <si>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 Cuadro elaborado en la Secretaría Técnica de la Autoridad Presupuestaria, con información suministrada por la Contabilidad Nacional y la Dirección de Crédito Público.</t>
    </r>
  </si>
  <si>
    <t>GASTOS TOTALES Y CONCESIÓN NETA</t>
  </si>
  <si>
    <t>20/21</t>
  </si>
  <si>
    <t>19/20</t>
  </si>
  <si>
    <t>18/19</t>
  </si>
  <si>
    <t>17/18</t>
  </si>
  <si>
    <t>16/17</t>
  </si>
  <si>
    <t>15/16</t>
  </si>
  <si>
    <t>14/15</t>
  </si>
  <si>
    <t>13/14</t>
  </si>
  <si>
    <t>21/22</t>
  </si>
  <si>
    <t>Otros Ingresos tributarios diversos internos</t>
  </si>
  <si>
    <t>Otros Ingresos tributarios diversos aduanas</t>
  </si>
  <si>
    <t>22/23</t>
  </si>
  <si>
    <t>23/24</t>
  </si>
  <si>
    <t xml:space="preserve">         Sector Publico</t>
  </si>
  <si>
    <r>
      <t xml:space="preserve">         Sector Publico</t>
    </r>
    <r>
      <rPr>
        <vertAlign val="superscript"/>
        <sz val="10"/>
        <rFont val="Arial"/>
        <family val="2"/>
      </rPr>
      <t xml:space="preserve"> </t>
    </r>
  </si>
  <si>
    <t xml:space="preserve">         Sector Publico </t>
  </si>
  <si>
    <t>24/25</t>
  </si>
  <si>
    <r>
      <t xml:space="preserve">PIB </t>
    </r>
    <r>
      <rPr>
        <b/>
        <vertAlign val="superscript"/>
        <sz val="10"/>
        <rFont val="Arial"/>
        <family val="2"/>
      </rPr>
      <t>1/</t>
    </r>
  </si>
  <si>
    <r>
      <rPr>
        <vertAlign val="superscript"/>
        <sz val="10"/>
        <rFont val="Arial"/>
        <family val="2"/>
      </rPr>
      <t xml:space="preserve">3/ </t>
    </r>
    <r>
      <rPr>
        <sz val="10"/>
        <rFont val="Arial"/>
        <family val="2"/>
      </rPr>
      <t>Los egresos de bienes y servicios del programa 797 de Ministerio de Comercio Exterior a partir de enero 2020 se capitalizan y se incluyen en el rubro de inversión</t>
    </r>
  </si>
  <si>
    <r>
      <t xml:space="preserve">PIB </t>
    </r>
    <r>
      <rPr>
        <b/>
        <vertAlign val="superscript"/>
        <sz val="10"/>
        <rFont val="Arial"/>
        <family val="2"/>
      </rPr>
      <t xml:space="preserve"> 1/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</si>
  <si>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</si>
  <si>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</si>
  <si>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</t>
    </r>
  </si>
  <si>
    <t xml:space="preserve">    Transferencias </t>
  </si>
  <si>
    <t xml:space="preserve">Cifras al mes de Abril 2020-2026 </t>
  </si>
  <si>
    <t>25/26</t>
  </si>
  <si>
    <t>Cifras del mes de Abril 2020-2026</t>
  </si>
  <si>
    <t xml:space="preserve"> </t>
  </si>
  <si>
    <t>GOBIERNO CENTRAL DE COSTA RICA</t>
  </si>
  <si>
    <t>PRINCIPALES INGRESOS</t>
  </si>
  <si>
    <t>COMPARATIVOS MES ABRIL</t>
  </si>
  <si>
    <t>COMPARATIVOS ACUMULADO AL MES DE ABRIL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</si>
  <si>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</si>
  <si>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</si>
  <si>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</si>
  <si>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</si>
  <si>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</si>
  <si>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</si>
  <si>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</si>
  <si>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</si>
  <si>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</si>
  <si>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</si>
  <si>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</si>
  <si>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</si>
  <si>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</si>
  <si>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</si>
  <si>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</si>
  <si>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</si>
  <si>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</si>
  <si>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</si>
  <si>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</si>
  <si>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</si>
  <si>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</si>
  <si>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</si>
  <si>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</si>
  <si>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</si>
  <si>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</si>
  <si>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</si>
  <si>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</si>
  <si>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</si>
  <si>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</si>
  <si>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</si>
  <si>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</si>
  <si>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</si>
  <si>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</si>
  <si>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</si>
  <si>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</si>
  <si>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</si>
  <si>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</si>
  <si>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</si>
  <si>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</si>
  <si>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</si>
  <si>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</si>
  <si>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</si>
  <si>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</si>
  <si>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</si>
  <si>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</si>
  <si>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</si>
  <si>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</si>
  <si>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2023-2026, proyección 2026-2027 utilizada en el informe de Política Monetaria  de abril 2026, aprobado por la Junta Directiva en el artículo 5 del acta de la sesión 6320-2026, el 28 de abril de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</si>
</sst>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s_-;\-* #,##0.00\ _P_t_s_-;_-* &quot;-&quot;??\ _P_t_s_-;_-@_-"/>
    <numFmt numFmtId="165" formatCode="#,##0.0"/>
    <numFmt numFmtId="166" formatCode="0.0%"/>
    <numFmt numFmtId="167" formatCode="0.0"/>
    <numFmt numFmtId="168" formatCode="#,##0.0_);\(#,##0.0\)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b/>
      <vertAlign val="superscript"/>
      <sz val="11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0" tint="-4.9989318521683403E-2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 indent="2"/>
    </xf>
    <xf numFmtId="165" fontId="8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3" fillId="0" borderId="0" xfId="0" applyNumberFormat="1" applyFont="1" applyAlignment="1">
      <alignment horizontal="left" indent="1"/>
    </xf>
    <xf numFmtId="165" fontId="3" fillId="0" borderId="0" xfId="0" applyNumberFormat="1" applyFont="1" applyAlignment="1">
      <alignment horizontal="left" indent="2"/>
    </xf>
    <xf numFmtId="165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5" fontId="10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166" fontId="7" fillId="0" borderId="0" xfId="17" applyNumberFormat="1" applyFont="1" applyBorder="1"/>
    <xf numFmtId="166" fontId="2" fillId="0" borderId="0" xfId="17" applyNumberFormat="1" applyFont="1" applyBorder="1"/>
    <xf numFmtId="166" fontId="5" fillId="0" borderId="0" xfId="17" applyNumberFormat="1" applyFont="1" applyBorder="1"/>
    <xf numFmtId="165" fontId="3" fillId="0" borderId="0" xfId="17" applyNumberFormat="1" applyFont="1" applyBorder="1"/>
    <xf numFmtId="165" fontId="0" fillId="0" borderId="0" xfId="0" applyNumberFormat="1"/>
    <xf numFmtId="0" fontId="12" fillId="0" borderId="0" xfId="0" applyFont="1" applyAlignment="1">
      <alignment horizontal="left" vertical="center" wrapText="1"/>
    </xf>
    <xf numFmtId="165" fontId="10" fillId="0" borderId="0" xfId="6" applyNumberFormat="1" applyFont="1"/>
    <xf numFmtId="165" fontId="3" fillId="0" borderId="0" xfId="6" applyNumberFormat="1" applyFont="1"/>
    <xf numFmtId="165" fontId="4" fillId="0" borderId="0" xfId="6" applyNumberFormat="1" applyFont="1"/>
    <xf numFmtId="165" fontId="9" fillId="0" borderId="0" xfId="6" applyNumberFormat="1" applyFont="1"/>
    <xf numFmtId="165" fontId="3" fillId="0" borderId="0" xfId="6" applyNumberFormat="1" applyFont="1" applyAlignment="1">
      <alignment horizontal="right"/>
    </xf>
    <xf numFmtId="165" fontId="7" fillId="0" borderId="0" xfId="0" applyNumberFormat="1" applyFont="1"/>
    <xf numFmtId="165" fontId="11" fillId="0" borderId="0" xfId="0" applyNumberFormat="1" applyFont="1"/>
    <xf numFmtId="1" fontId="5" fillId="0" borderId="1" xfId="0" applyNumberFormat="1" applyFont="1" applyBorder="1" applyAlignment="1">
      <alignment horizontal="center"/>
    </xf>
    <xf numFmtId="166" fontId="24" fillId="0" borderId="0" xfId="17" applyNumberFormat="1" applyFont="1" applyBorder="1"/>
    <xf numFmtId="166" fontId="14" fillId="0" borderId="0" xfId="17" applyNumberFormat="1" applyFont="1" applyBorder="1"/>
    <xf numFmtId="166" fontId="25" fillId="0" borderId="0" xfId="17" applyNumberFormat="1" applyFont="1" applyBorder="1"/>
    <xf numFmtId="49" fontId="3" fillId="0" borderId="0" xfId="0" applyNumberFormat="1" applyFont="1" applyAlignment="1">
      <alignment horizontal="left" wrapText="1"/>
    </xf>
    <xf numFmtId="165" fontId="10" fillId="0" borderId="0" xfId="15" applyNumberFormat="1" applyFont="1"/>
    <xf numFmtId="165" fontId="1" fillId="0" borderId="0" xfId="15" applyNumberFormat="1"/>
    <xf numFmtId="165" fontId="1" fillId="0" borderId="0" xfId="0" applyNumberFormat="1" applyFont="1"/>
    <xf numFmtId="165" fontId="1" fillId="0" borderId="0" xfId="17" applyNumberFormat="1" applyFont="1" applyBorder="1"/>
    <xf numFmtId="0" fontId="14" fillId="0" borderId="0" xfId="0" applyFont="1"/>
    <xf numFmtId="165" fontId="15" fillId="0" borderId="0" xfId="0" applyNumberFormat="1" applyFont="1" applyAlignment="1">
      <alignment horizontal="right"/>
    </xf>
    <xf numFmtId="166" fontId="16" fillId="0" borderId="0" xfId="17" applyNumberFormat="1" applyFont="1" applyFill="1" applyBorder="1" applyAlignment="1">
      <alignment horizontal="right" wrapText="1"/>
    </xf>
    <xf numFmtId="165" fontId="2" fillId="0" borderId="0" xfId="15" applyNumberFormat="1" applyFont="1"/>
    <xf numFmtId="0" fontId="1" fillId="0" borderId="0" xfId="0" applyFont="1"/>
    <xf numFmtId="165" fontId="1" fillId="0" borderId="0" xfId="0" applyNumberFormat="1" applyFont="1" applyAlignment="1">
      <alignment horizontal="left" wrapText="1"/>
    </xf>
    <xf numFmtId="0" fontId="2" fillId="0" borderId="0" xfId="13" applyFont="1"/>
    <xf numFmtId="49" fontId="4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" fontId="1" fillId="0" borderId="0" xfId="0" applyNumberFormat="1" applyFont="1" applyAlignment="1">
      <alignment horizontal="left" indent="2"/>
    </xf>
    <xf numFmtId="0" fontId="18" fillId="0" borderId="0" xfId="0" applyFont="1" applyAlignment="1">
      <alignment horizontal="right"/>
    </xf>
    <xf numFmtId="165" fontId="2" fillId="0" borderId="0" xfId="16" applyNumberFormat="1" applyFont="1"/>
    <xf numFmtId="165" fontId="1" fillId="0" borderId="3" xfId="15" applyNumberFormat="1" applyBorder="1"/>
    <xf numFmtId="165" fontId="1" fillId="0" borderId="3" xfId="0" applyNumberFormat="1" applyFont="1" applyBorder="1"/>
    <xf numFmtId="0" fontId="9" fillId="0" borderId="0" xfId="0" applyFont="1"/>
    <xf numFmtId="165" fontId="0" fillId="0" borderId="3" xfId="0" applyNumberFormat="1" applyBorder="1"/>
    <xf numFmtId="0" fontId="1" fillId="0" borderId="0" xfId="0" applyFont="1" applyAlignment="1">
      <alignment horizontal="left" indent="1"/>
    </xf>
    <xf numFmtId="1" fontId="5" fillId="0" borderId="4" xfId="0" applyNumberFormat="1" applyFont="1" applyBorder="1" applyAlignment="1">
      <alignment horizontal="center"/>
    </xf>
    <xf numFmtId="0" fontId="3" fillId="0" borderId="3" xfId="0" applyFont="1" applyBorder="1"/>
    <xf numFmtId="166" fontId="5" fillId="0" borderId="0" xfId="17" applyNumberFormat="1" applyFont="1" applyFill="1" applyBorder="1"/>
    <xf numFmtId="166" fontId="7" fillId="0" borderId="0" xfId="17" applyNumberFormat="1" applyFont="1" applyFill="1" applyBorder="1"/>
    <xf numFmtId="166" fontId="26" fillId="0" borderId="0" xfId="17" applyNumberFormat="1" applyFont="1" applyBorder="1"/>
    <xf numFmtId="49" fontId="5" fillId="0" borderId="0" xfId="0" applyNumberFormat="1" applyFont="1" applyAlignment="1">
      <alignment horizontal="center"/>
    </xf>
    <xf numFmtId="166" fontId="25" fillId="2" borderId="0" xfId="17" applyNumberFormat="1" applyFont="1" applyFill="1" applyBorder="1"/>
    <xf numFmtId="165" fontId="2" fillId="0" borderId="0" xfId="13" applyNumberFormat="1" applyFont="1"/>
    <xf numFmtId="49" fontId="5" fillId="3" borderId="6" xfId="13" applyNumberFormat="1" applyFont="1" applyFill="1" applyBorder="1" applyAlignment="1">
      <alignment horizontal="center" wrapText="1"/>
    </xf>
    <xf numFmtId="166" fontId="5" fillId="0" borderId="7" xfId="17" applyNumberFormat="1" applyFont="1" applyFill="1" applyBorder="1" applyAlignment="1">
      <alignment horizontal="right"/>
    </xf>
    <xf numFmtId="166" fontId="5" fillId="0" borderId="8" xfId="17" applyNumberFormat="1" applyFont="1" applyFill="1" applyBorder="1" applyAlignment="1">
      <alignment horizontal="right"/>
    </xf>
    <xf numFmtId="166" fontId="21" fillId="0" borderId="7" xfId="17" applyNumberFormat="1" applyFont="1" applyFill="1" applyBorder="1"/>
    <xf numFmtId="166" fontId="21" fillId="0" borderId="8" xfId="17" applyNumberFormat="1" applyFont="1" applyFill="1" applyBorder="1"/>
    <xf numFmtId="166" fontId="5" fillId="0" borderId="9" xfId="17" applyNumberFormat="1" applyFont="1" applyFill="1" applyBorder="1"/>
    <xf numFmtId="166" fontId="5" fillId="0" borderId="5" xfId="17" applyNumberFormat="1" applyFont="1" applyFill="1" applyBorder="1"/>
    <xf numFmtId="166" fontId="5" fillId="0" borderId="10" xfId="17" applyNumberFormat="1" applyFont="1" applyFill="1" applyBorder="1"/>
    <xf numFmtId="165" fontId="7" fillId="4" borderId="11" xfId="14" applyNumberFormat="1" applyFont="1" applyFill="1" applyBorder="1"/>
    <xf numFmtId="165" fontId="7" fillId="4" borderId="12" xfId="14" applyNumberFormat="1" applyFont="1" applyFill="1" applyBorder="1"/>
    <xf numFmtId="165" fontId="7" fillId="3" borderId="10" xfId="13" applyNumberFormat="1" applyFont="1" applyFill="1" applyBorder="1"/>
    <xf numFmtId="166" fontId="7" fillId="3" borderId="13" xfId="17" applyNumberFormat="1" applyFont="1" applyFill="1" applyBorder="1"/>
    <xf numFmtId="166" fontId="7" fillId="3" borderId="10" xfId="17" applyNumberFormat="1" applyFont="1" applyFill="1" applyBorder="1"/>
    <xf numFmtId="165" fontId="7" fillId="4" borderId="10" xfId="14" applyNumberFormat="1" applyFont="1" applyFill="1" applyBorder="1"/>
    <xf numFmtId="165" fontId="5" fillId="0" borderId="11" xfId="23" applyNumberFormat="1" applyFont="1" applyFill="1" applyBorder="1"/>
    <xf numFmtId="165" fontId="5" fillId="0" borderId="14" xfId="22" applyNumberFormat="1" applyFont="1" applyFill="1" applyBorder="1"/>
    <xf numFmtId="166" fontId="5" fillId="0" borderId="15" xfId="17" applyNumberFormat="1" applyFont="1" applyFill="1" applyBorder="1" applyAlignment="1"/>
    <xf numFmtId="166" fontId="5" fillId="0" borderId="14" xfId="17" applyNumberFormat="1" applyFont="1" applyFill="1" applyBorder="1" applyAlignment="1"/>
    <xf numFmtId="165" fontId="5" fillId="0" borderId="14" xfId="23" applyNumberFormat="1" applyFont="1" applyFill="1" applyBorder="1"/>
    <xf numFmtId="166" fontId="7" fillId="0" borderId="15" xfId="17" applyNumberFormat="1" applyFont="1" applyFill="1" applyBorder="1" applyAlignment="1"/>
    <xf numFmtId="166" fontId="7" fillId="0" borderId="14" xfId="17" applyNumberFormat="1" applyFont="1" applyFill="1" applyBorder="1" applyAlignment="1"/>
    <xf numFmtId="165" fontId="2" fillId="0" borderId="11" xfId="23" applyNumberFormat="1" applyFont="1" applyFill="1" applyBorder="1"/>
    <xf numFmtId="165" fontId="2" fillId="0" borderId="14" xfId="22" applyNumberFormat="1" applyFont="1" applyFill="1" applyBorder="1"/>
    <xf numFmtId="166" fontId="2" fillId="0" borderId="15" xfId="17" applyNumberFormat="1" applyFont="1" applyFill="1" applyBorder="1"/>
    <xf numFmtId="166" fontId="2" fillId="0" borderId="14" xfId="17" applyNumberFormat="1" applyFont="1" applyFill="1" applyBorder="1"/>
    <xf numFmtId="165" fontId="2" fillId="0" borderId="14" xfId="23" applyNumberFormat="1" applyFont="1" applyFill="1" applyBorder="1"/>
    <xf numFmtId="166" fontId="2" fillId="0" borderId="15" xfId="17" applyNumberFormat="1" applyFont="1" applyFill="1" applyBorder="1" applyAlignment="1"/>
    <xf numFmtId="166" fontId="2" fillId="0" borderId="14" xfId="17" applyNumberFormat="1" applyFont="1" applyFill="1" applyBorder="1" applyAlignment="1"/>
    <xf numFmtId="166" fontId="7" fillId="0" borderId="10" xfId="17" applyNumberFormat="1" applyFont="1" applyFill="1" applyBorder="1"/>
    <xf numFmtId="166" fontId="7" fillId="0" borderId="12" xfId="17" applyNumberFormat="1" applyFont="1" applyFill="1" applyBorder="1"/>
    <xf numFmtId="166" fontId="7" fillId="0" borderId="16" xfId="17" applyNumberFormat="1" applyFont="1" applyFill="1" applyBorder="1"/>
    <xf numFmtId="166" fontId="2" fillId="0" borderId="11" xfId="17" applyNumberFormat="1" applyFont="1" applyFill="1" applyBorder="1"/>
    <xf numFmtId="166" fontId="2" fillId="0" borderId="0" xfId="17" applyNumberFormat="1" applyFont="1" applyFill="1" applyBorder="1"/>
    <xf numFmtId="165" fontId="2" fillId="0" borderId="8" xfId="23" applyNumberFormat="1" applyFont="1" applyFill="1" applyBorder="1"/>
    <xf numFmtId="165" fontId="2" fillId="0" borderId="6" xfId="23" applyNumberFormat="1" applyFont="1" applyFill="1" applyBorder="1"/>
    <xf numFmtId="165" fontId="2" fillId="0" borderId="8" xfId="22" applyNumberFormat="1" applyFont="1" applyFill="1" applyBorder="1"/>
    <xf numFmtId="166" fontId="2" fillId="0" borderId="8" xfId="17" applyNumberFormat="1" applyFont="1" applyFill="1" applyBorder="1"/>
    <xf numFmtId="166" fontId="2" fillId="0" borderId="6" xfId="17" applyNumberFormat="1" applyFont="1" applyFill="1" applyBorder="1"/>
    <xf numFmtId="166" fontId="2" fillId="0" borderId="1" xfId="17" applyNumberFormat="1" applyFont="1" applyFill="1" applyBorder="1"/>
    <xf numFmtId="166" fontId="7" fillId="0" borderId="15" xfId="17" applyNumberFormat="1" applyFont="1" applyFill="1" applyBorder="1"/>
    <xf numFmtId="166" fontId="7" fillId="0" borderId="14" xfId="17" applyNumberFormat="1" applyFont="1" applyFill="1" applyBorder="1"/>
    <xf numFmtId="165" fontId="2" fillId="0" borderId="11" xfId="22" applyNumberFormat="1" applyFont="1" applyFill="1" applyBorder="1"/>
    <xf numFmtId="166" fontId="7" fillId="0" borderId="13" xfId="17" applyNumberFormat="1" applyFont="1" applyFill="1" applyBorder="1"/>
    <xf numFmtId="166" fontId="2" fillId="0" borderId="7" xfId="17" applyNumberFormat="1" applyFont="1" applyFill="1" applyBorder="1"/>
    <xf numFmtId="165" fontId="2" fillId="4" borderId="10" xfId="23" applyNumberFormat="1" applyFont="1" applyFill="1" applyBorder="1"/>
    <xf numFmtId="165" fontId="2" fillId="4" borderId="12" xfId="23" applyNumberFormat="1" applyFont="1" applyFill="1" applyBorder="1"/>
    <xf numFmtId="166" fontId="2" fillId="3" borderId="16" xfId="17" applyNumberFormat="1" applyFont="1" applyFill="1" applyBorder="1"/>
    <xf numFmtId="166" fontId="2" fillId="3" borderId="10" xfId="17" applyNumberFormat="1" applyFont="1" applyFill="1" applyBorder="1"/>
    <xf numFmtId="165" fontId="2" fillId="3" borderId="12" xfId="22" applyNumberFormat="1" applyFont="1" applyFill="1" applyBorder="1"/>
    <xf numFmtId="165" fontId="2" fillId="4" borderId="14" xfId="23" applyNumberFormat="1" applyFont="1" applyFill="1" applyBorder="1"/>
    <xf numFmtId="166" fontId="2" fillId="3" borderId="0" xfId="17" applyNumberFormat="1" applyFont="1" applyFill="1" applyBorder="1"/>
    <xf numFmtId="166" fontId="2" fillId="3" borderId="14" xfId="17" applyNumberFormat="1" applyFont="1" applyFill="1" applyBorder="1"/>
    <xf numFmtId="165" fontId="2" fillId="4" borderId="11" xfId="23" applyNumberFormat="1" applyFont="1" applyFill="1" applyBorder="1"/>
    <xf numFmtId="165" fontId="2" fillId="3" borderId="11" xfId="22" applyNumberFormat="1" applyFont="1" applyFill="1" applyBorder="1"/>
    <xf numFmtId="165" fontId="2" fillId="4" borderId="8" xfId="23" applyNumberFormat="1" applyFont="1" applyFill="1" applyBorder="1"/>
    <xf numFmtId="165" fontId="2" fillId="4" borderId="6" xfId="23" applyNumberFormat="1" applyFont="1" applyFill="1" applyBorder="1"/>
    <xf numFmtId="166" fontId="2" fillId="3" borderId="1" xfId="17" applyNumberFormat="1" applyFont="1" applyFill="1" applyBorder="1"/>
    <xf numFmtId="166" fontId="2" fillId="3" borderId="8" xfId="17" applyNumberFormat="1" applyFont="1" applyFill="1" applyBorder="1"/>
    <xf numFmtId="165" fontId="2" fillId="3" borderId="6" xfId="22" applyNumberFormat="1" applyFont="1" applyFill="1" applyBorder="1"/>
    <xf numFmtId="166" fontId="2" fillId="3" borderId="5" xfId="17" applyNumberFormat="1" applyFont="1" applyFill="1" applyBorder="1"/>
    <xf numFmtId="166" fontId="25" fillId="0" borderId="0" xfId="17" applyNumberFormat="1" applyFont="1" applyFill="1" applyBorder="1"/>
    <xf numFmtId="0" fontId="27" fillId="0" borderId="0" xfId="13" applyFont="1"/>
    <xf numFmtId="165" fontId="27" fillId="0" borderId="0" xfId="13" applyNumberFormat="1" applyFont="1"/>
    <xf numFmtId="168" fontId="2" fillId="0" borderId="0" xfId="13" applyNumberFormat="1" applyFont="1"/>
    <xf numFmtId="0" fontId="5" fillId="0" borderId="0" xfId="13" applyFont="1" applyAlignment="1">
      <alignment horizontal="center"/>
    </xf>
    <xf numFmtId="0" fontId="5" fillId="3" borderId="9" xfId="13" applyFont="1" applyFill="1" applyBorder="1" applyAlignment="1">
      <alignment horizontal="center"/>
    </xf>
    <xf numFmtId="0" fontId="5" fillId="3" borderId="5" xfId="13" applyFont="1" applyFill="1" applyBorder="1" applyAlignment="1">
      <alignment horizontal="center"/>
    </xf>
    <xf numFmtId="0" fontId="5" fillId="3" borderId="17" xfId="13" applyFont="1" applyFill="1" applyBorder="1" applyAlignment="1">
      <alignment horizontal="center"/>
    </xf>
    <xf numFmtId="0" fontId="5" fillId="3" borderId="7" xfId="13" applyFont="1" applyFill="1" applyBorder="1" applyAlignment="1">
      <alignment horizontal="center"/>
    </xf>
    <xf numFmtId="0" fontId="5" fillId="3" borderId="8" xfId="13" applyFont="1" applyFill="1" applyBorder="1" applyAlignment="1">
      <alignment horizontal="center"/>
    </xf>
    <xf numFmtId="0" fontId="5" fillId="3" borderId="1" xfId="13" applyFont="1" applyFill="1" applyBorder="1" applyAlignment="1">
      <alignment horizontal="center"/>
    </xf>
    <xf numFmtId="0" fontId="5" fillId="0" borderId="7" xfId="13" applyFont="1" applyBorder="1" applyAlignment="1">
      <alignment horizontal="center"/>
    </xf>
    <xf numFmtId="165" fontId="5" fillId="0" borderId="5" xfId="14" applyNumberFormat="1" applyFont="1" applyBorder="1"/>
    <xf numFmtId="165" fontId="5" fillId="0" borderId="17" xfId="14" applyNumberFormat="1" applyFont="1" applyBorder="1"/>
    <xf numFmtId="165" fontId="5" fillId="0" borderId="5" xfId="13" applyNumberFormat="1" applyFont="1" applyBorder="1"/>
    <xf numFmtId="165" fontId="5" fillId="0" borderId="8" xfId="14" applyNumberFormat="1" applyFont="1" applyBorder="1"/>
    <xf numFmtId="165" fontId="5" fillId="0" borderId="6" xfId="14" applyNumberFormat="1" applyFont="1" applyBorder="1"/>
    <xf numFmtId="0" fontId="21" fillId="0" borderId="9" xfId="13" applyFont="1" applyBorder="1" applyAlignment="1">
      <alignment horizontal="center"/>
    </xf>
    <xf numFmtId="165" fontId="28" fillId="0" borderId="5" xfId="14" applyNumberFormat="1" applyFont="1" applyBorder="1"/>
    <xf numFmtId="165" fontId="28" fillId="0" borderId="17" xfId="14" applyNumberFormat="1" applyFont="1" applyBorder="1"/>
    <xf numFmtId="165" fontId="21" fillId="0" borderId="5" xfId="13" applyNumberFormat="1" applyFont="1" applyBorder="1"/>
    <xf numFmtId="0" fontId="2" fillId="0" borderId="9" xfId="13" applyFont="1" applyBorder="1" applyAlignment="1">
      <alignment horizontal="left"/>
    </xf>
    <xf numFmtId="165" fontId="5" fillId="0" borderId="4" xfId="14" applyNumberFormat="1" applyFont="1" applyBorder="1"/>
    <xf numFmtId="165" fontId="5" fillId="0" borderId="10" xfId="14" applyNumberFormat="1" applyFont="1" applyBorder="1"/>
    <xf numFmtId="165" fontId="5" fillId="0" borderId="12" xfId="14" applyNumberFormat="1" applyFont="1" applyBorder="1"/>
    <xf numFmtId="0" fontId="5" fillId="3" borderId="13" xfId="13" applyFont="1" applyFill="1" applyBorder="1" applyAlignment="1">
      <alignment horizontal="left"/>
    </xf>
    <xf numFmtId="0" fontId="2" fillId="0" borderId="15" xfId="13" applyFont="1" applyBorder="1" applyAlignment="1">
      <alignment horizontal="left"/>
    </xf>
    <xf numFmtId="0" fontId="5" fillId="0" borderId="15" xfId="13" applyFont="1" applyBorder="1" applyAlignment="1">
      <alignment horizontal="left"/>
    </xf>
    <xf numFmtId="165" fontId="7" fillId="0" borderId="11" xfId="14" applyNumberFormat="1" applyFont="1" applyBorder="1"/>
    <xf numFmtId="165" fontId="7" fillId="0" borderId="14" xfId="13" applyNumberFormat="1" applyFont="1" applyBorder="1"/>
    <xf numFmtId="0" fontId="5" fillId="0" borderId="0" xfId="13" applyFont="1"/>
    <xf numFmtId="165" fontId="7" fillId="0" borderId="14" xfId="14" applyNumberFormat="1" applyFont="1" applyBorder="1"/>
    <xf numFmtId="165" fontId="2" fillId="0" borderId="11" xfId="14" applyNumberFormat="1" applyFont="1" applyBorder="1"/>
    <xf numFmtId="165" fontId="2" fillId="0" borderId="14" xfId="13" applyNumberFormat="1" applyFont="1" applyBorder="1"/>
    <xf numFmtId="165" fontId="2" fillId="0" borderId="14" xfId="14" applyNumberFormat="1" applyFont="1" applyBorder="1"/>
    <xf numFmtId="0" fontId="5" fillId="0" borderId="13" xfId="13" applyFont="1" applyBorder="1" applyAlignment="1">
      <alignment horizontal="left"/>
    </xf>
    <xf numFmtId="165" fontId="7" fillId="0" borderId="10" xfId="14" applyNumberFormat="1" applyFont="1" applyBorder="1"/>
    <xf numFmtId="165" fontId="7" fillId="0" borderId="12" xfId="14" applyNumberFormat="1" applyFont="1" applyBorder="1"/>
    <xf numFmtId="165" fontId="7" fillId="0" borderId="10" xfId="13" applyNumberFormat="1" applyFont="1" applyBorder="1"/>
    <xf numFmtId="0" fontId="2" fillId="0" borderId="15" xfId="14" applyFont="1" applyBorder="1" applyAlignment="1">
      <alignment horizontal="left"/>
    </xf>
    <xf numFmtId="0" fontId="2" fillId="0" borderId="7" xfId="14" applyFont="1" applyBorder="1" applyAlignment="1">
      <alignment horizontal="left"/>
    </xf>
    <xf numFmtId="0" fontId="22" fillId="0" borderId="15" xfId="13" applyFont="1" applyBorder="1" applyAlignment="1">
      <alignment horizontal="left"/>
    </xf>
    <xf numFmtId="0" fontId="22" fillId="0" borderId="7" xfId="13" applyFont="1" applyBorder="1" applyAlignment="1">
      <alignment horizontal="left"/>
    </xf>
    <xf numFmtId="165" fontId="7" fillId="0" borderId="11" xfId="13" applyNumberFormat="1" applyFont="1" applyBorder="1"/>
    <xf numFmtId="168" fontId="2" fillId="0" borderId="7" xfId="13" applyNumberFormat="1" applyFont="1" applyBorder="1" applyAlignment="1">
      <alignment horizontal="left"/>
    </xf>
    <xf numFmtId="165" fontId="2" fillId="0" borderId="8" xfId="14" applyNumberFormat="1" applyFont="1" applyBorder="1"/>
    <xf numFmtId="165" fontId="2" fillId="0" borderId="6" xfId="14" applyNumberFormat="1" applyFont="1" applyBorder="1"/>
    <xf numFmtId="165" fontId="2" fillId="0" borderId="6" xfId="13" applyNumberFormat="1" applyFont="1" applyBorder="1"/>
    <xf numFmtId="165" fontId="7" fillId="0" borderId="12" xfId="13" applyNumberFormat="1" applyFont="1" applyBorder="1"/>
    <xf numFmtId="167" fontId="2" fillId="0" borderId="15" xfId="13" applyNumberFormat="1" applyFont="1" applyBorder="1" applyAlignment="1">
      <alignment horizontal="left"/>
    </xf>
    <xf numFmtId="0" fontId="2" fillId="0" borderId="7" xfId="13" applyFont="1" applyBorder="1" applyAlignment="1">
      <alignment horizontal="left"/>
    </xf>
    <xf numFmtId="165" fontId="23" fillId="0" borderId="14" xfId="14" applyNumberFormat="1" applyFont="1" applyBorder="1"/>
    <xf numFmtId="165" fontId="23" fillId="0" borderId="11" xfId="14" applyNumberFormat="1" applyFont="1" applyBorder="1"/>
    <xf numFmtId="165" fontId="23" fillId="0" borderId="11" xfId="13" applyNumberFormat="1" applyFont="1" applyBorder="1"/>
    <xf numFmtId="165" fontId="7" fillId="0" borderId="8" xfId="14" applyNumberFormat="1" applyFont="1" applyBorder="1"/>
    <xf numFmtId="165" fontId="7" fillId="0" borderId="6" xfId="14" applyNumberFormat="1" applyFont="1" applyBorder="1"/>
    <xf numFmtId="165" fontId="7" fillId="0" borderId="8" xfId="13" applyNumberFormat="1" applyFont="1" applyBorder="1"/>
    <xf numFmtId="0" fontId="5" fillId="3" borderId="15" xfId="13" applyFont="1" applyFill="1" applyBorder="1" applyAlignment="1">
      <alignment horizontal="left"/>
    </xf>
    <xf numFmtId="0" fontId="5" fillId="3" borderId="7" xfId="13" applyFont="1" applyFill="1" applyBorder="1" applyAlignment="1">
      <alignment horizontal="left"/>
    </xf>
    <xf numFmtId="0" fontId="2" fillId="0" borderId="1" xfId="13" applyFont="1" applyBorder="1"/>
    <xf numFmtId="0" fontId="5" fillId="3" borderId="9" xfId="13" applyFont="1" applyFill="1" applyBorder="1" applyAlignment="1">
      <alignment horizontal="left"/>
    </xf>
    <xf numFmtId="166" fontId="24" fillId="0" borderId="15" xfId="17" applyNumberFormat="1" applyFont="1" applyFill="1" applyBorder="1"/>
    <xf numFmtId="166" fontId="24" fillId="0" borderId="14" xfId="17" applyNumberFormat="1" applyFont="1" applyFill="1" applyBorder="1"/>
    <xf numFmtId="0" fontId="5" fillId="0" borderId="0" xfId="8" applyFont="1"/>
    <xf numFmtId="166" fontId="24" fillId="0" borderId="15" xfId="17" applyNumberFormat="1" applyFont="1" applyFill="1" applyBorder="1" applyAlignment="1"/>
    <xf numFmtId="166" fontId="24" fillId="0" borderId="14" xfId="17" applyNumberFormat="1" applyFont="1" applyFill="1" applyBorder="1" applyAlignment="1"/>
    <xf numFmtId="166" fontId="24" fillId="0" borderId="0" xfId="17" applyNumberFormat="1" applyFont="1" applyFill="1" applyBorder="1"/>
    <xf numFmtId="166" fontId="24" fillId="0" borderId="11" xfId="17" applyNumberFormat="1" applyFont="1" applyFill="1" applyBorder="1"/>
    <xf numFmtId="0" fontId="29" fillId="0" borderId="0" xfId="0" applyFont="1"/>
    <xf numFmtId="0" fontId="5" fillId="3" borderId="10" xfId="14" applyFont="1" applyFill="1" applyBorder="1" applyAlignment="1">
      <alignment horizontal="left"/>
    </xf>
    <xf numFmtId="0" fontId="2" fillId="0" borderId="14" xfId="14" applyFont="1" applyBorder="1" applyAlignment="1">
      <alignment horizontal="left"/>
    </xf>
    <xf numFmtId="0" fontId="5" fillId="0" borderId="14" xfId="14" applyFont="1" applyBorder="1" applyAlignment="1">
      <alignment horizontal="left"/>
    </xf>
    <xf numFmtId="0" fontId="2" fillId="0" borderId="8" xfId="14" applyFont="1" applyBorder="1" applyAlignment="1">
      <alignment horizontal="left"/>
    </xf>
    <xf numFmtId="165" fontId="2" fillId="4" borderId="0" xfId="23" applyNumberFormat="1" applyFont="1" applyFill="1" applyBorder="1"/>
    <xf numFmtId="166" fontId="24" fillId="2" borderId="0" xfId="17" applyNumberFormat="1" applyFont="1" applyFill="1" applyBorder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6" fontId="2" fillId="2" borderId="0" xfId="17" applyNumberFormat="1" applyFont="1" applyFill="1" applyBorder="1"/>
    <xf numFmtId="0" fontId="1" fillId="0" borderId="0" xfId="12"/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5" fillId="0" borderId="3" xfId="0" applyFont="1" applyBorder="1" applyAlignment="1">
      <alignment horizontal="center"/>
    </xf>
    <xf numFmtId="0" fontId="4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13" applyFont="1" applyAlignment="1">
      <alignment horizontal="center"/>
    </xf>
    <xf numFmtId="49" fontId="5" fillId="3" borderId="9" xfId="13" applyNumberFormat="1" applyFont="1" applyFill="1" applyBorder="1" applyAlignment="1">
      <alignment horizontal="center" wrapText="1"/>
    </xf>
    <xf numFmtId="49" fontId="5" fillId="3" borderId="17" xfId="13" applyNumberFormat="1" applyFont="1" applyFill="1" applyBorder="1" applyAlignment="1">
      <alignment horizontal="center" wrapText="1"/>
    </xf>
  </cellXfs>
  <cellStyles count="25">
    <cellStyle name="Euro" xfId="1" xr:uid="{C007EA27-7D4B-4667-A0EE-D69B608145AA}"/>
    <cellStyle name="Millares 2" xfId="2" xr:uid="{D4D5A31D-8439-41DB-950C-4749B0537DBF}"/>
    <cellStyle name="Millares 2 2" xfId="3" xr:uid="{D3479B4B-DAEA-4CB4-8A96-04D446112622}"/>
    <cellStyle name="Millares 3" xfId="4" xr:uid="{323B5FBF-298B-40C5-BE4C-D85CC1B15BF1}"/>
    <cellStyle name="Millares 3 2" xfId="5" xr:uid="{AD013281-1579-4700-876A-4E26B25EAAE2}"/>
    <cellStyle name="Normal" xfId="0" builtinId="0"/>
    <cellStyle name="Normal 2" xfId="6" xr:uid="{E0215E44-D31B-43BD-B0A9-8E039BF7717D}"/>
    <cellStyle name="Normal 2 2" xfId="7" xr:uid="{1A9D7C2C-2FA4-4CD0-B8F2-3D6DF242F263}"/>
    <cellStyle name="Normal 2 3" xfId="8" xr:uid="{D6DF8897-C5AC-470E-AAE1-17361E1780E9}"/>
    <cellStyle name="Normal 2 3 2" xfId="9" xr:uid="{E27A6E2A-4FDD-4EEE-9F4D-65DBE9B04A73}"/>
    <cellStyle name="Normal 3" xfId="10" xr:uid="{7065089C-A858-48DF-88AA-86DEB18DC082}"/>
    <cellStyle name="Normal 3 2" xfId="11" xr:uid="{424001EF-3295-4586-B0DF-84F100A3FE85}"/>
    <cellStyle name="Normal 5" xfId="12" xr:uid="{DBFD157D-355B-444D-85DC-497EC44A3A7D}"/>
    <cellStyle name="Normal_Cuadro Resumen 05-06 2" xfId="13" xr:uid="{4BBFBEDB-4D5F-4F06-A09F-CF95224197EC}"/>
    <cellStyle name="Normal_Cuadro Resumen 05-06 2 2" xfId="14" xr:uid="{D8BB5496-94D3-4AD8-970E-98D10B3B3B38}"/>
    <cellStyle name="Normal_plantilla para datos fiscales" xfId="15" xr:uid="{86B9731B-CB2D-4FCB-8E4B-A5D3D1A6EFDE}"/>
    <cellStyle name="Normal_plantilla para datos fiscales 2" xfId="16" xr:uid="{1F6E35D1-4427-4C06-AF9B-8B2B2DCF46CF}"/>
    <cellStyle name="Porcentaje" xfId="17" builtinId="5"/>
    <cellStyle name="Porcentaje 2" xfId="18" xr:uid="{386C5AA2-06EE-46CD-9CC7-5F846A238605}"/>
    <cellStyle name="Porcentaje 2 2" xfId="19" xr:uid="{0A2DB5B3-C395-433B-A551-B95F5EF3F55C}"/>
    <cellStyle name="Porcentaje 3" xfId="20" xr:uid="{2E69B6FB-FAC6-472B-BBFC-4B2AC61248ED}"/>
    <cellStyle name="Porcentaje 3 2" xfId="21" xr:uid="{7E267B65-50ED-47CB-96F9-A368D78A369A}"/>
    <cellStyle name="Porcentual 2" xfId="22" xr:uid="{09985C89-0375-4D40-AB40-C931322D0A1E}"/>
    <cellStyle name="Porcentual 2 10" xfId="23" xr:uid="{CF327A86-A21F-4D7C-88D6-F662F9B6AE93}"/>
    <cellStyle name="Porcentual 2 2" xfId="24" xr:uid="{078F9E1E-A746-4198-8D0F-CFC60C55DE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2381250</xdr:colOff>
      <xdr:row>4</xdr:row>
      <xdr:rowOff>57150</xdr:rowOff>
    </xdr:to>
    <xdr:pic>
      <xdr:nvPicPr>
        <xdr:cNvPr id="2780" name="Imagen 4">
          <a:extLst>
            <a:ext uri="{FF2B5EF4-FFF2-40B4-BE49-F238E27FC236}">
              <a16:creationId xmlns:a16="http://schemas.microsoft.com/office/drawing/2014/main" id="{E81FA605-AFF9-C979-D8CC-BB0BDD38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2381250</xdr:colOff>
      <xdr:row>4</xdr:row>
      <xdr:rowOff>57150</xdr:rowOff>
    </xdr:to>
    <xdr:pic>
      <xdr:nvPicPr>
        <xdr:cNvPr id="1755" name="Imagen 4">
          <a:extLst>
            <a:ext uri="{FF2B5EF4-FFF2-40B4-BE49-F238E27FC236}">
              <a16:creationId xmlns:a16="http://schemas.microsoft.com/office/drawing/2014/main" id="{C2687BA2-7D7E-E2ED-3DBD-10E64669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0</xdr:rowOff>
    </xdr:from>
    <xdr:to>
      <xdr:col>8</xdr:col>
      <xdr:colOff>1314450</xdr:colOff>
      <xdr:row>3</xdr:row>
      <xdr:rowOff>114300</xdr:rowOff>
    </xdr:to>
    <xdr:pic>
      <xdr:nvPicPr>
        <xdr:cNvPr id="3121" name="Imagen 1">
          <a:extLst>
            <a:ext uri="{FF2B5EF4-FFF2-40B4-BE49-F238E27FC236}">
              <a16:creationId xmlns:a16="http://schemas.microsoft.com/office/drawing/2014/main" id="{1E6E9B47-0ED7-5DF3-6ECC-D3B80164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0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813F-DB8E-42DE-92D6-1FC16F064EA1}">
  <sheetPr>
    <pageSetUpPr fitToPage="1"/>
  </sheetPr>
  <dimension ref="A1:BB102"/>
  <sheetViews>
    <sheetView workbookViewId="0">
      <pane xSplit="2" ySplit="7" topLeftCell="Q8" activePane="bottomRight" state="frozen"/>
      <selection pane="topRight" activeCell="C1" sqref="C1"/>
      <selection pane="bottomLeft" activeCell="A8" sqref="A8"/>
      <selection pane="bottomRight" activeCell="W86" sqref="W86"/>
    </sheetView>
  </sheetViews>
  <sheetFormatPr baseColWidth="10" defaultRowHeight="12.75" x14ac:dyDescent="0.2"/>
  <cols>
    <col min="1" max="1" width="5.28515625" style="1" customWidth="1"/>
    <col min="2" max="2" width="39" style="1" customWidth="1"/>
    <col min="3" max="16" width="10" style="1" hidden="1" customWidth="1"/>
    <col min="17" max="23" width="10" style="1" customWidth="1"/>
    <col min="24" max="25" width="6.5703125" style="2" hidden="1" customWidth="1"/>
    <col min="26" max="26" width="7.140625" style="2" hidden="1" customWidth="1"/>
    <col min="27" max="27" width="6.85546875" style="2" hidden="1" customWidth="1"/>
    <col min="28" max="28" width="6.5703125" style="2" hidden="1" customWidth="1"/>
    <col min="29" max="29" width="6.28515625" style="2" hidden="1" customWidth="1"/>
    <col min="30" max="30" width="6.7109375" style="1" bestFit="1" customWidth="1"/>
    <col min="31" max="31" width="7.140625" style="1" bestFit="1" customWidth="1"/>
    <col min="32" max="32" width="7.5703125" style="1" bestFit="1" customWidth="1"/>
    <col min="33" max="33" width="6" style="1" customWidth="1"/>
    <col min="34" max="34" width="6.85546875" style="1" bestFit="1" customWidth="1"/>
    <col min="35" max="35" width="8" style="1" bestFit="1" customWidth="1"/>
    <col min="36" max="36" width="6.85546875" style="1" bestFit="1" customWidth="1"/>
    <col min="37" max="16384" width="11.42578125" style="1"/>
  </cols>
  <sheetData>
    <row r="1" spans="1:54" ht="10.5" customHeight="1" x14ac:dyDescent="0.2"/>
    <row r="2" spans="1:54" x14ac:dyDescent="0.2">
      <c r="A2" s="211" t="s">
        <v>44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</row>
    <row r="3" spans="1:54" x14ac:dyDescent="0.2">
      <c r="A3" s="211" t="s">
        <v>81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</row>
    <row r="4" spans="1:54" x14ac:dyDescent="0.2">
      <c r="A4" s="192"/>
      <c r="B4" s="212" t="s">
        <v>43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</row>
    <row r="5" spans="1:54" ht="13.5" thickBot="1" x14ac:dyDescent="0.25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62"/>
      <c r="AE5" s="62"/>
      <c r="AF5" s="62"/>
      <c r="AG5" s="62"/>
      <c r="AH5" s="62"/>
      <c r="AI5" s="62"/>
      <c r="AJ5" s="62"/>
    </row>
    <row r="6" spans="1:54" ht="13.5" thickTop="1" x14ac:dyDescent="0.2">
      <c r="C6" s="214" t="s">
        <v>47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3" t="s">
        <v>19</v>
      </c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</row>
    <row r="7" spans="1:54" x14ac:dyDescent="0.2">
      <c r="B7" s="7" t="s">
        <v>0</v>
      </c>
      <c r="C7" s="61">
        <v>2006</v>
      </c>
      <c r="D7" s="61">
        <v>2007</v>
      </c>
      <c r="E7" s="61">
        <v>2008</v>
      </c>
      <c r="F7" s="61">
        <v>2009</v>
      </c>
      <c r="G7" s="61">
        <v>2010</v>
      </c>
      <c r="H7" s="61">
        <v>2011</v>
      </c>
      <c r="I7" s="61">
        <v>2012</v>
      </c>
      <c r="J7" s="61">
        <v>2013</v>
      </c>
      <c r="K7" s="61">
        <v>2014</v>
      </c>
      <c r="L7" s="61">
        <v>2015</v>
      </c>
      <c r="M7" s="61">
        <v>2016</v>
      </c>
      <c r="N7" s="61">
        <v>2017</v>
      </c>
      <c r="O7" s="61">
        <v>2018</v>
      </c>
      <c r="P7" s="61">
        <v>2019</v>
      </c>
      <c r="Q7" s="61">
        <v>2020</v>
      </c>
      <c r="R7" s="61">
        <v>2021</v>
      </c>
      <c r="S7" s="61">
        <v>2022</v>
      </c>
      <c r="T7" s="61">
        <v>2023</v>
      </c>
      <c r="U7" s="61">
        <v>2024</v>
      </c>
      <c r="V7" s="61">
        <v>2025</v>
      </c>
      <c r="W7" s="61">
        <v>2026</v>
      </c>
      <c r="X7" s="8" t="s">
        <v>62</v>
      </c>
      <c r="Y7" s="8" t="s">
        <v>61</v>
      </c>
      <c r="Z7" s="8" t="s">
        <v>60</v>
      </c>
      <c r="AA7" s="8" t="s">
        <v>59</v>
      </c>
      <c r="AB7" s="8" t="s">
        <v>58</v>
      </c>
      <c r="AC7" s="8" t="s">
        <v>57</v>
      </c>
      <c r="AD7" s="8" t="s">
        <v>56</v>
      </c>
      <c r="AE7" s="66" t="s">
        <v>55</v>
      </c>
      <c r="AF7" s="66" t="s">
        <v>63</v>
      </c>
      <c r="AG7" s="66" t="s">
        <v>66</v>
      </c>
      <c r="AH7" s="66" t="s">
        <v>67</v>
      </c>
      <c r="AI7" s="66" t="s">
        <v>71</v>
      </c>
      <c r="AJ7" s="66" t="s">
        <v>80</v>
      </c>
    </row>
    <row r="8" spans="1:54" x14ac:dyDescent="0.2">
      <c r="C8" s="2"/>
      <c r="D8" s="2"/>
      <c r="E8" s="2"/>
      <c r="F8" s="2"/>
      <c r="G8" s="2"/>
    </row>
    <row r="9" spans="1:54" x14ac:dyDescent="0.2">
      <c r="A9" s="1">
        <v>1</v>
      </c>
      <c r="B9" s="4" t="s">
        <v>9</v>
      </c>
      <c r="C9" s="15">
        <f t="shared" ref="C9:O9" si="0">+C11+C34</f>
        <v>128058.54347006998</v>
      </c>
      <c r="D9" s="15">
        <f t="shared" si="0"/>
        <v>158550.72983549998</v>
      </c>
      <c r="E9" s="15">
        <f t="shared" si="0"/>
        <v>226056.63669851</v>
      </c>
      <c r="F9" s="15">
        <f t="shared" si="0"/>
        <v>182443.60042409002</v>
      </c>
      <c r="G9" s="15">
        <f t="shared" si="0"/>
        <v>216011.71294155996</v>
      </c>
      <c r="H9" s="15">
        <f t="shared" si="0"/>
        <v>207948.25391846002</v>
      </c>
      <c r="I9" s="15">
        <f t="shared" si="0"/>
        <v>227495.6</v>
      </c>
      <c r="J9" s="15">
        <f t="shared" si="0"/>
        <v>265689.04145795997</v>
      </c>
      <c r="K9" s="15">
        <f t="shared" si="0"/>
        <v>311178.94424889999</v>
      </c>
      <c r="L9" s="15">
        <f t="shared" si="0"/>
        <v>314162.27265106002</v>
      </c>
      <c r="M9" s="15">
        <f t="shared" si="0"/>
        <v>324519.99316400004</v>
      </c>
      <c r="N9" s="15">
        <f t="shared" si="0"/>
        <v>318932.48388246004</v>
      </c>
      <c r="O9" s="15">
        <f t="shared" si="0"/>
        <v>392828.29326686001</v>
      </c>
      <c r="P9" s="15">
        <f t="shared" ref="P9:W9" si="1">+P11+P34</f>
        <v>360583.44976560998</v>
      </c>
      <c r="Q9" s="15">
        <f t="shared" si="1"/>
        <v>306340.45821161999</v>
      </c>
      <c r="R9" s="15">
        <f t="shared" si="1"/>
        <v>455879.96850657999</v>
      </c>
      <c r="S9" s="15">
        <f t="shared" si="1"/>
        <v>458498.11877677002</v>
      </c>
      <c r="T9" s="15">
        <f t="shared" si="1"/>
        <v>490848.91023099999</v>
      </c>
      <c r="U9" s="15">
        <f t="shared" si="1"/>
        <v>577929.51402586012</v>
      </c>
      <c r="V9" s="15">
        <f t="shared" si="1"/>
        <v>553061.73181349994</v>
      </c>
      <c r="W9" s="15">
        <f t="shared" si="1"/>
        <v>570596.91388384998</v>
      </c>
      <c r="X9" s="37">
        <f t="shared" ref="X9:AJ9" si="2">+K9/J9-1</f>
        <v>0.17121482520060161</v>
      </c>
      <c r="Y9" s="37">
        <f t="shared" si="2"/>
        <v>9.5871795225765943E-3</v>
      </c>
      <c r="Z9" s="37">
        <f t="shared" si="2"/>
        <v>3.2969332776772831E-2</v>
      </c>
      <c r="AA9" s="37">
        <f t="shared" si="2"/>
        <v>-1.7217765928881579E-2</v>
      </c>
      <c r="AB9" s="37">
        <f t="shared" si="2"/>
        <v>0.23169734385423624</v>
      </c>
      <c r="AC9" s="37">
        <f t="shared" si="2"/>
        <v>-8.2083811308736765E-2</v>
      </c>
      <c r="AD9" s="37">
        <f t="shared" si="2"/>
        <v>-0.15043117366936709</v>
      </c>
      <c r="AE9" s="37">
        <f t="shared" si="2"/>
        <v>0.48814809238046553</v>
      </c>
      <c r="AF9" s="37">
        <f t="shared" si="2"/>
        <v>5.7430693407451994E-3</v>
      </c>
      <c r="AG9" s="37">
        <f t="shared" si="2"/>
        <v>7.0558177077233886E-2</v>
      </c>
      <c r="AH9" s="37">
        <f t="shared" si="2"/>
        <v>0.1774081636523932</v>
      </c>
      <c r="AI9" s="37">
        <f t="shared" si="2"/>
        <v>-4.3029091972014211E-2</v>
      </c>
      <c r="AJ9" s="37">
        <f t="shared" si="2"/>
        <v>3.170565067456721E-2</v>
      </c>
    </row>
    <row r="10" spans="1:54" x14ac:dyDescent="0.2">
      <c r="B10" s="4"/>
      <c r="C10" s="42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54" x14ac:dyDescent="0.2">
      <c r="B11" s="4" t="s">
        <v>30</v>
      </c>
      <c r="C11" s="14">
        <f t="shared" ref="C11:O11" si="3">+C12+C30+C31+C32</f>
        <v>128058.54347006998</v>
      </c>
      <c r="D11" s="14">
        <f t="shared" si="3"/>
        <v>158535.72983549998</v>
      </c>
      <c r="E11" s="14">
        <f t="shared" si="3"/>
        <v>226050.63669851</v>
      </c>
      <c r="F11" s="14">
        <f t="shared" si="3"/>
        <v>182443.60042409002</v>
      </c>
      <c r="G11" s="14">
        <f t="shared" si="3"/>
        <v>215930.71294155996</v>
      </c>
      <c r="H11" s="14">
        <f t="shared" si="3"/>
        <v>207948.25391846002</v>
      </c>
      <c r="I11" s="14">
        <f t="shared" si="3"/>
        <v>227495.6</v>
      </c>
      <c r="J11" s="14">
        <f t="shared" si="3"/>
        <v>265689.04145795997</v>
      </c>
      <c r="K11" s="14">
        <f t="shared" si="3"/>
        <v>311178.94424889999</v>
      </c>
      <c r="L11" s="14">
        <f t="shared" si="3"/>
        <v>314162.27265106002</v>
      </c>
      <c r="M11" s="14">
        <f t="shared" si="3"/>
        <v>324519.99316400004</v>
      </c>
      <c r="N11" s="14">
        <f t="shared" si="3"/>
        <v>318932.48388246004</v>
      </c>
      <c r="O11" s="14">
        <f t="shared" si="3"/>
        <v>391875.98017336999</v>
      </c>
      <c r="P11" s="14">
        <f t="shared" ref="P11:W11" si="4">+P12+P30+P31+P32</f>
        <v>360260.28476561001</v>
      </c>
      <c r="Q11" s="14">
        <f t="shared" si="4"/>
        <v>306340.45821161999</v>
      </c>
      <c r="R11" s="14">
        <f t="shared" si="4"/>
        <v>455879.96850657999</v>
      </c>
      <c r="S11" s="14">
        <f t="shared" si="4"/>
        <v>452220.76297941001</v>
      </c>
      <c r="T11" s="14">
        <f t="shared" si="4"/>
        <v>490848.91023099999</v>
      </c>
      <c r="U11" s="14">
        <f t="shared" si="4"/>
        <v>577929.51402586012</v>
      </c>
      <c r="V11" s="14">
        <f t="shared" si="4"/>
        <v>553061.73181349994</v>
      </c>
      <c r="W11" s="14">
        <f t="shared" si="4"/>
        <v>570596.91388384998</v>
      </c>
      <c r="X11" s="22">
        <f t="shared" ref="X11:X38" si="5">+K11/J11-1</f>
        <v>0.17121482520060161</v>
      </c>
      <c r="Y11" s="22">
        <f t="shared" ref="Y11:Y32" si="6">+L11/K11-1</f>
        <v>9.5871795225765943E-3</v>
      </c>
      <c r="Z11" s="22">
        <f t="shared" ref="Z11:Z32" si="7">+M11/L11-1</f>
        <v>3.2969332776772831E-2</v>
      </c>
      <c r="AA11" s="22">
        <f t="shared" ref="AA11:AA32" si="8">+N11/M11-1</f>
        <v>-1.7217765928881579E-2</v>
      </c>
      <c r="AB11" s="22">
        <f t="shared" ref="AB11:AB32" si="9">+O11/N11-1</f>
        <v>0.22871140437921866</v>
      </c>
      <c r="AC11" s="22">
        <f t="shared" ref="AC11:AC32" si="10">+P11/O11-1</f>
        <v>-8.0677808815362684E-2</v>
      </c>
      <c r="AD11" s="22">
        <f t="shared" ref="AD11:AJ32" si="11">+Q11/P11-1</f>
        <v>-0.14966908325482209</v>
      </c>
      <c r="AE11" s="22">
        <f t="shared" si="11"/>
        <v>0.48814809238046553</v>
      </c>
      <c r="AF11" s="22">
        <f t="shared" si="11"/>
        <v>-8.0266863647402431E-3</v>
      </c>
      <c r="AG11" s="22">
        <f t="shared" si="11"/>
        <v>8.5418783067571669E-2</v>
      </c>
      <c r="AH11" s="22">
        <f t="shared" si="11"/>
        <v>0.1774081636523932</v>
      </c>
      <c r="AI11" s="22">
        <f t="shared" si="11"/>
        <v>-4.3029091972014211E-2</v>
      </c>
      <c r="AJ11" s="22">
        <f t="shared" si="11"/>
        <v>3.170565067456721E-2</v>
      </c>
    </row>
    <row r="12" spans="1:54" x14ac:dyDescent="0.2">
      <c r="B12" s="16" t="s">
        <v>29</v>
      </c>
      <c r="C12" s="42">
        <v>124598.83729587999</v>
      </c>
      <c r="D12" s="2">
        <v>154728.90537443</v>
      </c>
      <c r="E12" s="2">
        <v>221351.61338421999</v>
      </c>
      <c r="F12" s="2">
        <f t="shared" ref="F12:O12" si="12">F13+F14+F17+F21+F24+F27</f>
        <v>173355.73362652003</v>
      </c>
      <c r="G12" s="2">
        <f t="shared" si="12"/>
        <v>176711.33010222999</v>
      </c>
      <c r="H12" s="2">
        <f t="shared" si="12"/>
        <v>200717.32970276001</v>
      </c>
      <c r="I12" s="2">
        <f t="shared" si="12"/>
        <v>210588.80000000002</v>
      </c>
      <c r="J12" s="2">
        <f t="shared" si="12"/>
        <v>247510.35144671</v>
      </c>
      <c r="K12" s="2">
        <f t="shared" si="12"/>
        <v>281705.58026269998</v>
      </c>
      <c r="L12" s="2">
        <f t="shared" si="12"/>
        <v>276203.47311889002</v>
      </c>
      <c r="M12" s="2">
        <f t="shared" si="12"/>
        <v>315286.74133887002</v>
      </c>
      <c r="N12" s="2">
        <f t="shared" si="12"/>
        <v>306436.20713371004</v>
      </c>
      <c r="O12" s="2">
        <f t="shared" si="12"/>
        <v>350885.50624938001</v>
      </c>
      <c r="P12" s="2">
        <f>P13+P14+P17+P21+P24+P27</f>
        <v>348911.49429326999</v>
      </c>
      <c r="Q12" s="2">
        <f>Q13+Q14+Q17+Q21+Q24+Q27</f>
        <v>267112.7838801</v>
      </c>
      <c r="R12" s="2">
        <f>R13+R14+R17+R21+R24+R27</f>
        <v>393864.67192833999</v>
      </c>
      <c r="S12" s="42">
        <f>S13+S14+S17+S21+S24+S27+S28+S29</f>
        <v>376019.23863842001</v>
      </c>
      <c r="T12" s="2">
        <f>T13+T14+T17+T21+T24+T27+T28+T29</f>
        <v>432085.43663661997</v>
      </c>
      <c r="U12" s="2">
        <f>U13+U14+U17+U21+U24+U27+U28+U29</f>
        <v>511651.9191236801</v>
      </c>
      <c r="V12" s="2">
        <f>V13+V14+V17+V21+V24+V27+V28+V29</f>
        <v>486755.45813879994</v>
      </c>
      <c r="W12" s="2">
        <f>W13+W14+W17+W21+W24+W27+W28+W29</f>
        <v>499681.44621080998</v>
      </c>
      <c r="X12" s="23">
        <f t="shared" si="5"/>
        <v>0.13815676239849051</v>
      </c>
      <c r="Y12" s="23">
        <f t="shared" si="6"/>
        <v>-1.9531409845268466E-2</v>
      </c>
      <c r="Z12" s="23">
        <f t="shared" si="7"/>
        <v>0.14150172616821832</v>
      </c>
      <c r="AA12" s="23">
        <f t="shared" si="8"/>
        <v>-2.8071380888317954E-2</v>
      </c>
      <c r="AB12" s="23">
        <f t="shared" si="9"/>
        <v>0.14505237331917176</v>
      </c>
      <c r="AC12" s="23">
        <f t="shared" si="10"/>
        <v>-5.6258007838803081E-3</v>
      </c>
      <c r="AD12" s="23">
        <f t="shared" si="11"/>
        <v>-0.23443971250891449</v>
      </c>
      <c r="AE12" s="23">
        <f t="shared" si="11"/>
        <v>0.47452572732398912</v>
      </c>
      <c r="AF12" s="23">
        <f t="shared" si="11"/>
        <v>-4.530854012001051E-2</v>
      </c>
      <c r="AG12" s="23">
        <f t="shared" si="11"/>
        <v>0.14910459954447486</v>
      </c>
      <c r="AH12" s="23">
        <f t="shared" si="11"/>
        <v>0.18414525401830395</v>
      </c>
      <c r="AI12" s="23">
        <f t="shared" si="11"/>
        <v>-4.865898094845611E-2</v>
      </c>
      <c r="AJ12" s="23">
        <f t="shared" si="11"/>
        <v>2.6555404476479749E-2</v>
      </c>
    </row>
    <row r="13" spans="1:54" x14ac:dyDescent="0.2">
      <c r="B13" s="17" t="s">
        <v>22</v>
      </c>
      <c r="C13" s="42">
        <v>37977.371908690002</v>
      </c>
      <c r="D13" s="2">
        <v>42521.382501399996</v>
      </c>
      <c r="E13" s="2">
        <v>66952.837319090002</v>
      </c>
      <c r="F13" s="2">
        <v>50465.959095110004</v>
      </c>
      <c r="G13" s="2">
        <v>47305.366074009995</v>
      </c>
      <c r="H13" s="2">
        <v>57330.911381980004</v>
      </c>
      <c r="I13" s="2">
        <v>52067.1</v>
      </c>
      <c r="J13" s="2">
        <v>59344.959347850003</v>
      </c>
      <c r="K13" s="2">
        <v>66562.509176539985</v>
      </c>
      <c r="L13" s="2">
        <v>71873.899154230006</v>
      </c>
      <c r="M13" s="2">
        <v>84433.053776760004</v>
      </c>
      <c r="N13" s="2">
        <v>88726.846339520009</v>
      </c>
      <c r="O13" s="2">
        <v>93006.811299800014</v>
      </c>
      <c r="P13" s="2">
        <v>109545.00722690999</v>
      </c>
      <c r="Q13" s="2">
        <v>122021.80228538001</v>
      </c>
      <c r="R13" s="2">
        <v>124900.04455439</v>
      </c>
      <c r="S13" s="42">
        <v>139061.87263885999</v>
      </c>
      <c r="T13" s="2">
        <v>142329.37130905999</v>
      </c>
      <c r="U13" s="2">
        <v>153529.11830058001</v>
      </c>
      <c r="V13" s="2">
        <v>164495.88024272997</v>
      </c>
      <c r="W13" s="2">
        <v>161424.40139114996</v>
      </c>
      <c r="X13" s="23">
        <f t="shared" si="5"/>
        <v>0.12162026746676791</v>
      </c>
      <c r="Y13" s="23">
        <f t="shared" si="6"/>
        <v>7.9795519180368091E-2</v>
      </c>
      <c r="Z13" s="23">
        <f t="shared" si="7"/>
        <v>0.17473874063211792</v>
      </c>
      <c r="AA13" s="23">
        <f t="shared" si="8"/>
        <v>5.08544032306677E-2</v>
      </c>
      <c r="AB13" s="23">
        <f t="shared" si="9"/>
        <v>4.8237541813470841E-2</v>
      </c>
      <c r="AC13" s="23">
        <f t="shared" si="10"/>
        <v>0.17781704045094537</v>
      </c>
      <c r="AD13" s="23">
        <f t="shared" si="11"/>
        <v>0.11389651956136859</v>
      </c>
      <c r="AE13" s="23">
        <f t="shared" si="11"/>
        <v>2.3587934410921552E-2</v>
      </c>
      <c r="AF13" s="23">
        <f t="shared" si="11"/>
        <v>0.11338529249525586</v>
      </c>
      <c r="AG13" s="23">
        <f t="shared" si="11"/>
        <v>2.3496725653088246E-2</v>
      </c>
      <c r="AH13" s="23">
        <f t="shared" si="11"/>
        <v>7.868893741686267E-2</v>
      </c>
      <c r="AI13" s="23">
        <f t="shared" si="11"/>
        <v>7.1431153018668203E-2</v>
      </c>
      <c r="AJ13" s="23">
        <f t="shared" si="11"/>
        <v>-1.8672071586520733E-2</v>
      </c>
    </row>
    <row r="14" spans="1:54" x14ac:dyDescent="0.2">
      <c r="B14" s="17" t="s">
        <v>23</v>
      </c>
      <c r="C14" s="42">
        <v>5977.1434727599999</v>
      </c>
      <c r="D14" s="2">
        <v>8155.5242569100001</v>
      </c>
      <c r="E14" s="2">
        <v>12355.192950499997</v>
      </c>
      <c r="F14" s="2">
        <v>8013.05667971</v>
      </c>
      <c r="G14" s="2">
        <f t="shared" ref="G14:O14" si="13">+G15+G16</f>
        <v>8886.7961202400002</v>
      </c>
      <c r="H14" s="2">
        <f t="shared" si="13"/>
        <v>9805.4791265000003</v>
      </c>
      <c r="I14" s="2">
        <f t="shared" si="13"/>
        <v>9907.5</v>
      </c>
      <c r="J14" s="2">
        <f t="shared" si="13"/>
        <v>12054.40459075</v>
      </c>
      <c r="K14" s="2">
        <f t="shared" si="13"/>
        <v>13025.438387480001</v>
      </c>
      <c r="L14" s="2">
        <f t="shared" si="13"/>
        <v>12591.66120036</v>
      </c>
      <c r="M14" s="2">
        <f t="shared" si="13"/>
        <v>13445.459631289999</v>
      </c>
      <c r="N14" s="2">
        <f t="shared" si="13"/>
        <v>11514.57865257</v>
      </c>
      <c r="O14" s="2">
        <f t="shared" si="13"/>
        <v>13976.263743149999</v>
      </c>
      <c r="P14" s="2">
        <f t="shared" ref="P14:W14" si="14">+P15+P16</f>
        <v>12200.44056666</v>
      </c>
      <c r="Q14" s="2">
        <f t="shared" si="14"/>
        <v>6178.8344149900004</v>
      </c>
      <c r="R14" s="2">
        <f t="shared" si="14"/>
        <v>13921.891481250001</v>
      </c>
      <c r="S14" s="42">
        <f t="shared" si="14"/>
        <v>5631.5000265099998</v>
      </c>
      <c r="T14" s="2">
        <f t="shared" si="14"/>
        <v>11382.94062967</v>
      </c>
      <c r="U14" s="2">
        <f t="shared" si="14"/>
        <v>14354.241043359996</v>
      </c>
      <c r="V14" s="2">
        <f t="shared" si="14"/>
        <v>14180.80903928</v>
      </c>
      <c r="W14" s="2">
        <f t="shared" si="14"/>
        <v>14794.08303439</v>
      </c>
      <c r="X14" s="23">
        <f t="shared" si="5"/>
        <v>8.0554272873429866E-2</v>
      </c>
      <c r="Y14" s="23">
        <f t="shared" si="6"/>
        <v>-3.3302310004164282E-2</v>
      </c>
      <c r="Z14" s="23">
        <f t="shared" si="7"/>
        <v>6.7806655320871378E-2</v>
      </c>
      <c r="AA14" s="23">
        <f t="shared" si="8"/>
        <v>-0.14360840251429496</v>
      </c>
      <c r="AB14" s="23">
        <f t="shared" si="9"/>
        <v>0.21378855144044384</v>
      </c>
      <c r="AC14" s="23">
        <f t="shared" si="10"/>
        <v>-0.12705993598327447</v>
      </c>
      <c r="AD14" s="23">
        <f t="shared" si="11"/>
        <v>-0.4935564514059575</v>
      </c>
      <c r="AE14" s="23">
        <f t="shared" si="11"/>
        <v>1.2531582085247597</v>
      </c>
      <c r="AF14" s="23">
        <f t="shared" si="11"/>
        <v>-0.59549318179253863</v>
      </c>
      <c r="AG14" s="23">
        <f t="shared" si="11"/>
        <v>1.0212981578771885</v>
      </c>
      <c r="AH14" s="23">
        <f t="shared" si="11"/>
        <v>0.26103100335472251</v>
      </c>
      <c r="AI14" s="23">
        <f t="shared" si="11"/>
        <v>-1.2082283107557434E-2</v>
      </c>
      <c r="AJ14" s="23">
        <f t="shared" si="11"/>
        <v>4.3246756472868908E-2</v>
      </c>
    </row>
    <row r="15" spans="1:54" x14ac:dyDescent="0.2">
      <c r="B15" s="18" t="s">
        <v>34</v>
      </c>
      <c r="C15" s="42">
        <v>4717.47030541</v>
      </c>
      <c r="D15" s="2">
        <v>6367.6987134999999</v>
      </c>
      <c r="E15" s="2">
        <v>9579.0708170499984</v>
      </c>
      <c r="F15" s="2">
        <v>6609.7694420200005</v>
      </c>
      <c r="G15" s="2">
        <v>7120.2577634300005</v>
      </c>
      <c r="H15" s="2">
        <v>8154.3926557499999</v>
      </c>
      <c r="I15" s="2">
        <v>8298</v>
      </c>
      <c r="J15" s="2">
        <v>10024.69717573</v>
      </c>
      <c r="K15" s="2">
        <v>10892.021667590001</v>
      </c>
      <c r="L15" s="2">
        <v>10525.40182239</v>
      </c>
      <c r="M15" s="2">
        <v>11260.44757004</v>
      </c>
      <c r="N15" s="2">
        <v>9572.6081986600002</v>
      </c>
      <c r="O15" s="2">
        <v>11662.593415709998</v>
      </c>
      <c r="P15" s="2">
        <v>10291.000284399999</v>
      </c>
      <c r="Q15" s="2">
        <v>5294.4898953000002</v>
      </c>
      <c r="R15" s="2">
        <v>11386.035707659999</v>
      </c>
      <c r="S15" s="42">
        <v>4678.4419965299994</v>
      </c>
      <c r="T15" s="2">
        <v>9034.2234575700004</v>
      </c>
      <c r="U15" s="2">
        <v>11560.780308339996</v>
      </c>
      <c r="V15" s="2">
        <v>11523.629084010001</v>
      </c>
      <c r="W15" s="2">
        <v>11811.68966724</v>
      </c>
      <c r="X15" s="23">
        <f t="shared" si="5"/>
        <v>8.6518772253770582E-2</v>
      </c>
      <c r="Y15" s="23">
        <f t="shared" si="6"/>
        <v>-3.365948548292963E-2</v>
      </c>
      <c r="Z15" s="23">
        <f t="shared" si="7"/>
        <v>6.9835409616988198E-2</v>
      </c>
      <c r="AA15" s="23">
        <f t="shared" si="8"/>
        <v>-0.1498909666673226</v>
      </c>
      <c r="AB15" s="23">
        <f t="shared" si="9"/>
        <v>0.21832975649651676</v>
      </c>
      <c r="AC15" s="23">
        <f t="shared" si="10"/>
        <v>-0.11760618607027884</v>
      </c>
      <c r="AD15" s="23">
        <f t="shared" si="11"/>
        <v>-0.48552232543168306</v>
      </c>
      <c r="AE15" s="23">
        <f t="shared" si="11"/>
        <v>1.1505444212420839</v>
      </c>
      <c r="AF15" s="23">
        <f t="shared" si="11"/>
        <v>-0.58910703280312393</v>
      </c>
      <c r="AG15" s="23">
        <f t="shared" si="11"/>
        <v>0.93103248138390615</v>
      </c>
      <c r="AH15" s="23">
        <f t="shared" si="11"/>
        <v>0.2796650827418854</v>
      </c>
      <c r="AI15" s="23">
        <f t="shared" si="11"/>
        <v>-3.213556813565055E-3</v>
      </c>
      <c r="AJ15" s="23">
        <f t="shared" si="11"/>
        <v>2.4997384168647718E-2</v>
      </c>
    </row>
    <row r="16" spans="1:54" x14ac:dyDescent="0.2">
      <c r="B16" s="18" t="s">
        <v>35</v>
      </c>
      <c r="C16" s="42">
        <v>1259.6731673499999</v>
      </c>
      <c r="D16" s="2">
        <v>1787.8255434100001</v>
      </c>
      <c r="E16" s="2">
        <v>2776.1221334499996</v>
      </c>
      <c r="F16" s="2">
        <v>1403.28723769</v>
      </c>
      <c r="G16" s="2">
        <v>1766.5383568099999</v>
      </c>
      <c r="H16" s="2">
        <v>1651.08647075</v>
      </c>
      <c r="I16" s="2">
        <v>1609.5</v>
      </c>
      <c r="J16" s="2">
        <v>2029.7074150199999</v>
      </c>
      <c r="K16" s="2">
        <v>2133.41671989</v>
      </c>
      <c r="L16" s="2">
        <v>2066.2593779700001</v>
      </c>
      <c r="M16" s="2">
        <v>2185.01206125</v>
      </c>
      <c r="N16" s="2">
        <v>1941.9704539100001</v>
      </c>
      <c r="O16" s="2">
        <v>2313.6703274400002</v>
      </c>
      <c r="P16" s="2">
        <v>1909.44028226</v>
      </c>
      <c r="Q16" s="2">
        <v>884.34451969000008</v>
      </c>
      <c r="R16" s="2">
        <v>2535.8557735900004</v>
      </c>
      <c r="S16" s="42">
        <v>953.05802998000001</v>
      </c>
      <c r="T16" s="2">
        <v>2348.7171721</v>
      </c>
      <c r="U16" s="2">
        <v>2793.4607350199999</v>
      </c>
      <c r="V16" s="2">
        <v>2657.1799552699999</v>
      </c>
      <c r="W16" s="2">
        <v>2982.3933671499999</v>
      </c>
      <c r="X16" s="23">
        <f t="shared" si="5"/>
        <v>5.1095691971435375E-2</v>
      </c>
      <c r="Y16" s="23">
        <f t="shared" si="6"/>
        <v>-3.1478773600060017E-2</v>
      </c>
      <c r="Z16" s="23">
        <f t="shared" si="7"/>
        <v>5.7472302144694343E-2</v>
      </c>
      <c r="AA16" s="23">
        <f t="shared" si="8"/>
        <v>-0.11123124290717223</v>
      </c>
      <c r="AB16" s="23">
        <f t="shared" si="9"/>
        <v>0.19140346485787796</v>
      </c>
      <c r="AC16" s="23">
        <f t="shared" si="10"/>
        <v>-0.17471376124154536</v>
      </c>
      <c r="AD16" s="23">
        <f t="shared" si="11"/>
        <v>-0.53685667579857688</v>
      </c>
      <c r="AE16" s="23">
        <f t="shared" si="11"/>
        <v>1.867497583949437</v>
      </c>
      <c r="AF16" s="23">
        <f t="shared" si="11"/>
        <v>-0.62416709975947893</v>
      </c>
      <c r="AG16" s="23">
        <f t="shared" si="11"/>
        <v>1.4644010104497918</v>
      </c>
      <c r="AH16" s="23">
        <f t="shared" si="11"/>
        <v>0.18935594638768372</v>
      </c>
      <c r="AI16" s="23">
        <f t="shared" si="11"/>
        <v>-4.8785643571619519E-2</v>
      </c>
      <c r="AJ16" s="23">
        <f t="shared" si="11"/>
        <v>0.12239043548217432</v>
      </c>
    </row>
    <row r="17" spans="2:36" x14ac:dyDescent="0.2">
      <c r="B17" s="17" t="s">
        <v>24</v>
      </c>
      <c r="C17" s="42">
        <v>79.351649349999988</v>
      </c>
      <c r="D17" s="2">
        <v>195.16957521</v>
      </c>
      <c r="E17" s="2">
        <v>319.34229158000005</v>
      </c>
      <c r="F17" s="2">
        <v>346.14992037000002</v>
      </c>
      <c r="G17" s="2">
        <f>+G18+G19</f>
        <v>279.23358472999996</v>
      </c>
      <c r="H17" s="2">
        <f>+H18+H19</f>
        <v>292.02106750000002</v>
      </c>
      <c r="I17" s="2">
        <f>+I18+I19</f>
        <v>276.10000000000002</v>
      </c>
      <c r="J17" s="2">
        <f>+J18+J19</f>
        <v>235.54944383</v>
      </c>
      <c r="K17" s="2">
        <f t="shared" ref="K17:W17" si="15">+K18+K19+K20</f>
        <v>417.08870023000003</v>
      </c>
      <c r="L17" s="2">
        <f t="shared" si="15"/>
        <v>353.64031205999999</v>
      </c>
      <c r="M17" s="2">
        <f t="shared" si="15"/>
        <v>463.47790929000007</v>
      </c>
      <c r="N17" s="2">
        <f t="shared" si="15"/>
        <v>392.47384414999999</v>
      </c>
      <c r="O17" s="2">
        <f t="shared" si="15"/>
        <v>480.77897293999996</v>
      </c>
      <c r="P17" s="2">
        <f t="shared" si="15"/>
        <v>402.15748732999998</v>
      </c>
      <c r="Q17" s="2">
        <f t="shared" si="15"/>
        <v>494.36947174000005</v>
      </c>
      <c r="R17" s="2">
        <f t="shared" si="15"/>
        <v>474.19661817000008</v>
      </c>
      <c r="S17" s="42">
        <f t="shared" si="15"/>
        <v>197.96198336</v>
      </c>
      <c r="T17" s="2">
        <f t="shared" si="15"/>
        <v>397.44897222999998</v>
      </c>
      <c r="U17" s="2">
        <f t="shared" si="15"/>
        <v>425.93313650999994</v>
      </c>
      <c r="V17" s="2">
        <f t="shared" si="15"/>
        <v>325.25039705</v>
      </c>
      <c r="W17" s="2">
        <f t="shared" si="15"/>
        <v>401.90943562000001</v>
      </c>
      <c r="X17" s="23">
        <f t="shared" si="5"/>
        <v>0.77070551918186636</v>
      </c>
      <c r="Y17" s="23">
        <f t="shared" si="6"/>
        <v>-0.15212205014188096</v>
      </c>
      <c r="Z17" s="23">
        <f t="shared" si="7"/>
        <v>0.31059128013484116</v>
      </c>
      <c r="AA17" s="23">
        <f t="shared" si="8"/>
        <v>-0.1531983805846775</v>
      </c>
      <c r="AB17" s="23">
        <f t="shared" si="9"/>
        <v>0.22499621339416076</v>
      </c>
      <c r="AC17" s="23">
        <f t="shared" si="10"/>
        <v>-0.16352937635609066</v>
      </c>
      <c r="AD17" s="23">
        <f t="shared" si="11"/>
        <v>0.22929321799331137</v>
      </c>
      <c r="AE17" s="23">
        <f t="shared" si="11"/>
        <v>-4.0805216994890259E-2</v>
      </c>
      <c r="AF17" s="23">
        <f t="shared" si="11"/>
        <v>-0.58253185329754842</v>
      </c>
      <c r="AG17" s="23">
        <f t="shared" si="11"/>
        <v>1.0077035271324126</v>
      </c>
      <c r="AH17" s="23">
        <f t="shared" si="11"/>
        <v>7.1667474997309633E-2</v>
      </c>
      <c r="AI17" s="23">
        <f t="shared" si="11"/>
        <v>-0.23638156046033798</v>
      </c>
      <c r="AJ17" s="23">
        <f t="shared" si="11"/>
        <v>0.23569237506023821</v>
      </c>
    </row>
    <row r="18" spans="2:36" x14ac:dyDescent="0.2">
      <c r="B18" s="18" t="s">
        <v>36</v>
      </c>
      <c r="C18" s="42">
        <v>79.351649349999988</v>
      </c>
      <c r="D18" s="2">
        <v>13.972496640000001</v>
      </c>
      <c r="E18" s="2">
        <v>13.536564</v>
      </c>
      <c r="F18" s="2">
        <v>12.61357024</v>
      </c>
      <c r="G18" s="2">
        <v>11.370837</v>
      </c>
      <c r="H18" s="2">
        <v>12.051436499999999</v>
      </c>
      <c r="I18" s="2">
        <v>11.5</v>
      </c>
      <c r="J18" s="2">
        <v>13.4952735</v>
      </c>
      <c r="K18" s="2">
        <v>15.4447335</v>
      </c>
      <c r="L18" s="2">
        <v>12.560280000000001</v>
      </c>
      <c r="M18" s="2">
        <v>16.850456999999999</v>
      </c>
      <c r="N18" s="2">
        <v>13.590220499999999</v>
      </c>
      <c r="O18" s="2">
        <v>16.671863999999999</v>
      </c>
      <c r="P18" s="2">
        <v>12.950775</v>
      </c>
      <c r="Q18" s="2">
        <v>18.949857000000002</v>
      </c>
      <c r="R18" s="2">
        <v>14.8882785</v>
      </c>
      <c r="S18" s="42">
        <v>6.0624314999999998</v>
      </c>
      <c r="T18" s="2">
        <v>14.8995195</v>
      </c>
      <c r="U18" s="2">
        <v>16.218481499999999</v>
      </c>
      <c r="V18" s="2">
        <v>11.2430685</v>
      </c>
      <c r="W18" s="2">
        <v>16.206309000000001</v>
      </c>
      <c r="X18" s="23">
        <f t="shared" si="5"/>
        <v>0.14445501975191544</v>
      </c>
      <c r="Y18" s="23">
        <f t="shared" si="6"/>
        <v>-0.18675968089705142</v>
      </c>
      <c r="Z18" s="23">
        <f t="shared" si="7"/>
        <v>0.34156698736015412</v>
      </c>
      <c r="AA18" s="23">
        <f t="shared" si="8"/>
        <v>-0.19348059818199592</v>
      </c>
      <c r="AB18" s="23">
        <f t="shared" si="9"/>
        <v>0.2267544886412991</v>
      </c>
      <c r="AC18" s="23">
        <f t="shared" si="10"/>
        <v>-0.22319573864086217</v>
      </c>
      <c r="AD18" s="23">
        <f t="shared" si="11"/>
        <v>0.46322185351841894</v>
      </c>
      <c r="AE18" s="23">
        <f t="shared" si="11"/>
        <v>-0.21433293665487829</v>
      </c>
      <c r="AF18" s="23">
        <f t="shared" si="11"/>
        <v>-0.59280507145268679</v>
      </c>
      <c r="AG18" s="23">
        <f t="shared" si="11"/>
        <v>1.4576804702865509</v>
      </c>
      <c r="AH18" s="23">
        <f t="shared" si="11"/>
        <v>8.8523794341152984E-2</v>
      </c>
      <c r="AI18" s="23">
        <f t="shared" si="11"/>
        <v>-0.30677428093376069</v>
      </c>
      <c r="AJ18" s="23">
        <f t="shared" si="11"/>
        <v>0.4414489247308242</v>
      </c>
    </row>
    <row r="19" spans="2:36" x14ac:dyDescent="0.2">
      <c r="B19" s="18" t="s">
        <v>37</v>
      </c>
      <c r="C19" s="42">
        <v>0</v>
      </c>
      <c r="D19" s="2">
        <v>181.19707857</v>
      </c>
      <c r="E19" s="2">
        <v>305.80572758000005</v>
      </c>
      <c r="F19" s="2">
        <v>333.53635013000002</v>
      </c>
      <c r="G19" s="2">
        <v>267.86274772999997</v>
      </c>
      <c r="H19" s="2">
        <v>279.96963099999999</v>
      </c>
      <c r="I19" s="2">
        <v>264.60000000000002</v>
      </c>
      <c r="J19" s="2">
        <v>222.05417033000001</v>
      </c>
      <c r="K19" s="2">
        <v>271.98717823000004</v>
      </c>
      <c r="L19" s="2">
        <v>215.84454756</v>
      </c>
      <c r="M19" s="2">
        <v>294.06742704000004</v>
      </c>
      <c r="N19" s="2">
        <v>247.86099965</v>
      </c>
      <c r="O19" s="2">
        <v>307.74588544</v>
      </c>
      <c r="P19" s="2">
        <v>250.33395958000003</v>
      </c>
      <c r="Q19" s="2">
        <v>353.06977899000003</v>
      </c>
      <c r="R19" s="2">
        <v>292.60617667000002</v>
      </c>
      <c r="S19" s="42">
        <v>125.76874261</v>
      </c>
      <c r="T19" s="2">
        <v>260.33191822999999</v>
      </c>
      <c r="U19" s="2">
        <v>267.85435875999997</v>
      </c>
      <c r="V19" s="2">
        <v>183.82905730000002</v>
      </c>
      <c r="W19" s="2">
        <v>251.31871912</v>
      </c>
      <c r="X19" s="23">
        <f t="shared" si="5"/>
        <v>0.22486858871325577</v>
      </c>
      <c r="Y19" s="23">
        <f t="shared" si="6"/>
        <v>-0.20641646064111252</v>
      </c>
      <c r="Z19" s="23">
        <f t="shared" si="7"/>
        <v>0.36240377792381251</v>
      </c>
      <c r="AA19" s="23">
        <f t="shared" si="8"/>
        <v>-0.15712868254434342</v>
      </c>
      <c r="AB19" s="23">
        <f t="shared" si="9"/>
        <v>0.24160673068599881</v>
      </c>
      <c r="AC19" s="23">
        <f t="shared" si="10"/>
        <v>-0.18655627443374334</v>
      </c>
      <c r="AD19" s="23">
        <f t="shared" si="11"/>
        <v>0.41039505619759264</v>
      </c>
      <c r="AE19" s="23">
        <f t="shared" si="11"/>
        <v>-0.17125114047700052</v>
      </c>
      <c r="AF19" s="23">
        <f t="shared" si="11"/>
        <v>-0.57017741716422665</v>
      </c>
      <c r="AG19" s="23">
        <f t="shared" si="11"/>
        <v>1.0699254268389318</v>
      </c>
      <c r="AH19" s="23">
        <f t="shared" si="11"/>
        <v>2.8895575237739335E-2</v>
      </c>
      <c r="AI19" s="23">
        <f t="shared" si="11"/>
        <v>-0.31369771934638335</v>
      </c>
      <c r="AJ19" s="23">
        <f t="shared" si="11"/>
        <v>0.36713271999137853</v>
      </c>
    </row>
    <row r="20" spans="2:36" x14ac:dyDescent="0.2">
      <c r="B20" s="18" t="s">
        <v>49</v>
      </c>
      <c r="C20" s="42"/>
      <c r="D20" s="2"/>
      <c r="E20" s="2"/>
      <c r="F20" s="2"/>
      <c r="G20" s="2"/>
      <c r="H20" s="2"/>
      <c r="I20" s="2">
        <v>0</v>
      </c>
      <c r="J20" s="2">
        <v>0</v>
      </c>
      <c r="K20" s="2">
        <v>129.6567885</v>
      </c>
      <c r="L20" s="2">
        <v>125.2354845</v>
      </c>
      <c r="M20" s="2">
        <v>152.56002525</v>
      </c>
      <c r="N20" s="2">
        <v>131.02262400000001</v>
      </c>
      <c r="O20" s="2">
        <v>156.36122349999999</v>
      </c>
      <c r="P20" s="2">
        <v>138.87275274999999</v>
      </c>
      <c r="Q20" s="2">
        <v>122.34983575</v>
      </c>
      <c r="R20" s="2">
        <v>166.70216300000001</v>
      </c>
      <c r="S20" s="42">
        <v>66.130809249999999</v>
      </c>
      <c r="T20" s="2">
        <v>122.2175345</v>
      </c>
      <c r="U20" s="2">
        <v>141.86029625</v>
      </c>
      <c r="V20" s="2">
        <v>130.17827124999999</v>
      </c>
      <c r="W20" s="2">
        <v>134.38440750000001</v>
      </c>
      <c r="X20" s="36" t="e">
        <f t="shared" si="5"/>
        <v>#DIV/0!</v>
      </c>
      <c r="Y20" s="23">
        <f t="shared" si="6"/>
        <v>-3.4100057938732609E-2</v>
      </c>
      <c r="Z20" s="23">
        <f t="shared" si="7"/>
        <v>0.21818529196491432</v>
      </c>
      <c r="AA20" s="23">
        <f t="shared" si="8"/>
        <v>-0.14117329369018305</v>
      </c>
      <c r="AB20" s="23">
        <f t="shared" si="9"/>
        <v>0.19339102459129487</v>
      </c>
      <c r="AC20" s="23">
        <f t="shared" si="10"/>
        <v>-0.11184659699212451</v>
      </c>
      <c r="AD20" s="23">
        <f t="shared" si="11"/>
        <v>-0.11897882538372884</v>
      </c>
      <c r="AE20" s="23">
        <f t="shared" si="11"/>
        <v>0.36250418301031528</v>
      </c>
      <c r="AF20" s="23">
        <f t="shared" si="11"/>
        <v>-0.60329963295077338</v>
      </c>
      <c r="AG20" s="23">
        <f t="shared" si="11"/>
        <v>0.84811793301924543</v>
      </c>
      <c r="AH20" s="23">
        <f t="shared" si="11"/>
        <v>0.16071966948408711</v>
      </c>
      <c r="AI20" s="23">
        <f t="shared" si="11"/>
        <v>-8.2348798845117366E-2</v>
      </c>
      <c r="AJ20" s="23">
        <f t="shared" si="11"/>
        <v>3.2310586164739918E-2</v>
      </c>
    </row>
    <row r="21" spans="2:36" x14ac:dyDescent="0.2">
      <c r="B21" s="17" t="s">
        <v>25</v>
      </c>
      <c r="C21" s="42">
        <v>45899.042908749994</v>
      </c>
      <c r="D21" s="2">
        <v>57664.514577680005</v>
      </c>
      <c r="E21" s="2">
        <v>80137.318563399996</v>
      </c>
      <c r="F21" s="2">
        <v>66888.495105180002</v>
      </c>
      <c r="G21" s="2">
        <f t="shared" ref="G21:O21" si="16">+G22+G23</f>
        <v>74837.136855320001</v>
      </c>
      <c r="H21" s="2">
        <f t="shared" si="16"/>
        <v>74233.575315249996</v>
      </c>
      <c r="I21" s="2">
        <f t="shared" si="16"/>
        <v>87777</v>
      </c>
      <c r="J21" s="2">
        <f t="shared" si="16"/>
        <v>99259.128914609988</v>
      </c>
      <c r="K21" s="2">
        <f t="shared" si="16"/>
        <v>106926.91183822</v>
      </c>
      <c r="L21" s="2">
        <f t="shared" si="16"/>
        <v>109165.87908894999</v>
      </c>
      <c r="M21" s="2">
        <f t="shared" si="16"/>
        <v>117598.81966167</v>
      </c>
      <c r="N21" s="2">
        <f t="shared" si="16"/>
        <v>110472.15297107</v>
      </c>
      <c r="O21" s="2">
        <f t="shared" si="16"/>
        <v>125522.96717613999</v>
      </c>
      <c r="P21" s="2">
        <f>+P22+P23</f>
        <v>117347.17656505</v>
      </c>
      <c r="Q21" s="2">
        <f>+Q22+Q23</f>
        <v>75617.704571499999</v>
      </c>
      <c r="R21" s="2">
        <f>+R22+R23</f>
        <v>165201.93853089999</v>
      </c>
      <c r="S21" s="42">
        <v>111161.16060754001</v>
      </c>
      <c r="T21" s="2">
        <f>+T22+T23</f>
        <v>176399.57996221998</v>
      </c>
      <c r="U21" s="2">
        <f>+U22+U23</f>
        <v>216616.18064794</v>
      </c>
      <c r="V21" s="2">
        <f>+V22+V23</f>
        <v>197824.52469869002</v>
      </c>
      <c r="W21" s="2">
        <f>+W22+W23</f>
        <v>192837.66273911</v>
      </c>
      <c r="X21" s="23">
        <f t="shared" si="5"/>
        <v>7.7250153285209677E-2</v>
      </c>
      <c r="Y21" s="23">
        <f t="shared" si="6"/>
        <v>2.0939230472844406E-2</v>
      </c>
      <c r="Z21" s="23">
        <f t="shared" si="7"/>
        <v>7.7248867898079387E-2</v>
      </c>
      <c r="AA21" s="23">
        <f t="shared" si="8"/>
        <v>-6.0601515483772017E-2</v>
      </c>
      <c r="AB21" s="23">
        <f t="shared" si="9"/>
        <v>0.13624079734384686</v>
      </c>
      <c r="AC21" s="23">
        <f t="shared" si="10"/>
        <v>-6.513382208068208E-2</v>
      </c>
      <c r="AD21" s="23">
        <f t="shared" si="11"/>
        <v>-0.35560695378484686</v>
      </c>
      <c r="AE21" s="23">
        <f t="shared" si="11"/>
        <v>1.184699197986022</v>
      </c>
      <c r="AF21" s="23">
        <f t="shared" si="11"/>
        <v>-0.32711951447986187</v>
      </c>
      <c r="AG21" s="23">
        <f t="shared" si="11"/>
        <v>0.58688141611805822</v>
      </c>
      <c r="AH21" s="23">
        <f t="shared" si="11"/>
        <v>0.22798580753045616</v>
      </c>
      <c r="AI21" s="23">
        <f t="shared" si="11"/>
        <v>-8.6750933808548258E-2</v>
      </c>
      <c r="AJ21" s="23">
        <f t="shared" si="11"/>
        <v>-2.5208512277108186E-2</v>
      </c>
    </row>
    <row r="22" spans="2:36" x14ac:dyDescent="0.2">
      <c r="B22" s="18" t="s">
        <v>26</v>
      </c>
      <c r="C22" s="42">
        <v>25657.736963599997</v>
      </c>
      <c r="D22" s="2">
        <v>30835.157692150002</v>
      </c>
      <c r="E22" s="2">
        <v>38710.770342609998</v>
      </c>
      <c r="F22" s="2">
        <v>38100.097512220003</v>
      </c>
      <c r="G22" s="2">
        <v>41431.500522360002</v>
      </c>
      <c r="H22" s="2">
        <v>40660.974360890003</v>
      </c>
      <c r="I22" s="2">
        <v>49050.2</v>
      </c>
      <c r="J22" s="2">
        <v>52322.196768559996</v>
      </c>
      <c r="K22" s="2">
        <v>57877.110367879999</v>
      </c>
      <c r="L22" s="2">
        <v>55420.02462561</v>
      </c>
      <c r="M22" s="2">
        <v>61052.925769809997</v>
      </c>
      <c r="N22" s="2">
        <v>60117.410380100002</v>
      </c>
      <c r="O22" s="2">
        <v>65613.550726539994</v>
      </c>
      <c r="P22" s="2">
        <v>65146.291425110001</v>
      </c>
      <c r="Q22" s="2">
        <v>47325.910497650002</v>
      </c>
      <c r="R22" s="2">
        <v>99526.327687429992</v>
      </c>
      <c r="S22" s="42">
        <v>78274.163185080004</v>
      </c>
      <c r="T22" s="2">
        <v>114842.24107022</v>
      </c>
      <c r="U22" s="2">
        <v>138003.70987851999</v>
      </c>
      <c r="V22" s="2">
        <v>126035.97018897001</v>
      </c>
      <c r="W22" s="2">
        <v>121604.28270698</v>
      </c>
      <c r="X22" s="23">
        <f t="shared" si="5"/>
        <v>0.10616743834153985</v>
      </c>
      <c r="Y22" s="23">
        <f t="shared" si="6"/>
        <v>-4.2453497188304823E-2</v>
      </c>
      <c r="Z22" s="23">
        <f t="shared" si="7"/>
        <v>0.10164017757576005</v>
      </c>
      <c r="AA22" s="23">
        <f t="shared" si="8"/>
        <v>-1.5323023064237828E-2</v>
      </c>
      <c r="AB22" s="23">
        <f t="shared" si="9"/>
        <v>9.1423438097049559E-2</v>
      </c>
      <c r="AC22" s="23">
        <f t="shared" si="10"/>
        <v>-7.1213841692153723E-3</v>
      </c>
      <c r="AD22" s="23">
        <f t="shared" si="11"/>
        <v>-0.27354405811335725</v>
      </c>
      <c r="AE22" s="23">
        <f t="shared" si="11"/>
        <v>1.1029986880521196</v>
      </c>
      <c r="AF22" s="23">
        <f t="shared" si="11"/>
        <v>-0.21353309215923277</v>
      </c>
      <c r="AG22" s="23">
        <f t="shared" si="11"/>
        <v>0.46717941651671735</v>
      </c>
      <c r="AH22" s="23">
        <f t="shared" si="11"/>
        <v>0.20168074562510463</v>
      </c>
      <c r="AI22" s="23">
        <f t="shared" si="11"/>
        <v>-8.6720420053089775E-2</v>
      </c>
      <c r="AJ22" s="23">
        <f t="shared" si="11"/>
        <v>-3.5162084882160438E-2</v>
      </c>
    </row>
    <row r="23" spans="2:36" x14ac:dyDescent="0.2">
      <c r="B23" s="18" t="s">
        <v>27</v>
      </c>
      <c r="C23" s="42">
        <v>20241.305945150001</v>
      </c>
      <c r="D23" s="2">
        <v>26829.35688553</v>
      </c>
      <c r="E23" s="2">
        <v>41426.548220789999</v>
      </c>
      <c r="F23" s="2">
        <v>28788.397592959998</v>
      </c>
      <c r="G23" s="2">
        <v>33405.636332959999</v>
      </c>
      <c r="H23" s="2">
        <v>33572.600954360001</v>
      </c>
      <c r="I23" s="2">
        <v>38726.800000000003</v>
      </c>
      <c r="J23" s="2">
        <v>46936.93214605</v>
      </c>
      <c r="K23" s="2">
        <v>49049.801470339997</v>
      </c>
      <c r="L23" s="2">
        <v>53745.854463339994</v>
      </c>
      <c r="M23" s="2">
        <v>56545.893891860003</v>
      </c>
      <c r="N23" s="2">
        <v>50354.742590970003</v>
      </c>
      <c r="O23" s="2">
        <v>59909.416449600001</v>
      </c>
      <c r="P23" s="2">
        <v>52200.885139940001</v>
      </c>
      <c r="Q23" s="2">
        <v>28291.79407385</v>
      </c>
      <c r="R23" s="2">
        <v>65675.61084347</v>
      </c>
      <c r="S23" s="42">
        <v>32886.997422460001</v>
      </c>
      <c r="T23" s="2">
        <v>61557.338892</v>
      </c>
      <c r="U23" s="2">
        <v>78612.470769420004</v>
      </c>
      <c r="V23" s="2">
        <v>71788.554509720008</v>
      </c>
      <c r="W23" s="2">
        <v>71233.380032130008</v>
      </c>
      <c r="X23" s="23">
        <f t="shared" si="5"/>
        <v>4.5015070812799207E-2</v>
      </c>
      <c r="Y23" s="23">
        <f t="shared" si="6"/>
        <v>9.5740509690740883E-2</v>
      </c>
      <c r="Z23" s="23">
        <f t="shared" si="7"/>
        <v>5.2097774916387563E-2</v>
      </c>
      <c r="AA23" s="23">
        <f t="shared" si="8"/>
        <v>-0.10948896329643554</v>
      </c>
      <c r="AB23" s="23">
        <f t="shared" si="9"/>
        <v>0.18974724856092129</v>
      </c>
      <c r="AC23" s="23">
        <f t="shared" si="10"/>
        <v>-0.12866977791621381</v>
      </c>
      <c r="AD23" s="23">
        <f t="shared" si="11"/>
        <v>-0.45802079796146311</v>
      </c>
      <c r="AE23" s="23">
        <f t="shared" si="11"/>
        <v>1.3213660707425312</v>
      </c>
      <c r="AF23" s="23">
        <f t="shared" si="11"/>
        <v>-0.49925098525779621</v>
      </c>
      <c r="AG23" s="23">
        <f t="shared" si="11"/>
        <v>0.87178349246197051</v>
      </c>
      <c r="AH23" s="23">
        <f t="shared" si="11"/>
        <v>0.27706090263814986</v>
      </c>
      <c r="AI23" s="23">
        <f t="shared" si="11"/>
        <v>-8.6804500518949168E-2</v>
      </c>
      <c r="AJ23" s="23">
        <f t="shared" si="11"/>
        <v>-7.7334678401252965E-3</v>
      </c>
    </row>
    <row r="24" spans="2:36" x14ac:dyDescent="0.2">
      <c r="B24" s="17" t="s">
        <v>28</v>
      </c>
      <c r="C24" s="42">
        <v>7411.04171778</v>
      </c>
      <c r="D24" s="2">
        <v>10756.857057439998</v>
      </c>
      <c r="E24" s="2">
        <v>15866.922044160001</v>
      </c>
      <c r="F24" s="2">
        <v>10718.2627624</v>
      </c>
      <c r="G24" s="2">
        <f t="shared" ref="G24:O24" si="17">+G25+G26</f>
        <v>12177.299519439999</v>
      </c>
      <c r="H24" s="2">
        <f t="shared" si="17"/>
        <v>13557.398390369999</v>
      </c>
      <c r="I24" s="2">
        <f t="shared" si="17"/>
        <v>17841.7</v>
      </c>
      <c r="J24" s="2">
        <f t="shared" si="17"/>
        <v>16151.812065419999</v>
      </c>
      <c r="K24" s="2">
        <f t="shared" si="17"/>
        <v>19573.784107420001</v>
      </c>
      <c r="L24" s="2">
        <f t="shared" si="17"/>
        <v>22071.712805899999</v>
      </c>
      <c r="M24" s="2">
        <f t="shared" si="17"/>
        <v>27131.787623889999</v>
      </c>
      <c r="N24" s="2">
        <f t="shared" si="17"/>
        <v>25555.15680456</v>
      </c>
      <c r="O24" s="2">
        <f t="shared" si="17"/>
        <v>25586.510654059995</v>
      </c>
      <c r="P24" s="2">
        <f>+P25+P26</f>
        <v>16184.21248453</v>
      </c>
      <c r="Q24" s="2">
        <f>+Q25+Q26</f>
        <v>4254.1011634699998</v>
      </c>
      <c r="R24" s="2">
        <f>+R25+R26</f>
        <v>14857.33529619</v>
      </c>
      <c r="S24" s="42">
        <v>7923.4436329399996</v>
      </c>
      <c r="T24" s="2">
        <f>+T25+T26</f>
        <v>17469.223530750001</v>
      </c>
      <c r="U24" s="2">
        <f>+U25+U26</f>
        <v>30560.832540430001</v>
      </c>
      <c r="V24" s="2">
        <f>+V25+V26</f>
        <v>23802.73670881</v>
      </c>
      <c r="W24" s="2">
        <f>+W25+W26</f>
        <v>25595.77167559</v>
      </c>
      <c r="X24" s="23">
        <f t="shared" si="5"/>
        <v>0.21186304224813424</v>
      </c>
      <c r="Y24" s="23">
        <f t="shared" si="6"/>
        <v>0.1276160340162884</v>
      </c>
      <c r="Z24" s="23">
        <f t="shared" si="7"/>
        <v>0.22925610089659143</v>
      </c>
      <c r="AA24" s="23">
        <f t="shared" si="8"/>
        <v>-5.8110097321480869E-2</v>
      </c>
      <c r="AB24" s="23">
        <f t="shared" si="9"/>
        <v>1.2269089068708272E-3</v>
      </c>
      <c r="AC24" s="23">
        <f t="shared" si="10"/>
        <v>-0.36747090279924766</v>
      </c>
      <c r="AD24" s="23">
        <f t="shared" si="11"/>
        <v>-0.73714500056543586</v>
      </c>
      <c r="AE24" s="23">
        <f t="shared" si="11"/>
        <v>2.4924734333471088</v>
      </c>
      <c r="AF24" s="23">
        <f t="shared" si="11"/>
        <v>-0.46669820159662956</v>
      </c>
      <c r="AG24" s="23">
        <f t="shared" si="11"/>
        <v>1.2047514111320856</v>
      </c>
      <c r="AH24" s="23">
        <f t="shared" si="11"/>
        <v>0.74940989716203732</v>
      </c>
      <c r="AI24" s="23">
        <f t="shared" si="11"/>
        <v>-0.22113585494372501</v>
      </c>
      <c r="AJ24" s="23">
        <f t="shared" si="11"/>
        <v>7.5328941739558619E-2</v>
      </c>
    </row>
    <row r="25" spans="2:36" x14ac:dyDescent="0.2">
      <c r="B25" s="18" t="s">
        <v>26</v>
      </c>
      <c r="C25" s="42">
        <v>1405.2906440300001</v>
      </c>
      <c r="D25" s="2">
        <v>1830.9699341199998</v>
      </c>
      <c r="E25" s="2">
        <v>2031.46723</v>
      </c>
      <c r="F25" s="2">
        <v>2437.9246360000002</v>
      </c>
      <c r="G25" s="2">
        <v>2505.4784114200002</v>
      </c>
      <c r="H25" s="2">
        <v>2338.0646988799999</v>
      </c>
      <c r="I25" s="2">
        <v>5526.2</v>
      </c>
      <c r="J25" s="2">
        <v>2104.4193721199999</v>
      </c>
      <c r="K25" s="2">
        <v>5102.5411443500006</v>
      </c>
      <c r="L25" s="2">
        <v>4509.7115526099997</v>
      </c>
      <c r="M25" s="2">
        <v>4481.7134409799992</v>
      </c>
      <c r="N25" s="2">
        <v>4756.4374378800003</v>
      </c>
      <c r="O25" s="2">
        <v>6762.5485141400004</v>
      </c>
      <c r="P25" s="2">
        <v>811.73652669000001</v>
      </c>
      <c r="Q25" s="2">
        <v>24.645809</v>
      </c>
      <c r="R25" s="2">
        <v>1134.0922439999999</v>
      </c>
      <c r="S25" s="42">
        <v>1037.573396</v>
      </c>
      <c r="T25" s="2">
        <v>1231.1877549999999</v>
      </c>
      <c r="U25" s="2">
        <v>1159.8119429999999</v>
      </c>
      <c r="V25" s="2">
        <v>1010.80002</v>
      </c>
      <c r="W25" s="2">
        <v>989.976719</v>
      </c>
      <c r="X25" s="23">
        <f t="shared" si="5"/>
        <v>1.4246788505894057</v>
      </c>
      <c r="Y25" s="23">
        <f t="shared" si="6"/>
        <v>-0.11618320655707715</v>
      </c>
      <c r="Z25" s="23">
        <f t="shared" si="7"/>
        <v>-6.2084040860210798E-3</v>
      </c>
      <c r="AA25" s="23">
        <f t="shared" si="8"/>
        <v>6.1298876092338528E-2</v>
      </c>
      <c r="AB25" s="23">
        <f t="shared" si="9"/>
        <v>0.42176757341186577</v>
      </c>
      <c r="AC25" s="23">
        <f t="shared" si="10"/>
        <v>-0.87996588490378769</v>
      </c>
      <c r="AD25" s="23">
        <f t="shared" si="11"/>
        <v>-0.96963816683167181</v>
      </c>
      <c r="AE25" s="23">
        <f t="shared" si="11"/>
        <v>45.015622534443885</v>
      </c>
      <c r="AF25" s="23">
        <f t="shared" si="11"/>
        <v>-8.5106699662783281E-2</v>
      </c>
      <c r="AG25" s="23">
        <f t="shared" si="11"/>
        <v>0.18660304875434552</v>
      </c>
      <c r="AH25" s="23">
        <f t="shared" si="11"/>
        <v>-5.79731334316268E-2</v>
      </c>
      <c r="AI25" s="23">
        <f t="shared" si="11"/>
        <v>-0.12847938314427232</v>
      </c>
      <c r="AJ25" s="23">
        <f t="shared" si="11"/>
        <v>-2.060081182032425E-2</v>
      </c>
    </row>
    <row r="26" spans="2:36" x14ac:dyDescent="0.2">
      <c r="B26" s="18" t="s">
        <v>27</v>
      </c>
      <c r="C26" s="42">
        <v>6005.7510737499997</v>
      </c>
      <c r="D26" s="2">
        <v>8925.8871233199989</v>
      </c>
      <c r="E26" s="2">
        <v>13835.454814160001</v>
      </c>
      <c r="F26" s="2">
        <v>8280.3381264</v>
      </c>
      <c r="G26" s="2">
        <v>9671.8211080199999</v>
      </c>
      <c r="H26" s="2">
        <v>11219.333691489999</v>
      </c>
      <c r="I26" s="2">
        <v>12315.5</v>
      </c>
      <c r="J26" s="2">
        <v>14047.392693299998</v>
      </c>
      <c r="K26" s="2">
        <v>14471.242963069999</v>
      </c>
      <c r="L26" s="2">
        <v>17562.00125329</v>
      </c>
      <c r="M26" s="2">
        <v>22650.074182910001</v>
      </c>
      <c r="N26" s="2">
        <v>20798.719366680001</v>
      </c>
      <c r="O26" s="2">
        <v>18823.962139919997</v>
      </c>
      <c r="P26" s="2">
        <v>15372.475957840001</v>
      </c>
      <c r="Q26" s="2">
        <v>4229.4553544700002</v>
      </c>
      <c r="R26" s="2">
        <v>13723.243052190001</v>
      </c>
      <c r="S26" s="42">
        <v>6885.8702369399998</v>
      </c>
      <c r="T26" s="2">
        <v>16238.035775750001</v>
      </c>
      <c r="U26" s="2">
        <v>29401.020597430001</v>
      </c>
      <c r="V26" s="2">
        <v>22791.936688810001</v>
      </c>
      <c r="W26" s="2">
        <v>24605.794956590002</v>
      </c>
      <c r="X26" s="23">
        <f t="shared" si="5"/>
        <v>3.0172878271720771E-2</v>
      </c>
      <c r="Y26" s="23">
        <f t="shared" si="6"/>
        <v>0.21357932405028968</v>
      </c>
      <c r="Z26" s="23">
        <f t="shared" si="7"/>
        <v>0.28972056522697387</v>
      </c>
      <c r="AA26" s="23">
        <f t="shared" si="8"/>
        <v>-8.1737251775841346E-2</v>
      </c>
      <c r="AB26" s="23">
        <f t="shared" si="9"/>
        <v>-9.4946097014204089E-2</v>
      </c>
      <c r="AC26" s="23">
        <f t="shared" si="10"/>
        <v>-0.18335598831026256</v>
      </c>
      <c r="AD26" s="23">
        <f t="shared" si="11"/>
        <v>-0.72486830579084649</v>
      </c>
      <c r="AE26" s="23">
        <f t="shared" si="11"/>
        <v>2.2446832752794674</v>
      </c>
      <c r="AF26" s="23">
        <f t="shared" si="11"/>
        <v>-0.49823301891886773</v>
      </c>
      <c r="AG26" s="23">
        <f t="shared" si="11"/>
        <v>1.3581675542822884</v>
      </c>
      <c r="AH26" s="23">
        <f t="shared" si="11"/>
        <v>0.81062666713283726</v>
      </c>
      <c r="AI26" s="23">
        <f t="shared" si="11"/>
        <v>-0.22479096896376827</v>
      </c>
      <c r="AJ26" s="23">
        <f t="shared" si="11"/>
        <v>7.9583332147045605E-2</v>
      </c>
    </row>
    <row r="27" spans="2:36" x14ac:dyDescent="0.2">
      <c r="B27" s="17" t="s">
        <v>31</v>
      </c>
      <c r="C27" s="42">
        <v>27254.88563855</v>
      </c>
      <c r="D27" s="2">
        <v>35435.457405790003</v>
      </c>
      <c r="E27" s="2">
        <v>45720.000215489999</v>
      </c>
      <c r="F27" s="2">
        <f>36536.01006375+387.8</f>
        <v>36923.810063750003</v>
      </c>
      <c r="G27" s="2">
        <v>33225.497948489996</v>
      </c>
      <c r="H27" s="2">
        <f>43698.54442116+1799.4</f>
        <v>45497.944421159998</v>
      </c>
      <c r="I27" s="2">
        <v>42719.4</v>
      </c>
      <c r="J27" s="2">
        <v>60464.497084250004</v>
      </c>
      <c r="K27" s="2">
        <v>75199.848052809975</v>
      </c>
      <c r="L27" s="2">
        <v>60146.680557390006</v>
      </c>
      <c r="M27" s="2">
        <v>72214.142735970003</v>
      </c>
      <c r="N27" s="2">
        <v>69774.998521839996</v>
      </c>
      <c r="O27" s="2">
        <v>92312.174403289988</v>
      </c>
      <c r="P27" s="2">
        <v>93232.499962789982</v>
      </c>
      <c r="Q27" s="2">
        <v>58545.971973020009</v>
      </c>
      <c r="R27" s="2">
        <v>74509.265447440004</v>
      </c>
      <c r="S27" s="42">
        <v>85587.206662770011</v>
      </c>
      <c r="T27" s="2">
        <v>84106.872232690017</v>
      </c>
      <c r="U27" s="2">
        <v>96165.613454860038</v>
      </c>
      <c r="V27" s="2">
        <v>86126.25705224002</v>
      </c>
      <c r="W27" s="2">
        <v>104627.61793495</v>
      </c>
      <c r="X27" s="23">
        <f t="shared" si="5"/>
        <v>0.24370253089226934</v>
      </c>
      <c r="Y27" s="23">
        <f t="shared" si="6"/>
        <v>-0.20017550414262419</v>
      </c>
      <c r="Z27" s="23">
        <f t="shared" si="7"/>
        <v>0.20063388480874877</v>
      </c>
      <c r="AA27" s="23">
        <f t="shared" si="8"/>
        <v>-3.377654461741697E-2</v>
      </c>
      <c r="AB27" s="23">
        <f t="shared" si="9"/>
        <v>0.32299786970824118</v>
      </c>
      <c r="AC27" s="23">
        <f t="shared" si="10"/>
        <v>9.9697094716815204E-3</v>
      </c>
      <c r="AD27" s="23">
        <f t="shared" si="11"/>
        <v>-0.37204331111590605</v>
      </c>
      <c r="AE27" s="23">
        <f t="shared" si="11"/>
        <v>0.27266254084527675</v>
      </c>
      <c r="AF27" s="23">
        <f t="shared" si="11"/>
        <v>0.1486787065850832</v>
      </c>
      <c r="AG27" s="23">
        <f t="shared" si="11"/>
        <v>-1.7296211522743077E-2</v>
      </c>
      <c r="AH27" s="23">
        <f t="shared" si="11"/>
        <v>0.14337402999374782</v>
      </c>
      <c r="AI27" s="23">
        <f t="shared" si="11"/>
        <v>-0.10439653054709075</v>
      </c>
      <c r="AJ27" s="23">
        <f t="shared" si="11"/>
        <v>0.21481672971679178</v>
      </c>
    </row>
    <row r="28" spans="2:36" x14ac:dyDescent="0.2">
      <c r="B28" s="17" t="s">
        <v>64</v>
      </c>
      <c r="C28" s="4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42">
        <v>8021.2133846400002</v>
      </c>
      <c r="T28" s="2">
        <v>0</v>
      </c>
      <c r="U28" s="2">
        <v>0</v>
      </c>
      <c r="V28" s="2">
        <v>0</v>
      </c>
      <c r="W28" s="2">
        <v>0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x14ac:dyDescent="0.2">
      <c r="B29" s="17" t="s">
        <v>65</v>
      </c>
      <c r="C29" s="4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42">
        <v>18434.8797018</v>
      </c>
      <c r="T29" s="2">
        <v>0</v>
      </c>
      <c r="U29" s="2">
        <v>0</v>
      </c>
      <c r="V29" s="2">
        <v>0</v>
      </c>
      <c r="W29" s="2">
        <v>0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2:36" x14ac:dyDescent="0.2">
      <c r="B30" s="16" t="s">
        <v>32</v>
      </c>
      <c r="C30" s="42">
        <v>2731.8995397800004</v>
      </c>
      <c r="D30" s="2">
        <v>878.06651863000002</v>
      </c>
      <c r="E30" s="2">
        <v>3734.7613406799996</v>
      </c>
      <c r="F30" s="2">
        <v>4523.41989956</v>
      </c>
      <c r="G30" s="2">
        <v>4396.3866233500003</v>
      </c>
      <c r="H30" s="2">
        <v>5855.0037288100002</v>
      </c>
      <c r="I30" s="2">
        <v>6244</v>
      </c>
      <c r="J30" s="2">
        <v>4724.2062008299999</v>
      </c>
      <c r="K30" s="2">
        <v>4750.3147245800001</v>
      </c>
      <c r="L30" s="2">
        <v>5210.7031395200001</v>
      </c>
      <c r="M30" s="2">
        <v>5285.1188882500001</v>
      </c>
      <c r="N30" s="2">
        <v>5999.6485460000004</v>
      </c>
      <c r="O30" s="2">
        <v>6271.9687922799994</v>
      </c>
      <c r="P30" s="2">
        <v>6099.2909375500003</v>
      </c>
      <c r="Q30" s="2">
        <v>6226.5151808100009</v>
      </c>
      <c r="R30" s="2">
        <v>40374.441732560001</v>
      </c>
      <c r="S30" s="42">
        <v>29865.160470589999</v>
      </c>
      <c r="T30" s="2">
        <v>44111.635367210001</v>
      </c>
      <c r="U30" s="2">
        <v>49837.031973789999</v>
      </c>
      <c r="V30" s="2">
        <v>52844.15210544</v>
      </c>
      <c r="W30" s="2">
        <v>54252.479377069998</v>
      </c>
      <c r="X30" s="23">
        <f t="shared" si="5"/>
        <v>5.5265419501402402E-3</v>
      </c>
      <c r="Y30" s="23">
        <f t="shared" si="6"/>
        <v>9.6917455291492427E-2</v>
      </c>
      <c r="Z30" s="23">
        <f t="shared" si="7"/>
        <v>1.4281325713146442E-2</v>
      </c>
      <c r="AA30" s="23">
        <f t="shared" si="8"/>
        <v>0.13519651551047596</v>
      </c>
      <c r="AB30" s="23">
        <f t="shared" si="9"/>
        <v>4.5389366425731215E-2</v>
      </c>
      <c r="AC30" s="23">
        <f t="shared" si="10"/>
        <v>-2.7531682705842497E-2</v>
      </c>
      <c r="AD30" s="23">
        <f t="shared" si="11"/>
        <v>2.085885794965936E-2</v>
      </c>
      <c r="AE30" s="23">
        <f t="shared" si="11"/>
        <v>5.4842758043846498</v>
      </c>
      <c r="AF30" s="23">
        <f t="shared" si="11"/>
        <v>-0.26029539508145771</v>
      </c>
      <c r="AG30" s="23">
        <f t="shared" si="11"/>
        <v>0.47702656446963854</v>
      </c>
      <c r="AH30" s="23">
        <f t="shared" si="11"/>
        <v>0.12979334270694309</v>
      </c>
      <c r="AI30" s="23">
        <f t="shared" si="11"/>
        <v>6.0339069413914759E-2</v>
      </c>
      <c r="AJ30" s="23">
        <f t="shared" si="11"/>
        <v>2.6650579402238472E-2</v>
      </c>
    </row>
    <row r="31" spans="2:36" x14ac:dyDescent="0.2">
      <c r="B31" s="16" t="s">
        <v>11</v>
      </c>
      <c r="C31" s="42">
        <v>681.71331566999993</v>
      </c>
      <c r="D31" s="2">
        <v>413.37126644</v>
      </c>
      <c r="E31" s="2">
        <v>723.06928576999996</v>
      </c>
      <c r="F31" s="2">
        <v>941.35861678999993</v>
      </c>
      <c r="G31" s="2">
        <v>616.82499598000004</v>
      </c>
      <c r="H31" s="2">
        <v>1067.3037028400001</v>
      </c>
      <c r="I31" s="2">
        <v>1162.8</v>
      </c>
      <c r="J31" s="2">
        <v>1769.68054929</v>
      </c>
      <c r="K31" s="2">
        <v>1471.0638063800002</v>
      </c>
      <c r="L31" s="2">
        <v>13077.294237799999</v>
      </c>
      <c r="M31" s="2">
        <v>1596.6396444100001</v>
      </c>
      <c r="N31" s="2">
        <v>1522.4447909200001</v>
      </c>
      <c r="O31" s="2">
        <v>4892.2510176800006</v>
      </c>
      <c r="P31" s="2">
        <v>1780.30819395</v>
      </c>
      <c r="Q31" s="2">
        <v>5678.6470853700002</v>
      </c>
      <c r="R31" s="2">
        <v>18558.611214970002</v>
      </c>
      <c r="S31" s="42">
        <v>45590.173922129994</v>
      </c>
      <c r="T31" s="2">
        <v>13041.7184234</v>
      </c>
      <c r="U31" s="2">
        <v>15160.552366299999</v>
      </c>
      <c r="V31" s="2">
        <v>11709.61758224</v>
      </c>
      <c r="W31" s="2">
        <v>15315.619914159999</v>
      </c>
      <c r="X31" s="23">
        <f t="shared" si="5"/>
        <v>-0.16874047863034125</v>
      </c>
      <c r="Y31" s="23">
        <f t="shared" si="6"/>
        <v>7.8896852611584922</v>
      </c>
      <c r="Z31" s="23">
        <f t="shared" si="7"/>
        <v>-0.87790749253045763</v>
      </c>
      <c r="AA31" s="23">
        <f t="shared" si="8"/>
        <v>-4.6469379455636006E-2</v>
      </c>
      <c r="AB31" s="23">
        <f t="shared" si="9"/>
        <v>2.2134176863803749</v>
      </c>
      <c r="AC31" s="23">
        <f t="shared" si="10"/>
        <v>-0.63609631077469597</v>
      </c>
      <c r="AD31" s="23">
        <f t="shared" si="11"/>
        <v>2.1896988985770434</v>
      </c>
      <c r="AE31" s="23">
        <f t="shared" si="11"/>
        <v>2.2681395649296263</v>
      </c>
      <c r="AF31" s="23">
        <f t="shared" si="11"/>
        <v>1.4565509452213439</v>
      </c>
      <c r="AG31" s="23">
        <f t="shared" si="11"/>
        <v>-0.71393576068220699</v>
      </c>
      <c r="AH31" s="23">
        <f t="shared" si="11"/>
        <v>0.16246585565735705</v>
      </c>
      <c r="AI31" s="23">
        <f t="shared" si="11"/>
        <v>-0.22762592685811323</v>
      </c>
      <c r="AJ31" s="23">
        <f t="shared" si="11"/>
        <v>0.30795218602093621</v>
      </c>
    </row>
    <row r="32" spans="2:36" x14ac:dyDescent="0.2">
      <c r="B32" s="16" t="s">
        <v>33</v>
      </c>
      <c r="C32" s="42">
        <v>46.093318740000001</v>
      </c>
      <c r="D32" s="2">
        <v>2515.3866760000001</v>
      </c>
      <c r="E32" s="2">
        <v>241.19268783999999</v>
      </c>
      <c r="F32" s="2">
        <v>3623.0882812199998</v>
      </c>
      <c r="G32" s="2">
        <v>34206.171219999997</v>
      </c>
      <c r="H32" s="2">
        <v>308.61678405000004</v>
      </c>
      <c r="I32" s="2">
        <v>9500</v>
      </c>
      <c r="J32" s="2">
        <v>11684.803261129999</v>
      </c>
      <c r="K32" s="2">
        <v>23251.985455240003</v>
      </c>
      <c r="L32" s="2">
        <v>19670.80215485</v>
      </c>
      <c r="M32" s="2">
        <v>2351.4932924700001</v>
      </c>
      <c r="N32" s="2">
        <v>4974.1834118300003</v>
      </c>
      <c r="O32" s="2">
        <v>29826.254114029998</v>
      </c>
      <c r="P32" s="2">
        <v>3469.1913408400001</v>
      </c>
      <c r="Q32" s="2">
        <v>27322.512065340001</v>
      </c>
      <c r="R32" s="2">
        <v>3082.2436307100002</v>
      </c>
      <c r="S32" s="42">
        <v>746.18994826999995</v>
      </c>
      <c r="T32" s="2">
        <v>1610.1198037700001</v>
      </c>
      <c r="U32" s="2">
        <v>1280.0105620899999</v>
      </c>
      <c r="V32" s="2">
        <v>1752.5039870200001</v>
      </c>
      <c r="W32" s="2">
        <v>1347.3683818099998</v>
      </c>
      <c r="X32" s="23">
        <f t="shared" si="5"/>
        <v>0.98993384275358176</v>
      </c>
      <c r="Y32" s="23">
        <f t="shared" si="6"/>
        <v>-0.15401623690517818</v>
      </c>
      <c r="Z32" s="23">
        <f t="shared" si="7"/>
        <v>-0.88045768169702121</v>
      </c>
      <c r="AA32" s="23">
        <f t="shared" si="8"/>
        <v>1.1153296195904243</v>
      </c>
      <c r="AB32" s="23">
        <f t="shared" si="9"/>
        <v>4.9962111656548123</v>
      </c>
      <c r="AC32" s="23">
        <f t="shared" si="10"/>
        <v>-0.88368665647463507</v>
      </c>
      <c r="AD32" s="23">
        <f t="shared" si="11"/>
        <v>6.8757581755996089</v>
      </c>
      <c r="AE32" s="23">
        <f t="shared" si="11"/>
        <v>-0.88719032776565288</v>
      </c>
      <c r="AF32" s="23">
        <f t="shared" si="11"/>
        <v>-0.7579068893726244</v>
      </c>
      <c r="AG32" s="23">
        <f t="shared" si="11"/>
        <v>1.1577881174933724</v>
      </c>
      <c r="AH32" s="23">
        <f t="shared" si="11"/>
        <v>-0.20502153995439898</v>
      </c>
      <c r="AI32" s="23">
        <f t="shared" si="11"/>
        <v>0.36913244228118969</v>
      </c>
      <c r="AJ32" s="23">
        <f t="shared" si="11"/>
        <v>-0.23117528302968515</v>
      </c>
    </row>
    <row r="33" spans="1:37" x14ac:dyDescent="0.2">
      <c r="C33" s="4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2"/>
      <c r="T33" s="2"/>
      <c r="U33" s="2"/>
      <c r="V33" s="2"/>
      <c r="W33" s="2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7" ht="15" x14ac:dyDescent="0.25">
      <c r="B34" s="9" t="s">
        <v>10</v>
      </c>
      <c r="C34" s="6">
        <v>0</v>
      </c>
      <c r="D34" s="6">
        <v>15</v>
      </c>
      <c r="E34" s="6">
        <v>6</v>
      </c>
      <c r="F34" s="6">
        <v>0</v>
      </c>
      <c r="G34" s="6">
        <v>81</v>
      </c>
      <c r="H34" s="6"/>
      <c r="I34" s="6"/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952.31309349000003</v>
      </c>
      <c r="P34" s="6">
        <v>323.16500000000002</v>
      </c>
      <c r="Q34" s="6">
        <v>0</v>
      </c>
      <c r="R34" s="6">
        <v>0</v>
      </c>
      <c r="S34" s="6">
        <v>6277.35579736</v>
      </c>
      <c r="T34" s="6">
        <v>0</v>
      </c>
      <c r="U34" s="6">
        <v>0</v>
      </c>
      <c r="V34" s="6">
        <v>0</v>
      </c>
      <c r="W34" s="6">
        <v>0</v>
      </c>
      <c r="X34" s="38" t="e">
        <f t="shared" si="5"/>
        <v>#DIV/0!</v>
      </c>
      <c r="Y34" s="38" t="e">
        <f t="shared" ref="Y34:AJ34" si="18">+L34/K34-1</f>
        <v>#DIV/0!</v>
      </c>
      <c r="Z34" s="38" t="e">
        <f t="shared" si="18"/>
        <v>#DIV/0!</v>
      </c>
      <c r="AA34" s="38" t="e">
        <f t="shared" si="18"/>
        <v>#DIV/0!</v>
      </c>
      <c r="AB34" s="38" t="e">
        <f t="shared" si="18"/>
        <v>#DIV/0!</v>
      </c>
      <c r="AC34" s="24">
        <f t="shared" si="18"/>
        <v>-0.66065257087280249</v>
      </c>
      <c r="AD34" s="24">
        <f t="shared" si="18"/>
        <v>-1</v>
      </c>
      <c r="AE34" s="67" t="e">
        <f t="shared" si="18"/>
        <v>#DIV/0!</v>
      </c>
      <c r="AF34" s="67" t="e">
        <f t="shared" si="18"/>
        <v>#DIV/0!</v>
      </c>
      <c r="AG34" s="67">
        <f t="shared" si="18"/>
        <v>-1</v>
      </c>
      <c r="AH34" s="67" t="e">
        <f t="shared" si="18"/>
        <v>#DIV/0!</v>
      </c>
      <c r="AI34" s="67" t="e">
        <f t="shared" si="18"/>
        <v>#DIV/0!</v>
      </c>
      <c r="AJ34" s="67" t="e">
        <f t="shared" si="18"/>
        <v>#DIV/0!</v>
      </c>
    </row>
    <row r="35" spans="1:37" x14ac:dyDescent="0.2">
      <c r="C35" s="42"/>
      <c r="D35" s="2"/>
      <c r="E35" s="2"/>
      <c r="F35" s="2"/>
      <c r="G35" s="2"/>
      <c r="S35" s="48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7" x14ac:dyDescent="0.2">
      <c r="A36" s="10">
        <v>2</v>
      </c>
      <c r="B36" s="58" t="s">
        <v>54</v>
      </c>
      <c r="C36" s="15">
        <f>+C40+C56</f>
        <v>95176.099999999977</v>
      </c>
      <c r="D36" s="15">
        <f t="shared" ref="D36:K36" si="19">+D40+D56</f>
        <v>112591.23256118999</v>
      </c>
      <c r="E36" s="28">
        <f t="shared" si="19"/>
        <v>170011.62964365003</v>
      </c>
      <c r="F36" s="15">
        <f t="shared" si="19"/>
        <v>203532.61488028002</v>
      </c>
      <c r="G36" s="15">
        <f t="shared" si="19"/>
        <v>247443.19999999992</v>
      </c>
      <c r="H36" s="15">
        <f t="shared" si="19"/>
        <v>262090.67188177005</v>
      </c>
      <c r="I36" s="15">
        <f t="shared" si="19"/>
        <v>279197.20999999996</v>
      </c>
      <c r="J36" s="15">
        <f t="shared" si="19"/>
        <v>354068.54486554</v>
      </c>
      <c r="K36" s="15">
        <f t="shared" si="19"/>
        <v>367087.35928360018</v>
      </c>
      <c r="L36" s="15">
        <f t="shared" ref="L36:U36" si="20">+L40+L56+L65</f>
        <v>407000.92429302982</v>
      </c>
      <c r="M36" s="15">
        <f t="shared" si="20"/>
        <v>442529.82990965492</v>
      </c>
      <c r="N36" s="15">
        <f t="shared" si="20"/>
        <v>480082.54708654998</v>
      </c>
      <c r="O36" s="15">
        <f t="shared" si="20"/>
        <v>537002.88626357983</v>
      </c>
      <c r="P36" s="15">
        <f t="shared" si="20"/>
        <v>574915.30863875989</v>
      </c>
      <c r="Q36" s="15">
        <f t="shared" si="20"/>
        <v>534409.47170398012</v>
      </c>
      <c r="R36" s="15">
        <f t="shared" si="20"/>
        <v>526422.82380072994</v>
      </c>
      <c r="S36" s="15">
        <f t="shared" si="20"/>
        <v>485946.61518593063</v>
      </c>
      <c r="T36" s="15">
        <f t="shared" si="20"/>
        <v>558054.22891118971</v>
      </c>
      <c r="U36" s="15">
        <f t="shared" si="20"/>
        <v>770444.90380072978</v>
      </c>
      <c r="V36" s="15">
        <f>+V40+V56+V65</f>
        <v>621477.60778307007</v>
      </c>
      <c r="W36" s="15">
        <f>+W40+W56+W65</f>
        <v>694202.93079517002</v>
      </c>
      <c r="X36" s="37">
        <f t="shared" si="5"/>
        <v>3.6769192312760213E-2</v>
      </c>
      <c r="Y36" s="37">
        <f t="shared" ref="Y36:AJ36" si="21">+L36/K36-1</f>
        <v>0.10873042615066919</v>
      </c>
      <c r="Z36" s="37">
        <f t="shared" si="21"/>
        <v>8.7294410149902246E-2</v>
      </c>
      <c r="AA36" s="37">
        <f t="shared" si="21"/>
        <v>8.4859177028951294E-2</v>
      </c>
      <c r="AB36" s="37">
        <f t="shared" si="21"/>
        <v>0.11856365019403259</v>
      </c>
      <c r="AC36" s="37">
        <f t="shared" si="21"/>
        <v>7.0600034645942777E-2</v>
      </c>
      <c r="AD36" s="37">
        <f t="shared" si="21"/>
        <v>-7.0455311114756003E-2</v>
      </c>
      <c r="AE36" s="37">
        <f t="shared" si="21"/>
        <v>-1.4944809787492241E-2</v>
      </c>
      <c r="AF36" s="37">
        <f t="shared" si="21"/>
        <v>-7.6889159787116301E-2</v>
      </c>
      <c r="AG36" s="37">
        <f t="shared" si="21"/>
        <v>0.14838587505680967</v>
      </c>
      <c r="AH36" s="37">
        <f t="shared" si="21"/>
        <v>0.38059146205904026</v>
      </c>
      <c r="AI36" s="37">
        <f t="shared" si="21"/>
        <v>-0.19335230239408407</v>
      </c>
      <c r="AJ36" s="37">
        <f t="shared" si="21"/>
        <v>0.1170200214799777</v>
      </c>
      <c r="AK36" s="2"/>
    </row>
    <row r="37" spans="1:37" x14ac:dyDescent="0.2">
      <c r="A37" s="10"/>
      <c r="B37" s="11"/>
      <c r="C37" s="14"/>
      <c r="D37" s="14"/>
      <c r="E37" s="29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37" x14ac:dyDescent="0.2">
      <c r="A38" s="10">
        <v>3</v>
      </c>
      <c r="B38" s="4" t="s">
        <v>15</v>
      </c>
      <c r="C38" s="6">
        <f>+C36-C46</f>
        <v>91546.799999999988</v>
      </c>
      <c r="D38" s="6">
        <f>+D36-D46</f>
        <v>103003.83256118998</v>
      </c>
      <c r="E38" s="30">
        <f>+E36-E46</f>
        <v>163600.52964365005</v>
      </c>
      <c r="F38" s="6">
        <f>+F36-F46</f>
        <v>195921.61488028002</v>
      </c>
      <c r="G38" s="6">
        <f>+G36-G46</f>
        <v>238764.39999999997</v>
      </c>
      <c r="H38" s="6">
        <f t="shared" ref="H38:O38" si="22">+H36-H46</f>
        <v>253057.42844963007</v>
      </c>
      <c r="I38" s="6">
        <f t="shared" si="22"/>
        <v>268116.50999999995</v>
      </c>
      <c r="J38" s="6">
        <f t="shared" si="22"/>
        <v>307761.50607280002</v>
      </c>
      <c r="K38" s="6">
        <f t="shared" si="22"/>
        <v>329147.33886346011</v>
      </c>
      <c r="L38" s="6">
        <f t="shared" si="22"/>
        <v>352518.24543449981</v>
      </c>
      <c r="M38" s="6">
        <f t="shared" si="22"/>
        <v>386202.5900584801</v>
      </c>
      <c r="N38" s="6">
        <f t="shared" si="22"/>
        <v>409294.51989032998</v>
      </c>
      <c r="O38" s="6">
        <f t="shared" si="22"/>
        <v>451134.35461866984</v>
      </c>
      <c r="P38" s="6">
        <f t="shared" ref="P38:W38" si="23">+P36-P46</f>
        <v>446630.95636736997</v>
      </c>
      <c r="Q38" s="6">
        <f t="shared" si="23"/>
        <v>428601.38188191003</v>
      </c>
      <c r="R38" s="6">
        <f t="shared" si="23"/>
        <v>453470.53127674991</v>
      </c>
      <c r="S38" s="6">
        <f t="shared" si="23"/>
        <v>430288.56131908053</v>
      </c>
      <c r="T38" s="6">
        <f t="shared" si="23"/>
        <v>466188.42725337966</v>
      </c>
      <c r="U38" s="6">
        <f t="shared" si="23"/>
        <v>611834.35482070991</v>
      </c>
      <c r="V38" s="6">
        <f t="shared" si="23"/>
        <v>498524.99522313999</v>
      </c>
      <c r="W38" s="6">
        <f t="shared" si="23"/>
        <v>524220.94517157006</v>
      </c>
      <c r="X38" s="24">
        <f t="shared" si="5"/>
        <v>6.9488329010195748E-2</v>
      </c>
      <c r="Y38" s="24">
        <f t="shared" ref="Y38:AJ38" si="24">+L38/K38-1</f>
        <v>7.1004391685921098E-2</v>
      </c>
      <c r="Z38" s="24">
        <f t="shared" si="24"/>
        <v>9.5553478607787623E-2</v>
      </c>
      <c r="AA38" s="24">
        <f t="shared" si="24"/>
        <v>5.9792270757047961E-2</v>
      </c>
      <c r="AB38" s="24">
        <f t="shared" si="24"/>
        <v>0.10222427297475378</v>
      </c>
      <c r="AC38" s="24">
        <f t="shared" si="24"/>
        <v>-9.982388184793578E-3</v>
      </c>
      <c r="AD38" s="24">
        <f t="shared" si="24"/>
        <v>-4.036794635128238E-2</v>
      </c>
      <c r="AE38" s="24">
        <f t="shared" si="24"/>
        <v>5.8023959898691801E-2</v>
      </c>
      <c r="AF38" s="24">
        <f t="shared" si="24"/>
        <v>-5.1121226978962375E-2</v>
      </c>
      <c r="AG38" s="24">
        <f t="shared" si="24"/>
        <v>8.3432071315689971E-2</v>
      </c>
      <c r="AH38" s="24">
        <f t="shared" si="24"/>
        <v>0.31241858238615117</v>
      </c>
      <c r="AI38" s="24">
        <f t="shared" si="24"/>
        <v>-0.18519613798210754</v>
      </c>
      <c r="AJ38" s="24">
        <f t="shared" si="24"/>
        <v>5.1543955056714053E-2</v>
      </c>
    </row>
    <row r="39" spans="1:37" x14ac:dyDescent="0.2">
      <c r="C39" s="42"/>
      <c r="D39" s="2"/>
      <c r="E39" s="29"/>
      <c r="F39" s="2"/>
      <c r="G39" s="2"/>
      <c r="H39" s="2"/>
      <c r="I39" s="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7" x14ac:dyDescent="0.2">
      <c r="B40" s="11" t="s">
        <v>1</v>
      </c>
      <c r="C40" s="14">
        <f>+C43+C44+C45+C46+C50</f>
        <v>88882.89999999998</v>
      </c>
      <c r="D40" s="14">
        <f>+D43+D44+D45+D46+D50</f>
        <v>106632.73256118999</v>
      </c>
      <c r="E40" s="31">
        <f>+E43+E44+E45+E46+E50</f>
        <v>131412.92964365002</v>
      </c>
      <c r="F40" s="14">
        <f>+F43+F44+F45+F46+F50</f>
        <v>177490.91488028</v>
      </c>
      <c r="G40" s="14">
        <f>+G43+G44+G45+G46+G50</f>
        <v>221002.59999999992</v>
      </c>
      <c r="H40" s="14">
        <f t="shared" ref="H40:O40" si="25">+H43+H44+H45+H46+H50</f>
        <v>251133.69293577003</v>
      </c>
      <c r="I40" s="14">
        <f t="shared" si="25"/>
        <v>271028.70999999996</v>
      </c>
      <c r="J40" s="14">
        <f t="shared" si="25"/>
        <v>338010.89098834002</v>
      </c>
      <c r="K40" s="14">
        <f t="shared" si="25"/>
        <v>341524.19623937015</v>
      </c>
      <c r="L40" s="14">
        <f t="shared" si="25"/>
        <v>369897.65865478985</v>
      </c>
      <c r="M40" s="14">
        <f t="shared" si="25"/>
        <v>418285.88513688493</v>
      </c>
      <c r="N40" s="14">
        <f t="shared" si="25"/>
        <v>451836.75861175999</v>
      </c>
      <c r="O40" s="14">
        <f t="shared" si="25"/>
        <v>504370.94485373987</v>
      </c>
      <c r="P40" s="14">
        <f t="shared" ref="P40:W40" si="26">+P43+P44+P45+P46+P50</f>
        <v>556068.42764162994</v>
      </c>
      <c r="Q40" s="14">
        <f t="shared" si="26"/>
        <v>512182.52966958011</v>
      </c>
      <c r="R40" s="14">
        <f t="shared" si="26"/>
        <v>492760.78581911989</v>
      </c>
      <c r="S40" s="14">
        <f t="shared" si="26"/>
        <v>455308.26940910064</v>
      </c>
      <c r="T40" s="14">
        <f t="shared" si="26"/>
        <v>535267.37148375972</v>
      </c>
      <c r="U40" s="14">
        <f t="shared" si="26"/>
        <v>719969.41648214986</v>
      </c>
      <c r="V40" s="14">
        <f t="shared" si="26"/>
        <v>567209.48944777006</v>
      </c>
      <c r="W40" s="14">
        <f t="shared" si="26"/>
        <v>609637.89452563005</v>
      </c>
      <c r="X40" s="22">
        <f t="shared" ref="X40:AJ40" si="27">+K40/J40-1</f>
        <v>1.039405931790327E-2</v>
      </c>
      <c r="Y40" s="22">
        <f t="shared" si="27"/>
        <v>8.3078923039271446E-2</v>
      </c>
      <c r="Z40" s="22">
        <f t="shared" si="27"/>
        <v>0.1308151737377008</v>
      </c>
      <c r="AA40" s="22">
        <f t="shared" si="27"/>
        <v>8.021038879639808E-2</v>
      </c>
      <c r="AB40" s="22">
        <f t="shared" si="27"/>
        <v>0.11626806637730813</v>
      </c>
      <c r="AC40" s="22">
        <f t="shared" si="27"/>
        <v>0.10249893122388642</v>
      </c>
      <c r="AD40" s="22">
        <f t="shared" si="27"/>
        <v>-7.8921758169541389E-2</v>
      </c>
      <c r="AE40" s="22">
        <f t="shared" si="27"/>
        <v>-3.7919575005788686E-2</v>
      </c>
      <c r="AF40" s="22">
        <f t="shared" si="27"/>
        <v>-7.6005472610328861E-2</v>
      </c>
      <c r="AG40" s="22">
        <f t="shared" si="27"/>
        <v>0.17561530823595639</v>
      </c>
      <c r="AH40" s="22">
        <f t="shared" si="27"/>
        <v>0.34506501766845332</v>
      </c>
      <c r="AI40" s="22">
        <f t="shared" si="27"/>
        <v>-0.2121755779304928</v>
      </c>
      <c r="AJ40" s="22">
        <f t="shared" si="27"/>
        <v>7.4802001495369641E-2</v>
      </c>
    </row>
    <row r="41" spans="1:37" x14ac:dyDescent="0.2">
      <c r="C41" s="13"/>
      <c r="D41" s="2"/>
      <c r="E41" s="29"/>
      <c r="F41" s="2"/>
      <c r="G41" s="2"/>
      <c r="H41" s="2"/>
      <c r="I41" s="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7" x14ac:dyDescent="0.2">
      <c r="B42" s="19" t="s">
        <v>40</v>
      </c>
      <c r="C42" s="6">
        <f>SUM(C43:C44)</f>
        <v>43950.400000000001</v>
      </c>
      <c r="D42" s="6">
        <f t="shared" ref="D42:I42" si="28">SUM(D43:D44)</f>
        <v>47694.1</v>
      </c>
      <c r="E42" s="30">
        <f t="shared" si="28"/>
        <v>57883.199999999997</v>
      </c>
      <c r="F42" s="6">
        <f t="shared" si="28"/>
        <v>84436.800000000003</v>
      </c>
      <c r="G42" s="6">
        <f t="shared" si="28"/>
        <v>98903.699999999953</v>
      </c>
      <c r="H42" s="6">
        <f t="shared" si="28"/>
        <v>112226.02326397006</v>
      </c>
      <c r="I42" s="6">
        <f t="shared" si="28"/>
        <v>117064.2</v>
      </c>
      <c r="J42" s="6">
        <f t="shared" ref="J42:W42" si="29">SUM(J43:J44)</f>
        <v>134166.07380334998</v>
      </c>
      <c r="K42" s="6">
        <f t="shared" si="29"/>
        <v>135544.87625845007</v>
      </c>
      <c r="L42" s="6">
        <f t="shared" si="29"/>
        <v>150753.10678257991</v>
      </c>
      <c r="M42" s="6">
        <f t="shared" si="29"/>
        <v>154491.45904106012</v>
      </c>
      <c r="N42" s="6">
        <f t="shared" si="29"/>
        <v>169280.16893790994</v>
      </c>
      <c r="O42" s="6">
        <f t="shared" si="29"/>
        <v>180855.73483896992</v>
      </c>
      <c r="P42" s="6">
        <f t="shared" si="29"/>
        <v>175954.57953194997</v>
      </c>
      <c r="Q42" s="6">
        <f t="shared" si="29"/>
        <v>180554.32425328996</v>
      </c>
      <c r="R42" s="6">
        <f t="shared" si="29"/>
        <v>190195.48828111007</v>
      </c>
      <c r="S42" s="6">
        <f t="shared" si="29"/>
        <v>182262.26445784047</v>
      </c>
      <c r="T42" s="6">
        <f t="shared" si="29"/>
        <v>216106.15365515993</v>
      </c>
      <c r="U42" s="6">
        <f t="shared" si="29"/>
        <v>232717.42984752002</v>
      </c>
      <c r="V42" s="6">
        <f t="shared" si="29"/>
        <v>205638.3490519498</v>
      </c>
      <c r="W42" s="6">
        <f t="shared" si="29"/>
        <v>211223.70895829008</v>
      </c>
      <c r="X42" s="24">
        <f t="shared" ref="X42:X53" si="30">+K42/J42-1</f>
        <v>1.0276833897077564E-2</v>
      </c>
      <c r="Y42" s="24">
        <f t="shared" ref="Y42:Y48" si="31">+L42/K42-1</f>
        <v>0.11220070388445791</v>
      </c>
      <c r="Z42" s="24">
        <f t="shared" ref="Z42:Z48" si="32">+M42/L42-1</f>
        <v>2.4797845552010811E-2</v>
      </c>
      <c r="AA42" s="24">
        <f t="shared" ref="AA42:AA48" si="33">+N42/M42-1</f>
        <v>9.5725096964223377E-2</v>
      </c>
      <c r="AB42" s="24">
        <f t="shared" ref="AB42:AB48" si="34">+O42/N42-1</f>
        <v>6.8381110284133628E-2</v>
      </c>
      <c r="AC42" s="24">
        <f t="shared" ref="AC42:AC48" si="35">+P42/O42-1</f>
        <v>-2.7099805883312622E-2</v>
      </c>
      <c r="AD42" s="24">
        <f t="shared" ref="AD42:AJ48" si="36">+Q42/P42-1</f>
        <v>2.614165958951209E-2</v>
      </c>
      <c r="AE42" s="24">
        <f t="shared" si="36"/>
        <v>5.3397580299960223E-2</v>
      </c>
      <c r="AF42" s="24">
        <f t="shared" si="36"/>
        <v>-4.1710893854349673E-2</v>
      </c>
      <c r="AG42" s="24">
        <f t="shared" si="36"/>
        <v>0.18568785644133134</v>
      </c>
      <c r="AH42" s="24">
        <f t="shared" si="36"/>
        <v>7.6866280350658789E-2</v>
      </c>
      <c r="AI42" s="24">
        <f t="shared" si="36"/>
        <v>-0.11636034659420591</v>
      </c>
      <c r="AJ42" s="24">
        <f t="shared" si="36"/>
        <v>2.7161081248173513E-2</v>
      </c>
    </row>
    <row r="43" spans="1:37" x14ac:dyDescent="0.2">
      <c r="B43" s="19" t="s">
        <v>2</v>
      </c>
      <c r="C43" s="42">
        <v>35786.9</v>
      </c>
      <c r="D43" s="2">
        <v>39483.5</v>
      </c>
      <c r="E43" s="32">
        <v>45302.1</v>
      </c>
      <c r="F43" s="21">
        <v>70289.3</v>
      </c>
      <c r="G43" s="2">
        <v>81025.899999999965</v>
      </c>
      <c r="H43" s="2">
        <v>92929.31440163005</v>
      </c>
      <c r="I43" s="2">
        <v>98027.4</v>
      </c>
      <c r="J43" s="42">
        <v>109169.55387499998</v>
      </c>
      <c r="K43" s="42">
        <v>111487.42016175005</v>
      </c>
      <c r="L43" s="42">
        <v>123549.71425125989</v>
      </c>
      <c r="M43" s="42">
        <v>128597.83376614012</v>
      </c>
      <c r="N43" s="42">
        <v>133984.36087363993</v>
      </c>
      <c r="O43" s="42">
        <v>140624.06716297992</v>
      </c>
      <c r="P43" s="42">
        <v>143835.18939005997</v>
      </c>
      <c r="Q43" s="42">
        <v>149047.80249738996</v>
      </c>
      <c r="R43" s="42">
        <v>156586.08118321013</v>
      </c>
      <c r="S43" s="42">
        <v>153772.05650854053</v>
      </c>
      <c r="T43" s="42">
        <v>152342.01353610994</v>
      </c>
      <c r="U43" s="42">
        <v>182251.78329096001</v>
      </c>
      <c r="V43" s="42">
        <v>168046.42049646977</v>
      </c>
      <c r="W43" s="42">
        <v>172207.48268055002</v>
      </c>
      <c r="X43" s="23">
        <f t="shared" si="30"/>
        <v>2.1231801399537176E-2</v>
      </c>
      <c r="Y43" s="23">
        <f t="shared" si="31"/>
        <v>0.10819421663905593</v>
      </c>
      <c r="Z43" s="23">
        <f t="shared" si="32"/>
        <v>4.0859014085730561E-2</v>
      </c>
      <c r="AA43" s="23">
        <f t="shared" si="33"/>
        <v>4.1886608426821681E-2</v>
      </c>
      <c r="AB43" s="23">
        <f t="shared" si="34"/>
        <v>4.9555830591317074E-2</v>
      </c>
      <c r="AC43" s="23">
        <f t="shared" si="35"/>
        <v>2.2834798422936009E-2</v>
      </c>
      <c r="AD43" s="23">
        <f t="shared" si="36"/>
        <v>3.6240179676714224E-2</v>
      </c>
      <c r="AE43" s="23">
        <f t="shared" si="36"/>
        <v>5.0576248421724923E-2</v>
      </c>
      <c r="AF43" s="23">
        <f t="shared" si="36"/>
        <v>-1.7971103519584974E-2</v>
      </c>
      <c r="AG43" s="23">
        <f t="shared" si="36"/>
        <v>-9.2997583884895096E-3</v>
      </c>
      <c r="AH43" s="23">
        <f t="shared" si="36"/>
        <v>0.1963330342076679</v>
      </c>
      <c r="AI43" s="23">
        <f t="shared" si="36"/>
        <v>-7.7943614805742523E-2</v>
      </c>
      <c r="AJ43" s="23">
        <f t="shared" si="36"/>
        <v>2.4761385406407266E-2</v>
      </c>
    </row>
    <row r="44" spans="1:37" ht="14.25" x14ac:dyDescent="0.2">
      <c r="B44" s="60" t="s">
        <v>75</v>
      </c>
      <c r="C44" s="42">
        <v>8163.5</v>
      </c>
      <c r="D44" s="2">
        <v>8210.6</v>
      </c>
      <c r="E44" s="29">
        <v>12581.1</v>
      </c>
      <c r="F44" s="21">
        <v>14147.5</v>
      </c>
      <c r="G44" s="2">
        <v>17877.799999999996</v>
      </c>
      <c r="H44" s="2">
        <v>19296.708862340005</v>
      </c>
      <c r="I44" s="2">
        <v>19036.8</v>
      </c>
      <c r="J44" s="42">
        <v>24996.519928350001</v>
      </c>
      <c r="K44" s="42">
        <v>24057.456096700003</v>
      </c>
      <c r="L44" s="42">
        <v>27203.392531320002</v>
      </c>
      <c r="M44" s="42">
        <v>25893.625274919992</v>
      </c>
      <c r="N44" s="42">
        <v>35295.808064270008</v>
      </c>
      <c r="O44" s="42">
        <v>40231.66767599</v>
      </c>
      <c r="P44" s="42">
        <v>32119.390141890006</v>
      </c>
      <c r="Q44" s="42">
        <v>31506.521755899998</v>
      </c>
      <c r="R44" s="42">
        <v>33609.407097899944</v>
      </c>
      <c r="S44" s="42">
        <v>28490.207949299947</v>
      </c>
      <c r="T44" s="42">
        <v>63764.140119049982</v>
      </c>
      <c r="U44" s="42">
        <v>50465.646556559994</v>
      </c>
      <c r="V44" s="42">
        <v>37591.928555480023</v>
      </c>
      <c r="W44" s="42">
        <v>39016.226277740061</v>
      </c>
      <c r="X44" s="23">
        <f t="shared" si="30"/>
        <v>-3.7567782809036165E-2</v>
      </c>
      <c r="Y44" s="23">
        <f t="shared" si="31"/>
        <v>0.13076762655098562</v>
      </c>
      <c r="Z44" s="23">
        <f t="shared" si="32"/>
        <v>-4.8147202775978726E-2</v>
      </c>
      <c r="AA44" s="23">
        <f t="shared" si="33"/>
        <v>0.36310801170266283</v>
      </c>
      <c r="AB44" s="23">
        <f t="shared" si="34"/>
        <v>0.1398426578797205</v>
      </c>
      <c r="AC44" s="23">
        <f t="shared" si="35"/>
        <v>-0.20163910677114061</v>
      </c>
      <c r="AD44" s="23">
        <f t="shared" si="36"/>
        <v>-1.9080947156300709E-2</v>
      </c>
      <c r="AE44" s="23">
        <f t="shared" si="36"/>
        <v>6.6744446063969454E-2</v>
      </c>
      <c r="AF44" s="23">
        <f t="shared" si="36"/>
        <v>-0.15231447355463368</v>
      </c>
      <c r="AG44" s="23">
        <f t="shared" si="36"/>
        <v>1.2381072202955532</v>
      </c>
      <c r="AH44" s="23">
        <f t="shared" si="36"/>
        <v>-0.20855756131363512</v>
      </c>
      <c r="AI44" s="23">
        <f t="shared" si="36"/>
        <v>-0.25509864391911818</v>
      </c>
      <c r="AJ44" s="23">
        <f t="shared" si="36"/>
        <v>3.7888391923228681E-2</v>
      </c>
    </row>
    <row r="45" spans="1:37" ht="14.25" x14ac:dyDescent="0.2">
      <c r="B45" s="48" t="s">
        <v>76</v>
      </c>
      <c r="C45" s="42">
        <v>4324.3</v>
      </c>
      <c r="D45" s="2">
        <v>4080.6</v>
      </c>
      <c r="E45" s="29">
        <v>6342.0999999999995</v>
      </c>
      <c r="F45" s="21">
        <v>6998.8</v>
      </c>
      <c r="G45" s="2">
        <v>7699.7999999999993</v>
      </c>
      <c r="H45" s="2">
        <v>9948.0005467599949</v>
      </c>
      <c r="I45" s="2">
        <f>12362.3+4.71</f>
        <v>12367.009999999998</v>
      </c>
      <c r="J45" s="42">
        <v>15441.878113940007</v>
      </c>
      <c r="K45" s="42">
        <v>12734.265938270002</v>
      </c>
      <c r="L45" s="42">
        <v>12456.959000289986</v>
      </c>
      <c r="M45" s="42">
        <v>16728.740934819987</v>
      </c>
      <c r="N45" s="42">
        <v>14755.189262569989</v>
      </c>
      <c r="O45" s="42">
        <v>17821.412273319984</v>
      </c>
      <c r="P45" s="42">
        <v>18338.663032340017</v>
      </c>
      <c r="Q45" s="42">
        <v>17961.614121729992</v>
      </c>
      <c r="R45" s="42">
        <v>20330.245879979972</v>
      </c>
      <c r="S45" s="42">
        <v>13765.954104869978</v>
      </c>
      <c r="T45" s="42">
        <v>26731.351374820017</v>
      </c>
      <c r="U45" s="42">
        <v>25919.974736200027</v>
      </c>
      <c r="V45" s="42">
        <v>23524.456963209996</v>
      </c>
      <c r="W45" s="42">
        <v>26559.01813121001</v>
      </c>
      <c r="X45" s="23">
        <f t="shared" si="30"/>
        <v>-0.17534215434751643</v>
      </c>
      <c r="Y45" s="23">
        <f t="shared" si="31"/>
        <v>-2.1776436845616032E-2</v>
      </c>
      <c r="Z45" s="23">
        <f t="shared" si="32"/>
        <v>0.34292333581820067</v>
      </c>
      <c r="AA45" s="23">
        <f t="shared" si="33"/>
        <v>-0.11797371242339916</v>
      </c>
      <c r="AB45" s="23">
        <f t="shared" si="34"/>
        <v>0.20780641686028334</v>
      </c>
      <c r="AC45" s="23">
        <f t="shared" si="35"/>
        <v>2.9024117229721202E-2</v>
      </c>
      <c r="AD45" s="23">
        <f t="shared" si="36"/>
        <v>-2.0560327104822362E-2</v>
      </c>
      <c r="AE45" s="23">
        <f t="shared" si="36"/>
        <v>0.13187187644702858</v>
      </c>
      <c r="AF45" s="23">
        <f t="shared" si="36"/>
        <v>-0.32288304892436748</v>
      </c>
      <c r="AG45" s="23">
        <f t="shared" si="36"/>
        <v>0.94184516170682819</v>
      </c>
      <c r="AH45" s="23">
        <f t="shared" si="36"/>
        <v>-3.0352997394074044E-2</v>
      </c>
      <c r="AI45" s="23">
        <f t="shared" si="36"/>
        <v>-9.2419757247850787E-2</v>
      </c>
      <c r="AJ45" s="23">
        <f t="shared" si="36"/>
        <v>0.12899601349972833</v>
      </c>
    </row>
    <row r="46" spans="1:37" x14ac:dyDescent="0.2">
      <c r="B46" s="1" t="s">
        <v>16</v>
      </c>
      <c r="C46" s="6">
        <f>+C47+C48</f>
        <v>3629.2999999999884</v>
      </c>
      <c r="D46" s="6">
        <f t="shared" ref="D46:O46" si="37">+D47+D48</f>
        <v>9587.4000000000051</v>
      </c>
      <c r="E46" s="30">
        <f t="shared" si="37"/>
        <v>6411.0999999999913</v>
      </c>
      <c r="F46" s="6">
        <f t="shared" si="37"/>
        <v>7611</v>
      </c>
      <c r="G46" s="6">
        <f t="shared" si="37"/>
        <v>8678.7999999999738</v>
      </c>
      <c r="H46" s="6">
        <f t="shared" si="37"/>
        <v>9033.2434321399742</v>
      </c>
      <c r="I46" s="6">
        <f t="shared" si="37"/>
        <v>11080.7</v>
      </c>
      <c r="J46" s="6">
        <f t="shared" si="37"/>
        <v>46307.038792740001</v>
      </c>
      <c r="K46" s="6">
        <f t="shared" si="37"/>
        <v>37940.020420140034</v>
      </c>
      <c r="L46" s="6">
        <f t="shared" si="37"/>
        <v>54482.678858530024</v>
      </c>
      <c r="M46" s="6">
        <f t="shared" si="37"/>
        <v>56327.239851174803</v>
      </c>
      <c r="N46" s="6">
        <f t="shared" si="37"/>
        <v>70788.027196220006</v>
      </c>
      <c r="O46" s="6">
        <f t="shared" si="37"/>
        <v>85868.531644909992</v>
      </c>
      <c r="P46" s="6">
        <f t="shared" ref="P46:W46" si="38">+P47+P48</f>
        <v>128284.35227138993</v>
      </c>
      <c r="Q46" s="6">
        <f t="shared" si="38"/>
        <v>105808.08982207006</v>
      </c>
      <c r="R46" s="6">
        <f t="shared" si="38"/>
        <v>72952.292523980024</v>
      </c>
      <c r="S46" s="6">
        <f t="shared" si="38"/>
        <v>55658.053866850118</v>
      </c>
      <c r="T46" s="6">
        <f t="shared" si="38"/>
        <v>91865.801657810051</v>
      </c>
      <c r="U46" s="6">
        <f t="shared" si="38"/>
        <v>158610.54898001993</v>
      </c>
      <c r="V46" s="6">
        <f t="shared" si="38"/>
        <v>122952.61255993007</v>
      </c>
      <c r="W46" s="6">
        <f t="shared" si="38"/>
        <v>169981.98562359999</v>
      </c>
      <c r="X46" s="23">
        <f t="shared" si="30"/>
        <v>-0.18068567092032983</v>
      </c>
      <c r="Y46" s="23">
        <f t="shared" si="31"/>
        <v>0.43602133723703806</v>
      </c>
      <c r="Z46" s="23">
        <f t="shared" si="32"/>
        <v>3.3855915885383947E-2</v>
      </c>
      <c r="AA46" s="23">
        <f t="shared" si="33"/>
        <v>0.25672813692367713</v>
      </c>
      <c r="AB46" s="23">
        <f t="shared" si="34"/>
        <v>0.21303750148153955</v>
      </c>
      <c r="AC46" s="23">
        <f t="shared" si="35"/>
        <v>0.49396233770342124</v>
      </c>
      <c r="AD46" s="23">
        <f t="shared" si="36"/>
        <v>-0.17520657859947386</v>
      </c>
      <c r="AE46" s="23">
        <f t="shared" si="36"/>
        <v>-0.31052254466876106</v>
      </c>
      <c r="AF46" s="23">
        <f t="shared" si="36"/>
        <v>-0.23706230549842067</v>
      </c>
      <c r="AG46" s="23">
        <f t="shared" si="36"/>
        <v>0.65053923512272194</v>
      </c>
      <c r="AH46" s="23">
        <f t="shared" si="36"/>
        <v>0.72654618059968246</v>
      </c>
      <c r="AI46" s="23">
        <f t="shared" si="36"/>
        <v>-0.22481440641493311</v>
      </c>
      <c r="AJ46" s="23">
        <f t="shared" si="36"/>
        <v>0.38249998991071998</v>
      </c>
    </row>
    <row r="47" spans="1:37" x14ac:dyDescent="0.2">
      <c r="B47" s="1" t="s">
        <v>3</v>
      </c>
      <c r="C47" s="42">
        <v>2713.2999999999884</v>
      </c>
      <c r="D47" s="2">
        <v>8786.9000000000087</v>
      </c>
      <c r="E47" s="29">
        <v>4774.0999999999913</v>
      </c>
      <c r="F47" s="21">
        <v>5931.3</v>
      </c>
      <c r="G47" s="2">
        <v>7292.0999999999767</v>
      </c>
      <c r="H47" s="2">
        <v>6232.0811445699728</v>
      </c>
      <c r="I47" s="2">
        <v>8429.1</v>
      </c>
      <c r="J47" s="42">
        <v>43733.026755210005</v>
      </c>
      <c r="K47" s="42">
        <v>20988.166001500038</v>
      </c>
      <c r="L47" s="42">
        <v>38154.190373720034</v>
      </c>
      <c r="M47" s="42">
        <v>37428.527511620006</v>
      </c>
      <c r="N47" s="42">
        <v>49492.720897250008</v>
      </c>
      <c r="O47" s="42">
        <v>63589.958504869996</v>
      </c>
      <c r="P47" s="42">
        <v>75579.011910179936</v>
      </c>
      <c r="Q47" s="42">
        <v>62838.490907500091</v>
      </c>
      <c r="R47" s="42">
        <v>52460.295963910001</v>
      </c>
      <c r="S47" s="42">
        <v>33488.480513630115</v>
      </c>
      <c r="T47" s="42">
        <v>54784.701024690061</v>
      </c>
      <c r="U47" s="42">
        <v>96210.492282469932</v>
      </c>
      <c r="V47" s="42">
        <v>84544.613158510067</v>
      </c>
      <c r="W47" s="42">
        <v>144358.80511491001</v>
      </c>
      <c r="X47" s="23">
        <f t="shared" si="30"/>
        <v>-0.52008430335776668</v>
      </c>
      <c r="Y47" s="23">
        <f t="shared" si="31"/>
        <v>0.81789063279722152</v>
      </c>
      <c r="Z47" s="23">
        <f t="shared" si="32"/>
        <v>-1.9019217941520061E-2</v>
      </c>
      <c r="AA47" s="23">
        <f t="shared" si="33"/>
        <v>0.32232615568124001</v>
      </c>
      <c r="AB47" s="23">
        <f t="shared" si="34"/>
        <v>0.28483456459964551</v>
      </c>
      <c r="AC47" s="23">
        <f t="shared" si="35"/>
        <v>0.18853689618922731</v>
      </c>
      <c r="AD47" s="23">
        <f t="shared" si="36"/>
        <v>-0.16857220914479554</v>
      </c>
      <c r="AE47" s="23">
        <f t="shared" si="36"/>
        <v>-0.16515665468266993</v>
      </c>
      <c r="AF47" s="23">
        <f t="shared" si="36"/>
        <v>-0.36164141093164104</v>
      </c>
      <c r="AG47" s="23">
        <f t="shared" si="36"/>
        <v>0.63592674807661664</v>
      </c>
      <c r="AH47" s="23">
        <f t="shared" si="36"/>
        <v>0.75615619840857273</v>
      </c>
      <c r="AI47" s="23">
        <f t="shared" si="36"/>
        <v>-0.12125370993539186</v>
      </c>
      <c r="AJ47" s="23">
        <f t="shared" si="36"/>
        <v>0.70748673063600354</v>
      </c>
    </row>
    <row r="48" spans="1:37" x14ac:dyDescent="0.2">
      <c r="B48" s="1" t="s">
        <v>4</v>
      </c>
      <c r="C48" s="42">
        <v>916</v>
      </c>
      <c r="D48" s="2">
        <v>800.49999999999636</v>
      </c>
      <c r="E48" s="29">
        <v>1637</v>
      </c>
      <c r="F48" s="21">
        <v>1679.7</v>
      </c>
      <c r="G48" s="2">
        <v>1386.6999999999971</v>
      </c>
      <c r="H48" s="2">
        <v>2801.1622875700014</v>
      </c>
      <c r="I48" s="2">
        <v>2651.6</v>
      </c>
      <c r="J48" s="42">
        <v>2574.0120375299994</v>
      </c>
      <c r="K48" s="42">
        <v>16951.854418639996</v>
      </c>
      <c r="L48" s="42">
        <v>16328.488484809986</v>
      </c>
      <c r="M48" s="42">
        <v>18898.712339554801</v>
      </c>
      <c r="N48" s="42">
        <v>21295.306298970001</v>
      </c>
      <c r="O48" s="42">
        <v>22278.57314004</v>
      </c>
      <c r="P48" s="42">
        <v>52705.340361209994</v>
      </c>
      <c r="Q48" s="42">
        <v>42969.598914569979</v>
      </c>
      <c r="R48" s="42">
        <v>20491.996560070016</v>
      </c>
      <c r="S48" s="42">
        <v>22169.573353220003</v>
      </c>
      <c r="T48" s="42">
        <v>37081.10063311999</v>
      </c>
      <c r="U48" s="42">
        <v>62400.056697549997</v>
      </c>
      <c r="V48" s="42">
        <v>38407.999401419998</v>
      </c>
      <c r="W48" s="42">
        <v>25623.180508689984</v>
      </c>
      <c r="X48" s="23">
        <f t="shared" si="30"/>
        <v>5.5857712285241892</v>
      </c>
      <c r="Y48" s="23">
        <f t="shared" si="31"/>
        <v>-3.6772728129647381E-2</v>
      </c>
      <c r="Z48" s="23">
        <f t="shared" si="32"/>
        <v>0.15740733486359337</v>
      </c>
      <c r="AA48" s="23">
        <f t="shared" si="33"/>
        <v>0.12681255295892058</v>
      </c>
      <c r="AB48" s="23">
        <f t="shared" si="34"/>
        <v>4.617293723159821E-2</v>
      </c>
      <c r="AC48" s="23">
        <f t="shared" si="35"/>
        <v>1.365741290068784</v>
      </c>
      <c r="AD48" s="23">
        <f t="shared" si="36"/>
        <v>-0.18472020823539381</v>
      </c>
      <c r="AE48" s="23">
        <f t="shared" si="36"/>
        <v>-0.52310477459165527</v>
      </c>
      <c r="AF48" s="23">
        <f t="shared" si="36"/>
        <v>8.1864975344513535E-2</v>
      </c>
      <c r="AG48" s="23">
        <f t="shared" si="36"/>
        <v>0.67261228000737194</v>
      </c>
      <c r="AH48" s="23">
        <f t="shared" si="36"/>
        <v>0.68279947553163223</v>
      </c>
      <c r="AI48" s="23">
        <f t="shared" si="36"/>
        <v>-0.38448774834321575</v>
      </c>
      <c r="AJ48" s="23">
        <f t="shared" si="36"/>
        <v>-0.33286864955161766</v>
      </c>
    </row>
    <row r="49" spans="1:36" x14ac:dyDescent="0.2">
      <c r="C49" s="42"/>
      <c r="D49" s="2"/>
      <c r="E49" s="29"/>
      <c r="F49" s="2"/>
      <c r="G49" s="2"/>
      <c r="H49" s="2"/>
      <c r="I49" s="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x14ac:dyDescent="0.2">
      <c r="B50" s="48" t="s">
        <v>78</v>
      </c>
      <c r="C50" s="6">
        <f>+C51+C52+C53+C54</f>
        <v>36978.899999999987</v>
      </c>
      <c r="D50" s="6">
        <f>+D51+D52+D53+D54</f>
        <v>45270.632561189981</v>
      </c>
      <c r="E50" s="30">
        <f>+E51+E52+E53+E54</f>
        <v>60776.529643650014</v>
      </c>
      <c r="F50" s="6">
        <f>+F51+F52+F53+F54</f>
        <v>78444.314880279999</v>
      </c>
      <c r="G50" s="6">
        <f>+G51+G52+G53+G54</f>
        <v>105720.3</v>
      </c>
      <c r="H50" s="6">
        <f t="shared" ref="H50:O50" si="39">+H51+H52+H53+H54</f>
        <v>119926.42569290001</v>
      </c>
      <c r="I50" s="6">
        <f t="shared" si="39"/>
        <v>130516.79999999999</v>
      </c>
      <c r="J50" s="6">
        <f t="shared" si="39"/>
        <v>142095.90027831</v>
      </c>
      <c r="K50" s="6">
        <f t="shared" si="39"/>
        <v>155305.03362251009</v>
      </c>
      <c r="L50" s="6">
        <f t="shared" si="39"/>
        <v>152204.91401338991</v>
      </c>
      <c r="M50" s="6">
        <f t="shared" si="39"/>
        <v>190738.44530983001</v>
      </c>
      <c r="N50" s="6">
        <f t="shared" si="39"/>
        <v>197013.37321506007</v>
      </c>
      <c r="O50" s="6">
        <f t="shared" si="39"/>
        <v>219825.26609653997</v>
      </c>
      <c r="P50" s="6">
        <f t="shared" ref="P50:V50" si="40">+P51+P52+P53+P54</f>
        <v>233490.83280595008</v>
      </c>
      <c r="Q50" s="6">
        <f t="shared" si="40"/>
        <v>207858.50147249008</v>
      </c>
      <c r="R50" s="6">
        <f t="shared" si="40"/>
        <v>209282.75913404982</v>
      </c>
      <c r="S50" s="6">
        <f t="shared" si="40"/>
        <v>203621.99697954004</v>
      </c>
      <c r="T50" s="6">
        <f t="shared" si="40"/>
        <v>200564.06479596969</v>
      </c>
      <c r="U50" s="6">
        <f t="shared" si="40"/>
        <v>302721.4629184099</v>
      </c>
      <c r="V50" s="6">
        <f t="shared" si="40"/>
        <v>215094.0708726802</v>
      </c>
      <c r="W50" s="6">
        <f>+W51+W52+W53+W54</f>
        <v>201873.18181252995</v>
      </c>
      <c r="X50" s="23">
        <f t="shared" si="30"/>
        <v>9.2959285372263389E-2</v>
      </c>
      <c r="Y50" s="23">
        <f t="shared" ref="Y50:AJ54" si="41">+L50/K50-1</f>
        <v>-1.9961488284117368E-2</v>
      </c>
      <c r="Z50" s="23">
        <f t="shared" si="41"/>
        <v>0.2531687728101224</v>
      </c>
      <c r="AA50" s="23">
        <f t="shared" si="41"/>
        <v>3.2898076185098546E-2</v>
      </c>
      <c r="AB50" s="23">
        <f t="shared" si="41"/>
        <v>0.11578855033652169</v>
      </c>
      <c r="AC50" s="23">
        <f t="shared" si="41"/>
        <v>6.2165587023143454E-2</v>
      </c>
      <c r="AD50" s="23">
        <f t="shared" si="41"/>
        <v>-0.10977874816508348</v>
      </c>
      <c r="AE50" s="23">
        <f t="shared" si="41"/>
        <v>6.8520539283702941E-3</v>
      </c>
      <c r="AF50" s="23">
        <f t="shared" si="41"/>
        <v>-2.7048392222715045E-2</v>
      </c>
      <c r="AG50" s="23">
        <f t="shared" si="41"/>
        <v>-1.5017690764901004E-2</v>
      </c>
      <c r="AH50" s="23">
        <f t="shared" si="41"/>
        <v>0.50935045730332162</v>
      </c>
      <c r="AI50" s="23">
        <f t="shared" si="41"/>
        <v>-0.28946540889750927</v>
      </c>
      <c r="AJ50" s="23">
        <f t="shared" si="41"/>
        <v>-6.1465613656901064E-2</v>
      </c>
    </row>
    <row r="51" spans="1:36" x14ac:dyDescent="0.2">
      <c r="B51" s="1" t="s">
        <v>6</v>
      </c>
      <c r="C51" s="42">
        <v>20891.699999999997</v>
      </c>
      <c r="D51" s="2">
        <v>23835.83256119</v>
      </c>
      <c r="E51" s="29">
        <v>26997.023781880005</v>
      </c>
      <c r="F51" s="21">
        <v>31152.899999999998</v>
      </c>
      <c r="G51" s="2">
        <v>36460.199999999997</v>
      </c>
      <c r="H51" s="2">
        <v>40842.22458799</v>
      </c>
      <c r="I51" s="2">
        <v>42310.493598000001</v>
      </c>
      <c r="J51" s="42">
        <v>47199.601751910006</v>
      </c>
      <c r="K51" s="42">
        <v>52201.739345769995</v>
      </c>
      <c r="L51" s="42">
        <v>56099.629969510002</v>
      </c>
      <c r="M51" s="42">
        <v>59717.53756116001</v>
      </c>
      <c r="N51" s="42">
        <v>60785.504080869912</v>
      </c>
      <c r="O51" s="42">
        <v>72475.14647250998</v>
      </c>
      <c r="P51" s="42">
        <v>67691.962500570022</v>
      </c>
      <c r="Q51" s="42">
        <v>75278.175076590051</v>
      </c>
      <c r="R51" s="42">
        <v>75510.68544286993</v>
      </c>
      <c r="S51" s="42">
        <v>72864.168781920001</v>
      </c>
      <c r="T51" s="42">
        <v>74824.701409509973</v>
      </c>
      <c r="U51" s="42">
        <v>79591.355032399908</v>
      </c>
      <c r="V51" s="42">
        <v>77499.971076489965</v>
      </c>
      <c r="W51" s="42">
        <v>75277.64344218999</v>
      </c>
      <c r="X51" s="23">
        <f t="shared" si="30"/>
        <v>0.10597838558367845</v>
      </c>
      <c r="Y51" s="23">
        <f t="shared" si="41"/>
        <v>7.4669746115573865E-2</v>
      </c>
      <c r="Z51" s="23">
        <f t="shared" si="41"/>
        <v>6.4490756777118241E-2</v>
      </c>
      <c r="AA51" s="23">
        <f t="shared" si="41"/>
        <v>1.7883632904590829E-2</v>
      </c>
      <c r="AB51" s="23">
        <f t="shared" si="41"/>
        <v>0.19230970555229754</v>
      </c>
      <c r="AC51" s="23">
        <f t="shared" si="41"/>
        <v>-6.599757578626253E-2</v>
      </c>
      <c r="AD51" s="23">
        <f t="shared" si="41"/>
        <v>0.11206962090892469</v>
      </c>
      <c r="AE51" s="23">
        <f t="shared" si="41"/>
        <v>3.0886822912925549E-3</v>
      </c>
      <c r="AF51" s="23">
        <f t="shared" si="41"/>
        <v>-3.5048240463294911E-2</v>
      </c>
      <c r="AG51" s="23">
        <f t="shared" si="41"/>
        <v>2.6906676633583482E-2</v>
      </c>
      <c r="AH51" s="23">
        <f t="shared" si="41"/>
        <v>6.3704278575097861E-2</v>
      </c>
      <c r="AI51" s="23">
        <f t="shared" si="41"/>
        <v>-2.6276521552605625E-2</v>
      </c>
      <c r="AJ51" s="23">
        <f t="shared" si="41"/>
        <v>-2.867520598306561E-2</v>
      </c>
    </row>
    <row r="52" spans="1:36" x14ac:dyDescent="0.2">
      <c r="B52" s="48" t="s">
        <v>70</v>
      </c>
      <c r="C52" s="42">
        <v>15872.499999999993</v>
      </c>
      <c r="D52" s="2">
        <v>21192.099999999988</v>
      </c>
      <c r="E52" s="29">
        <v>33694.105861770004</v>
      </c>
      <c r="F52" s="21">
        <v>46959.414880279997</v>
      </c>
      <c r="G52" s="2">
        <v>68732.5</v>
      </c>
      <c r="H52" s="2">
        <v>78288.215252030001</v>
      </c>
      <c r="I52" s="2">
        <v>87580.406401999993</v>
      </c>
      <c r="J52" s="42">
        <v>94258.50070063</v>
      </c>
      <c r="K52" s="42">
        <v>102917.5050184501</v>
      </c>
      <c r="L52" s="42">
        <v>95839.853110449898</v>
      </c>
      <c r="M52" s="42">
        <v>128068.34652409999</v>
      </c>
      <c r="N52" s="42">
        <v>135182.54881619016</v>
      </c>
      <c r="O52" s="42">
        <v>146593.28891683</v>
      </c>
      <c r="P52" s="42">
        <v>165175.97002472007</v>
      </c>
      <c r="Q52" s="42">
        <v>132394.51990256002</v>
      </c>
      <c r="R52" s="42">
        <v>132875.25877967989</v>
      </c>
      <c r="S52" s="42">
        <v>130281.95617462003</v>
      </c>
      <c r="T52" s="42">
        <v>105476.72296448975</v>
      </c>
      <c r="U52" s="42">
        <v>222292.43195597001</v>
      </c>
      <c r="V52" s="42">
        <v>137002.88896660024</v>
      </c>
      <c r="W52" s="42">
        <v>126333.11514047997</v>
      </c>
      <c r="X52" s="23">
        <f t="shared" si="30"/>
        <v>9.1864439318015023E-2</v>
      </c>
      <c r="Y52" s="23">
        <f t="shared" si="41"/>
        <v>-6.8770146601701887E-2</v>
      </c>
      <c r="Z52" s="23">
        <f t="shared" si="41"/>
        <v>0.33627444500054282</v>
      </c>
      <c r="AA52" s="23">
        <f t="shared" si="41"/>
        <v>5.5550044059883286E-2</v>
      </c>
      <c r="AB52" s="23">
        <f t="shared" si="41"/>
        <v>8.4409860596394104E-2</v>
      </c>
      <c r="AC52" s="23">
        <f t="shared" si="41"/>
        <v>0.12676351861123036</v>
      </c>
      <c r="AD52" s="23">
        <f t="shared" si="41"/>
        <v>-0.19846379662401259</v>
      </c>
      <c r="AE52" s="23">
        <f t="shared" si="41"/>
        <v>3.6311085796729703E-3</v>
      </c>
      <c r="AF52" s="23">
        <f t="shared" si="41"/>
        <v>-1.9516820730033801E-2</v>
      </c>
      <c r="AG52" s="23">
        <f t="shared" si="41"/>
        <v>-0.19039653639283127</v>
      </c>
      <c r="AH52" s="23">
        <f t="shared" si="41"/>
        <v>1.1075022593450115</v>
      </c>
      <c r="AI52" s="23">
        <f t="shared" si="41"/>
        <v>-0.38368172159033864</v>
      </c>
      <c r="AJ52" s="23">
        <f>+W52/V52-1</f>
        <v>-7.7879918493700018E-2</v>
      </c>
    </row>
    <row r="53" spans="1:36" x14ac:dyDescent="0.2">
      <c r="B53" s="1" t="s">
        <v>7</v>
      </c>
      <c r="C53" s="42">
        <v>214.7</v>
      </c>
      <c r="D53" s="2">
        <v>155.69999999999999</v>
      </c>
      <c r="E53" s="29">
        <v>85.4</v>
      </c>
      <c r="F53" s="21">
        <v>175.3</v>
      </c>
      <c r="G53" s="2">
        <v>169.5</v>
      </c>
      <c r="H53" s="2">
        <v>247.27078062000032</v>
      </c>
      <c r="I53" s="2">
        <v>625.9</v>
      </c>
      <c r="J53" s="42">
        <v>637.79782577000014</v>
      </c>
      <c r="K53" s="42">
        <v>185.78925829000025</v>
      </c>
      <c r="L53" s="42">
        <v>265.43093343000032</v>
      </c>
      <c r="M53" s="42">
        <v>515.22622456999989</v>
      </c>
      <c r="N53" s="42">
        <v>1045.3203180000005</v>
      </c>
      <c r="O53" s="42">
        <v>756.83070720000057</v>
      </c>
      <c r="P53" s="42">
        <v>622.90028065999934</v>
      </c>
      <c r="Q53" s="42">
        <v>185.80649334000066</v>
      </c>
      <c r="R53" s="42">
        <v>896.8149114999984</v>
      </c>
      <c r="S53" s="42">
        <v>474.00037599999951</v>
      </c>
      <c r="T53" s="42">
        <v>301.42420396999938</v>
      </c>
      <c r="U53" s="42">
        <v>828.70879456999887</v>
      </c>
      <c r="V53" s="42">
        <v>591.21082959000159</v>
      </c>
      <c r="W53" s="42">
        <v>262.42322986000011</v>
      </c>
      <c r="X53" s="23">
        <f t="shared" si="30"/>
        <v>-0.70870195729234298</v>
      </c>
      <c r="Y53" s="23">
        <f t="shared" si="41"/>
        <v>0.4286667371032109</v>
      </c>
      <c r="Z53" s="23">
        <f t="shared" si="41"/>
        <v>0.9410933681016338</v>
      </c>
      <c r="AA53" s="23">
        <f t="shared" si="41"/>
        <v>1.0288569722405128</v>
      </c>
      <c r="AB53" s="23">
        <f t="shared" si="41"/>
        <v>-0.27598201798274025</v>
      </c>
      <c r="AC53" s="23">
        <f t="shared" si="41"/>
        <v>-0.17696219942699642</v>
      </c>
      <c r="AD53" s="23">
        <f t="shared" si="41"/>
        <v>-0.70170748174470599</v>
      </c>
      <c r="AE53" s="23">
        <f t="shared" si="41"/>
        <v>3.8266069467171357</v>
      </c>
      <c r="AF53" s="23">
        <f t="shared" si="41"/>
        <v>-0.47146242784122094</v>
      </c>
      <c r="AG53" s="23">
        <f t="shared" si="41"/>
        <v>-0.36408446230852842</v>
      </c>
      <c r="AH53" s="23">
        <f t="shared" si="41"/>
        <v>1.7493107177699634</v>
      </c>
      <c r="AI53" s="23">
        <f t="shared" si="41"/>
        <v>-0.28658796254627705</v>
      </c>
      <c r="AJ53" s="23">
        <f t="shared" si="41"/>
        <v>-0.55612580702896153</v>
      </c>
    </row>
    <row r="54" spans="1:36" x14ac:dyDescent="0.2">
      <c r="B54" s="12" t="s">
        <v>13</v>
      </c>
      <c r="C54" s="42">
        <v>0</v>
      </c>
      <c r="D54" s="2">
        <v>87</v>
      </c>
      <c r="E54" s="29"/>
      <c r="F54" s="21">
        <v>156.69999999999999</v>
      </c>
      <c r="G54" s="2">
        <v>358.09999999999991</v>
      </c>
      <c r="H54" s="2">
        <v>548.71507226000017</v>
      </c>
      <c r="I54" s="2">
        <v>0</v>
      </c>
      <c r="J54" s="42">
        <v>0</v>
      </c>
      <c r="K54" s="42">
        <v>0</v>
      </c>
      <c r="L54" s="42">
        <v>0</v>
      </c>
      <c r="M54" s="42">
        <v>2437.335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1.8716470000000001</v>
      </c>
      <c r="T54" s="42">
        <v>19961.216218000001</v>
      </c>
      <c r="U54" s="42">
        <v>8.9671354700000023</v>
      </c>
      <c r="V54" s="42">
        <v>0</v>
      </c>
      <c r="W54" s="42">
        <v>0</v>
      </c>
      <c r="X54" s="36"/>
      <c r="Y54" s="36"/>
      <c r="Z54" s="36"/>
      <c r="AA54" s="36"/>
      <c r="AB54" s="36"/>
      <c r="AC54" s="36"/>
      <c r="AD54" s="36" t="e">
        <f t="shared" si="41"/>
        <v>#DIV/0!</v>
      </c>
      <c r="AE54" s="36" t="e">
        <f t="shared" si="41"/>
        <v>#DIV/0!</v>
      </c>
      <c r="AF54" s="36" t="e">
        <f t="shared" si="41"/>
        <v>#DIV/0!</v>
      </c>
      <c r="AG54" s="36">
        <f t="shared" si="41"/>
        <v>10664.053943398516</v>
      </c>
      <c r="AH54" s="36">
        <f t="shared" si="41"/>
        <v>-0.99955077208863086</v>
      </c>
      <c r="AI54" s="36">
        <f t="shared" si="41"/>
        <v>-1</v>
      </c>
      <c r="AJ54" s="36" t="e">
        <f t="shared" si="41"/>
        <v>#DIV/0!</v>
      </c>
    </row>
    <row r="55" spans="1:36" x14ac:dyDescent="0.2">
      <c r="C55" s="42"/>
      <c r="D55" s="2"/>
      <c r="E55" s="29"/>
      <c r="F55" s="2"/>
      <c r="G55" s="2"/>
      <c r="H55" s="2"/>
      <c r="I55" s="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x14ac:dyDescent="0.2">
      <c r="A56" s="10"/>
      <c r="B56" s="44" t="s">
        <v>8</v>
      </c>
      <c r="C56" s="14">
        <f>+C58+C59</f>
        <v>6293.2</v>
      </c>
      <c r="D56" s="14">
        <f t="shared" ref="D56:O56" si="42">+D58+D59</f>
        <v>5958.5</v>
      </c>
      <c r="E56" s="31">
        <f t="shared" si="42"/>
        <v>38598.699999999997</v>
      </c>
      <c r="F56" s="14">
        <f t="shared" si="42"/>
        <v>26041.700000000004</v>
      </c>
      <c r="G56" s="14">
        <f t="shared" si="42"/>
        <v>26440.6</v>
      </c>
      <c r="H56" s="14">
        <f t="shared" si="42"/>
        <v>10956.978946000007</v>
      </c>
      <c r="I56" s="14">
        <f t="shared" si="42"/>
        <v>8168.5</v>
      </c>
      <c r="J56" s="15">
        <f t="shared" si="42"/>
        <v>16057.653877199999</v>
      </c>
      <c r="K56" s="15">
        <f t="shared" si="42"/>
        <v>25563.163044230008</v>
      </c>
      <c r="L56" s="15">
        <f t="shared" si="42"/>
        <v>37103.265638240002</v>
      </c>
      <c r="M56" s="15">
        <f t="shared" si="42"/>
        <v>24243.944772769999</v>
      </c>
      <c r="N56" s="15">
        <f t="shared" si="42"/>
        <v>28245.788474790003</v>
      </c>
      <c r="O56" s="15">
        <f t="shared" si="42"/>
        <v>32631.941409839994</v>
      </c>
      <c r="P56" s="15">
        <f t="shared" ref="P56:W56" si="43">+P58+P59</f>
        <v>18846.880997130003</v>
      </c>
      <c r="Q56" s="15">
        <f t="shared" si="43"/>
        <v>22226.942034399995</v>
      </c>
      <c r="R56" s="15">
        <f t="shared" si="43"/>
        <v>33662.037981610003</v>
      </c>
      <c r="S56" s="15">
        <f t="shared" si="43"/>
        <v>30638.345776830007</v>
      </c>
      <c r="T56" s="15">
        <f t="shared" si="43"/>
        <v>22786.857427429997</v>
      </c>
      <c r="U56" s="15">
        <f t="shared" si="43"/>
        <v>50044.877318579987</v>
      </c>
      <c r="V56" s="15">
        <f t="shared" si="43"/>
        <v>53935.844835300006</v>
      </c>
      <c r="W56" s="15">
        <f t="shared" si="43"/>
        <v>84565.036269539967</v>
      </c>
      <c r="X56" s="22">
        <f t="shared" ref="X56:X63" si="44">+K56/J56-1</f>
        <v>0.59196126904483393</v>
      </c>
      <c r="Y56" s="22">
        <f t="shared" ref="Y56:AJ56" si="45">+L56/K56-1</f>
        <v>0.4514348468553373</v>
      </c>
      <c r="Z56" s="22">
        <f t="shared" si="45"/>
        <v>-0.34658191521063064</v>
      </c>
      <c r="AA56" s="22">
        <f t="shared" si="45"/>
        <v>0.16506569947786476</v>
      </c>
      <c r="AB56" s="22">
        <f t="shared" si="45"/>
        <v>0.15528520079957153</v>
      </c>
      <c r="AC56" s="22">
        <f t="shared" si="45"/>
        <v>-0.42244070739086259</v>
      </c>
      <c r="AD56" s="22">
        <f t="shared" si="45"/>
        <v>0.17934325779340932</v>
      </c>
      <c r="AE56" s="22">
        <f t="shared" si="45"/>
        <v>0.51447004853444267</v>
      </c>
      <c r="AF56" s="22">
        <f t="shared" si="45"/>
        <v>-8.9824989397013888E-2</v>
      </c>
      <c r="AG56" s="22">
        <f t="shared" si="45"/>
        <v>-0.25626345516792337</v>
      </c>
      <c r="AH56" s="22">
        <f t="shared" si="45"/>
        <v>1.1962167217642645</v>
      </c>
      <c r="AI56" s="22">
        <f t="shared" si="45"/>
        <v>7.7749566493100941E-2</v>
      </c>
      <c r="AJ56" s="22">
        <f t="shared" si="45"/>
        <v>0.56788192579109698</v>
      </c>
    </row>
    <row r="57" spans="1:36" x14ac:dyDescent="0.2">
      <c r="C57" s="42"/>
      <c r="D57" s="2"/>
      <c r="E57" s="29"/>
      <c r="F57" s="2"/>
      <c r="G57" s="2"/>
      <c r="H57" s="2"/>
      <c r="I57" s="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x14ac:dyDescent="0.2">
      <c r="B58" s="1" t="s">
        <v>12</v>
      </c>
      <c r="C58" s="42">
        <v>1039.2</v>
      </c>
      <c r="D58" s="2">
        <v>1358.1</v>
      </c>
      <c r="E58" s="29">
        <v>3881.0999999999995</v>
      </c>
      <c r="F58" s="21">
        <v>4875.6000000000004</v>
      </c>
      <c r="G58" s="2">
        <v>4086.5</v>
      </c>
      <c r="H58" s="2">
        <v>2676.1016518000001</v>
      </c>
      <c r="I58" s="2">
        <v>1880</v>
      </c>
      <c r="J58" s="42">
        <v>2629.2001881800006</v>
      </c>
      <c r="K58" s="42">
        <v>4639.3891754800006</v>
      </c>
      <c r="L58" s="42">
        <v>3236.8325980400004</v>
      </c>
      <c r="M58" s="42">
        <v>5673.3670416599998</v>
      </c>
      <c r="N58" s="42">
        <v>4525.1154342400041</v>
      </c>
      <c r="O58" s="42">
        <v>5793.1513848299992</v>
      </c>
      <c r="P58" s="42">
        <v>2823.6275302299991</v>
      </c>
      <c r="Q58" s="42">
        <v>3966.5571708599982</v>
      </c>
      <c r="R58" s="42">
        <v>19414.945583149998</v>
      </c>
      <c r="S58" s="42">
        <v>21224.963266070004</v>
      </c>
      <c r="T58" s="42">
        <v>9994.2220506899885</v>
      </c>
      <c r="U58" s="42">
        <v>20061.366600099987</v>
      </c>
      <c r="V58" s="42">
        <v>19683.242749549994</v>
      </c>
      <c r="W58" s="42">
        <v>16733.702204089994</v>
      </c>
      <c r="X58" s="23">
        <f t="shared" si="44"/>
        <v>0.76456292538587722</v>
      </c>
      <c r="Y58" s="23">
        <f t="shared" ref="Y58:Y63" si="46">+L58/K58-1</f>
        <v>-0.30231492215672739</v>
      </c>
      <c r="Z58" s="23">
        <f t="shared" ref="Z58:Z63" si="47">+M58/L58-1</f>
        <v>0.75275268949509289</v>
      </c>
      <c r="AA58" s="23">
        <f t="shared" ref="AA58:AA63" si="48">+N58/M58-1</f>
        <v>-0.20239332286952172</v>
      </c>
      <c r="AB58" s="23">
        <f t="shared" ref="AB58:AB63" si="49">+O58/N58-1</f>
        <v>0.28022179080674925</v>
      </c>
      <c r="AC58" s="23">
        <f t="shared" ref="AC58:AC63" si="50">+P58/O58-1</f>
        <v>-0.51259213808498483</v>
      </c>
      <c r="AD58" s="23">
        <f t="shared" ref="AD58:AJ63" si="51">+Q58/P58-1</f>
        <v>0.40477351505950976</v>
      </c>
      <c r="AE58" s="23">
        <f t="shared" si="51"/>
        <v>3.8946592086911984</v>
      </c>
      <c r="AF58" s="23">
        <f t="shared" si="51"/>
        <v>9.3228058516470869E-2</v>
      </c>
      <c r="AG58" s="23">
        <f t="shared" si="51"/>
        <v>-0.52912888821500847</v>
      </c>
      <c r="AH58" s="23">
        <f t="shared" si="51"/>
        <v>1.0072964657329155</v>
      </c>
      <c r="AI58" s="23">
        <f t="shared" si="51"/>
        <v>-1.8848359540376891E-2</v>
      </c>
      <c r="AJ58" s="23">
        <f t="shared" si="51"/>
        <v>-0.14985033629824196</v>
      </c>
    </row>
    <row r="59" spans="1:36" s="10" customFormat="1" x14ac:dyDescent="0.2">
      <c r="B59" s="48" t="s">
        <v>5</v>
      </c>
      <c r="C59" s="6">
        <f>+C60+C61+C62+C63</f>
        <v>5254</v>
      </c>
      <c r="D59" s="6">
        <f t="shared" ref="D59:O59" si="52">+D60+D61+D62+D63</f>
        <v>4600.3999999999996</v>
      </c>
      <c r="E59" s="30">
        <f t="shared" si="52"/>
        <v>34717.599999999999</v>
      </c>
      <c r="F59" s="6">
        <f t="shared" si="52"/>
        <v>21166.100000000002</v>
      </c>
      <c r="G59" s="6">
        <f t="shared" si="52"/>
        <v>22354.1</v>
      </c>
      <c r="H59" s="6">
        <f t="shared" si="52"/>
        <v>8280.8772942000069</v>
      </c>
      <c r="I59" s="6">
        <f t="shared" si="52"/>
        <v>6288.5</v>
      </c>
      <c r="J59" s="6">
        <f t="shared" si="52"/>
        <v>13428.453689019998</v>
      </c>
      <c r="K59" s="6">
        <f t="shared" si="52"/>
        <v>20923.77386875001</v>
      </c>
      <c r="L59" s="6">
        <f t="shared" si="52"/>
        <v>33866.433040200005</v>
      </c>
      <c r="M59" s="6">
        <f t="shared" si="52"/>
        <v>18570.577731109999</v>
      </c>
      <c r="N59" s="6">
        <f t="shared" si="52"/>
        <v>23720.673040549998</v>
      </c>
      <c r="O59" s="6">
        <f t="shared" si="52"/>
        <v>26838.790025009996</v>
      </c>
      <c r="P59" s="6">
        <f t="shared" ref="P59:U59" si="53">+P60+P61+P62+P63</f>
        <v>16023.253466900003</v>
      </c>
      <c r="Q59" s="6">
        <f t="shared" si="53"/>
        <v>18260.384863539999</v>
      </c>
      <c r="R59" s="6">
        <f t="shared" si="53"/>
        <v>14247.092398460001</v>
      </c>
      <c r="S59" s="6">
        <f t="shared" si="53"/>
        <v>9413.3825107600005</v>
      </c>
      <c r="T59" s="6">
        <f t="shared" si="53"/>
        <v>12792.635376740007</v>
      </c>
      <c r="U59" s="6">
        <f t="shared" si="53"/>
        <v>29983.51071848</v>
      </c>
      <c r="V59" s="6">
        <f>+V60+V61+V62+V63</f>
        <v>34252.602085750012</v>
      </c>
      <c r="W59" s="6">
        <f>+W60+W61+W62+W63</f>
        <v>67831.334065449977</v>
      </c>
      <c r="X59" s="23">
        <f t="shared" si="44"/>
        <v>0.5581670349623864</v>
      </c>
      <c r="Y59" s="23">
        <f t="shared" si="46"/>
        <v>0.61856237085318844</v>
      </c>
      <c r="Z59" s="23">
        <f t="shared" si="47"/>
        <v>-0.45165238662523388</v>
      </c>
      <c r="AA59" s="23">
        <f t="shared" si="48"/>
        <v>0.27732552987904091</v>
      </c>
      <c r="AB59" s="23">
        <f t="shared" si="49"/>
        <v>0.13145145498737065</v>
      </c>
      <c r="AC59" s="23">
        <f t="shared" si="50"/>
        <v>-0.4029815259194407</v>
      </c>
      <c r="AD59" s="23">
        <f t="shared" si="51"/>
        <v>0.1396177999219288</v>
      </c>
      <c r="AE59" s="23">
        <f t="shared" si="51"/>
        <v>-0.21978137345249649</v>
      </c>
      <c r="AF59" s="23">
        <f t="shared" si="51"/>
        <v>-0.33927693823495431</v>
      </c>
      <c r="AG59" s="23">
        <f t="shared" si="51"/>
        <v>0.35898391063120405</v>
      </c>
      <c r="AH59" s="23">
        <f t="shared" si="51"/>
        <v>1.343810312376839</v>
      </c>
      <c r="AI59" s="23">
        <f t="shared" si="51"/>
        <v>0.14238130442272734</v>
      </c>
      <c r="AJ59" s="23">
        <f t="shared" si="51"/>
        <v>0.98032645507155802</v>
      </c>
    </row>
    <row r="60" spans="1:36" x14ac:dyDescent="0.2">
      <c r="B60" s="1" t="s">
        <v>6</v>
      </c>
      <c r="C60" s="42">
        <v>11.7</v>
      </c>
      <c r="D60" s="2">
        <v>11.9</v>
      </c>
      <c r="E60" s="29">
        <v>52.9</v>
      </c>
      <c r="F60" s="21">
        <v>561</v>
      </c>
      <c r="G60" s="2">
        <v>1224.5999999999999</v>
      </c>
      <c r="H60" s="2">
        <v>240.91782799999987</v>
      </c>
      <c r="I60" s="2">
        <v>161.1</v>
      </c>
      <c r="J60" s="42">
        <v>112.73521600000004</v>
      </c>
      <c r="K60" s="42">
        <v>650.26310800000022</v>
      </c>
      <c r="L60" s="42">
        <v>25</v>
      </c>
      <c r="M60" s="42">
        <f>2096.88468639</f>
        <v>2096.8846863899998</v>
      </c>
      <c r="N60" s="42">
        <v>0</v>
      </c>
      <c r="O60" s="42">
        <v>1006.0083029999998</v>
      </c>
      <c r="P60" s="42">
        <v>1236.6577413199993</v>
      </c>
      <c r="Q60" s="42">
        <v>1100.7690430000005</v>
      </c>
      <c r="R60" s="42">
        <v>1202.1337906700003</v>
      </c>
      <c r="S60" s="42">
        <v>89.723999979999959</v>
      </c>
      <c r="T60" s="42">
        <v>124.26066387999997</v>
      </c>
      <c r="U60" s="42">
        <v>202.15308127000026</v>
      </c>
      <c r="V60" s="42">
        <v>134.1673783</v>
      </c>
      <c r="W60" s="42">
        <v>95.538350959999946</v>
      </c>
      <c r="X60" s="23">
        <f t="shared" si="44"/>
        <v>4.7680566115205743</v>
      </c>
      <c r="Y60" s="23">
        <f t="shared" si="46"/>
        <v>-0.96155402375987165</v>
      </c>
      <c r="Z60" s="23">
        <f t="shared" si="47"/>
        <v>82.875387455599991</v>
      </c>
      <c r="AA60" s="23">
        <f t="shared" si="48"/>
        <v>-1</v>
      </c>
      <c r="AB60" s="36" t="e">
        <f t="shared" si="49"/>
        <v>#DIV/0!</v>
      </c>
      <c r="AC60" s="23">
        <f t="shared" si="50"/>
        <v>0.22927190325585167</v>
      </c>
      <c r="AD60" s="23">
        <f t="shared" si="51"/>
        <v>-0.10988383752399611</v>
      </c>
      <c r="AE60" s="23">
        <f t="shared" si="51"/>
        <v>9.2085390949716128E-2</v>
      </c>
      <c r="AF60" s="23">
        <f t="shared" si="51"/>
        <v>-0.92536271696514505</v>
      </c>
      <c r="AG60" s="23">
        <f t="shared" si="51"/>
        <v>0.38492113489922919</v>
      </c>
      <c r="AH60" s="23">
        <f t="shared" si="51"/>
        <v>0.62684694381821382</v>
      </c>
      <c r="AI60" s="23">
        <f t="shared" si="51"/>
        <v>-0.33630802233084445</v>
      </c>
      <c r="AJ60" s="23">
        <f t="shared" si="51"/>
        <v>-0.28791668906002654</v>
      </c>
    </row>
    <row r="61" spans="1:36" ht="14.25" x14ac:dyDescent="0.2">
      <c r="B61" s="48" t="s">
        <v>69</v>
      </c>
      <c r="C61" s="42">
        <v>5242.3</v>
      </c>
      <c r="D61" s="2">
        <v>4569.7</v>
      </c>
      <c r="E61" s="29">
        <f>35482.7-875</f>
        <v>34607.699999999997</v>
      </c>
      <c r="F61" s="21">
        <f>20955.2-930.8</f>
        <v>20024.400000000001</v>
      </c>
      <c r="G61" s="2">
        <f>16694.8-1125</f>
        <v>15569.8</v>
      </c>
      <c r="H61" s="2">
        <v>6716.4399300100067</v>
      </c>
      <c r="I61" s="2">
        <v>5749.4</v>
      </c>
      <c r="J61" s="42">
        <v>12830.009605770001</v>
      </c>
      <c r="K61" s="42">
        <v>18979.07093852001</v>
      </c>
      <c r="L61" s="42">
        <v>23066.512913829996</v>
      </c>
      <c r="M61" s="42">
        <v>13398.37919745</v>
      </c>
      <c r="N61" s="42">
        <v>22396.443337229997</v>
      </c>
      <c r="O61" s="42">
        <v>24271.485021959998</v>
      </c>
      <c r="P61" s="42">
        <v>12496.603922030003</v>
      </c>
      <c r="Q61" s="42">
        <v>14644.019110709998</v>
      </c>
      <c r="R61" s="42">
        <v>11962.195812779995</v>
      </c>
      <c r="S61" s="42">
        <v>9323.6585107799983</v>
      </c>
      <c r="T61" s="42">
        <v>12631.924156810006</v>
      </c>
      <c r="U61" s="42">
        <v>29740.621116779999</v>
      </c>
      <c r="V61" s="42">
        <v>27819.706921450015</v>
      </c>
      <c r="W61" s="42">
        <v>67735.79571448997</v>
      </c>
      <c r="X61" s="23">
        <f t="shared" si="44"/>
        <v>0.4792717637549242</v>
      </c>
      <c r="Y61" s="23">
        <f t="shared" si="46"/>
        <v>0.21536575676178615</v>
      </c>
      <c r="Z61" s="23">
        <f t="shared" si="47"/>
        <v>-0.41914153875349192</v>
      </c>
      <c r="AA61" s="23">
        <f t="shared" si="48"/>
        <v>0.67157855492644392</v>
      </c>
      <c r="AB61" s="23">
        <f t="shared" si="49"/>
        <v>8.3720511176570866E-2</v>
      </c>
      <c r="AC61" s="23">
        <f t="shared" si="50"/>
        <v>-0.48513228956845822</v>
      </c>
      <c r="AD61" s="23">
        <f t="shared" si="51"/>
        <v>0.17183990163074325</v>
      </c>
      <c r="AE61" s="23">
        <f t="shared" ref="AE61:AH62" si="54">+R61/Q61-1</f>
        <v>-0.1831343757239865</v>
      </c>
      <c r="AF61" s="23">
        <f t="shared" si="54"/>
        <v>-0.22057299038535005</v>
      </c>
      <c r="AG61" s="23">
        <f t="shared" si="54"/>
        <v>0.35482484072158971</v>
      </c>
      <c r="AH61" s="23">
        <f t="shared" si="54"/>
        <v>1.3544014947830818</v>
      </c>
      <c r="AI61" s="23">
        <f>+V61/U61-1</f>
        <v>-6.458890645851989E-2</v>
      </c>
      <c r="AJ61" s="23">
        <f>+W61/V61-1</f>
        <v>1.4348134186224364</v>
      </c>
    </row>
    <row r="62" spans="1:36" x14ac:dyDescent="0.2">
      <c r="B62" s="1" t="s">
        <v>7</v>
      </c>
      <c r="C62" s="42">
        <v>0</v>
      </c>
      <c r="D62" s="2">
        <v>0</v>
      </c>
      <c r="E62" s="29">
        <v>7</v>
      </c>
      <c r="F62" s="21">
        <v>8.3000000000000007</v>
      </c>
      <c r="G62" s="2">
        <v>0</v>
      </c>
      <c r="H62" s="2">
        <v>0</v>
      </c>
      <c r="I62" s="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/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36" t="e">
        <f t="shared" si="44"/>
        <v>#DIV/0!</v>
      </c>
      <c r="Y62" s="36" t="e">
        <f t="shared" si="46"/>
        <v>#DIV/0!</v>
      </c>
      <c r="Z62" s="36" t="e">
        <f t="shared" si="47"/>
        <v>#DIV/0!</v>
      </c>
      <c r="AA62" s="36" t="e">
        <f t="shared" si="48"/>
        <v>#DIV/0!</v>
      </c>
      <c r="AB62" s="36" t="e">
        <f t="shared" si="49"/>
        <v>#DIV/0!</v>
      </c>
      <c r="AC62" s="36" t="e">
        <f t="shared" si="50"/>
        <v>#DIV/0!</v>
      </c>
      <c r="AD62" s="36" t="e">
        <f t="shared" si="51"/>
        <v>#DIV/0!</v>
      </c>
      <c r="AE62" s="36" t="e">
        <f t="shared" si="54"/>
        <v>#DIV/0!</v>
      </c>
      <c r="AF62" s="36" t="e">
        <f t="shared" si="54"/>
        <v>#DIV/0!</v>
      </c>
      <c r="AG62" s="36" t="e">
        <f t="shared" si="54"/>
        <v>#DIV/0!</v>
      </c>
      <c r="AH62" s="36" t="e">
        <f t="shared" si="54"/>
        <v>#DIV/0!</v>
      </c>
      <c r="AI62" s="36" t="e">
        <f>+V62/U62-1</f>
        <v>#DIV/0!</v>
      </c>
      <c r="AJ62" s="36" t="e">
        <f>+W62/V62-1</f>
        <v>#DIV/0!</v>
      </c>
    </row>
    <row r="63" spans="1:36" x14ac:dyDescent="0.2">
      <c r="B63" s="12" t="s">
        <v>14</v>
      </c>
      <c r="C63" s="42">
        <v>0</v>
      </c>
      <c r="D63" s="2">
        <v>18.8</v>
      </c>
      <c r="E63" s="29">
        <v>50.000000000000057</v>
      </c>
      <c r="F63" s="21">
        <v>572.4</v>
      </c>
      <c r="G63" s="2">
        <v>5559.7</v>
      </c>
      <c r="H63" s="2">
        <v>1323.5195361899998</v>
      </c>
      <c r="I63" s="2">
        <v>378</v>
      </c>
      <c r="J63" s="42">
        <v>485.70886724999775</v>
      </c>
      <c r="K63" s="42">
        <v>1294.4398222300006</v>
      </c>
      <c r="L63" s="42">
        <v>10774.920126370009</v>
      </c>
      <c r="M63" s="42">
        <v>3075.3138472699989</v>
      </c>
      <c r="N63" s="42">
        <v>1324.2297033199995</v>
      </c>
      <c r="O63" s="42">
        <v>1561.2967000499998</v>
      </c>
      <c r="P63" s="42">
        <v>2289.9918035500014</v>
      </c>
      <c r="Q63" s="42">
        <v>2515.5967098300002</v>
      </c>
      <c r="R63" s="42">
        <v>1082.7627950100043</v>
      </c>
      <c r="S63" s="42">
        <v>1.1295270274658264E-12</v>
      </c>
      <c r="T63" s="42">
        <v>36.450556049999989</v>
      </c>
      <c r="U63" s="42">
        <v>40.736520430000006</v>
      </c>
      <c r="V63" s="42">
        <v>6298.7277859999995</v>
      </c>
      <c r="W63" s="42">
        <v>0</v>
      </c>
      <c r="X63" s="23">
        <f t="shared" si="44"/>
        <v>1.6650528938433879</v>
      </c>
      <c r="Y63" s="23">
        <f t="shared" si="46"/>
        <v>7.3240023532399352</v>
      </c>
      <c r="Z63" s="23">
        <f t="shared" si="47"/>
        <v>-0.71458592628045314</v>
      </c>
      <c r="AA63" s="23">
        <f t="shared" si="48"/>
        <v>-0.56940014285191165</v>
      </c>
      <c r="AB63" s="23">
        <f t="shared" si="49"/>
        <v>0.17902256393709148</v>
      </c>
      <c r="AC63" s="23">
        <f t="shared" si="50"/>
        <v>0.46672429620626588</v>
      </c>
      <c r="AD63" s="23">
        <f t="shared" si="51"/>
        <v>9.8517778941505707E-2</v>
      </c>
      <c r="AE63" s="23">
        <f t="shared" si="51"/>
        <v>-0.56958013548873831</v>
      </c>
      <c r="AF63" s="23">
        <f>+S63/R63-1</f>
        <v>-0.999999999999999</v>
      </c>
      <c r="AG63" s="203">
        <f t="shared" si="51"/>
        <v>32270636437782.504</v>
      </c>
      <c r="AH63" s="206">
        <f t="shared" si="51"/>
        <v>0.11758296290791481</v>
      </c>
      <c r="AI63" s="206">
        <f t="shared" si="51"/>
        <v>153.62115368502029</v>
      </c>
      <c r="AJ63" s="206">
        <f t="shared" si="51"/>
        <v>-1</v>
      </c>
    </row>
    <row r="64" spans="1:36" x14ac:dyDescent="0.2">
      <c r="B64" s="12"/>
      <c r="C64" s="42"/>
      <c r="D64" s="2"/>
      <c r="E64" s="29"/>
      <c r="F64" s="21"/>
      <c r="G64" s="2"/>
      <c r="H64" s="2"/>
      <c r="I64" s="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x14ac:dyDescent="0.2">
      <c r="B65" s="3" t="s">
        <v>50</v>
      </c>
      <c r="C65" s="42"/>
      <c r="D65" s="2"/>
      <c r="E65" s="29"/>
      <c r="F65" s="21"/>
      <c r="G65" s="2">
        <f t="shared" ref="G65:O65" si="55">+G66-G67</f>
        <v>0</v>
      </c>
      <c r="H65" s="6">
        <f t="shared" si="55"/>
        <v>0</v>
      </c>
      <c r="I65" s="6">
        <f t="shared" si="55"/>
        <v>0</v>
      </c>
      <c r="J65" s="6">
        <f t="shared" si="55"/>
        <v>0</v>
      </c>
      <c r="K65" s="6">
        <f t="shared" si="55"/>
        <v>0</v>
      </c>
      <c r="L65" s="6">
        <f t="shared" si="55"/>
        <v>0</v>
      </c>
      <c r="M65" s="6">
        <f t="shared" si="55"/>
        <v>0</v>
      </c>
      <c r="N65" s="6">
        <f t="shared" si="55"/>
        <v>0</v>
      </c>
      <c r="O65" s="6">
        <f t="shared" si="55"/>
        <v>0</v>
      </c>
      <c r="P65" s="6">
        <f t="shared" ref="P65:W65" si="56">+P66-P67</f>
        <v>0</v>
      </c>
      <c r="Q65" s="6">
        <f t="shared" si="56"/>
        <v>0</v>
      </c>
      <c r="R65" s="6">
        <f t="shared" si="56"/>
        <v>0</v>
      </c>
      <c r="S65" s="6">
        <f t="shared" si="56"/>
        <v>0</v>
      </c>
      <c r="T65" s="6">
        <f t="shared" si="56"/>
        <v>0</v>
      </c>
      <c r="U65" s="6">
        <f t="shared" si="56"/>
        <v>430.61000000000013</v>
      </c>
      <c r="V65" s="6">
        <f t="shared" si="56"/>
        <v>332.27350000000024</v>
      </c>
      <c r="W65" s="6">
        <f t="shared" si="56"/>
        <v>0</v>
      </c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206"/>
      <c r="AI65" s="206"/>
      <c r="AJ65" s="206"/>
    </row>
    <row r="66" spans="1:36" x14ac:dyDescent="0.2">
      <c r="B66" s="49" t="s">
        <v>51</v>
      </c>
      <c r="C66" s="42"/>
      <c r="D66" s="2"/>
      <c r="E66" s="29"/>
      <c r="F66" s="21"/>
      <c r="G66" s="2"/>
      <c r="H66" s="2"/>
      <c r="I66" s="2">
        <v>0</v>
      </c>
      <c r="J66" s="42">
        <v>0</v>
      </c>
      <c r="K66" s="42">
        <v>0</v>
      </c>
      <c r="L66" s="42">
        <v>0</v>
      </c>
      <c r="M66" s="42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04">
        <v>0</v>
      </c>
      <c r="T66" s="21">
        <v>0</v>
      </c>
      <c r="U66" s="21">
        <v>430.61000000000013</v>
      </c>
      <c r="V66" s="21">
        <v>332.27350000000024</v>
      </c>
      <c r="W66" s="21">
        <v>0</v>
      </c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206"/>
      <c r="AI66" s="206"/>
      <c r="AJ66" s="206"/>
    </row>
    <row r="67" spans="1:36" x14ac:dyDescent="0.2">
      <c r="B67" s="49" t="s">
        <v>52</v>
      </c>
      <c r="C67" s="42"/>
      <c r="D67" s="2"/>
      <c r="E67" s="29"/>
      <c r="F67" s="21"/>
      <c r="G67" s="2"/>
      <c r="H67" s="2"/>
      <c r="I67" s="2">
        <v>0</v>
      </c>
      <c r="J67" s="42">
        <v>0</v>
      </c>
      <c r="K67" s="42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04">
        <v>0</v>
      </c>
      <c r="T67" s="21">
        <v>0</v>
      </c>
      <c r="U67" s="21">
        <v>0</v>
      </c>
      <c r="V67" s="21">
        <v>0</v>
      </c>
      <c r="W67" s="21">
        <v>0</v>
      </c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206"/>
      <c r="AI67" s="206"/>
      <c r="AJ67" s="206"/>
    </row>
    <row r="68" spans="1:36" x14ac:dyDescent="0.2">
      <c r="B68" s="49"/>
      <c r="C68" s="42"/>
      <c r="D68" s="2"/>
      <c r="E68" s="29"/>
      <c r="F68" s="21"/>
      <c r="G68" s="2"/>
      <c r="H68" s="2"/>
      <c r="I68" s="2"/>
      <c r="J68" s="42"/>
      <c r="K68" s="4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</row>
    <row r="69" spans="1:36" x14ac:dyDescent="0.2">
      <c r="A69" s="5" t="s">
        <v>17</v>
      </c>
      <c r="B69" s="4" t="s">
        <v>21</v>
      </c>
      <c r="C69" s="15">
        <f t="shared" ref="C69:O69" si="57">+C9-C38</f>
        <v>36511.743470069996</v>
      </c>
      <c r="D69" s="15">
        <f t="shared" si="57"/>
        <v>55546.897274310002</v>
      </c>
      <c r="E69" s="15">
        <f t="shared" si="57"/>
        <v>62456.107054859953</v>
      </c>
      <c r="F69" s="15">
        <f t="shared" si="57"/>
        <v>-13478.014456189994</v>
      </c>
      <c r="G69" s="15">
        <f t="shared" si="57"/>
        <v>-22752.687058440002</v>
      </c>
      <c r="H69" s="15">
        <f t="shared" si="57"/>
        <v>-45109.174531170051</v>
      </c>
      <c r="I69" s="15">
        <f t="shared" si="57"/>
        <v>-40620.909999999945</v>
      </c>
      <c r="J69" s="15">
        <f t="shared" si="57"/>
        <v>-42072.46461484005</v>
      </c>
      <c r="K69" s="15">
        <f t="shared" si="57"/>
        <v>-17968.394614560122</v>
      </c>
      <c r="L69" s="15">
        <f t="shared" si="57"/>
        <v>-38355.972783439793</v>
      </c>
      <c r="M69" s="15">
        <f t="shared" si="57"/>
        <v>-61682.596894480055</v>
      </c>
      <c r="N69" s="15">
        <f t="shared" si="57"/>
        <v>-90362.03600786993</v>
      </c>
      <c r="O69" s="15">
        <f t="shared" si="57"/>
        <v>-58306.061351809825</v>
      </c>
      <c r="P69" s="15">
        <f t="shared" ref="P69:U69" si="58">+P9-P38</f>
        <v>-86047.506601759989</v>
      </c>
      <c r="Q69" s="15">
        <f t="shared" si="58"/>
        <v>-122260.92367029004</v>
      </c>
      <c r="R69" s="15">
        <f t="shared" si="58"/>
        <v>2409.4372298300732</v>
      </c>
      <c r="S69" s="15">
        <f t="shared" si="58"/>
        <v>28209.557457689487</v>
      </c>
      <c r="T69" s="15">
        <f t="shared" si="58"/>
        <v>24660.482977620326</v>
      </c>
      <c r="U69" s="15">
        <f t="shared" si="58"/>
        <v>-33904.840794849792</v>
      </c>
      <c r="V69" s="15">
        <f>+V9-V38</f>
        <v>54536.736590359942</v>
      </c>
      <c r="W69" s="15">
        <f>+W9-W38</f>
        <v>46375.968712279922</v>
      </c>
      <c r="X69" s="37">
        <f t="shared" ref="X69:AJ69" si="59">+K69/J69-1</f>
        <v>-0.5729179457620317</v>
      </c>
      <c r="Y69" s="37">
        <f t="shared" si="59"/>
        <v>1.1346354867094939</v>
      </c>
      <c r="Z69" s="37">
        <f t="shared" si="59"/>
        <v>0.60816145226569618</v>
      </c>
      <c r="AA69" s="37">
        <f t="shared" si="59"/>
        <v>0.46495187552579176</v>
      </c>
      <c r="AB69" s="37">
        <f t="shared" si="59"/>
        <v>-0.35475046902737162</v>
      </c>
      <c r="AC69" s="37">
        <f t="shared" si="59"/>
        <v>0.47579007408102125</v>
      </c>
      <c r="AD69" s="37">
        <f t="shared" si="59"/>
        <v>0.42085376437612365</v>
      </c>
      <c r="AE69" s="37">
        <f t="shared" si="59"/>
        <v>-1.0197073370419463</v>
      </c>
      <c r="AF69" s="37">
        <f t="shared" si="59"/>
        <v>10.707944539264457</v>
      </c>
      <c r="AG69" s="37">
        <f t="shared" si="59"/>
        <v>-0.12581106546574827</v>
      </c>
      <c r="AH69" s="37">
        <f t="shared" si="59"/>
        <v>-2.3748652378632986</v>
      </c>
      <c r="AI69" s="37">
        <f t="shared" si="59"/>
        <v>-2.6085236005191383</v>
      </c>
      <c r="AJ69" s="37">
        <f t="shared" si="59"/>
        <v>-0.14963799428223468</v>
      </c>
    </row>
    <row r="70" spans="1:36" ht="18.75" x14ac:dyDescent="0.25">
      <c r="A70" s="2"/>
      <c r="B70" s="45" t="s">
        <v>48</v>
      </c>
      <c r="C70" s="46">
        <f>+C69/C77</f>
        <v>3.1439539657970327E-3</v>
      </c>
      <c r="D70" s="46">
        <f>+D69/D77</f>
        <v>3.9993293764695789E-3</v>
      </c>
      <c r="E70" s="46">
        <f t="shared" ref="E70:N70" si="60">+E69/E77</f>
        <v>3.8531806120260005E-3</v>
      </c>
      <c r="F70" s="46">
        <f t="shared" si="60"/>
        <v>-7.6466024712762361E-4</v>
      </c>
      <c r="G70" s="46">
        <f t="shared" si="60"/>
        <v>-1.1490089323778062E-3</v>
      </c>
      <c r="H70" s="46">
        <f t="shared" si="60"/>
        <v>-2.0861157172855182E-3</v>
      </c>
      <c r="I70" s="46">
        <f t="shared" si="60"/>
        <v>-1.7101475482418128E-3</v>
      </c>
      <c r="J70" s="46">
        <f t="shared" si="60"/>
        <v>-1.6523009711858045E-3</v>
      </c>
      <c r="K70" s="46">
        <f t="shared" si="60"/>
        <v>-6.4169795344132621E-4</v>
      </c>
      <c r="L70" s="46">
        <f t="shared" si="60"/>
        <v>-1.261630646315583E-3</v>
      </c>
      <c r="M70" s="46">
        <f t="shared" si="60"/>
        <v>-1.9241964793191514E-3</v>
      </c>
      <c r="N70" s="46">
        <f t="shared" si="60"/>
        <v>-2.6311135416781204E-3</v>
      </c>
      <c r="O70" s="46">
        <f t="shared" ref="O70:T70" si="61">+O69/O77</f>
        <v>-1.6189509027543735E-3</v>
      </c>
      <c r="P70" s="46">
        <f t="shared" si="61"/>
        <v>-2.2744545857597549E-3</v>
      </c>
      <c r="Q70" s="46">
        <f t="shared" si="61"/>
        <v>-3.3500506705800796E-3</v>
      </c>
      <c r="R70" s="46">
        <f t="shared" si="61"/>
        <v>5.9748049236870899E-5</v>
      </c>
      <c r="S70" s="46">
        <f t="shared" si="61"/>
        <v>6.2953667024921614E-4</v>
      </c>
      <c r="T70" s="46">
        <f t="shared" si="61"/>
        <v>5.2403026703885835E-4</v>
      </c>
      <c r="U70" s="46">
        <f>+U69/U77</f>
        <v>-6.9030226141354061E-4</v>
      </c>
      <c r="V70" s="46">
        <f>+V69/V77</f>
        <v>1.052582778776375E-3</v>
      </c>
      <c r="W70" s="46">
        <f>+W69/W77</f>
        <v>8.6470193217336264E-4</v>
      </c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</row>
    <row r="71" spans="1:36" x14ac:dyDescent="0.2">
      <c r="A71" s="5" t="s">
        <v>18</v>
      </c>
      <c r="B71" s="4" t="s">
        <v>20</v>
      </c>
      <c r="C71" s="15">
        <f t="shared" ref="C71:K71" si="62">+C9-C36</f>
        <v>32882.443470070008</v>
      </c>
      <c r="D71" s="15">
        <f t="shared" si="62"/>
        <v>45959.497274309993</v>
      </c>
      <c r="E71" s="15">
        <f t="shared" si="62"/>
        <v>56045.007054859976</v>
      </c>
      <c r="F71" s="15">
        <f t="shared" si="62"/>
        <v>-21089.014456189994</v>
      </c>
      <c r="G71" s="15">
        <f t="shared" si="62"/>
        <v>-31431.487058439961</v>
      </c>
      <c r="H71" s="15">
        <f t="shared" si="62"/>
        <v>-54142.417963310028</v>
      </c>
      <c r="I71" s="15">
        <f t="shared" si="62"/>
        <v>-51701.609999999957</v>
      </c>
      <c r="J71" s="15">
        <f t="shared" si="62"/>
        <v>-88379.503407580021</v>
      </c>
      <c r="K71" s="15">
        <f t="shared" si="62"/>
        <v>-55908.415034700185</v>
      </c>
      <c r="L71" s="15">
        <f t="shared" ref="L71:S71" si="63">+L9-L36</f>
        <v>-92838.651641969802</v>
      </c>
      <c r="M71" s="15">
        <f t="shared" si="63"/>
        <v>-118009.83674565487</v>
      </c>
      <c r="N71" s="15">
        <f t="shared" si="63"/>
        <v>-161150.06320408994</v>
      </c>
      <c r="O71" s="15">
        <f t="shared" si="63"/>
        <v>-144174.59299671982</v>
      </c>
      <c r="P71" s="15">
        <f t="shared" si="63"/>
        <v>-214331.8588731499</v>
      </c>
      <c r="Q71" s="15">
        <f t="shared" si="63"/>
        <v>-228069.01349236013</v>
      </c>
      <c r="R71" s="15">
        <f t="shared" si="63"/>
        <v>-70542.855294149951</v>
      </c>
      <c r="S71" s="15">
        <f t="shared" si="63"/>
        <v>-27448.496409160609</v>
      </c>
      <c r="T71" s="15">
        <f>+T9-T36</f>
        <v>-67205.318680189725</v>
      </c>
      <c r="U71" s="15">
        <f>+U9-U36</f>
        <v>-192515.38977486966</v>
      </c>
      <c r="V71" s="15">
        <f>+V9-V36</f>
        <v>-68415.87596957013</v>
      </c>
      <c r="W71" s="15">
        <f>+W9-W36</f>
        <v>-123606.01691132004</v>
      </c>
      <c r="X71" s="37">
        <f t="shared" ref="X71:AJ71" si="64">+K71/J71-1</f>
        <v>-0.36740519148577722</v>
      </c>
      <c r="Y71" s="37">
        <f t="shared" si="64"/>
        <v>0.66054880261492754</v>
      </c>
      <c r="Z71" s="37">
        <f t="shared" si="64"/>
        <v>0.27112829256457949</v>
      </c>
      <c r="AA71" s="37">
        <f t="shared" si="64"/>
        <v>0.36556466518477304</v>
      </c>
      <c r="AB71" s="37">
        <f t="shared" si="64"/>
        <v>-0.10533951938865438</v>
      </c>
      <c r="AC71" s="37">
        <f t="shared" si="64"/>
        <v>0.48661324036493903</v>
      </c>
      <c r="AD71" s="37">
        <f t="shared" si="64"/>
        <v>6.4092919696741912E-2</v>
      </c>
      <c r="AE71" s="37">
        <f t="shared" si="64"/>
        <v>-0.69069513559099516</v>
      </c>
      <c r="AF71" s="37">
        <f t="shared" si="64"/>
        <v>-0.61089615249190388</v>
      </c>
      <c r="AG71" s="37">
        <f t="shared" si="64"/>
        <v>1.4484153040077179</v>
      </c>
      <c r="AH71" s="37">
        <f t="shared" si="64"/>
        <v>1.8645856244056156</v>
      </c>
      <c r="AI71" s="37">
        <f t="shared" si="64"/>
        <v>-0.64462126352819549</v>
      </c>
      <c r="AJ71" s="37">
        <f t="shared" si="64"/>
        <v>0.80668616983428332</v>
      </c>
    </row>
    <row r="72" spans="1:36" ht="18.75" x14ac:dyDescent="0.25">
      <c r="A72" s="5"/>
      <c r="B72" s="45" t="s">
        <v>48</v>
      </c>
      <c r="C72" s="46">
        <f>+C71/C77</f>
        <v>2.8314421259441752E-3</v>
      </c>
      <c r="D72" s="46">
        <f>+D71/D77</f>
        <v>3.3090447279029364E-3</v>
      </c>
      <c r="E72" s="46">
        <f t="shared" ref="E72:O72" si="65">+E71/E77</f>
        <v>3.457652818401893E-3</v>
      </c>
      <c r="F72" s="46">
        <f t="shared" si="65"/>
        <v>-1.1964619164169376E-3</v>
      </c>
      <c r="G72" s="46">
        <f t="shared" si="65"/>
        <v>-1.5872876594884744E-3</v>
      </c>
      <c r="H72" s="46">
        <f t="shared" si="65"/>
        <v>-2.5038664586304318E-3</v>
      </c>
      <c r="I72" s="46">
        <f t="shared" si="65"/>
        <v>-2.1766469924394713E-3</v>
      </c>
      <c r="J72" s="46">
        <f t="shared" si="65"/>
        <v>-3.4709052737964671E-3</v>
      </c>
      <c r="K72" s="46">
        <f t="shared" si="65"/>
        <v>-1.9966344393863734E-3</v>
      </c>
      <c r="L72" s="46">
        <f t="shared" si="65"/>
        <v>-3.0537118361053726E-3</v>
      </c>
      <c r="M72" s="46">
        <f t="shared" si="65"/>
        <v>-3.6813319124593745E-3</v>
      </c>
      <c r="N72" s="46">
        <f t="shared" si="65"/>
        <v>-4.6922815406863798E-3</v>
      </c>
      <c r="O72" s="46">
        <f t="shared" si="65"/>
        <v>-4.0032130806763678E-3</v>
      </c>
      <c r="P72" s="46">
        <f t="shared" ref="P72:U72" si="66">+P71/P77</f>
        <v>-5.6653364930678591E-3</v>
      </c>
      <c r="Q72" s="46">
        <f t="shared" si="66"/>
        <v>-6.2492800532823406E-3</v>
      </c>
      <c r="R72" s="46">
        <f t="shared" si="66"/>
        <v>-1.749287318732757E-3</v>
      </c>
      <c r="S72" s="46">
        <f t="shared" si="66"/>
        <v>-6.1255250312550798E-4</v>
      </c>
      <c r="T72" s="46">
        <f t="shared" si="66"/>
        <v>-1.428099406097269E-3</v>
      </c>
      <c r="U72" s="46">
        <f t="shared" si="66"/>
        <v>-3.9196116484548887E-3</v>
      </c>
      <c r="V72" s="46">
        <f>+V71/V77</f>
        <v>-1.3204562161718936E-3</v>
      </c>
      <c r="W72" s="46">
        <f>+W71/W77</f>
        <v>-2.3046928100753684E-3</v>
      </c>
      <c r="X72" s="15"/>
      <c r="Y72" s="15"/>
      <c r="Z72" s="15"/>
      <c r="AA72" s="15"/>
      <c r="AB72" s="15"/>
      <c r="AC72" s="15"/>
    </row>
    <row r="73" spans="1:36" x14ac:dyDescent="0.2">
      <c r="B73" s="3"/>
      <c r="C73" s="25"/>
      <c r="D73" s="25"/>
      <c r="E73" s="2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5"/>
      <c r="Y73" s="25"/>
      <c r="Z73" s="25"/>
      <c r="AA73" s="25"/>
      <c r="AB73" s="25"/>
      <c r="AC73" s="25"/>
    </row>
    <row r="74" spans="1:36" x14ac:dyDescent="0.2">
      <c r="B74" s="20" t="s">
        <v>39</v>
      </c>
      <c r="C74" s="26"/>
      <c r="D74" s="26"/>
      <c r="E74" s="26"/>
      <c r="F74" s="40">
        <f t="shared" ref="F74:O74" si="67">F75+F76</f>
        <v>20276.7173068392</v>
      </c>
      <c r="G74" s="40">
        <f t="shared" si="67"/>
        <v>32705.766759404414</v>
      </c>
      <c r="H74" s="40">
        <f t="shared" si="67"/>
        <v>65696.776848268273</v>
      </c>
      <c r="I74" s="40">
        <f t="shared" si="67"/>
        <v>51701.599999999999</v>
      </c>
      <c r="J74" s="40">
        <f t="shared" si="67"/>
        <v>88379.524508248433</v>
      </c>
      <c r="K74" s="40">
        <f t="shared" si="67"/>
        <v>55908.463752769167</v>
      </c>
      <c r="L74" s="40">
        <f t="shared" si="67"/>
        <v>92838.652866038494</v>
      </c>
      <c r="M74" s="40">
        <f t="shared" si="67"/>
        <v>118009.78991364381</v>
      </c>
      <c r="N74" s="40">
        <f t="shared" si="67"/>
        <v>161150.0783576532</v>
      </c>
      <c r="O74" s="40">
        <f t="shared" si="67"/>
        <v>144174.5921037455</v>
      </c>
      <c r="P74" s="40">
        <f>P75+P76</f>
        <v>214331.945175253</v>
      </c>
      <c r="Q74" s="40">
        <f>Q75+Q76</f>
        <v>228068.9725085714</v>
      </c>
      <c r="R74" s="40">
        <f>R75+R76</f>
        <v>70542.870163769505</v>
      </c>
      <c r="S74" s="40">
        <v>27448.520122643269</v>
      </c>
      <c r="T74" s="40">
        <f>T75+T76</f>
        <v>67205.343674954143</v>
      </c>
      <c r="U74" s="40">
        <f>U75+U76</f>
        <v>192515.4222498376</v>
      </c>
      <c r="V74" s="40">
        <f>V75+V76</f>
        <v>68415.919121412211</v>
      </c>
      <c r="W74" s="40">
        <f>W75+W76</f>
        <v>123605.9971474569</v>
      </c>
      <c r="X74" s="26"/>
      <c r="Y74" s="26"/>
      <c r="Z74" s="26"/>
      <c r="AA74" s="26"/>
      <c r="AB74" s="26"/>
      <c r="AC74" s="26"/>
    </row>
    <row r="75" spans="1:36" x14ac:dyDescent="0.2">
      <c r="B75" s="27" t="s">
        <v>41</v>
      </c>
      <c r="C75" s="26"/>
      <c r="D75" s="26"/>
      <c r="E75" s="26"/>
      <c r="F75" s="41">
        <v>24628.433306839201</v>
      </c>
      <c r="G75" s="41">
        <v>34554.468825439515</v>
      </c>
      <c r="H75" s="41">
        <v>67614.959256298273</v>
      </c>
      <c r="I75" s="42">
        <v>53889.599999999999</v>
      </c>
      <c r="J75" s="42">
        <v>-410426.18326352001</v>
      </c>
      <c r="K75" s="42">
        <f>-507341.458694815+12897.3</f>
        <v>-494444.15869481501</v>
      </c>
      <c r="L75" s="42">
        <f>102368.368954186-7449.8</f>
        <v>94918.56895418599</v>
      </c>
      <c r="M75" s="42">
        <v>112386.5</v>
      </c>
      <c r="N75" s="42">
        <v>168509.97036634799</v>
      </c>
      <c r="O75" s="42">
        <v>151897.677044485</v>
      </c>
      <c r="P75" s="42">
        <v>223051.996208375</v>
      </c>
      <c r="Q75" s="42">
        <v>-52666.513082987796</v>
      </c>
      <c r="R75" s="42">
        <v>71346.258494159498</v>
      </c>
      <c r="S75" s="42">
        <v>-159243.77810293401</v>
      </c>
      <c r="T75" s="42">
        <v>-749573.83888290194</v>
      </c>
      <c r="U75" s="42">
        <v>193824</v>
      </c>
      <c r="V75" s="42">
        <v>334060.788598491</v>
      </c>
      <c r="W75" s="42">
        <f>75849.5481227903+51819.7</f>
        <v>127669.24812279029</v>
      </c>
      <c r="X75" s="26"/>
      <c r="Y75" s="26"/>
      <c r="Z75" s="26"/>
      <c r="AA75" s="26"/>
      <c r="AB75" s="26"/>
      <c r="AC75" s="26"/>
    </row>
    <row r="76" spans="1:36" ht="13.5" thickBot="1" x14ac:dyDescent="0.25">
      <c r="B76" s="27" t="s">
        <v>42</v>
      </c>
      <c r="C76" s="59"/>
      <c r="D76" s="59"/>
      <c r="E76" s="59"/>
      <c r="F76" s="56">
        <v>-4351.7160000000003</v>
      </c>
      <c r="G76" s="56">
        <v>-1848.7020660350993</v>
      </c>
      <c r="H76" s="56">
        <v>-1918.1824080300003</v>
      </c>
      <c r="I76" s="57">
        <v>-2188</v>
      </c>
      <c r="J76" s="57">
        <v>498805.70777176844</v>
      </c>
      <c r="K76" s="57">
        <v>550352.62244758417</v>
      </c>
      <c r="L76" s="57">
        <v>-2079.9160881474995</v>
      </c>
      <c r="M76" s="57">
        <v>5623.2899136438009</v>
      </c>
      <c r="N76" s="57">
        <v>-7359.8920086948001</v>
      </c>
      <c r="O76" s="57">
        <v>-7723.0849407394999</v>
      </c>
      <c r="P76" s="57">
        <v>-8720.0510331220012</v>
      </c>
      <c r="Q76" s="57">
        <v>280735.48559155921</v>
      </c>
      <c r="R76" s="57">
        <v>-803.38833038999837</v>
      </c>
      <c r="S76" s="57">
        <v>186692.29822557728</v>
      </c>
      <c r="T76" s="57">
        <v>816779.18255785608</v>
      </c>
      <c r="U76" s="57">
        <v>-1308.5777501623998</v>
      </c>
      <c r="V76" s="57">
        <v>-265644.86947707878</v>
      </c>
      <c r="W76" s="57">
        <v>-4063.2509753333834</v>
      </c>
      <c r="X76" s="59"/>
      <c r="Y76" s="59"/>
      <c r="Z76" s="59"/>
      <c r="AA76" s="26"/>
      <c r="AB76" s="26"/>
      <c r="AC76" s="26"/>
      <c r="AD76" s="62"/>
      <c r="AE76" s="62"/>
      <c r="AF76" s="62"/>
      <c r="AG76" s="62"/>
      <c r="AH76" s="62"/>
      <c r="AI76" s="62"/>
      <c r="AJ76" s="62"/>
    </row>
    <row r="77" spans="1:36" s="48" customFormat="1" ht="15" thickTop="1" x14ac:dyDescent="0.2">
      <c r="B77" s="51" t="s">
        <v>72</v>
      </c>
      <c r="C77" s="47">
        <v>11613320</v>
      </c>
      <c r="D77" s="47">
        <v>13889052.9</v>
      </c>
      <c r="E77" s="47">
        <v>16208974.699999999</v>
      </c>
      <c r="F77" s="47">
        <v>17626147.699999999</v>
      </c>
      <c r="G77" s="47">
        <v>19802010.600000001</v>
      </c>
      <c r="H77" s="47">
        <v>21623524.600000001</v>
      </c>
      <c r="I77" s="47">
        <v>23752868.600000001</v>
      </c>
      <c r="J77" s="47">
        <v>25462954.600000001</v>
      </c>
      <c r="K77" s="47">
        <v>28001327.600000001</v>
      </c>
      <c r="L77" s="47">
        <v>30401903.199999999</v>
      </c>
      <c r="M77" s="47">
        <v>32056288.199999999</v>
      </c>
      <c r="N77" s="47">
        <v>34343647.5</v>
      </c>
      <c r="O77" s="47">
        <v>36014718.700000003</v>
      </c>
      <c r="P77" s="47">
        <v>37832149.799999997</v>
      </c>
      <c r="Q77" s="47">
        <v>36495246.100000001</v>
      </c>
      <c r="R77" s="47">
        <v>40326625.899999999</v>
      </c>
      <c r="S77" s="47">
        <v>44810030.600000001</v>
      </c>
      <c r="T77" s="47">
        <v>47059272.200000003</v>
      </c>
      <c r="U77" s="47">
        <v>49115934.700000003</v>
      </c>
      <c r="V77" s="47">
        <v>51812301.787569404</v>
      </c>
      <c r="W77" s="47">
        <v>53632317.665484391</v>
      </c>
      <c r="X77" s="47"/>
      <c r="Y77" s="47"/>
      <c r="Z77" s="47"/>
      <c r="AA77" s="52"/>
      <c r="AB77" s="52"/>
      <c r="AC77" s="52"/>
    </row>
    <row r="78" spans="1:36" x14ac:dyDescent="0.2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1:36" ht="14.25" x14ac:dyDescent="0.2">
      <c r="B79" s="207" t="s">
        <v>134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25"/>
      <c r="Y79" s="25"/>
      <c r="Z79" s="25"/>
      <c r="AA79" s="25"/>
      <c r="AB79" s="25"/>
      <c r="AC79" s="25"/>
    </row>
    <row r="80" spans="1:36" s="48" customFormat="1" ht="12.75" customHeight="1" x14ac:dyDescent="0.2">
      <c r="A80" s="54"/>
      <c r="B80" s="48" t="s">
        <v>77</v>
      </c>
      <c r="X80" s="55"/>
      <c r="Y80" s="55"/>
      <c r="Z80" s="55"/>
      <c r="AA80" s="55"/>
      <c r="AB80" s="55"/>
      <c r="AC80" s="55"/>
    </row>
    <row r="81" spans="1:29" s="48" customFormat="1" ht="12.75" customHeight="1" x14ac:dyDescent="0.2">
      <c r="A81" s="54"/>
      <c r="B81" s="48" t="s">
        <v>73</v>
      </c>
      <c r="X81" s="55"/>
      <c r="Y81" s="55"/>
      <c r="Z81" s="55"/>
      <c r="AA81" s="55"/>
      <c r="AB81" s="55"/>
      <c r="AC81" s="55"/>
    </row>
    <row r="82" spans="1:29" s="48" customFormat="1" ht="12.75" customHeight="1" x14ac:dyDescent="0.2">
      <c r="A82" s="54"/>
      <c r="X82" s="55"/>
      <c r="Y82" s="55"/>
      <c r="Z82" s="55"/>
      <c r="AA82" s="55"/>
      <c r="AB82" s="55"/>
      <c r="AC82" s="55"/>
    </row>
    <row r="83" spans="1:29" s="48" customFormat="1" ht="12.75" customHeight="1" x14ac:dyDescent="0.2">
      <c r="A83" s="54"/>
      <c r="X83" s="55"/>
      <c r="Y83" s="55"/>
      <c r="Z83" s="55"/>
      <c r="AA83" s="55"/>
      <c r="AB83" s="55"/>
      <c r="AC83" s="55"/>
    </row>
    <row r="84" spans="1:29" x14ac:dyDescent="0.2">
      <c r="B84" s="208" t="s">
        <v>45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9"/>
      <c r="Y84" s="209"/>
      <c r="Z84" s="209"/>
      <c r="AA84" s="209"/>
      <c r="AB84" s="209"/>
      <c r="AC84" s="209"/>
    </row>
    <row r="85" spans="1:29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5"/>
      <c r="Y85" s="25"/>
      <c r="Z85" s="25"/>
      <c r="AA85" s="25"/>
      <c r="AB85" s="25"/>
      <c r="AC85" s="25"/>
    </row>
    <row r="86" spans="1:29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5"/>
      <c r="Y86" s="25"/>
      <c r="Z86" s="25"/>
      <c r="AA86" s="25"/>
      <c r="AB86" s="25"/>
      <c r="AC86" s="25"/>
    </row>
    <row r="87" spans="1:29" s="48" customFormat="1" ht="12.75" customHeight="1" x14ac:dyDescent="0.2">
      <c r="A87" s="54"/>
      <c r="M87" s="197"/>
      <c r="P87" s="42"/>
      <c r="Q87" s="42"/>
      <c r="R87" s="42"/>
      <c r="S87" s="42"/>
      <c r="T87" s="42"/>
      <c r="U87" s="42"/>
      <c r="V87" s="42"/>
      <c r="W87" s="42"/>
      <c r="X87" s="55"/>
      <c r="Y87" s="55"/>
      <c r="Z87" s="55"/>
      <c r="AA87" s="55"/>
      <c r="AB87" s="55"/>
      <c r="AC87" s="55"/>
    </row>
    <row r="88" spans="1:29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5"/>
      <c r="Y88" s="25"/>
      <c r="Z88" s="25"/>
      <c r="AA88" s="25"/>
      <c r="AB88" s="25"/>
      <c r="AC88" s="25"/>
    </row>
    <row r="89" spans="1:29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5"/>
      <c r="Y89" s="25"/>
      <c r="Z89" s="25"/>
      <c r="AA89" s="25"/>
      <c r="AB89" s="25"/>
      <c r="AC89" s="25"/>
    </row>
    <row r="90" spans="1:29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5"/>
      <c r="Y90" s="25"/>
      <c r="Z90" s="25"/>
      <c r="AA90" s="25"/>
      <c r="AB90" s="25"/>
      <c r="AC90" s="25"/>
    </row>
    <row r="91" spans="1:29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5"/>
      <c r="Y91" s="25"/>
      <c r="Z91" s="25"/>
      <c r="AA91" s="25"/>
      <c r="AB91" s="25"/>
      <c r="AC91" s="25"/>
    </row>
    <row r="92" spans="1:29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5"/>
      <c r="Y92" s="25"/>
      <c r="Z92" s="25"/>
      <c r="AA92" s="25"/>
      <c r="AB92" s="25"/>
      <c r="AC92" s="25"/>
    </row>
    <row r="93" spans="1:29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5"/>
      <c r="Y93" s="25"/>
      <c r="Z93" s="25"/>
      <c r="AA93" s="25"/>
      <c r="AB93" s="25"/>
      <c r="AC93" s="25"/>
    </row>
    <row r="94" spans="1:29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5"/>
      <c r="Y94" s="25"/>
      <c r="Z94" s="25"/>
      <c r="AA94" s="25"/>
      <c r="AB94" s="25"/>
      <c r="AC94" s="25"/>
    </row>
    <row r="95" spans="1:29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5"/>
      <c r="Y95" s="25"/>
      <c r="Z95" s="25"/>
      <c r="AA95" s="25"/>
      <c r="AB95" s="25"/>
      <c r="AC95" s="25"/>
    </row>
    <row r="96" spans="1:29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5"/>
      <c r="Y96" s="25"/>
      <c r="Z96" s="25"/>
      <c r="AA96" s="25"/>
      <c r="AB96" s="25"/>
      <c r="AC96" s="25"/>
    </row>
    <row r="97" spans="2:29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5"/>
      <c r="Y97" s="25"/>
      <c r="Z97" s="25"/>
      <c r="AA97" s="25"/>
      <c r="AB97" s="25"/>
      <c r="AC97" s="25"/>
    </row>
    <row r="98" spans="2:29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5"/>
      <c r="Y98" s="25"/>
      <c r="Z98" s="25"/>
      <c r="AA98" s="25"/>
      <c r="AB98" s="25"/>
      <c r="AC98" s="25"/>
    </row>
    <row r="99" spans="2:29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5"/>
      <c r="Y99" s="25"/>
      <c r="Z99" s="25"/>
      <c r="AA99" s="25"/>
      <c r="AB99" s="25"/>
      <c r="AC99" s="25"/>
    </row>
    <row r="100" spans="2:29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5"/>
      <c r="Y100" s="25"/>
      <c r="Z100" s="25"/>
      <c r="AA100" s="25"/>
      <c r="AB100" s="25"/>
      <c r="AC100" s="25"/>
    </row>
    <row r="101" spans="2:29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5"/>
      <c r="Y101" s="25"/>
      <c r="Z101" s="25"/>
      <c r="AA101" s="25"/>
      <c r="AB101" s="25"/>
      <c r="AC101" s="25"/>
    </row>
    <row r="102" spans="2:29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5"/>
      <c r="Y102" s="25"/>
      <c r="Z102" s="25"/>
      <c r="AA102" s="25"/>
      <c r="AB102" s="25"/>
      <c r="AC102" s="25"/>
    </row>
  </sheetData>
  <mergeCells count="7">
    <mergeCell ref="B84:AC84"/>
    <mergeCell ref="B5:AC5"/>
    <mergeCell ref="A2:AH2"/>
    <mergeCell ref="A3:AH3"/>
    <mergeCell ref="B4:AH4"/>
    <mergeCell ref="C6:W6"/>
    <mergeCell ref="X6:AJ6"/>
  </mergeCells>
  <phoneticPr fontId="0" type="noConversion"/>
  <pageMargins left="0.23622047244094491" right="0.27559055118110237" top="0.78740157480314965" bottom="0.19685039370078741" header="0" footer="0"/>
  <pageSetup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ECDF-81C7-4D8C-A197-FFEC7538243E}">
  <sheetPr>
    <pageSetUpPr fitToPage="1"/>
  </sheetPr>
  <dimension ref="A1:AN103"/>
  <sheetViews>
    <sheetView tabSelected="1" workbookViewId="0">
      <pane xSplit="2" ySplit="7" topLeftCell="Q8" activePane="bottomRight" state="frozen"/>
      <selection pane="topRight" activeCell="C1" sqref="C1"/>
      <selection pane="bottomLeft" activeCell="A8" sqref="A8"/>
      <selection pane="bottomRight" activeCell="AP15" sqref="AP15"/>
    </sheetView>
  </sheetViews>
  <sheetFormatPr baseColWidth="10" defaultRowHeight="12.75" x14ac:dyDescent="0.2"/>
  <cols>
    <col min="1" max="1" width="5.28515625" style="1" customWidth="1"/>
    <col min="2" max="2" width="39" style="1" customWidth="1"/>
    <col min="3" max="5" width="10" style="1" customWidth="1"/>
    <col min="6" max="6" width="10" style="1" hidden="1" customWidth="1"/>
    <col min="7" max="15" width="10.7109375" style="1" hidden="1" customWidth="1"/>
    <col min="16" max="16" width="11.28515625" style="1" hidden="1" customWidth="1"/>
    <col min="17" max="17" width="10.7109375" style="1" bestFit="1" customWidth="1"/>
    <col min="18" max="18" width="11.28515625" style="1" bestFit="1" customWidth="1"/>
    <col min="19" max="20" width="10.7109375" style="1" bestFit="1" customWidth="1"/>
    <col min="21" max="23" width="10.7109375" style="1" customWidth="1"/>
    <col min="24" max="25" width="6.5703125" style="2" hidden="1" customWidth="1"/>
    <col min="26" max="26" width="7" style="2" hidden="1" customWidth="1"/>
    <col min="27" max="27" width="6.85546875" style="2" hidden="1" customWidth="1"/>
    <col min="28" max="28" width="6.140625" style="2" hidden="1" customWidth="1"/>
    <col min="29" max="29" width="7.140625" style="2" hidden="1" customWidth="1"/>
    <col min="30" max="30" width="6.85546875" style="2" bestFit="1" customWidth="1"/>
    <col min="31" max="31" width="6.85546875" style="1" bestFit="1" customWidth="1"/>
    <col min="32" max="32" width="6.28515625" style="1" bestFit="1" customWidth="1"/>
    <col min="33" max="34" width="6.85546875" style="1" bestFit="1" customWidth="1"/>
    <col min="35" max="35" width="8" style="1" bestFit="1" customWidth="1"/>
    <col min="36" max="36" width="6.85546875" style="1" bestFit="1" customWidth="1"/>
    <col min="37" max="16384" width="11.42578125" style="1"/>
  </cols>
  <sheetData>
    <row r="1" spans="1:37" ht="10.5" customHeight="1" x14ac:dyDescent="0.2"/>
    <row r="2" spans="1:37" x14ac:dyDescent="0.2">
      <c r="A2" s="211" t="s">
        <v>44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</row>
    <row r="3" spans="1:37" x14ac:dyDescent="0.2">
      <c r="A3" s="211" t="s">
        <v>79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</row>
    <row r="4" spans="1:37" x14ac:dyDescent="0.2">
      <c r="A4" s="212" t="s">
        <v>43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</row>
    <row r="5" spans="1:37" ht="13.5" thickBot="1" x14ac:dyDescent="0.25"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62"/>
      <c r="AF5" s="62"/>
      <c r="AG5" s="62"/>
      <c r="AH5" s="62"/>
      <c r="AI5" s="62"/>
      <c r="AJ5" s="62"/>
    </row>
    <row r="6" spans="1:37" ht="13.5" thickTop="1" x14ac:dyDescent="0.2">
      <c r="C6" s="213" t="s">
        <v>46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 t="s">
        <v>19</v>
      </c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</row>
    <row r="7" spans="1:37" x14ac:dyDescent="0.2">
      <c r="B7" s="7" t="s">
        <v>0</v>
      </c>
      <c r="C7" s="35">
        <v>2006</v>
      </c>
      <c r="D7" s="35">
        <v>2007</v>
      </c>
      <c r="E7" s="35">
        <v>2008</v>
      </c>
      <c r="F7" s="35">
        <v>2009</v>
      </c>
      <c r="G7" s="35">
        <v>2010</v>
      </c>
      <c r="H7" s="35">
        <v>2011</v>
      </c>
      <c r="I7" s="35">
        <v>2012</v>
      </c>
      <c r="J7" s="35">
        <v>2013</v>
      </c>
      <c r="K7" s="35">
        <v>2014</v>
      </c>
      <c r="L7" s="35">
        <v>2015</v>
      </c>
      <c r="M7" s="35">
        <v>2016</v>
      </c>
      <c r="N7" s="35">
        <v>2017</v>
      </c>
      <c r="O7" s="35">
        <v>2018</v>
      </c>
      <c r="P7" s="35">
        <v>2019</v>
      </c>
      <c r="Q7" s="35">
        <v>2020</v>
      </c>
      <c r="R7" s="35">
        <v>2021</v>
      </c>
      <c r="S7" s="35">
        <v>2022</v>
      </c>
      <c r="T7" s="35">
        <v>2023</v>
      </c>
      <c r="U7" s="35">
        <v>2024</v>
      </c>
      <c r="V7" s="35">
        <v>2025</v>
      </c>
      <c r="W7" s="35">
        <v>2026</v>
      </c>
      <c r="X7" s="8" t="s">
        <v>62</v>
      </c>
      <c r="Y7" s="8" t="s">
        <v>61</v>
      </c>
      <c r="Z7" s="8" t="s">
        <v>60</v>
      </c>
      <c r="AA7" s="8" t="s">
        <v>59</v>
      </c>
      <c r="AB7" s="8" t="s">
        <v>58</v>
      </c>
      <c r="AC7" s="8" t="s">
        <v>57</v>
      </c>
      <c r="AD7" s="8" t="s">
        <v>56</v>
      </c>
      <c r="AE7" s="8" t="s">
        <v>55</v>
      </c>
      <c r="AF7" s="8" t="s">
        <v>63</v>
      </c>
      <c r="AG7" s="8" t="s">
        <v>66</v>
      </c>
      <c r="AH7" s="8" t="s">
        <v>67</v>
      </c>
      <c r="AI7" s="8" t="s">
        <v>71</v>
      </c>
      <c r="AJ7" s="8" t="s">
        <v>80</v>
      </c>
    </row>
    <row r="8" spans="1:37" x14ac:dyDescent="0.2">
      <c r="C8" s="2"/>
      <c r="D8" s="2"/>
      <c r="E8" s="2"/>
      <c r="F8" s="2"/>
      <c r="G8" s="2"/>
    </row>
    <row r="9" spans="1:37" x14ac:dyDescent="0.2">
      <c r="A9" s="1">
        <v>1</v>
      </c>
      <c r="B9" s="4" t="s">
        <v>9</v>
      </c>
      <c r="C9" s="15">
        <f>+C11+C34</f>
        <v>499820.22465330997</v>
      </c>
      <c r="D9" s="15">
        <v>654267.26539931993</v>
      </c>
      <c r="E9" s="15">
        <v>849090.94320477988</v>
      </c>
      <c r="F9" s="15">
        <v>780706.47808804992</v>
      </c>
      <c r="G9" s="15">
        <v>859745.18993105006</v>
      </c>
      <c r="H9" s="15">
        <v>879415.38708731986</v>
      </c>
      <c r="I9" s="15">
        <f t="shared" ref="I9:R9" si="0">+I11+I34</f>
        <v>984286.81082379993</v>
      </c>
      <c r="J9" s="15">
        <f t="shared" si="0"/>
        <v>1103705.43214565</v>
      </c>
      <c r="K9" s="15">
        <f t="shared" si="0"/>
        <v>1197943.7477764699</v>
      </c>
      <c r="L9" s="15">
        <f t="shared" si="0"/>
        <v>1317506.9385107898</v>
      </c>
      <c r="M9" s="15">
        <f t="shared" si="0"/>
        <v>1401326.3441538899</v>
      </c>
      <c r="N9" s="15">
        <f t="shared" si="0"/>
        <v>1514927.0620080403</v>
      </c>
      <c r="O9" s="15">
        <f t="shared" si="0"/>
        <v>1572955.9884585999</v>
      </c>
      <c r="P9" s="15">
        <f t="shared" si="0"/>
        <v>1717625.8755256699</v>
      </c>
      <c r="Q9" s="15">
        <f t="shared" si="0"/>
        <v>1672912.6706890999</v>
      </c>
      <c r="R9" s="15">
        <f t="shared" si="0"/>
        <v>2194138.5522254696</v>
      </c>
      <c r="S9" s="15">
        <f>+S11+S34</f>
        <v>2395750.8035988505</v>
      </c>
      <c r="T9" s="15">
        <f>+T11+T34</f>
        <v>2504943.4738600706</v>
      </c>
      <c r="U9" s="15">
        <f>+U11+U34</f>
        <v>2519311.3164922902</v>
      </c>
      <c r="V9" s="15">
        <f>+V11+V34</f>
        <v>2583079.82228933</v>
      </c>
      <c r="W9" s="15">
        <f>+W11+W34</f>
        <v>2529759.6562548103</v>
      </c>
      <c r="X9" s="37">
        <f t="shared" ref="X9:AJ9" si="1">+K9/J9-1</f>
        <v>8.5383575079101215E-2</v>
      </c>
      <c r="Y9" s="37">
        <f t="shared" si="1"/>
        <v>9.9807015943982114E-2</v>
      </c>
      <c r="Z9" s="37">
        <f t="shared" si="1"/>
        <v>6.3619707185635921E-2</v>
      </c>
      <c r="AA9" s="37">
        <f t="shared" si="1"/>
        <v>8.1066568346534362E-2</v>
      </c>
      <c r="AB9" s="37">
        <f t="shared" si="1"/>
        <v>3.8304765889944692E-2</v>
      </c>
      <c r="AC9" s="37">
        <f t="shared" si="1"/>
        <v>9.1973258074968589E-2</v>
      </c>
      <c r="AD9" s="37">
        <f t="shared" si="1"/>
        <v>-2.603198139576568E-2</v>
      </c>
      <c r="AE9" s="37">
        <f t="shared" si="1"/>
        <v>0.31156789632161019</v>
      </c>
      <c r="AF9" s="37">
        <f t="shared" si="1"/>
        <v>9.1886745788632984E-2</v>
      </c>
      <c r="AG9" s="37">
        <f t="shared" si="1"/>
        <v>4.5577641087375609E-2</v>
      </c>
      <c r="AH9" s="37">
        <f t="shared" si="1"/>
        <v>5.7357951515284444E-3</v>
      </c>
      <c r="AI9" s="37">
        <f t="shared" si="1"/>
        <v>2.5311880028319189E-2</v>
      </c>
      <c r="AJ9" s="37">
        <f t="shared" si="1"/>
        <v>-2.0642089947984332E-2</v>
      </c>
      <c r="AK9" s="2"/>
    </row>
    <row r="10" spans="1:37" x14ac:dyDescent="0.2">
      <c r="B10" s="4"/>
      <c r="C10" s="42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37" x14ac:dyDescent="0.2">
      <c r="B11" s="4" t="s">
        <v>30</v>
      </c>
      <c r="C11" s="14">
        <f>+C12+C30+C31+C32</f>
        <v>499808.22465330997</v>
      </c>
      <c r="D11" s="14">
        <v>654212.26539931993</v>
      </c>
      <c r="E11" s="14">
        <v>849044.94320477988</v>
      </c>
      <c r="F11" s="14">
        <v>780706.47808804992</v>
      </c>
      <c r="G11" s="14">
        <v>859642.14504842006</v>
      </c>
      <c r="H11" s="14">
        <v>879399.88708731986</v>
      </c>
      <c r="I11" s="14">
        <f t="shared" ref="I11:O11" si="2">+I12+I30+I31+I32</f>
        <v>984256.81082379993</v>
      </c>
      <c r="J11" s="14">
        <f t="shared" si="2"/>
        <v>1103705.43214565</v>
      </c>
      <c r="K11" s="14">
        <f t="shared" si="2"/>
        <v>1197943.7477764699</v>
      </c>
      <c r="L11" s="14">
        <f t="shared" si="2"/>
        <v>1317437.6331903299</v>
      </c>
      <c r="M11" s="14">
        <f t="shared" si="2"/>
        <v>1396846.8567559</v>
      </c>
      <c r="N11" s="14">
        <f t="shared" si="2"/>
        <v>1509042.2812702102</v>
      </c>
      <c r="O11" s="14">
        <f t="shared" si="2"/>
        <v>1571485.8202371099</v>
      </c>
      <c r="P11" s="14">
        <f t="shared" ref="P11:W11" si="3">+P12+P30+P31+P32</f>
        <v>1687250.2005256698</v>
      </c>
      <c r="Q11" s="14">
        <f t="shared" si="3"/>
        <v>1672912.6706890999</v>
      </c>
      <c r="R11" s="14">
        <f t="shared" si="3"/>
        <v>2187603.6032804698</v>
      </c>
      <c r="S11" s="14">
        <f t="shared" si="3"/>
        <v>2389473.4478014903</v>
      </c>
      <c r="T11" s="14">
        <f t="shared" si="3"/>
        <v>2504943.4738600706</v>
      </c>
      <c r="U11" s="14">
        <f t="shared" si="3"/>
        <v>2511727.8801382901</v>
      </c>
      <c r="V11" s="14">
        <f t="shared" si="3"/>
        <v>2575538.1216243301</v>
      </c>
      <c r="W11" s="14">
        <f t="shared" si="3"/>
        <v>2518505.9349678103</v>
      </c>
      <c r="X11" s="22">
        <f t="shared" ref="X11:X27" si="4">+K11/J11-1</f>
        <v>8.5383575079101215E-2</v>
      </c>
      <c r="Y11" s="22">
        <f t="shared" ref="Y11:Y27" si="5">+L11/K11-1</f>
        <v>9.9749162375658562E-2</v>
      </c>
      <c r="Z11" s="22">
        <f t="shared" ref="Z11:Z27" si="6">+M11/L11-1</f>
        <v>6.0275508733776961E-2</v>
      </c>
      <c r="AA11" s="22">
        <f t="shared" ref="AA11:AA27" si="7">+N11/M11-1</f>
        <v>8.0320490375643594E-2</v>
      </c>
      <c r="AB11" s="22">
        <f t="shared" ref="AB11:AB27" si="8">+O11/N11-1</f>
        <v>4.1379582097818446E-2</v>
      </c>
      <c r="AC11" s="22">
        <f t="shared" ref="AC11:AC27" si="9">+P11/O11-1</f>
        <v>7.3665558287438593E-2</v>
      </c>
      <c r="AD11" s="22">
        <f t="shared" ref="AD11:AD27" si="10">+Q11/P11-1</f>
        <v>-8.4975718669957345E-3</v>
      </c>
      <c r="AE11" s="22">
        <f t="shared" ref="AE11:AE27" si="11">+R11/Q11-1</f>
        <v>0.30766156632632846</v>
      </c>
      <c r="AF11" s="22">
        <f t="shared" ref="AF11:AF27" si="12">+S11/R11-1</f>
        <v>9.2278987024112746E-2</v>
      </c>
      <c r="AG11" s="22">
        <f t="shared" ref="AG11:AG27" si="13">+T11/S11-1</f>
        <v>4.8324465025891827E-2</v>
      </c>
      <c r="AH11" s="22">
        <f t="shared" ref="AH11:AH27" si="14">+U11/T11-1</f>
        <v>2.708406935732155E-3</v>
      </c>
      <c r="AI11" s="22">
        <f t="shared" ref="AI11:AJ27" si="15">+V11/U11-1</f>
        <v>2.5404918259905873E-2</v>
      </c>
      <c r="AJ11" s="22">
        <f t="shared" si="15"/>
        <v>-2.2143794408506334E-2</v>
      </c>
    </row>
    <row r="12" spans="1:37" x14ac:dyDescent="0.2">
      <c r="B12" s="16" t="s">
        <v>29</v>
      </c>
      <c r="C12" s="42">
        <v>483909.97058540996</v>
      </c>
      <c r="D12" s="2">
        <v>637609.26237732999</v>
      </c>
      <c r="E12" s="2">
        <v>828493.81860064995</v>
      </c>
      <c r="F12" s="2">
        <v>752062.14981220989</v>
      </c>
      <c r="G12" s="2">
        <v>795456.96918439004</v>
      </c>
      <c r="H12" s="2">
        <v>836596.77455346985</v>
      </c>
      <c r="I12" s="2">
        <v>928777.63765509997</v>
      </c>
      <c r="J12" s="2">
        <f t="shared" ref="J12:O12" si="16">J13+J14+J17+J21+J24+J27</f>
        <v>1045639.4774766401</v>
      </c>
      <c r="K12" s="2">
        <f t="shared" si="16"/>
        <v>1132746.49377708</v>
      </c>
      <c r="L12" s="2">
        <f t="shared" si="16"/>
        <v>1223260.2502381699</v>
      </c>
      <c r="M12" s="2">
        <f t="shared" si="16"/>
        <v>1328547.84129643</v>
      </c>
      <c r="N12" s="2">
        <f t="shared" si="16"/>
        <v>1405486.56109701</v>
      </c>
      <c r="O12" s="2">
        <f t="shared" si="16"/>
        <v>1465359.48648874</v>
      </c>
      <c r="P12" s="2">
        <f>P13+P14+P17+P21+P24+P27</f>
        <v>1582393.0593625</v>
      </c>
      <c r="Q12" s="2">
        <f>Q13+Q14+Q17+Q21+Q24+Q27</f>
        <v>1558792.85371702</v>
      </c>
      <c r="R12" s="2">
        <f>R13+R14+R17+R21+R24+R27</f>
        <v>1856543.2836633697</v>
      </c>
      <c r="S12" s="2">
        <f>S13+S14+S17+S21+S24+S27+S28+S29</f>
        <v>2113038.3296233402</v>
      </c>
      <c r="T12" s="2">
        <f>T13+T14+T17+T21+T24+T27+T28+T29</f>
        <v>2246768.39540713</v>
      </c>
      <c r="U12" s="2">
        <f>U13+U14+U17+U21+U24+U27+U28+U29</f>
        <v>2233650.2830389403</v>
      </c>
      <c r="V12" s="2">
        <f>V13+V14+V17+V21+V24+V27+V28+V29</f>
        <v>2289940.6627115901</v>
      </c>
      <c r="W12" s="2">
        <f>W13+W14+W17+W21+W24+W27+W28+W29</f>
        <v>2223082.3202076899</v>
      </c>
      <c r="X12" s="23">
        <f t="shared" si="4"/>
        <v>8.3305018772481976E-2</v>
      </c>
      <c r="Y12" s="23">
        <f t="shared" si="5"/>
        <v>7.9906454761362156E-2</v>
      </c>
      <c r="Z12" s="23">
        <f t="shared" si="6"/>
        <v>8.6071292709593461E-2</v>
      </c>
      <c r="AA12" s="23">
        <f t="shared" si="7"/>
        <v>5.7911892525828401E-2</v>
      </c>
      <c r="AB12" s="23">
        <f t="shared" si="8"/>
        <v>4.259942930012639E-2</v>
      </c>
      <c r="AC12" s="23">
        <f t="shared" si="9"/>
        <v>7.9866799889625195E-2</v>
      </c>
      <c r="AD12" s="23">
        <f t="shared" si="10"/>
        <v>-1.4914249974647742E-2</v>
      </c>
      <c r="AE12" s="23">
        <f t="shared" si="11"/>
        <v>0.19101346868273672</v>
      </c>
      <c r="AF12" s="23">
        <f t="shared" si="12"/>
        <v>0.13815732076757681</v>
      </c>
      <c r="AG12" s="23">
        <f t="shared" si="13"/>
        <v>6.3288045422076111E-2</v>
      </c>
      <c r="AH12" s="23">
        <f t="shared" si="14"/>
        <v>-5.8386580454869996E-3</v>
      </c>
      <c r="AI12" s="23">
        <f t="shared" si="15"/>
        <v>2.5201071134584696E-2</v>
      </c>
      <c r="AJ12" s="23">
        <f t="shared" si="15"/>
        <v>-2.9196539278328326E-2</v>
      </c>
    </row>
    <row r="13" spans="1:37" x14ac:dyDescent="0.2">
      <c r="B13" s="17" t="s">
        <v>22</v>
      </c>
      <c r="C13" s="42">
        <v>121691.09123972</v>
      </c>
      <c r="D13" s="2">
        <v>170199.40638907999</v>
      </c>
      <c r="E13" s="2">
        <v>247689.02098402003</v>
      </c>
      <c r="F13" s="2">
        <v>227441.51927181002</v>
      </c>
      <c r="G13" s="2">
        <v>222464.12784674004</v>
      </c>
      <c r="H13" s="2">
        <v>239122.81532234</v>
      </c>
      <c r="I13" s="2">
        <v>265704.0807397</v>
      </c>
      <c r="J13" s="2">
        <v>290907.59217120003</v>
      </c>
      <c r="K13" s="2">
        <v>313649.06263505993</v>
      </c>
      <c r="L13" s="2">
        <v>372375.25631381001</v>
      </c>
      <c r="M13" s="2">
        <v>433317.65908700001</v>
      </c>
      <c r="N13" s="2">
        <v>490671.76889709994</v>
      </c>
      <c r="O13" s="2">
        <v>509450.87176016002</v>
      </c>
      <c r="P13" s="2">
        <v>629868.58215349005</v>
      </c>
      <c r="Q13" s="2">
        <v>601264.33558479999</v>
      </c>
      <c r="R13" s="2">
        <v>750050.51272333995</v>
      </c>
      <c r="S13" s="2">
        <v>871378.01631363004</v>
      </c>
      <c r="T13" s="2">
        <v>904755.24066756002</v>
      </c>
      <c r="U13" s="2">
        <v>817831.55317166005</v>
      </c>
      <c r="V13" s="2">
        <v>840930.29975666991</v>
      </c>
      <c r="W13" s="2">
        <v>832315.32637804002</v>
      </c>
      <c r="X13" s="23">
        <f t="shared" si="4"/>
        <v>7.8174207466116918E-2</v>
      </c>
      <c r="Y13" s="23">
        <f t="shared" si="5"/>
        <v>0.18723535528967861</v>
      </c>
      <c r="Z13" s="23">
        <f t="shared" si="6"/>
        <v>0.1636585722060766</v>
      </c>
      <c r="AA13" s="23">
        <f t="shared" si="7"/>
        <v>0.13236042567696171</v>
      </c>
      <c r="AB13" s="23">
        <f t="shared" si="8"/>
        <v>3.8272230141282781E-2</v>
      </c>
      <c r="AC13" s="23">
        <f t="shared" si="9"/>
        <v>0.23636765990268138</v>
      </c>
      <c r="AD13" s="23">
        <f t="shared" si="10"/>
        <v>-4.5413039130946187E-2</v>
      </c>
      <c r="AE13" s="23">
        <f t="shared" si="11"/>
        <v>0.2474555172041395</v>
      </c>
      <c r="AF13" s="23">
        <f t="shared" si="12"/>
        <v>0.16175911026280754</v>
      </c>
      <c r="AG13" s="23">
        <f t="shared" si="13"/>
        <v>3.8303955033353487E-2</v>
      </c>
      <c r="AH13" s="23">
        <f t="shared" si="14"/>
        <v>-9.6074256980003381E-2</v>
      </c>
      <c r="AI13" s="23">
        <f t="shared" si="15"/>
        <v>2.8243892639541412E-2</v>
      </c>
      <c r="AJ13" s="23">
        <f t="shared" si="15"/>
        <v>-1.0244574825193808E-2</v>
      </c>
    </row>
    <row r="14" spans="1:37" x14ac:dyDescent="0.2">
      <c r="B14" s="17" t="s">
        <v>23</v>
      </c>
      <c r="C14" s="42">
        <v>27780.072084300002</v>
      </c>
      <c r="D14" s="2">
        <v>37834.47634642</v>
      </c>
      <c r="E14" s="2">
        <v>45472.632297959994</v>
      </c>
      <c r="F14" s="2">
        <v>35787.349836820002</v>
      </c>
      <c r="G14" s="2">
        <v>36999.894096570002</v>
      </c>
      <c r="H14" s="2">
        <v>41725.516844500002</v>
      </c>
      <c r="I14" s="2">
        <v>45075.465358300004</v>
      </c>
      <c r="J14" s="2">
        <f t="shared" ref="J14:O14" si="17">+J15+J16</f>
        <v>46359.785090580001</v>
      </c>
      <c r="K14" s="2">
        <f t="shared" si="17"/>
        <v>51963.154919610002</v>
      </c>
      <c r="L14" s="2">
        <f t="shared" si="17"/>
        <v>51436.611172989993</v>
      </c>
      <c r="M14" s="2">
        <f t="shared" si="17"/>
        <v>54309.293412760002</v>
      </c>
      <c r="N14" s="2">
        <f t="shared" si="17"/>
        <v>54003.621220009998</v>
      </c>
      <c r="O14" s="2">
        <f t="shared" si="17"/>
        <v>55404.542399279992</v>
      </c>
      <c r="P14" s="2">
        <f t="shared" ref="P14:W14" si="18">+P15+P16</f>
        <v>53003.727123679993</v>
      </c>
      <c r="Q14" s="2">
        <f t="shared" si="18"/>
        <v>41322.192370140001</v>
      </c>
      <c r="R14" s="2">
        <f t="shared" si="18"/>
        <v>54397.277737069991</v>
      </c>
      <c r="S14" s="2">
        <f t="shared" si="18"/>
        <v>54804.68727042</v>
      </c>
      <c r="T14" s="2">
        <f t="shared" si="18"/>
        <v>51520.927446609996</v>
      </c>
      <c r="U14" s="2">
        <f t="shared" si="18"/>
        <v>55241.384305229993</v>
      </c>
      <c r="V14" s="2">
        <f t="shared" si="18"/>
        <v>62356.018332530002</v>
      </c>
      <c r="W14" s="2">
        <f t="shared" si="18"/>
        <v>61643.810896600007</v>
      </c>
      <c r="X14" s="23">
        <f t="shared" si="4"/>
        <v>0.12086703633508789</v>
      </c>
      <c r="Y14" s="23">
        <f t="shared" si="5"/>
        <v>-1.0133021126885078E-2</v>
      </c>
      <c r="Z14" s="23">
        <f t="shared" si="6"/>
        <v>5.5848979438180679E-2</v>
      </c>
      <c r="AA14" s="23">
        <f t="shared" si="7"/>
        <v>-5.6283588598150525E-3</v>
      </c>
      <c r="AB14" s="23">
        <f t="shared" si="8"/>
        <v>2.5941245190996831E-2</v>
      </c>
      <c r="AC14" s="23">
        <f t="shared" si="9"/>
        <v>-4.3332462856532805E-2</v>
      </c>
      <c r="AD14" s="23">
        <f t="shared" si="10"/>
        <v>-0.22039081754160528</v>
      </c>
      <c r="AE14" s="23">
        <f t="shared" si="11"/>
        <v>0.31641799761762468</v>
      </c>
      <c r="AF14" s="23">
        <f t="shared" si="12"/>
        <v>7.4895206212197696E-3</v>
      </c>
      <c r="AG14" s="23">
        <f t="shared" si="13"/>
        <v>-5.9917499530781293E-2</v>
      </c>
      <c r="AH14" s="23">
        <f t="shared" si="14"/>
        <v>7.2212536594482346E-2</v>
      </c>
      <c r="AI14" s="23">
        <f t="shared" si="15"/>
        <v>0.12879174040948915</v>
      </c>
      <c r="AJ14" s="23">
        <f t="shared" si="15"/>
        <v>-1.1421631062649928E-2</v>
      </c>
    </row>
    <row r="15" spans="1:37" x14ac:dyDescent="0.2">
      <c r="B15" s="18" t="s">
        <v>34</v>
      </c>
      <c r="C15" s="42">
        <v>22007.892070440001</v>
      </c>
      <c r="D15" s="2">
        <v>29870.522866270003</v>
      </c>
      <c r="E15" s="2">
        <v>35529.063872699997</v>
      </c>
      <c r="F15" s="2">
        <v>29604.666111319999</v>
      </c>
      <c r="G15" s="2">
        <v>29770.713731150001</v>
      </c>
      <c r="H15" s="2">
        <v>34459.073955159998</v>
      </c>
      <c r="I15" s="2">
        <v>37444.9</v>
      </c>
      <c r="J15" s="2">
        <v>38502.63386727</v>
      </c>
      <c r="K15" s="2">
        <v>43206.013754810003</v>
      </c>
      <c r="L15" s="2">
        <v>43282.583826769995</v>
      </c>
      <c r="M15" s="2">
        <v>46007.886178790002</v>
      </c>
      <c r="N15" s="2">
        <v>45691.886239169995</v>
      </c>
      <c r="O15" s="2">
        <v>46864.473746599993</v>
      </c>
      <c r="P15" s="2">
        <v>45058.549008749993</v>
      </c>
      <c r="Q15" s="2">
        <v>35200.194792189999</v>
      </c>
      <c r="R15" s="2">
        <v>45955.956482799993</v>
      </c>
      <c r="S15" s="2">
        <v>44823.021631609998</v>
      </c>
      <c r="T15" s="2">
        <v>41395.422020089994</v>
      </c>
      <c r="U15" s="2">
        <v>44874.62447930999</v>
      </c>
      <c r="V15" s="2">
        <v>51245.1299822</v>
      </c>
      <c r="W15" s="2">
        <v>49830.387455660006</v>
      </c>
      <c r="X15" s="23">
        <f t="shared" si="4"/>
        <v>0.12215735431903041</v>
      </c>
      <c r="Y15" s="23">
        <f t="shared" si="5"/>
        <v>1.7722086650835411E-3</v>
      </c>
      <c r="Z15" s="23">
        <f t="shared" si="6"/>
        <v>6.2965334115160365E-2</v>
      </c>
      <c r="AA15" s="23">
        <f t="shared" si="7"/>
        <v>-6.8683863977582194E-3</v>
      </c>
      <c r="AB15" s="23">
        <f t="shared" si="8"/>
        <v>2.5662926264242936E-2</v>
      </c>
      <c r="AC15" s="23">
        <f t="shared" si="9"/>
        <v>-3.8535047840604797E-2</v>
      </c>
      <c r="AD15" s="23">
        <f t="shared" si="10"/>
        <v>-0.21878987303043385</v>
      </c>
      <c r="AE15" s="23">
        <f t="shared" si="11"/>
        <v>0.30555972073757998</v>
      </c>
      <c r="AF15" s="23">
        <f t="shared" si="12"/>
        <v>-2.4652622595593643E-2</v>
      </c>
      <c r="AG15" s="23">
        <f t="shared" si="13"/>
        <v>-7.6469624018002391E-2</v>
      </c>
      <c r="AH15" s="23">
        <f t="shared" si="14"/>
        <v>8.4048000707215298E-2</v>
      </c>
      <c r="AI15" s="23">
        <f t="shared" si="15"/>
        <v>0.14196231337439302</v>
      </c>
      <c r="AJ15" s="23">
        <f t="shared" si="15"/>
        <v>-2.760735560689187E-2</v>
      </c>
    </row>
    <row r="16" spans="1:37" x14ac:dyDescent="0.2">
      <c r="B16" s="18" t="s">
        <v>35</v>
      </c>
      <c r="C16" s="42">
        <v>5772.1800138599992</v>
      </c>
      <c r="D16" s="2">
        <v>7963.9534801500004</v>
      </c>
      <c r="E16" s="2">
        <v>9943.5684252599985</v>
      </c>
      <c r="F16" s="2">
        <v>6182.6837255</v>
      </c>
      <c r="G16" s="2">
        <v>7229.1803654200003</v>
      </c>
      <c r="H16" s="2">
        <v>7266.44288934</v>
      </c>
      <c r="I16" s="2">
        <v>7630.5653583000003</v>
      </c>
      <c r="J16" s="2">
        <v>7857.1512233099993</v>
      </c>
      <c r="K16" s="2">
        <v>8757.1411647999994</v>
      </c>
      <c r="L16" s="2">
        <v>8154.0273462200003</v>
      </c>
      <c r="M16" s="2">
        <v>8301.4072339699997</v>
      </c>
      <c r="N16" s="2">
        <v>8311.7349808399995</v>
      </c>
      <c r="O16" s="2">
        <v>8540.06865268</v>
      </c>
      <c r="P16" s="2">
        <v>7945.1781149300004</v>
      </c>
      <c r="Q16" s="2">
        <v>6121.99757795</v>
      </c>
      <c r="R16" s="2">
        <v>8441.3212542700021</v>
      </c>
      <c r="S16" s="2">
        <v>9981.66563881</v>
      </c>
      <c r="T16" s="2">
        <v>10125.50542652</v>
      </c>
      <c r="U16" s="2">
        <v>10366.75982592</v>
      </c>
      <c r="V16" s="2">
        <v>11110.888350329999</v>
      </c>
      <c r="W16" s="2">
        <v>11813.42344094</v>
      </c>
      <c r="X16" s="23">
        <f t="shared" si="4"/>
        <v>0.11454405240667609</v>
      </c>
      <c r="Y16" s="23">
        <f t="shared" si="5"/>
        <v>-6.8871085578049329E-2</v>
      </c>
      <c r="Z16" s="23">
        <f t="shared" si="6"/>
        <v>1.8074490247855346E-2</v>
      </c>
      <c r="AA16" s="23">
        <f t="shared" si="7"/>
        <v>1.2440959199950807E-3</v>
      </c>
      <c r="AB16" s="23">
        <f t="shared" si="8"/>
        <v>2.747124064546691E-2</v>
      </c>
      <c r="AC16" s="23">
        <f t="shared" si="9"/>
        <v>-6.9658753570243759E-2</v>
      </c>
      <c r="AD16" s="23">
        <f t="shared" si="10"/>
        <v>-0.22947006481251975</v>
      </c>
      <c r="AE16" s="23">
        <f t="shared" si="11"/>
        <v>0.37885079939816735</v>
      </c>
      <c r="AF16" s="23">
        <f t="shared" si="12"/>
        <v>0.18247669270504563</v>
      </c>
      <c r="AG16" s="23">
        <f t="shared" si="13"/>
        <v>1.4410399317598133E-2</v>
      </c>
      <c r="AH16" s="23">
        <f t="shared" si="14"/>
        <v>2.382640562002214E-2</v>
      </c>
      <c r="AI16" s="23">
        <f t="shared" si="15"/>
        <v>7.1780241551410606E-2</v>
      </c>
      <c r="AJ16" s="23">
        <f t="shared" si="15"/>
        <v>6.3229425808165596E-2</v>
      </c>
    </row>
    <row r="17" spans="2:36" x14ac:dyDescent="0.2">
      <c r="B17" s="17" t="s">
        <v>24</v>
      </c>
      <c r="C17" s="42">
        <v>678.82716538</v>
      </c>
      <c r="D17" s="2">
        <v>1850.9580948299999</v>
      </c>
      <c r="E17" s="2">
        <v>2154.1707444200001</v>
      </c>
      <c r="F17" s="2">
        <v>1407.7227864000001</v>
      </c>
      <c r="G17" s="2">
        <v>1335.56937924</v>
      </c>
      <c r="H17" s="2">
        <v>1224.31275082</v>
      </c>
      <c r="I17" s="2">
        <v>1137.7655571</v>
      </c>
      <c r="J17" s="2">
        <f>+J18+J19</f>
        <v>1015.00304611</v>
      </c>
      <c r="K17" s="2">
        <f t="shared" ref="K17:W17" si="19">+K18+K19+K20</f>
        <v>1525.40041275</v>
      </c>
      <c r="L17" s="2">
        <f t="shared" si="19"/>
        <v>1370.6947481299999</v>
      </c>
      <c r="M17" s="2">
        <f t="shared" si="19"/>
        <v>1617.0714286399998</v>
      </c>
      <c r="N17" s="2">
        <f t="shared" si="19"/>
        <v>1787.7461523900001</v>
      </c>
      <c r="O17" s="2">
        <f t="shared" si="19"/>
        <v>1843.4363954299999</v>
      </c>
      <c r="P17" s="2">
        <f t="shared" si="19"/>
        <v>1606.0544063500001</v>
      </c>
      <c r="Q17" s="2">
        <f t="shared" si="19"/>
        <v>1831.9748668300001</v>
      </c>
      <c r="R17" s="2">
        <f t="shared" si="19"/>
        <v>2046.80951484</v>
      </c>
      <c r="S17" s="2">
        <f t="shared" si="19"/>
        <v>1753.69849985</v>
      </c>
      <c r="T17" s="2">
        <f t="shared" si="19"/>
        <v>1722.5767178799999</v>
      </c>
      <c r="U17" s="2">
        <f t="shared" si="19"/>
        <v>1639.9881179000001</v>
      </c>
      <c r="V17" s="2">
        <f t="shared" si="19"/>
        <v>1534.6584544499999</v>
      </c>
      <c r="W17" s="2">
        <f t="shared" si="19"/>
        <v>1626.6596923499999</v>
      </c>
      <c r="X17" s="23">
        <f t="shared" si="4"/>
        <v>0.502853039304757</v>
      </c>
      <c r="Y17" s="23">
        <f t="shared" si="5"/>
        <v>-0.10141970811525869</v>
      </c>
      <c r="Z17" s="23">
        <f t="shared" si="6"/>
        <v>0.17974584118464354</v>
      </c>
      <c r="AA17" s="23">
        <f t="shared" si="7"/>
        <v>0.1055455688148188</v>
      </c>
      <c r="AB17" s="23">
        <f t="shared" si="8"/>
        <v>3.1151090978743579E-2</v>
      </c>
      <c r="AC17" s="23">
        <f t="shared" si="9"/>
        <v>-0.12877145621540587</v>
      </c>
      <c r="AD17" s="23">
        <f t="shared" si="10"/>
        <v>0.14066799953149656</v>
      </c>
      <c r="AE17" s="23">
        <f t="shared" si="11"/>
        <v>0.1172694297830319</v>
      </c>
      <c r="AF17" s="23">
        <f t="shared" si="12"/>
        <v>-0.14320385598408392</v>
      </c>
      <c r="AG17" s="23">
        <f t="shared" si="13"/>
        <v>-1.7746369728127154E-2</v>
      </c>
      <c r="AH17" s="23">
        <f t="shared" si="14"/>
        <v>-4.7944802180794999E-2</v>
      </c>
      <c r="AI17" s="23">
        <f t="shared" si="15"/>
        <v>-6.4225869870858876E-2</v>
      </c>
      <c r="AJ17" s="23">
        <f t="shared" si="15"/>
        <v>5.9948998836338419E-2</v>
      </c>
    </row>
    <row r="18" spans="2:36" x14ac:dyDescent="0.2">
      <c r="B18" s="18" t="s">
        <v>36</v>
      </c>
      <c r="C18" s="42">
        <v>678.82716538</v>
      </c>
      <c r="D18" s="2">
        <v>56.988833800000002</v>
      </c>
      <c r="E18" s="2">
        <v>53.920555499999999</v>
      </c>
      <c r="F18" s="2">
        <v>45.03550474</v>
      </c>
      <c r="G18" s="2">
        <v>51.202609200000005</v>
      </c>
      <c r="H18" s="2">
        <v>50.465104500000002</v>
      </c>
      <c r="I18" s="2">
        <v>46.8567635</v>
      </c>
      <c r="J18" s="2">
        <v>51.293388660000005</v>
      </c>
      <c r="K18" s="2">
        <v>56.740254</v>
      </c>
      <c r="L18" s="2">
        <v>46.7010255</v>
      </c>
      <c r="M18" s="2">
        <v>58.251189929999995</v>
      </c>
      <c r="N18" s="2">
        <v>63.948613500000008</v>
      </c>
      <c r="O18" s="2">
        <v>63.842036999999998</v>
      </c>
      <c r="P18" s="2">
        <v>49.846878000000004</v>
      </c>
      <c r="Q18" s="2">
        <v>65.592114000000009</v>
      </c>
      <c r="R18" s="2">
        <v>66.692800500000004</v>
      </c>
      <c r="S18" s="2">
        <v>53.989906500000004</v>
      </c>
      <c r="T18" s="2">
        <v>59.614276500000003</v>
      </c>
      <c r="U18" s="2">
        <v>62.16504599999999</v>
      </c>
      <c r="V18" s="2">
        <v>56.714245500000004</v>
      </c>
      <c r="W18" s="2">
        <v>61.812373500000007</v>
      </c>
      <c r="X18" s="23">
        <f t="shared" si="4"/>
        <v>0.10619039767687655</v>
      </c>
      <c r="Y18" s="23">
        <f t="shared" si="5"/>
        <v>-0.17693309057093753</v>
      </c>
      <c r="Z18" s="23">
        <f t="shared" si="6"/>
        <v>0.24732143044696087</v>
      </c>
      <c r="AA18" s="23">
        <f t="shared" si="7"/>
        <v>9.7807848678225451E-2</v>
      </c>
      <c r="AB18" s="23">
        <f t="shared" si="8"/>
        <v>-1.6665959458215251E-3</v>
      </c>
      <c r="AC18" s="23">
        <f t="shared" si="9"/>
        <v>-0.219215420710965</v>
      </c>
      <c r="AD18" s="23">
        <f t="shared" si="10"/>
        <v>0.31587205922906558</v>
      </c>
      <c r="AE18" s="23">
        <f t="shared" si="11"/>
        <v>1.6780774896201667E-2</v>
      </c>
      <c r="AF18" s="23">
        <f t="shared" si="12"/>
        <v>-0.19046874482351361</v>
      </c>
      <c r="AG18" s="23">
        <f t="shared" si="13"/>
        <v>0.1041744719450477</v>
      </c>
      <c r="AH18" s="23">
        <f t="shared" si="14"/>
        <v>4.2787896620702703E-2</v>
      </c>
      <c r="AI18" s="23">
        <f t="shared" si="15"/>
        <v>-8.7682722860045637E-2</v>
      </c>
      <c r="AJ18" s="23">
        <f t="shared" si="15"/>
        <v>8.9891489431874749E-2</v>
      </c>
    </row>
    <row r="19" spans="2:36" x14ac:dyDescent="0.2">
      <c r="B19" s="18" t="s">
        <v>37</v>
      </c>
      <c r="C19" s="42">
        <v>0</v>
      </c>
      <c r="D19" s="2">
        <v>1793.9692610299999</v>
      </c>
      <c r="E19" s="2">
        <v>2100.2501889200003</v>
      </c>
      <c r="F19" s="2">
        <v>1362.6872816600001</v>
      </c>
      <c r="G19" s="2">
        <v>1284.3667700399999</v>
      </c>
      <c r="H19" s="2">
        <v>1173.84764632</v>
      </c>
      <c r="I19" s="2">
        <v>1090.9087936000001</v>
      </c>
      <c r="J19" s="2">
        <v>963.70965745000001</v>
      </c>
      <c r="K19" s="2">
        <v>967.66128108999999</v>
      </c>
      <c r="L19" s="2">
        <v>807.17368463000003</v>
      </c>
      <c r="M19" s="2">
        <v>1016.0497562099999</v>
      </c>
      <c r="N19" s="2">
        <v>1160.3693823900001</v>
      </c>
      <c r="O19" s="2">
        <v>1179.7587624299999</v>
      </c>
      <c r="P19" s="2">
        <v>969.58628910000004</v>
      </c>
      <c r="Q19" s="2">
        <v>1214.9231223300001</v>
      </c>
      <c r="R19" s="2">
        <v>1317.17074959</v>
      </c>
      <c r="S19" s="2">
        <v>1119.54115585</v>
      </c>
      <c r="T19" s="2">
        <v>1088.55202788</v>
      </c>
      <c r="U19" s="2">
        <v>1046.9139009</v>
      </c>
      <c r="V19" s="2">
        <v>937.77204670000003</v>
      </c>
      <c r="W19" s="2">
        <v>991.51266084999997</v>
      </c>
      <c r="X19" s="23">
        <f t="shared" si="4"/>
        <v>4.1004296360960257E-3</v>
      </c>
      <c r="Y19" s="23">
        <f t="shared" si="5"/>
        <v>-0.1658510055080662</v>
      </c>
      <c r="Z19" s="23">
        <f t="shared" si="6"/>
        <v>0.25877462999273382</v>
      </c>
      <c r="AA19" s="23">
        <f t="shared" si="7"/>
        <v>0.14203992009046029</v>
      </c>
      <c r="AB19" s="23">
        <f t="shared" si="8"/>
        <v>1.6709661883756111E-2</v>
      </c>
      <c r="AC19" s="23">
        <f t="shared" si="9"/>
        <v>-0.17814868600517841</v>
      </c>
      <c r="AD19" s="23">
        <f t="shared" si="10"/>
        <v>0.25303249023635566</v>
      </c>
      <c r="AE19" s="23">
        <f t="shared" si="11"/>
        <v>8.4159750835845148E-2</v>
      </c>
      <c r="AF19" s="23">
        <f t="shared" si="12"/>
        <v>-0.15004098276667377</v>
      </c>
      <c r="AG19" s="23">
        <f t="shared" si="13"/>
        <v>-2.7680204348067838E-2</v>
      </c>
      <c r="AH19" s="23">
        <f t="shared" si="14"/>
        <v>-3.8250929595980754E-2</v>
      </c>
      <c r="AI19" s="23">
        <f t="shared" si="15"/>
        <v>-0.10425103163323568</v>
      </c>
      <c r="AJ19" s="23">
        <f t="shared" si="15"/>
        <v>5.7306692323696451E-2</v>
      </c>
    </row>
    <row r="20" spans="2:36" x14ac:dyDescent="0.2">
      <c r="B20" s="18" t="s">
        <v>49</v>
      </c>
      <c r="C20" s="42"/>
      <c r="D20" s="2"/>
      <c r="E20" s="2"/>
      <c r="F20" s="2"/>
      <c r="G20" s="2"/>
      <c r="H20" s="2">
        <v>0</v>
      </c>
      <c r="I20" s="2">
        <v>0</v>
      </c>
      <c r="J20" s="2">
        <v>0</v>
      </c>
      <c r="K20" s="2">
        <v>500.99887766000001</v>
      </c>
      <c r="L20" s="2">
        <v>516.82003799999995</v>
      </c>
      <c r="M20" s="2">
        <v>542.77048249999996</v>
      </c>
      <c r="N20" s="2">
        <v>563.4281565</v>
      </c>
      <c r="O20" s="2">
        <v>599.83559600000012</v>
      </c>
      <c r="P20" s="2">
        <v>586.62123925000003</v>
      </c>
      <c r="Q20" s="2">
        <v>551.4596305</v>
      </c>
      <c r="R20" s="2">
        <v>662.94596475000003</v>
      </c>
      <c r="S20" s="2">
        <v>580.16743750000001</v>
      </c>
      <c r="T20" s="2">
        <v>574.4104135</v>
      </c>
      <c r="U20" s="2">
        <v>530.90917100000001</v>
      </c>
      <c r="V20" s="2">
        <v>540.17216224999993</v>
      </c>
      <c r="W20" s="2">
        <v>573.33465799999999</v>
      </c>
      <c r="X20" s="65" t="e">
        <f t="shared" si="4"/>
        <v>#DIV/0!</v>
      </c>
      <c r="Y20" s="23">
        <f t="shared" si="5"/>
        <v>3.1579233099074733E-2</v>
      </c>
      <c r="Z20" s="23">
        <f t="shared" si="6"/>
        <v>5.021176152616591E-2</v>
      </c>
      <c r="AA20" s="23">
        <f t="shared" si="7"/>
        <v>3.8059685753084382E-2</v>
      </c>
      <c r="AB20" s="23">
        <f t="shared" si="8"/>
        <v>6.4617714042127572E-2</v>
      </c>
      <c r="AC20" s="23">
        <f t="shared" si="9"/>
        <v>-2.2029964273744262E-2</v>
      </c>
      <c r="AD20" s="23">
        <f t="shared" si="10"/>
        <v>-5.9939201647308926E-2</v>
      </c>
      <c r="AE20" s="23">
        <f t="shared" si="11"/>
        <v>0.20216590314855343</v>
      </c>
      <c r="AF20" s="23">
        <f t="shared" si="12"/>
        <v>-0.12486466718477751</v>
      </c>
      <c r="AG20" s="23">
        <f t="shared" si="13"/>
        <v>-9.9230388123945357E-3</v>
      </c>
      <c r="AH20" s="23">
        <f t="shared" si="14"/>
        <v>-7.5731987926434097E-2</v>
      </c>
      <c r="AI20" s="23">
        <f t="shared" si="15"/>
        <v>1.7447412393635009E-2</v>
      </c>
      <c r="AJ20" s="23">
        <f t="shared" si="15"/>
        <v>6.1392456086346803E-2</v>
      </c>
    </row>
    <row r="21" spans="2:36" x14ac:dyDescent="0.2">
      <c r="B21" s="17" t="s">
        <v>25</v>
      </c>
      <c r="C21" s="42">
        <v>187238.62197158</v>
      </c>
      <c r="D21" s="2">
        <v>244634.19168769999</v>
      </c>
      <c r="E21" s="2">
        <v>305573.01847393997</v>
      </c>
      <c r="F21" s="2">
        <v>273248.23729366995</v>
      </c>
      <c r="G21" s="2">
        <v>309036.79547353002</v>
      </c>
      <c r="H21" s="2">
        <v>323286.17519688001</v>
      </c>
      <c r="I21" s="2">
        <v>381205.68615580001</v>
      </c>
      <c r="J21" s="2">
        <f t="shared" ref="J21:O21" si="20">+J22+J23</f>
        <v>392532.93798713002</v>
      </c>
      <c r="K21" s="2">
        <f t="shared" si="20"/>
        <v>428258.67658052</v>
      </c>
      <c r="L21" s="2">
        <f t="shared" si="20"/>
        <v>443168.6130903</v>
      </c>
      <c r="M21" s="2">
        <f t="shared" si="20"/>
        <v>472408.47804188007</v>
      </c>
      <c r="N21" s="2">
        <f t="shared" si="20"/>
        <v>485559.34729039005</v>
      </c>
      <c r="O21" s="2">
        <f t="shared" si="20"/>
        <v>499625.59663175</v>
      </c>
      <c r="P21" s="2">
        <f t="shared" ref="P21:W21" si="21">+P22+P23</f>
        <v>509132.80772467999</v>
      </c>
      <c r="Q21" s="2">
        <f t="shared" si="21"/>
        <v>551269.85928720003</v>
      </c>
      <c r="R21" s="2">
        <f t="shared" si="21"/>
        <v>653261.22291176987</v>
      </c>
      <c r="S21" s="2">
        <f t="shared" si="21"/>
        <v>711573.25435606996</v>
      </c>
      <c r="T21" s="2">
        <f t="shared" si="21"/>
        <v>782425.49409903004</v>
      </c>
      <c r="U21" s="2">
        <f t="shared" si="21"/>
        <v>813658.23458356003</v>
      </c>
      <c r="V21" s="2">
        <f t="shared" si="21"/>
        <v>842494.54223627003</v>
      </c>
      <c r="W21" s="2">
        <f t="shared" si="21"/>
        <v>811107.38174653007</v>
      </c>
      <c r="X21" s="23">
        <f t="shared" si="4"/>
        <v>9.1013352348437326E-2</v>
      </c>
      <c r="Y21" s="23">
        <f t="shared" si="5"/>
        <v>3.4815258452741915E-2</v>
      </c>
      <c r="Z21" s="23">
        <f t="shared" si="6"/>
        <v>6.5979097092830896E-2</v>
      </c>
      <c r="AA21" s="23">
        <f t="shared" si="7"/>
        <v>2.7837919638995512E-2</v>
      </c>
      <c r="AB21" s="23">
        <f t="shared" si="8"/>
        <v>2.896916601411359E-2</v>
      </c>
      <c r="AC21" s="23">
        <f t="shared" si="9"/>
        <v>1.9028670982878637E-2</v>
      </c>
      <c r="AD21" s="23">
        <f t="shared" si="10"/>
        <v>8.2762397007631439E-2</v>
      </c>
      <c r="AE21" s="23">
        <f t="shared" si="11"/>
        <v>0.18501168149560399</v>
      </c>
      <c r="AF21" s="23">
        <f t="shared" si="12"/>
        <v>8.9262961582790457E-2</v>
      </c>
      <c r="AG21" s="23">
        <f t="shared" si="13"/>
        <v>9.9571251883373568E-2</v>
      </c>
      <c r="AH21" s="23">
        <f t="shared" si="14"/>
        <v>3.9917846133700863E-2</v>
      </c>
      <c r="AI21" s="23">
        <f t="shared" si="15"/>
        <v>3.5440319322115332E-2</v>
      </c>
      <c r="AJ21" s="23">
        <f t="shared" si="15"/>
        <v>-3.7255031239048386E-2</v>
      </c>
    </row>
    <row r="22" spans="2:36" x14ac:dyDescent="0.2">
      <c r="B22" s="18" t="s">
        <v>26</v>
      </c>
      <c r="C22" s="42">
        <v>97855.904626139993</v>
      </c>
      <c r="D22" s="2">
        <v>126801.96518638</v>
      </c>
      <c r="E22" s="2">
        <v>153183.83850213001</v>
      </c>
      <c r="F22" s="2">
        <v>156722.29582862</v>
      </c>
      <c r="G22" s="2">
        <v>171435.41342603002</v>
      </c>
      <c r="H22" s="2">
        <v>181324.22111649998</v>
      </c>
      <c r="I22" s="2">
        <v>207560.00350410002</v>
      </c>
      <c r="J22" s="2">
        <v>219448.0527463</v>
      </c>
      <c r="K22" s="2">
        <v>230227.13225005</v>
      </c>
      <c r="L22" s="2">
        <v>244056.12720002999</v>
      </c>
      <c r="M22" s="2">
        <v>262724.59956311004</v>
      </c>
      <c r="N22" s="2">
        <v>266717.56763784005</v>
      </c>
      <c r="O22" s="2">
        <v>274866.36306500999</v>
      </c>
      <c r="P22" s="2">
        <v>287118.50420708</v>
      </c>
      <c r="Q22" s="2">
        <v>362769.69716306997</v>
      </c>
      <c r="R22" s="2">
        <v>408370.69795634993</v>
      </c>
      <c r="S22" s="2">
        <v>436661.09792784997</v>
      </c>
      <c r="T22" s="2">
        <v>504633.70475637005</v>
      </c>
      <c r="U22" s="2">
        <v>523542.62147714</v>
      </c>
      <c r="V22" s="2">
        <v>540843.28389383003</v>
      </c>
      <c r="W22" s="2">
        <v>522438.19862321002</v>
      </c>
      <c r="X22" s="23">
        <f t="shared" si="4"/>
        <v>4.911904830712488E-2</v>
      </c>
      <c r="Y22" s="23">
        <f t="shared" si="5"/>
        <v>6.0066747193638026E-2</v>
      </c>
      <c r="Z22" s="23">
        <f t="shared" si="6"/>
        <v>7.6492537094875912E-2</v>
      </c>
      <c r="AA22" s="23">
        <f t="shared" si="7"/>
        <v>1.5198303019092974E-2</v>
      </c>
      <c r="AB22" s="23">
        <f t="shared" si="8"/>
        <v>3.0552151098778513E-2</v>
      </c>
      <c r="AC22" s="23">
        <f t="shared" si="9"/>
        <v>4.4574901801178957E-2</v>
      </c>
      <c r="AD22" s="23">
        <f t="shared" si="10"/>
        <v>0.263484212433162</v>
      </c>
      <c r="AE22" s="23">
        <f t="shared" si="11"/>
        <v>0.12570234269810499</v>
      </c>
      <c r="AF22" s="23">
        <f t="shared" si="12"/>
        <v>6.927627303593642E-2</v>
      </c>
      <c r="AG22" s="23">
        <f t="shared" si="13"/>
        <v>0.15566444354919673</v>
      </c>
      <c r="AH22" s="23">
        <f t="shared" si="14"/>
        <v>3.7470578248234299E-2</v>
      </c>
      <c r="AI22" s="23">
        <f t="shared" si="15"/>
        <v>3.304537530846563E-2</v>
      </c>
      <c r="AJ22" s="23">
        <f t="shared" si="15"/>
        <v>-3.4030348196452787E-2</v>
      </c>
    </row>
    <row r="23" spans="2:36" x14ac:dyDescent="0.2">
      <c r="B23" s="18" t="s">
        <v>27</v>
      </c>
      <c r="C23" s="42">
        <v>89382.717345440004</v>
      </c>
      <c r="D23" s="2">
        <v>117832.22650131999</v>
      </c>
      <c r="E23" s="2">
        <v>152389.17997180999</v>
      </c>
      <c r="F23" s="2">
        <v>116525.94146504998</v>
      </c>
      <c r="G23" s="2">
        <v>137601.3820475</v>
      </c>
      <c r="H23" s="2">
        <v>141961.95408038</v>
      </c>
      <c r="I23" s="2">
        <v>173645.68265169999</v>
      </c>
      <c r="J23" s="2">
        <v>173084.88524083002</v>
      </c>
      <c r="K23" s="2">
        <v>198031.54433047</v>
      </c>
      <c r="L23" s="2">
        <v>199112.48589027001</v>
      </c>
      <c r="M23" s="2">
        <v>209683.87847877</v>
      </c>
      <c r="N23" s="2">
        <v>218841.77965255</v>
      </c>
      <c r="O23" s="2">
        <v>224759.23356674</v>
      </c>
      <c r="P23" s="2">
        <v>222014.3035176</v>
      </c>
      <c r="Q23" s="2">
        <v>188500.16212413</v>
      </c>
      <c r="R23" s="2">
        <v>244890.52495541997</v>
      </c>
      <c r="S23" s="2">
        <v>274912.15642821998</v>
      </c>
      <c r="T23" s="2">
        <v>277791.78934265999</v>
      </c>
      <c r="U23" s="2">
        <v>290115.61310642003</v>
      </c>
      <c r="V23" s="2">
        <v>301651.25834244001</v>
      </c>
      <c r="W23" s="2">
        <v>288669.18312331999</v>
      </c>
      <c r="X23" s="23">
        <f t="shared" si="4"/>
        <v>0.14412962203446744</v>
      </c>
      <c r="Y23" s="23">
        <f t="shared" si="5"/>
        <v>5.4584311981942246E-3</v>
      </c>
      <c r="Z23" s="23">
        <f t="shared" si="6"/>
        <v>5.3092564945052434E-2</v>
      </c>
      <c r="AA23" s="23">
        <f t="shared" si="7"/>
        <v>4.3674798655096492E-2</v>
      </c>
      <c r="AB23" s="23">
        <f t="shared" si="8"/>
        <v>2.7039872932787423E-2</v>
      </c>
      <c r="AC23" s="23">
        <f t="shared" si="9"/>
        <v>-1.2212757649953998E-2</v>
      </c>
      <c r="AD23" s="23">
        <f t="shared" si="10"/>
        <v>-0.1509548748097358</v>
      </c>
      <c r="AE23" s="23">
        <f t="shared" si="11"/>
        <v>0.29915286117449669</v>
      </c>
      <c r="AF23" s="23">
        <f t="shared" si="12"/>
        <v>0.12259204997116635</v>
      </c>
      <c r="AG23" s="23">
        <f t="shared" si="13"/>
        <v>1.0474738374080861E-2</v>
      </c>
      <c r="AH23" s="23">
        <f t="shared" si="14"/>
        <v>4.4363527780723722E-2</v>
      </c>
      <c r="AI23" s="23">
        <f t="shared" si="15"/>
        <v>3.9762235174114702E-2</v>
      </c>
      <c r="AJ23" s="23">
        <f t="shared" si="15"/>
        <v>-4.3036701688088153E-2</v>
      </c>
    </row>
    <row r="24" spans="2:36" x14ac:dyDescent="0.2">
      <c r="B24" s="17" t="s">
        <v>28</v>
      </c>
      <c r="C24" s="42">
        <v>32797.27217258</v>
      </c>
      <c r="D24" s="2">
        <v>45898.564886169996</v>
      </c>
      <c r="E24" s="2">
        <v>59984.844834420001</v>
      </c>
      <c r="F24" s="2">
        <v>38335.685808349997</v>
      </c>
      <c r="G24" s="2">
        <v>46243.257341379998</v>
      </c>
      <c r="H24" s="2">
        <v>54168.584122230001</v>
      </c>
      <c r="I24" s="2">
        <v>68359.039844200015</v>
      </c>
      <c r="J24" s="2">
        <f t="shared" ref="J24:O24" si="22">+J25+J26</f>
        <v>60972.679179849998</v>
      </c>
      <c r="K24" s="2">
        <f t="shared" si="22"/>
        <v>66757.956388949999</v>
      </c>
      <c r="L24" s="2">
        <f t="shared" si="22"/>
        <v>72973.529150490009</v>
      </c>
      <c r="M24" s="2">
        <f t="shared" si="22"/>
        <v>88597.261776650004</v>
      </c>
      <c r="N24" s="2">
        <f t="shared" si="22"/>
        <v>87221.782562139997</v>
      </c>
      <c r="O24" s="2">
        <f t="shared" si="22"/>
        <v>81310.530168109995</v>
      </c>
      <c r="P24" s="2">
        <f t="shared" ref="P24:W24" si="23">+P25+P26</f>
        <v>68609.670266200003</v>
      </c>
      <c r="Q24" s="2">
        <f t="shared" si="23"/>
        <v>52752.462834680002</v>
      </c>
      <c r="R24" s="2">
        <f t="shared" si="23"/>
        <v>63570.5111244</v>
      </c>
      <c r="S24" s="2">
        <f t="shared" si="23"/>
        <v>65744.040455449998</v>
      </c>
      <c r="T24" s="2">
        <f t="shared" si="23"/>
        <v>87768.014204880004</v>
      </c>
      <c r="U24" s="2">
        <f t="shared" si="23"/>
        <v>103824.39854007002</v>
      </c>
      <c r="V24" s="2">
        <f t="shared" si="23"/>
        <v>98531.795733870007</v>
      </c>
      <c r="W24" s="2">
        <f t="shared" si="23"/>
        <v>91001.148103840009</v>
      </c>
      <c r="X24" s="23">
        <f t="shared" si="4"/>
        <v>9.4883106448960142E-2</v>
      </c>
      <c r="Y24" s="23">
        <f t="shared" si="5"/>
        <v>9.3106096977061403E-2</v>
      </c>
      <c r="Z24" s="23">
        <f t="shared" si="6"/>
        <v>0.21410137084010117</v>
      </c>
      <c r="AA24" s="23">
        <f t="shared" si="7"/>
        <v>-1.5525075910105768E-2</v>
      </c>
      <c r="AB24" s="23">
        <f t="shared" si="8"/>
        <v>-6.7772662062009714E-2</v>
      </c>
      <c r="AC24" s="23">
        <f t="shared" si="9"/>
        <v>-0.15620190737473849</v>
      </c>
      <c r="AD24" s="23">
        <f t="shared" si="10"/>
        <v>-0.23112204693588112</v>
      </c>
      <c r="AE24" s="23">
        <f t="shared" si="11"/>
        <v>0.205071909602069</v>
      </c>
      <c r="AF24" s="23">
        <f t="shared" si="12"/>
        <v>3.4190842461478077E-2</v>
      </c>
      <c r="AG24" s="23">
        <f t="shared" si="13"/>
        <v>0.33499574405309129</v>
      </c>
      <c r="AH24" s="23">
        <f t="shared" si="14"/>
        <v>0.18294118285175087</v>
      </c>
      <c r="AI24" s="23">
        <f t="shared" si="15"/>
        <v>-5.0976484146521561E-2</v>
      </c>
      <c r="AJ24" s="23">
        <f t="shared" si="15"/>
        <v>-7.6428604329610961E-2</v>
      </c>
    </row>
    <row r="25" spans="2:36" x14ac:dyDescent="0.2">
      <c r="B25" s="18" t="s">
        <v>26</v>
      </c>
      <c r="C25" s="42">
        <v>5544.6352884500002</v>
      </c>
      <c r="D25" s="2">
        <v>6714.5600382699995</v>
      </c>
      <c r="E25" s="2">
        <v>7825.1770916200003</v>
      </c>
      <c r="F25" s="2">
        <v>8363.5570125699996</v>
      </c>
      <c r="G25" s="2">
        <v>8882.6460637</v>
      </c>
      <c r="H25" s="2">
        <v>9089.3622777700002</v>
      </c>
      <c r="I25" s="2">
        <v>13040.601057</v>
      </c>
      <c r="J25" s="2">
        <v>8050.5348778300004</v>
      </c>
      <c r="K25" s="2">
        <v>10523.58950065</v>
      </c>
      <c r="L25" s="2">
        <v>9879.74367747</v>
      </c>
      <c r="M25" s="2">
        <v>10055.155527989999</v>
      </c>
      <c r="N25" s="2">
        <v>10045.97506011</v>
      </c>
      <c r="O25" s="2">
        <v>12013.6131406</v>
      </c>
      <c r="P25" s="2">
        <v>3212.2494587600004</v>
      </c>
      <c r="Q25" s="2">
        <v>2840.8571939999997</v>
      </c>
      <c r="R25" s="2">
        <v>3893.5566920000001</v>
      </c>
      <c r="S25" s="2">
        <v>4372.0911559999995</v>
      </c>
      <c r="T25" s="2">
        <v>4212.5602069999995</v>
      </c>
      <c r="U25" s="2">
        <v>4936.634153</v>
      </c>
      <c r="V25" s="2">
        <v>4246.5206920000001</v>
      </c>
      <c r="W25" s="2">
        <v>3502.9744149999997</v>
      </c>
      <c r="X25" s="23">
        <f t="shared" si="4"/>
        <v>0.30719134322744579</v>
      </c>
      <c r="Y25" s="23">
        <f t="shared" si="5"/>
        <v>-6.1181198975903794E-2</v>
      </c>
      <c r="Z25" s="23">
        <f t="shared" si="6"/>
        <v>1.7754696502907397E-2</v>
      </c>
      <c r="AA25" s="23">
        <f t="shared" si="7"/>
        <v>-9.1301102747176621E-4</v>
      </c>
      <c r="AB25" s="23">
        <f t="shared" si="8"/>
        <v>0.1958633252339026</v>
      </c>
      <c r="AC25" s="23">
        <f t="shared" si="9"/>
        <v>-0.73261587324597588</v>
      </c>
      <c r="AD25" s="23">
        <f t="shared" si="10"/>
        <v>-0.11561750403512139</v>
      </c>
      <c r="AE25" s="23">
        <f t="shared" si="11"/>
        <v>0.3705569925244192</v>
      </c>
      <c r="AF25" s="23">
        <f t="shared" si="12"/>
        <v>0.12290419836013511</v>
      </c>
      <c r="AG25" s="23">
        <f t="shared" si="13"/>
        <v>-3.6488477323046942E-2</v>
      </c>
      <c r="AH25" s="23">
        <f t="shared" si="14"/>
        <v>0.17188453349504873</v>
      </c>
      <c r="AI25" s="23">
        <f t="shared" si="15"/>
        <v>-0.13979432941787207</v>
      </c>
      <c r="AJ25" s="23">
        <f t="shared" si="15"/>
        <v>-0.17509540890752362</v>
      </c>
    </row>
    <row r="26" spans="2:36" x14ac:dyDescent="0.2">
      <c r="B26" s="18" t="s">
        <v>27</v>
      </c>
      <c r="C26" s="42">
        <v>27252.636884129999</v>
      </c>
      <c r="D26" s="2">
        <v>39184.004847899996</v>
      </c>
      <c r="E26" s="2">
        <v>52159.667742800004</v>
      </c>
      <c r="F26" s="2">
        <v>29972.128795779998</v>
      </c>
      <c r="G26" s="2">
        <v>37360.61127768</v>
      </c>
      <c r="H26" s="2">
        <v>45079.22184446</v>
      </c>
      <c r="I26" s="2">
        <v>55318.438787200008</v>
      </c>
      <c r="J26" s="2">
        <v>52922.144302019995</v>
      </c>
      <c r="K26" s="2">
        <v>56234.366888299999</v>
      </c>
      <c r="L26" s="2">
        <v>63093.785473020005</v>
      </c>
      <c r="M26" s="2">
        <v>78542.106248659999</v>
      </c>
      <c r="N26" s="2">
        <v>77175.807502030002</v>
      </c>
      <c r="O26" s="2">
        <v>69296.91702750999</v>
      </c>
      <c r="P26" s="2">
        <v>65397.420807440009</v>
      </c>
      <c r="Q26" s="2">
        <v>49911.605640680005</v>
      </c>
      <c r="R26" s="2">
        <v>59676.954432400002</v>
      </c>
      <c r="S26" s="2">
        <v>61371.949299450003</v>
      </c>
      <c r="T26" s="2">
        <v>83555.453997880002</v>
      </c>
      <c r="U26" s="2">
        <v>98887.764387070012</v>
      </c>
      <c r="V26" s="2">
        <v>94285.275041870002</v>
      </c>
      <c r="W26" s="2">
        <v>87498.173688840005</v>
      </c>
      <c r="X26" s="23">
        <f t="shared" si="4"/>
        <v>6.2586704109674152E-2</v>
      </c>
      <c r="Y26" s="23">
        <f t="shared" si="5"/>
        <v>0.1219791199631548</v>
      </c>
      <c r="Z26" s="23">
        <f t="shared" si="6"/>
        <v>0.24484694744216862</v>
      </c>
      <c r="AA26" s="23">
        <f t="shared" si="7"/>
        <v>-1.7395748750413831E-2</v>
      </c>
      <c r="AB26" s="23">
        <f t="shared" si="8"/>
        <v>-0.10209015920322917</v>
      </c>
      <c r="AC26" s="23">
        <f t="shared" si="9"/>
        <v>-5.6272290129760427E-2</v>
      </c>
      <c r="AD26" s="23">
        <f t="shared" si="10"/>
        <v>-0.23679550317981723</v>
      </c>
      <c r="AE26" s="23">
        <f t="shared" si="11"/>
        <v>0.19565286803277737</v>
      </c>
      <c r="AF26" s="23">
        <f t="shared" si="12"/>
        <v>2.8402837966036598E-2</v>
      </c>
      <c r="AG26" s="23">
        <f t="shared" si="13"/>
        <v>0.36145999844637156</v>
      </c>
      <c r="AH26" s="23">
        <f t="shared" si="14"/>
        <v>0.18349861864886785</v>
      </c>
      <c r="AI26" s="23">
        <f t="shared" si="15"/>
        <v>-4.6542556338767915E-2</v>
      </c>
      <c r="AJ26" s="23">
        <f t="shared" si="15"/>
        <v>-7.1984743641210103E-2</v>
      </c>
    </row>
    <row r="27" spans="2:36" x14ac:dyDescent="0.2">
      <c r="B27" s="17" t="s">
        <v>31</v>
      </c>
      <c r="C27" s="42">
        <v>113724.08595185001</v>
      </c>
      <c r="D27" s="2">
        <v>137191.66497313001</v>
      </c>
      <c r="E27" s="2">
        <v>167620.13126589003</v>
      </c>
      <c r="F27" s="2">
        <v>175841.63481515998</v>
      </c>
      <c r="G27" s="2">
        <v>179377.32504692997</v>
      </c>
      <c r="H27" s="2">
        <v>177069.37031670002</v>
      </c>
      <c r="I27" s="2">
        <v>167295.6</v>
      </c>
      <c r="J27" s="2">
        <v>253851.48000177002</v>
      </c>
      <c r="K27" s="2">
        <v>270592.24284018995</v>
      </c>
      <c r="L27" s="2">
        <v>281935.54576244997</v>
      </c>
      <c r="M27" s="2">
        <v>278298.07754949998</v>
      </c>
      <c r="N27" s="2">
        <v>286242.29497498006</v>
      </c>
      <c r="O27" s="2">
        <v>317724.50913401</v>
      </c>
      <c r="P27" s="2">
        <v>320172.21768810001</v>
      </c>
      <c r="Q27" s="2">
        <v>310352.02877336997</v>
      </c>
      <c r="R27" s="2">
        <v>333216.94965195004</v>
      </c>
      <c r="S27" s="2">
        <v>381328.53964148008</v>
      </c>
      <c r="T27" s="2">
        <v>418033.97449416993</v>
      </c>
      <c r="U27" s="2">
        <v>441454.72432052024</v>
      </c>
      <c r="V27" s="2">
        <v>444093.34819779999</v>
      </c>
      <c r="W27" s="2">
        <v>425387.99339032994</v>
      </c>
      <c r="X27" s="23">
        <f t="shared" si="4"/>
        <v>6.5947075976485081E-2</v>
      </c>
      <c r="Y27" s="23">
        <f t="shared" si="5"/>
        <v>4.1920281243831958E-2</v>
      </c>
      <c r="Z27" s="23">
        <f t="shared" si="6"/>
        <v>-1.2901772293780978E-2</v>
      </c>
      <c r="AA27" s="23">
        <f t="shared" si="7"/>
        <v>2.854571434855524E-2</v>
      </c>
      <c r="AB27" s="23">
        <f t="shared" si="8"/>
        <v>0.10998449464563498</v>
      </c>
      <c r="AC27" s="23">
        <f t="shared" si="9"/>
        <v>7.7038707550811658E-3</v>
      </c>
      <c r="AD27" s="23">
        <f t="shared" si="10"/>
        <v>-3.0671583517269729E-2</v>
      </c>
      <c r="AE27" s="23">
        <f t="shared" si="11"/>
        <v>7.3674146642285443E-2</v>
      </c>
      <c r="AF27" s="23">
        <f t="shared" si="12"/>
        <v>0.14438518220571694</v>
      </c>
      <c r="AG27" s="23">
        <f t="shared" si="13"/>
        <v>9.6256721008083579E-2</v>
      </c>
      <c r="AH27" s="23">
        <f t="shared" si="14"/>
        <v>5.6025948260999492E-2</v>
      </c>
      <c r="AI27" s="23">
        <f t="shared" si="15"/>
        <v>5.9771109740440753E-3</v>
      </c>
      <c r="AJ27" s="23">
        <f t="shared" si="15"/>
        <v>-4.2120321962441643E-2</v>
      </c>
    </row>
    <row r="28" spans="2:36" x14ac:dyDescent="0.2">
      <c r="B28" s="17" t="s">
        <v>64</v>
      </c>
      <c r="C28" s="4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8021.2133846400002</v>
      </c>
      <c r="T28" s="2">
        <v>0</v>
      </c>
      <c r="U28" s="2">
        <v>0</v>
      </c>
      <c r="V28" s="2">
        <v>0</v>
      </c>
      <c r="W28" s="2">
        <v>0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x14ac:dyDescent="0.2">
      <c r="B29" s="17" t="s">
        <v>65</v>
      </c>
      <c r="C29" s="4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18434.8797018</v>
      </c>
      <c r="T29" s="2">
        <v>542.16777700000011</v>
      </c>
      <c r="U29" s="2">
        <v>0</v>
      </c>
      <c r="V29" s="2">
        <v>0</v>
      </c>
      <c r="W29" s="2">
        <v>0</v>
      </c>
      <c r="X29" s="23"/>
      <c r="Y29" s="23"/>
      <c r="Z29" s="23"/>
      <c r="AA29" s="23"/>
      <c r="AB29" s="23"/>
      <c r="AC29" s="23"/>
      <c r="AD29" s="23"/>
      <c r="AE29" s="23"/>
      <c r="AF29" s="36" t="e">
        <f t="shared" ref="AF29:AJ32" si="24">+S29/R29-1</f>
        <v>#DIV/0!</v>
      </c>
      <c r="AG29" s="23">
        <f t="shared" si="24"/>
        <v>-0.97059011039019349</v>
      </c>
      <c r="AH29" s="23">
        <f t="shared" si="24"/>
        <v>-1</v>
      </c>
      <c r="AI29" s="36" t="e">
        <f t="shared" si="24"/>
        <v>#DIV/0!</v>
      </c>
      <c r="AJ29" s="36" t="e">
        <f t="shared" si="24"/>
        <v>#DIV/0!</v>
      </c>
    </row>
    <row r="30" spans="2:36" x14ac:dyDescent="0.2">
      <c r="B30" s="16" t="s">
        <v>32</v>
      </c>
      <c r="C30" s="42">
        <v>10404.30132266</v>
      </c>
      <c r="D30" s="2">
        <v>7982.93977154</v>
      </c>
      <c r="E30" s="2">
        <v>13935.647537490002</v>
      </c>
      <c r="F30" s="2">
        <v>17252.35241639</v>
      </c>
      <c r="G30" s="2">
        <v>19730.24392357</v>
      </c>
      <c r="H30" s="2">
        <v>21889.930705079998</v>
      </c>
      <c r="I30" s="2">
        <v>23310.173168699999</v>
      </c>
      <c r="J30" s="2">
        <v>19250.628732509998</v>
      </c>
      <c r="K30" s="2">
        <v>20729.79165942</v>
      </c>
      <c r="L30" s="2">
        <v>22078.07718579</v>
      </c>
      <c r="M30" s="2">
        <v>22632.308924959998</v>
      </c>
      <c r="N30" s="2">
        <v>23751.75452726</v>
      </c>
      <c r="O30" s="2">
        <v>26041.636518039999</v>
      </c>
      <c r="P30" s="2">
        <v>25302.081312269998</v>
      </c>
      <c r="Q30" s="2">
        <v>24819.483083319999</v>
      </c>
      <c r="R30" s="2">
        <v>153736.86174312999</v>
      </c>
      <c r="S30" s="2">
        <v>152217.34670307001</v>
      </c>
      <c r="T30" s="2">
        <v>178901.21803606002</v>
      </c>
      <c r="U30" s="2">
        <v>190846.75743231998</v>
      </c>
      <c r="V30" s="2">
        <v>200692.70152037</v>
      </c>
      <c r="W30" s="2">
        <v>209175.79437883</v>
      </c>
      <c r="X30" s="23">
        <f t="shared" ref="X30:AE32" si="25">+K30/J30-1</f>
        <v>7.6837122956510351E-2</v>
      </c>
      <c r="Y30" s="23">
        <f t="shared" si="25"/>
        <v>6.5040958853887609E-2</v>
      </c>
      <c r="Z30" s="23">
        <f t="shared" si="25"/>
        <v>2.5103261235390306E-2</v>
      </c>
      <c r="AA30" s="23">
        <f t="shared" si="25"/>
        <v>4.9462280053336638E-2</v>
      </c>
      <c r="AB30" s="23">
        <f t="shared" si="25"/>
        <v>9.6408961626472278E-2</v>
      </c>
      <c r="AC30" s="23">
        <f t="shared" si="25"/>
        <v>-2.8398952779241982E-2</v>
      </c>
      <c r="AD30" s="23">
        <f t="shared" si="25"/>
        <v>-1.9073459728230602E-2</v>
      </c>
      <c r="AE30" s="23">
        <f t="shared" si="25"/>
        <v>5.1942007908476251</v>
      </c>
      <c r="AF30" s="23">
        <f t="shared" si="24"/>
        <v>-9.8838692479547019E-3</v>
      </c>
      <c r="AG30" s="23">
        <f t="shared" si="24"/>
        <v>0.17530111981942609</v>
      </c>
      <c r="AH30" s="23">
        <f t="shared" si="24"/>
        <v>6.6771705231499112E-2</v>
      </c>
      <c r="AI30" s="23">
        <f t="shared" si="24"/>
        <v>5.1590837698888725E-2</v>
      </c>
      <c r="AJ30" s="23">
        <f t="shared" si="24"/>
        <v>4.2269065064127309E-2</v>
      </c>
    </row>
    <row r="31" spans="2:36" x14ac:dyDescent="0.2">
      <c r="B31" s="16" t="s">
        <v>11</v>
      </c>
      <c r="C31" s="42">
        <v>3503.4310244500002</v>
      </c>
      <c r="D31" s="2">
        <v>4019.49321478</v>
      </c>
      <c r="E31" s="2">
        <v>3728.8532448699998</v>
      </c>
      <c r="F31" s="2">
        <v>5040.6909080400001</v>
      </c>
      <c r="G31" s="2">
        <v>4348.7305897300002</v>
      </c>
      <c r="H31" s="2">
        <v>5537.6001930700004</v>
      </c>
      <c r="I31" s="2">
        <v>4643.2</v>
      </c>
      <c r="J31" s="2">
        <v>4645.2697252300004</v>
      </c>
      <c r="K31" s="2">
        <v>6788.9166019599998</v>
      </c>
      <c r="L31" s="2">
        <v>18111.1942991</v>
      </c>
      <c r="M31" s="2">
        <v>16063.76306909</v>
      </c>
      <c r="N31" s="2">
        <v>43221.598918759999</v>
      </c>
      <c r="O31" s="2">
        <v>11777.83659825</v>
      </c>
      <c r="P31" s="2">
        <v>42307.761901809994</v>
      </c>
      <c r="Q31" s="2">
        <v>26076.774868690001</v>
      </c>
      <c r="R31" s="2">
        <v>59546.322025650006</v>
      </c>
      <c r="S31" s="2">
        <v>119986.29952631</v>
      </c>
      <c r="T31" s="2">
        <v>74657.714985539991</v>
      </c>
      <c r="U31" s="2">
        <v>78222.846688299993</v>
      </c>
      <c r="V31" s="2">
        <v>78949.790339569998</v>
      </c>
      <c r="W31" s="2">
        <v>80688.288757079994</v>
      </c>
      <c r="X31" s="23">
        <f t="shared" si="25"/>
        <v>0.46146876360852462</v>
      </c>
      <c r="Y31" s="23">
        <f t="shared" si="25"/>
        <v>1.6677591375730247</v>
      </c>
      <c r="Z31" s="23">
        <f t="shared" si="25"/>
        <v>-0.11304783087174664</v>
      </c>
      <c r="AA31" s="23">
        <f t="shared" si="25"/>
        <v>1.6906272666538071</v>
      </c>
      <c r="AB31" s="23">
        <f t="shared" si="25"/>
        <v>-0.72750113617064915</v>
      </c>
      <c r="AC31" s="23">
        <f t="shared" si="25"/>
        <v>2.5921505234752753</v>
      </c>
      <c r="AD31" s="23">
        <f t="shared" si="25"/>
        <v>-0.3836408806211421</v>
      </c>
      <c r="AE31" s="23">
        <f t="shared" si="25"/>
        <v>1.2835002535971731</v>
      </c>
      <c r="AF31" s="23">
        <f t="shared" si="24"/>
        <v>1.0150077359039074</v>
      </c>
      <c r="AG31" s="23">
        <f t="shared" si="24"/>
        <v>-0.37778133603354092</v>
      </c>
      <c r="AH31" s="23">
        <f t="shared" si="24"/>
        <v>4.7753024633161001E-2</v>
      </c>
      <c r="AI31" s="23">
        <f t="shared" si="24"/>
        <v>9.2932395335432183E-3</v>
      </c>
      <c r="AJ31" s="23">
        <f t="shared" si="24"/>
        <v>2.2020304424274828E-2</v>
      </c>
    </row>
    <row r="32" spans="2:36" x14ac:dyDescent="0.2">
      <c r="B32" s="16" t="s">
        <v>33</v>
      </c>
      <c r="C32" s="42">
        <v>1990.52172079</v>
      </c>
      <c r="D32" s="2">
        <v>4600.5700356699999</v>
      </c>
      <c r="E32" s="2">
        <v>2886.6238217700002</v>
      </c>
      <c r="F32" s="2">
        <v>6351.2849514099998</v>
      </c>
      <c r="G32" s="2">
        <v>40106.201350729993</v>
      </c>
      <c r="H32" s="2">
        <v>15375.5816357</v>
      </c>
      <c r="I32" s="2">
        <v>27525.8</v>
      </c>
      <c r="J32" s="2">
        <v>34170.056211269999</v>
      </c>
      <c r="K32" s="2">
        <v>37678.545738010005</v>
      </c>
      <c r="L32" s="2">
        <v>53988.111467269991</v>
      </c>
      <c r="M32" s="2">
        <v>29602.943465420005</v>
      </c>
      <c r="N32" s="2">
        <v>36582.366727180008</v>
      </c>
      <c r="O32" s="2">
        <v>68306.860632080003</v>
      </c>
      <c r="P32" s="2">
        <v>37247.297949090003</v>
      </c>
      <c r="Q32" s="2">
        <v>63223.559020070003</v>
      </c>
      <c r="R32" s="2">
        <v>117777.13584831999</v>
      </c>
      <c r="S32" s="2">
        <v>4231.4719487699995</v>
      </c>
      <c r="T32" s="2">
        <v>4616.1454313400009</v>
      </c>
      <c r="U32" s="2">
        <v>9007.9929787300007</v>
      </c>
      <c r="V32" s="2">
        <v>5954.9670527999997</v>
      </c>
      <c r="W32" s="2">
        <v>5559.5316242099998</v>
      </c>
      <c r="X32" s="23">
        <f t="shared" si="25"/>
        <v>0.10267731211934139</v>
      </c>
      <c r="Y32" s="23">
        <f t="shared" si="25"/>
        <v>0.43286080738532706</v>
      </c>
      <c r="Z32" s="23">
        <f t="shared" si="25"/>
        <v>-0.45167662544805565</v>
      </c>
      <c r="AA32" s="23">
        <f t="shared" si="25"/>
        <v>0.23576788132277637</v>
      </c>
      <c r="AB32" s="23">
        <f t="shared" si="25"/>
        <v>0.86720725702334867</v>
      </c>
      <c r="AC32" s="23">
        <f t="shared" si="25"/>
        <v>-0.45470634128957488</v>
      </c>
      <c r="AD32" s="23">
        <f t="shared" si="25"/>
        <v>0.69739987868340481</v>
      </c>
      <c r="AE32" s="23">
        <f t="shared" si="25"/>
        <v>0.8628678561251546</v>
      </c>
      <c r="AF32" s="23">
        <f t="shared" si="24"/>
        <v>-0.9640722121633224</v>
      </c>
      <c r="AG32" s="23">
        <f t="shared" si="24"/>
        <v>9.0907723654370054E-2</v>
      </c>
      <c r="AH32" s="23">
        <f t="shared" si="24"/>
        <v>0.9514101348655104</v>
      </c>
      <c r="AI32" s="23">
        <f t="shared" si="24"/>
        <v>-0.33892410142180573</v>
      </c>
      <c r="AJ32" s="23">
        <f t="shared" si="24"/>
        <v>-6.6404301666802334E-2</v>
      </c>
    </row>
    <row r="33" spans="1:40" x14ac:dyDescent="0.2">
      <c r="C33" s="4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40" ht="15" x14ac:dyDescent="0.25">
      <c r="B34" s="9" t="s">
        <v>10</v>
      </c>
      <c r="C34" s="6">
        <v>12</v>
      </c>
      <c r="D34" s="6">
        <v>55</v>
      </c>
      <c r="E34" s="6">
        <v>46</v>
      </c>
      <c r="F34" s="6">
        <v>0</v>
      </c>
      <c r="G34" s="6">
        <v>103.04488262999999</v>
      </c>
      <c r="H34" s="6">
        <v>15.5</v>
      </c>
      <c r="I34" s="6">
        <v>30</v>
      </c>
      <c r="J34" s="6">
        <v>0</v>
      </c>
      <c r="K34" s="6">
        <v>0</v>
      </c>
      <c r="L34" s="6">
        <v>69.30532045999999</v>
      </c>
      <c r="M34" s="6">
        <v>4479.4873979900003</v>
      </c>
      <c r="N34" s="6">
        <v>5884.7807378300004</v>
      </c>
      <c r="O34" s="6">
        <v>1470.1682214900002</v>
      </c>
      <c r="P34" s="6">
        <v>30375.674999999999</v>
      </c>
      <c r="Q34" s="6">
        <v>0</v>
      </c>
      <c r="R34" s="6">
        <v>6534.9489450000001</v>
      </c>
      <c r="S34" s="6">
        <v>6277.35579736</v>
      </c>
      <c r="T34" s="6">
        <v>0</v>
      </c>
      <c r="U34" s="6">
        <v>7583.4363540000004</v>
      </c>
      <c r="V34" s="6">
        <v>7541.7006650000003</v>
      </c>
      <c r="W34" s="6">
        <v>11253.721287</v>
      </c>
      <c r="X34" s="38" t="e">
        <f t="shared" ref="X34:AJ34" si="26">+K34/J34-1</f>
        <v>#DIV/0!</v>
      </c>
      <c r="Y34" s="38" t="e">
        <f t="shared" si="26"/>
        <v>#DIV/0!</v>
      </c>
      <c r="Z34" s="24">
        <f t="shared" si="26"/>
        <v>63.634105552911564</v>
      </c>
      <c r="AA34" s="63">
        <f t="shared" si="26"/>
        <v>0.31371744465015627</v>
      </c>
      <c r="AB34" s="63">
        <f t="shared" si="26"/>
        <v>-0.75017451167906701</v>
      </c>
      <c r="AC34" s="63">
        <f t="shared" si="26"/>
        <v>19.661360078382437</v>
      </c>
      <c r="AD34" s="63">
        <f t="shared" si="26"/>
        <v>-1</v>
      </c>
      <c r="AE34" s="129" t="e">
        <f t="shared" si="26"/>
        <v>#DIV/0!</v>
      </c>
      <c r="AF34" s="63">
        <f t="shared" si="26"/>
        <v>-3.9417775074905403E-2</v>
      </c>
      <c r="AG34" s="63">
        <f t="shared" si="26"/>
        <v>-1</v>
      </c>
      <c r="AH34" s="129" t="e">
        <f t="shared" si="26"/>
        <v>#DIV/0!</v>
      </c>
      <c r="AI34" s="63">
        <f t="shared" si="26"/>
        <v>-5.5035325743830743E-3</v>
      </c>
      <c r="AJ34" s="63">
        <f t="shared" si="26"/>
        <v>0.49219941056888916</v>
      </c>
    </row>
    <row r="35" spans="1:40" x14ac:dyDescent="0.2">
      <c r="C35" s="42"/>
      <c r="D35" s="2"/>
      <c r="E35" s="2"/>
      <c r="F35" s="2"/>
      <c r="G35" s="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40" x14ac:dyDescent="0.2">
      <c r="A36" s="10">
        <v>2</v>
      </c>
      <c r="B36" s="58" t="s">
        <v>54</v>
      </c>
      <c r="C36" s="15">
        <f>+C40+C56</f>
        <v>553742.00999999989</v>
      </c>
      <c r="D36" s="15">
        <v>651799</v>
      </c>
      <c r="E36" s="28">
        <v>747868.6</v>
      </c>
      <c r="F36" s="15">
        <v>907950.3</v>
      </c>
      <c r="G36" s="15">
        <v>1152585.1000000001</v>
      </c>
      <c r="H36" s="15">
        <v>1249740.6795512701</v>
      </c>
      <c r="I36" s="15">
        <f>+I40+I56</f>
        <v>1351424.11</v>
      </c>
      <c r="J36" s="15">
        <f>+J40+J56</f>
        <v>1545178.4677679501</v>
      </c>
      <c r="K36" s="15">
        <f>+K40+K56</f>
        <v>1659461.0333770399</v>
      </c>
      <c r="L36" s="15">
        <f t="shared" ref="L36:W36" si="27">+L40+L56+L65</f>
        <v>1851245.0141964199</v>
      </c>
      <c r="M36" s="15">
        <f t="shared" si="27"/>
        <v>1909019.448598895</v>
      </c>
      <c r="N36" s="15">
        <f t="shared" si="27"/>
        <v>2085847.3062921499</v>
      </c>
      <c r="O36" s="15">
        <f t="shared" si="27"/>
        <v>2243516.0227206801</v>
      </c>
      <c r="P36" s="15">
        <f t="shared" si="27"/>
        <v>2497957.9360112702</v>
      </c>
      <c r="Q36" s="15">
        <f t="shared" si="27"/>
        <v>2459264.9413879598</v>
      </c>
      <c r="R36" s="15">
        <f t="shared" si="27"/>
        <v>2660211.2324756896</v>
      </c>
      <c r="S36" s="15">
        <f t="shared" si="27"/>
        <v>2754289.8595566601</v>
      </c>
      <c r="T36" s="15">
        <f t="shared" si="27"/>
        <v>2824128.9660870396</v>
      </c>
      <c r="U36" s="15">
        <f t="shared" si="27"/>
        <v>3059961.1696522697</v>
      </c>
      <c r="V36" s="15">
        <f t="shared" si="27"/>
        <v>3008596.5652105496</v>
      </c>
      <c r="W36" s="15">
        <f t="shared" si="27"/>
        <v>3070761.7548007802</v>
      </c>
      <c r="X36" s="37">
        <f t="shared" ref="X36:AJ36" si="28">+K36/J36-1</f>
        <v>7.3960754691446029E-2</v>
      </c>
      <c r="Y36" s="37">
        <f t="shared" si="28"/>
        <v>0.11557004169546259</v>
      </c>
      <c r="Z36" s="37">
        <f t="shared" si="28"/>
        <v>3.1208421337763026E-2</v>
      </c>
      <c r="AA36" s="37">
        <f t="shared" si="28"/>
        <v>9.2627583141196235E-2</v>
      </c>
      <c r="AB36" s="37">
        <f t="shared" si="28"/>
        <v>7.558976918056648E-2</v>
      </c>
      <c r="AC36" s="37">
        <f t="shared" si="28"/>
        <v>0.11341212218401364</v>
      </c>
      <c r="AD36" s="37">
        <f t="shared" si="28"/>
        <v>-1.5489850355564938E-2</v>
      </c>
      <c r="AE36" s="37">
        <f t="shared" si="28"/>
        <v>8.1709899452443668E-2</v>
      </c>
      <c r="AF36" s="37">
        <f t="shared" si="28"/>
        <v>3.5365096550403319E-2</v>
      </c>
      <c r="AG36" s="37">
        <f t="shared" si="28"/>
        <v>2.5356483918370643E-2</v>
      </c>
      <c r="AH36" s="37">
        <f t="shared" si="28"/>
        <v>8.3506173548436147E-2</v>
      </c>
      <c r="AI36" s="37">
        <f t="shared" si="28"/>
        <v>-1.6786031453973393E-2</v>
      </c>
      <c r="AJ36" s="37">
        <f t="shared" si="28"/>
        <v>2.066252096045984E-2</v>
      </c>
      <c r="AK36" s="2"/>
      <c r="AN36" s="2"/>
    </row>
    <row r="37" spans="1:40" x14ac:dyDescent="0.2">
      <c r="A37" s="10"/>
      <c r="B37" s="11"/>
      <c r="C37" s="14"/>
      <c r="D37" s="14"/>
      <c r="E37" s="29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40" x14ac:dyDescent="0.2">
      <c r="A38" s="10">
        <v>3</v>
      </c>
      <c r="B38" s="4" t="s">
        <v>15</v>
      </c>
      <c r="C38" s="6">
        <f>+C36-C46</f>
        <v>384215.7099999999</v>
      </c>
      <c r="D38" s="6">
        <v>459410.2</v>
      </c>
      <c r="E38" s="30">
        <v>595672.69999999995</v>
      </c>
      <c r="F38" s="6">
        <v>769425.8</v>
      </c>
      <c r="G38" s="6">
        <v>984924.70000000007</v>
      </c>
      <c r="H38" s="6">
        <v>1074950.4851300402</v>
      </c>
      <c r="I38" s="6">
        <f t="shared" ref="I38:O38" si="29">+I36-I46</f>
        <v>1184365.01</v>
      </c>
      <c r="J38" s="6">
        <f t="shared" si="29"/>
        <v>1340777.3694899802</v>
      </c>
      <c r="K38" s="6">
        <f t="shared" si="29"/>
        <v>1460496.9495437199</v>
      </c>
      <c r="L38" s="6">
        <f t="shared" si="29"/>
        <v>1604303.4234416997</v>
      </c>
      <c r="M38" s="6">
        <f t="shared" si="29"/>
        <v>1614569.2978330203</v>
      </c>
      <c r="N38" s="6">
        <f t="shared" si="29"/>
        <v>1761753.35119334</v>
      </c>
      <c r="O38" s="6">
        <f t="shared" si="29"/>
        <v>1835016.8340988602</v>
      </c>
      <c r="P38" s="6">
        <f t="shared" ref="P38:W38" si="30">+P36-P46</f>
        <v>2009098.6817043303</v>
      </c>
      <c r="Q38" s="6">
        <f t="shared" si="30"/>
        <v>1841877.9376712998</v>
      </c>
      <c r="R38" s="6">
        <f t="shared" si="30"/>
        <v>1962716.4913806296</v>
      </c>
      <c r="S38" s="6">
        <f t="shared" si="30"/>
        <v>2005779.0133688902</v>
      </c>
      <c r="T38" s="6">
        <f t="shared" si="30"/>
        <v>2013783.5503916997</v>
      </c>
      <c r="U38" s="6">
        <f t="shared" si="30"/>
        <v>2201361.6349003897</v>
      </c>
      <c r="V38" s="6">
        <f t="shared" si="30"/>
        <v>2199230.2562223794</v>
      </c>
      <c r="W38" s="6">
        <f t="shared" si="30"/>
        <v>2229976.0504432502</v>
      </c>
      <c r="X38" s="24">
        <f t="shared" ref="X38:AJ38" si="31">+K38/J38-1</f>
        <v>8.9291170016749355E-2</v>
      </c>
      <c r="Y38" s="24">
        <f t="shared" si="31"/>
        <v>9.8464070015967575E-2</v>
      </c>
      <c r="Z38" s="24">
        <f t="shared" si="31"/>
        <v>6.398960596429637E-3</v>
      </c>
      <c r="AA38" s="24">
        <f t="shared" si="31"/>
        <v>9.1159948078946673E-2</v>
      </c>
      <c r="AB38" s="24">
        <f t="shared" si="31"/>
        <v>4.1585550472144295E-2</v>
      </c>
      <c r="AC38" s="24">
        <f t="shared" si="31"/>
        <v>9.4866621586585209E-2</v>
      </c>
      <c r="AD38" s="24">
        <f t="shared" si="31"/>
        <v>-8.323172254096356E-2</v>
      </c>
      <c r="AE38" s="24">
        <f t="shared" si="31"/>
        <v>6.560616816014786E-2</v>
      </c>
      <c r="AF38" s="24">
        <f t="shared" si="31"/>
        <v>2.1940266043196655E-2</v>
      </c>
      <c r="AG38" s="24">
        <f t="shared" si="31"/>
        <v>3.990737249446541E-3</v>
      </c>
      <c r="AH38" s="24">
        <f t="shared" si="31"/>
        <v>9.3147093426304117E-2</v>
      </c>
      <c r="AI38" s="24">
        <f t="shared" si="31"/>
        <v>-9.6820924114393581E-4</v>
      </c>
      <c r="AJ38" s="24">
        <f t="shared" si="31"/>
        <v>1.3980252469644849E-2</v>
      </c>
    </row>
    <row r="39" spans="1:40" x14ac:dyDescent="0.2">
      <c r="C39" s="42"/>
      <c r="D39" s="2"/>
      <c r="E39" s="29"/>
      <c r="F39" s="2"/>
      <c r="G39" s="2"/>
      <c r="H39" s="2"/>
      <c r="I39" s="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40" x14ac:dyDescent="0.2">
      <c r="B40" s="11" t="s">
        <v>1</v>
      </c>
      <c r="C40" s="14">
        <f>+C43+C44+C45+C46+C50</f>
        <v>535504.80999999994</v>
      </c>
      <c r="D40" s="14">
        <v>625547.30000000005</v>
      </c>
      <c r="E40" s="31">
        <v>678027.79999999993</v>
      </c>
      <c r="F40" s="14">
        <v>837405</v>
      </c>
      <c r="G40" s="14">
        <v>1072926.3</v>
      </c>
      <c r="H40" s="14">
        <v>1185643.08203424</v>
      </c>
      <c r="I40" s="14">
        <f t="shared" ref="I40:O40" si="32">+I43+I44+I45+I46+I50</f>
        <v>1290211.01</v>
      </c>
      <c r="J40" s="14">
        <f t="shared" si="32"/>
        <v>1435193.7757495302</v>
      </c>
      <c r="K40" s="14">
        <f t="shared" si="32"/>
        <v>1542229.1761380299</v>
      </c>
      <c r="L40" s="14">
        <f t="shared" si="32"/>
        <v>1707500.4437114899</v>
      </c>
      <c r="M40" s="14">
        <f t="shared" si="32"/>
        <v>1813689.6855569249</v>
      </c>
      <c r="N40" s="14">
        <f t="shared" si="32"/>
        <v>1949757.95878898</v>
      </c>
      <c r="O40" s="14">
        <f t="shared" si="32"/>
        <v>2138029.7901412002</v>
      </c>
      <c r="P40" s="14">
        <f t="shared" ref="P40:W40" si="33">+P43+P44+P45+P46+P50</f>
        <v>2307031.39031959</v>
      </c>
      <c r="Q40" s="14">
        <f t="shared" si="33"/>
        <v>2354901.1193761299</v>
      </c>
      <c r="R40" s="14">
        <f t="shared" si="33"/>
        <v>2502997.2537667197</v>
      </c>
      <c r="S40" s="14">
        <f t="shared" si="33"/>
        <v>2613167.7753872601</v>
      </c>
      <c r="T40" s="14">
        <f t="shared" si="33"/>
        <v>2686501.9826640096</v>
      </c>
      <c r="U40" s="14">
        <f t="shared" si="33"/>
        <v>2902234.7046777001</v>
      </c>
      <c r="V40" s="14">
        <f t="shared" si="33"/>
        <v>2845712.6872934299</v>
      </c>
      <c r="W40" s="14">
        <f t="shared" si="33"/>
        <v>2868695.3940371899</v>
      </c>
      <c r="X40" s="22">
        <f t="shared" ref="X40:AJ40" si="34">+K40/J40-1</f>
        <v>7.4579058380183083E-2</v>
      </c>
      <c r="Y40" s="22">
        <f t="shared" si="34"/>
        <v>0.10716388337777638</v>
      </c>
      <c r="Z40" s="22">
        <f t="shared" si="34"/>
        <v>6.2189876574566538E-2</v>
      </c>
      <c r="AA40" s="22">
        <f t="shared" si="34"/>
        <v>7.502290734496464E-2</v>
      </c>
      <c r="AB40" s="22">
        <f t="shared" si="34"/>
        <v>9.6561642691874505E-2</v>
      </c>
      <c r="AC40" s="22">
        <f t="shared" si="34"/>
        <v>7.9045484285431122E-2</v>
      </c>
      <c r="AD40" s="22">
        <f t="shared" si="34"/>
        <v>2.0749491861013825E-2</v>
      </c>
      <c r="AE40" s="22">
        <f t="shared" si="34"/>
        <v>6.2888472544369023E-2</v>
      </c>
      <c r="AF40" s="22">
        <f t="shared" si="34"/>
        <v>4.4015438472713608E-2</v>
      </c>
      <c r="AG40" s="22">
        <f t="shared" si="34"/>
        <v>2.8063336754518886E-2</v>
      </c>
      <c r="AH40" s="22">
        <f t="shared" si="34"/>
        <v>8.0302461492979704E-2</v>
      </c>
      <c r="AI40" s="22">
        <f t="shared" si="34"/>
        <v>-1.9475343359780739E-2</v>
      </c>
      <c r="AJ40" s="22">
        <f t="shared" si="34"/>
        <v>8.0762569061807454E-3</v>
      </c>
    </row>
    <row r="41" spans="1:40" x14ac:dyDescent="0.2">
      <c r="C41" s="13"/>
      <c r="D41" s="2"/>
      <c r="E41" s="29"/>
      <c r="F41" s="2"/>
      <c r="G41" s="2"/>
      <c r="H41" s="2"/>
      <c r="I41" s="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40" x14ac:dyDescent="0.2">
      <c r="B42" s="19" t="s">
        <v>40</v>
      </c>
      <c r="C42" s="6">
        <f>SUM(C43:C44)</f>
        <v>202777.40999999997</v>
      </c>
      <c r="D42" s="6">
        <v>225227.2</v>
      </c>
      <c r="E42" s="30">
        <v>263801.5</v>
      </c>
      <c r="F42" s="6">
        <v>358093.4</v>
      </c>
      <c r="G42" s="6">
        <v>445370.1</v>
      </c>
      <c r="H42" s="6">
        <v>503805.19412875001</v>
      </c>
      <c r="I42" s="6">
        <f t="shared" ref="I42:O42" si="35">SUM(I43:I44)</f>
        <v>556356.19999999995</v>
      </c>
      <c r="J42" s="6">
        <f t="shared" si="35"/>
        <v>608024.00637473003</v>
      </c>
      <c r="K42" s="6">
        <f t="shared" si="35"/>
        <v>650728.80522483995</v>
      </c>
      <c r="L42" s="6">
        <f t="shared" si="35"/>
        <v>722265.49980852997</v>
      </c>
      <c r="M42" s="6">
        <f t="shared" si="35"/>
        <v>745454.8927630001</v>
      </c>
      <c r="N42" s="6">
        <f t="shared" si="35"/>
        <v>779091.58378652006</v>
      </c>
      <c r="O42" s="6">
        <f t="shared" si="35"/>
        <v>825654.0688487601</v>
      </c>
      <c r="P42" s="6">
        <f t="shared" ref="P42:W42" si="36">SUM(P43:P44)</f>
        <v>852501.23334463011</v>
      </c>
      <c r="Q42" s="6">
        <f t="shared" si="36"/>
        <v>872607.54513544997</v>
      </c>
      <c r="R42" s="6">
        <f t="shared" si="36"/>
        <v>920671.49485441996</v>
      </c>
      <c r="S42" s="6">
        <f t="shared" si="36"/>
        <v>928168.51576336042</v>
      </c>
      <c r="T42" s="6">
        <f t="shared" si="36"/>
        <v>940281.43405562988</v>
      </c>
      <c r="U42" s="6">
        <f t="shared" si="36"/>
        <v>1011430.62483525</v>
      </c>
      <c r="V42" s="6">
        <f t="shared" si="36"/>
        <v>1014179.8979161598</v>
      </c>
      <c r="W42" s="6">
        <f t="shared" si="36"/>
        <v>1036212.56566289</v>
      </c>
      <c r="X42" s="24">
        <f t="shared" ref="X42:AJ48" si="37">+K42/J42-1</f>
        <v>7.0235382817747771E-2</v>
      </c>
      <c r="Y42" s="24">
        <f t="shared" si="37"/>
        <v>0.10993319184475414</v>
      </c>
      <c r="Z42" s="24">
        <f t="shared" si="37"/>
        <v>3.2106466334910877E-2</v>
      </c>
      <c r="AA42" s="24">
        <f t="shared" si="37"/>
        <v>4.5122369374821503E-2</v>
      </c>
      <c r="AB42" s="24">
        <f t="shared" si="37"/>
        <v>5.9765098264748628E-2</v>
      </c>
      <c r="AC42" s="24">
        <f t="shared" si="37"/>
        <v>3.2516238348227366E-2</v>
      </c>
      <c r="AD42" s="24">
        <f t="shared" si="37"/>
        <v>2.3585082348721587E-2</v>
      </c>
      <c r="AE42" s="24">
        <f t="shared" si="37"/>
        <v>5.5080832141451763E-2</v>
      </c>
      <c r="AF42" s="24">
        <f t="shared" si="37"/>
        <v>8.1429923168478968E-3</v>
      </c>
      <c r="AG42" s="24">
        <f t="shared" si="37"/>
        <v>1.3050343861650271E-2</v>
      </c>
      <c r="AH42" s="24">
        <f t="shared" si="37"/>
        <v>7.5667973654163001E-2</v>
      </c>
      <c r="AI42" s="24">
        <f t="shared" si="37"/>
        <v>2.7182023298510938E-3</v>
      </c>
      <c r="AJ42" s="24">
        <f t="shared" si="37"/>
        <v>2.1724614924828245E-2</v>
      </c>
    </row>
    <row r="43" spans="1:40" x14ac:dyDescent="0.2">
      <c r="B43" s="19" t="s">
        <v>2</v>
      </c>
      <c r="C43" s="42">
        <v>168583.11</v>
      </c>
      <c r="D43" s="2">
        <v>188055.4</v>
      </c>
      <c r="E43" s="32">
        <v>224463.3</v>
      </c>
      <c r="F43" s="21">
        <v>299144.2</v>
      </c>
      <c r="G43" s="2">
        <v>372149.49999999994</v>
      </c>
      <c r="H43" s="2">
        <v>419422.26444414002</v>
      </c>
      <c r="I43" s="2">
        <v>461440.5</v>
      </c>
      <c r="J43" s="42">
        <v>506123.83980210999</v>
      </c>
      <c r="K43" s="42">
        <v>544822.19882620999</v>
      </c>
      <c r="L43" s="42">
        <v>597504.25344848994</v>
      </c>
      <c r="M43" s="42">
        <v>622024.85604551015</v>
      </c>
      <c r="N43" s="42">
        <v>643256.98494172003</v>
      </c>
      <c r="O43" s="42">
        <v>681530.54440539004</v>
      </c>
      <c r="P43" s="42">
        <v>700557.99589038012</v>
      </c>
      <c r="Q43" s="42">
        <v>719402.36194881995</v>
      </c>
      <c r="R43" s="42">
        <v>759195.10771830007</v>
      </c>
      <c r="S43" s="42">
        <v>755364.67752328049</v>
      </c>
      <c r="T43" s="42">
        <v>747820.16012124985</v>
      </c>
      <c r="U43" s="42">
        <v>831239.85619669</v>
      </c>
      <c r="V43" s="42">
        <v>820112.84743448975</v>
      </c>
      <c r="W43" s="42">
        <v>845542.46306221001</v>
      </c>
      <c r="X43" s="23">
        <f t="shared" si="37"/>
        <v>7.6460257314159952E-2</v>
      </c>
      <c r="Y43" s="23">
        <f t="shared" si="37"/>
        <v>9.6695866533670127E-2</v>
      </c>
      <c r="Z43" s="23">
        <f t="shared" si="37"/>
        <v>4.1038373292741959E-2</v>
      </c>
      <c r="AA43" s="23">
        <f t="shared" si="37"/>
        <v>3.4133891419053652E-2</v>
      </c>
      <c r="AB43" s="23">
        <f t="shared" si="37"/>
        <v>5.9499640671818899E-2</v>
      </c>
      <c r="AC43" s="23">
        <f t="shared" si="37"/>
        <v>2.7918706859412667E-2</v>
      </c>
      <c r="AD43" s="23">
        <f t="shared" si="37"/>
        <v>2.6899080688515209E-2</v>
      </c>
      <c r="AE43" s="23">
        <f t="shared" si="37"/>
        <v>5.531361568188875E-2</v>
      </c>
      <c r="AF43" s="23">
        <f t="shared" si="37"/>
        <v>-5.0453831381127578E-3</v>
      </c>
      <c r="AG43" s="23">
        <f t="shared" si="37"/>
        <v>-9.987913952725358E-3</v>
      </c>
      <c r="AH43" s="23">
        <f t="shared" si="37"/>
        <v>0.11155047767355541</v>
      </c>
      <c r="AI43" s="23">
        <f t="shared" si="37"/>
        <v>-1.3386038553434454E-2</v>
      </c>
      <c r="AJ43" s="23">
        <f t="shared" si="37"/>
        <v>3.1007459165248052E-2</v>
      </c>
    </row>
    <row r="44" spans="1:40" ht="14.25" x14ac:dyDescent="0.2">
      <c r="B44" s="60" t="s">
        <v>75</v>
      </c>
      <c r="C44" s="42">
        <v>34194.300000000003</v>
      </c>
      <c r="D44" s="2">
        <v>37171.800000000003</v>
      </c>
      <c r="E44" s="29">
        <v>39338.199999999997</v>
      </c>
      <c r="F44" s="21">
        <v>58949.2</v>
      </c>
      <c r="G44" s="2">
        <v>73220.600000000006</v>
      </c>
      <c r="H44" s="2">
        <v>84382.929684610004</v>
      </c>
      <c r="I44" s="2">
        <v>94915.7</v>
      </c>
      <c r="J44" s="42">
        <v>101900.16657261999</v>
      </c>
      <c r="K44" s="42">
        <v>105906.60639863</v>
      </c>
      <c r="L44" s="42">
        <v>124761.24636004001</v>
      </c>
      <c r="M44" s="42">
        <v>123430.03671748999</v>
      </c>
      <c r="N44" s="42">
        <v>135834.59884480003</v>
      </c>
      <c r="O44" s="42">
        <v>144123.52444337</v>
      </c>
      <c r="P44" s="42">
        <v>151943.23745424999</v>
      </c>
      <c r="Q44" s="42">
        <v>153205.18318662999</v>
      </c>
      <c r="R44" s="42">
        <v>161476.38713611994</v>
      </c>
      <c r="S44" s="42">
        <v>172803.83824007993</v>
      </c>
      <c r="T44" s="42">
        <v>192461.27393437998</v>
      </c>
      <c r="U44" s="42">
        <v>180190.76863856</v>
      </c>
      <c r="V44" s="42">
        <v>194067.05048167001</v>
      </c>
      <c r="W44" s="42">
        <v>190670.10260068002</v>
      </c>
      <c r="X44" s="23">
        <f t="shared" si="37"/>
        <v>3.9317303992381536E-2</v>
      </c>
      <c r="Y44" s="23">
        <f t="shared" si="37"/>
        <v>0.17803081981912983</v>
      </c>
      <c r="Z44" s="23">
        <f t="shared" si="37"/>
        <v>-1.0670057260476318E-2</v>
      </c>
      <c r="AA44" s="23">
        <f t="shared" si="37"/>
        <v>0.10049873156646583</v>
      </c>
      <c r="AB44" s="23">
        <f t="shared" si="37"/>
        <v>6.1022196620469371E-2</v>
      </c>
      <c r="AC44" s="23">
        <f t="shared" si="37"/>
        <v>5.4257020434943293E-2</v>
      </c>
      <c r="AD44" s="23">
        <f t="shared" si="37"/>
        <v>8.3053760965174916E-3</v>
      </c>
      <c r="AE44" s="23">
        <f t="shared" si="37"/>
        <v>5.3987755358212652E-2</v>
      </c>
      <c r="AF44" s="23">
        <f t="shared" si="37"/>
        <v>7.0149272626537584E-2</v>
      </c>
      <c r="AG44" s="23">
        <f t="shared" si="37"/>
        <v>0.11375578166840006</v>
      </c>
      <c r="AH44" s="23">
        <f t="shared" si="37"/>
        <v>-6.3755710668337517E-2</v>
      </c>
      <c r="AI44" s="23">
        <f t="shared" si="37"/>
        <v>7.7008838732155471E-2</v>
      </c>
      <c r="AJ44" s="23">
        <f t="shared" si="37"/>
        <v>-1.7503990876137077E-2</v>
      </c>
    </row>
    <row r="45" spans="1:40" ht="14.25" x14ac:dyDescent="0.2">
      <c r="B45" s="48" t="s">
        <v>76</v>
      </c>
      <c r="C45" s="42">
        <v>10071.799999999999</v>
      </c>
      <c r="D45" s="2">
        <v>13042.9</v>
      </c>
      <c r="E45" s="29">
        <v>15961.2</v>
      </c>
      <c r="F45" s="21">
        <v>21143.200000000001</v>
      </c>
      <c r="G45" s="2">
        <v>28519.9</v>
      </c>
      <c r="H45" s="2">
        <v>30660.831694649998</v>
      </c>
      <c r="I45" s="2">
        <v>31178.609999999997</v>
      </c>
      <c r="J45" s="42">
        <v>34113.732814150004</v>
      </c>
      <c r="K45" s="42">
        <v>40354.082700959996</v>
      </c>
      <c r="L45" s="42">
        <v>46364.582988369992</v>
      </c>
      <c r="M45" s="42">
        <v>40972.927811019996</v>
      </c>
      <c r="N45" s="42">
        <v>46222.448685809992</v>
      </c>
      <c r="O45" s="42">
        <v>46655.62752889999</v>
      </c>
      <c r="P45" s="42">
        <v>45768.226866000012</v>
      </c>
      <c r="Q45" s="42">
        <v>48549.706560219987</v>
      </c>
      <c r="R45" s="42">
        <v>71964.576406159991</v>
      </c>
      <c r="S45" s="42">
        <v>79379.665957759978</v>
      </c>
      <c r="T45" s="42">
        <v>77371.372903640018</v>
      </c>
      <c r="U45" s="42">
        <v>71229.738790600022</v>
      </c>
      <c r="V45" s="42">
        <v>77978.799668079999</v>
      </c>
      <c r="W45" s="42">
        <v>86106.570749520004</v>
      </c>
      <c r="X45" s="23">
        <f t="shared" si="37"/>
        <v>0.18292779394172798</v>
      </c>
      <c r="Y45" s="23">
        <f t="shared" si="37"/>
        <v>0.14894404444651177</v>
      </c>
      <c r="Z45" s="23">
        <f t="shared" si="37"/>
        <v>-0.1162882275615944</v>
      </c>
      <c r="AA45" s="23">
        <f t="shared" si="37"/>
        <v>0.12812169291397568</v>
      </c>
      <c r="AB45" s="23">
        <f t="shared" si="37"/>
        <v>9.3716117472371074E-3</v>
      </c>
      <c r="AC45" s="23">
        <f t="shared" si="37"/>
        <v>-1.9020227781746057E-2</v>
      </c>
      <c r="AD45" s="23">
        <f t="shared" si="37"/>
        <v>6.0773158251543835E-2</v>
      </c>
      <c r="AE45" s="23">
        <f t="shared" si="37"/>
        <v>0.48228653693090218</v>
      </c>
      <c r="AF45" s="23">
        <f t="shared" si="37"/>
        <v>0.10303804902220293</v>
      </c>
      <c r="AG45" s="23">
        <f t="shared" si="37"/>
        <v>-2.529984259682605E-2</v>
      </c>
      <c r="AH45" s="23">
        <f t="shared" si="37"/>
        <v>-7.9378636859512852E-2</v>
      </c>
      <c r="AI45" s="23">
        <f t="shared" si="37"/>
        <v>9.4750605464393844E-2</v>
      </c>
      <c r="AJ45" s="23">
        <f t="shared" si="37"/>
        <v>0.10423052311700354</v>
      </c>
    </row>
    <row r="46" spans="1:40" x14ac:dyDescent="0.2">
      <c r="B46" s="1" t="s">
        <v>16</v>
      </c>
      <c r="C46" s="6">
        <f>+C47+C48</f>
        <v>169526.3</v>
      </c>
      <c r="D46" s="6">
        <v>192388.8</v>
      </c>
      <c r="E46" s="30">
        <v>152195.9</v>
      </c>
      <c r="F46" s="6">
        <v>138524.5</v>
      </c>
      <c r="G46" s="6">
        <v>167660.4</v>
      </c>
      <c r="H46" s="6">
        <v>174790.19442122997</v>
      </c>
      <c r="I46" s="6">
        <f t="shared" ref="I46:O46" si="38">+I47+I48</f>
        <v>167059.1</v>
      </c>
      <c r="J46" s="6">
        <f t="shared" si="38"/>
        <v>204401.09827797001</v>
      </c>
      <c r="K46" s="6">
        <f t="shared" si="38"/>
        <v>198964.08383332001</v>
      </c>
      <c r="L46" s="6">
        <f t="shared" si="38"/>
        <v>246941.59075472003</v>
      </c>
      <c r="M46" s="6">
        <f t="shared" si="38"/>
        <v>294450.15076587477</v>
      </c>
      <c r="N46" s="6">
        <f t="shared" si="38"/>
        <v>324093.95509881002</v>
      </c>
      <c r="O46" s="6">
        <f t="shared" si="38"/>
        <v>408499.18862181995</v>
      </c>
      <c r="P46" s="6">
        <f t="shared" ref="P46:W46" si="39">+P47+P48</f>
        <v>488859.25430693995</v>
      </c>
      <c r="Q46" s="6">
        <f t="shared" si="39"/>
        <v>617387.00371665996</v>
      </c>
      <c r="R46" s="6">
        <f t="shared" si="39"/>
        <v>697494.7410950599</v>
      </c>
      <c r="S46" s="6">
        <f t="shared" si="39"/>
        <v>748510.84618777002</v>
      </c>
      <c r="T46" s="6">
        <f t="shared" si="39"/>
        <v>810345.41569534002</v>
      </c>
      <c r="U46" s="6">
        <f t="shared" si="39"/>
        <v>858599.53475187998</v>
      </c>
      <c r="V46" s="6">
        <f t="shared" si="39"/>
        <v>809366.30898817</v>
      </c>
      <c r="W46" s="6">
        <f t="shared" si="39"/>
        <v>840785.70435752999</v>
      </c>
      <c r="X46" s="23">
        <f t="shared" si="37"/>
        <v>-2.6599732048680491E-2</v>
      </c>
      <c r="Y46" s="23">
        <f t="shared" si="37"/>
        <v>0.24113652070789149</v>
      </c>
      <c r="Z46" s="23">
        <f t="shared" si="37"/>
        <v>0.19238784307639634</v>
      </c>
      <c r="AA46" s="23">
        <f t="shared" si="37"/>
        <v>0.10067512023964231</v>
      </c>
      <c r="AB46" s="23">
        <f t="shared" si="37"/>
        <v>0.26043445795610842</v>
      </c>
      <c r="AC46" s="23">
        <f t="shared" si="37"/>
        <v>0.19672025777146818</v>
      </c>
      <c r="AD46" s="23">
        <f t="shared" si="37"/>
        <v>0.26291360606834568</v>
      </c>
      <c r="AE46" s="23">
        <f t="shared" si="37"/>
        <v>0.12975287282717751</v>
      </c>
      <c r="AF46" s="23">
        <f t="shared" si="37"/>
        <v>7.3141920772929803E-2</v>
      </c>
      <c r="AG46" s="23">
        <f t="shared" si="37"/>
        <v>8.2610118240101338E-2</v>
      </c>
      <c r="AH46" s="23">
        <f t="shared" si="37"/>
        <v>5.9547593065772064E-2</v>
      </c>
      <c r="AI46" s="23">
        <f t="shared" si="37"/>
        <v>-5.7341314280979105E-2</v>
      </c>
      <c r="AJ46" s="23">
        <f t="shared" si="37"/>
        <v>3.8819747029795515E-2</v>
      </c>
    </row>
    <row r="47" spans="1:40" x14ac:dyDescent="0.2">
      <c r="B47" s="1" t="s">
        <v>3</v>
      </c>
      <c r="C47" s="42">
        <v>135719.4</v>
      </c>
      <c r="D47" s="2">
        <v>157712.1</v>
      </c>
      <c r="E47" s="29">
        <v>118238.5</v>
      </c>
      <c r="F47" s="21">
        <v>104362.7</v>
      </c>
      <c r="G47" s="2">
        <v>134713.79999999999</v>
      </c>
      <c r="H47" s="2">
        <v>143871.58728007998</v>
      </c>
      <c r="I47" s="2">
        <v>142067.80000000002</v>
      </c>
      <c r="J47" s="42">
        <v>185183.31460892002</v>
      </c>
      <c r="K47" s="42">
        <v>159191.41085294003</v>
      </c>
      <c r="L47" s="42">
        <v>192204.98368171003</v>
      </c>
      <c r="M47" s="42">
        <v>207260.89168932999</v>
      </c>
      <c r="N47" s="42">
        <v>230380.61130530003</v>
      </c>
      <c r="O47" s="42">
        <v>310756.49418505997</v>
      </c>
      <c r="P47" s="42">
        <v>379016.88934130996</v>
      </c>
      <c r="Q47" s="42">
        <v>507896.22778880998</v>
      </c>
      <c r="R47" s="42">
        <v>575980.71353264991</v>
      </c>
      <c r="S47" s="42">
        <v>617982.49490182998</v>
      </c>
      <c r="T47" s="42">
        <v>650387.87769160001</v>
      </c>
      <c r="U47" s="42">
        <v>675732.51103815995</v>
      </c>
      <c r="V47" s="42">
        <v>635733.99401376001</v>
      </c>
      <c r="W47" s="42">
        <v>690002.23169328994</v>
      </c>
      <c r="X47" s="23">
        <f t="shared" si="37"/>
        <v>-0.14035769805109644</v>
      </c>
      <c r="Y47" s="23">
        <f t="shared" si="37"/>
        <v>0.20738287732915262</v>
      </c>
      <c r="Z47" s="23">
        <f t="shared" si="37"/>
        <v>7.8332557872445419E-2</v>
      </c>
      <c r="AA47" s="23">
        <f t="shared" si="37"/>
        <v>0.11154887652719814</v>
      </c>
      <c r="AB47" s="23">
        <f t="shared" si="37"/>
        <v>0.34888301764789542</v>
      </c>
      <c r="AC47" s="23">
        <f t="shared" si="37"/>
        <v>0.21965878890241286</v>
      </c>
      <c r="AD47" s="23">
        <f t="shared" si="37"/>
        <v>0.34003587194090024</v>
      </c>
      <c r="AE47" s="23">
        <f t="shared" si="37"/>
        <v>0.1340519618353031</v>
      </c>
      <c r="AF47" s="23">
        <f t="shared" si="37"/>
        <v>7.2922201008383425E-2</v>
      </c>
      <c r="AG47" s="23">
        <f t="shared" si="37"/>
        <v>5.2437379791668404E-2</v>
      </c>
      <c r="AH47" s="23">
        <f t="shared" si="37"/>
        <v>3.8968489751861402E-2</v>
      </c>
      <c r="AI47" s="23">
        <f t="shared" si="37"/>
        <v>-5.9192826112433594E-2</v>
      </c>
      <c r="AJ47" s="23">
        <f t="shared" si="37"/>
        <v>8.5363120724287311E-2</v>
      </c>
    </row>
    <row r="48" spans="1:40" x14ac:dyDescent="0.2">
      <c r="B48" s="1" t="s">
        <v>4</v>
      </c>
      <c r="C48" s="42">
        <v>33806.9</v>
      </c>
      <c r="D48" s="2">
        <v>34676.699999999997</v>
      </c>
      <c r="E48" s="29">
        <v>33957.4</v>
      </c>
      <c r="F48" s="21">
        <v>34161.800000000003</v>
      </c>
      <c r="G48" s="2">
        <v>32946.6</v>
      </c>
      <c r="H48" s="2">
        <v>30918.607141149998</v>
      </c>
      <c r="I48" s="2">
        <v>24991.3</v>
      </c>
      <c r="J48" s="42">
        <v>19217.783669050001</v>
      </c>
      <c r="K48" s="42">
        <v>39772.672980379997</v>
      </c>
      <c r="L48" s="42">
        <v>54736.607073010004</v>
      </c>
      <c r="M48" s="42">
        <v>87189.259076544797</v>
      </c>
      <c r="N48" s="42">
        <v>93713.343793509994</v>
      </c>
      <c r="O48" s="42">
        <v>97742.694436760008</v>
      </c>
      <c r="P48" s="42">
        <v>109842.36496563</v>
      </c>
      <c r="Q48" s="42">
        <v>109490.77592784999</v>
      </c>
      <c r="R48" s="42">
        <v>121514.02756241</v>
      </c>
      <c r="S48" s="42">
        <v>130528.35128593999</v>
      </c>
      <c r="T48" s="42">
        <v>159957.53800373999</v>
      </c>
      <c r="U48" s="42">
        <v>182867.02371372</v>
      </c>
      <c r="V48" s="42">
        <v>173632.31497440999</v>
      </c>
      <c r="W48" s="42">
        <v>150783.47266423999</v>
      </c>
      <c r="X48" s="23">
        <f t="shared" si="37"/>
        <v>1.0695764748582004</v>
      </c>
      <c r="Y48" s="23">
        <f t="shared" si="37"/>
        <v>0.37623657077339945</v>
      </c>
      <c r="Z48" s="23">
        <f t="shared" si="37"/>
        <v>0.59288753430127805</v>
      </c>
      <c r="AA48" s="23">
        <f t="shared" si="37"/>
        <v>7.4826702119782817E-2</v>
      </c>
      <c r="AB48" s="23">
        <f t="shared" si="37"/>
        <v>4.2996551826475882E-2</v>
      </c>
      <c r="AC48" s="23">
        <f t="shared" si="37"/>
        <v>0.12379104749049596</v>
      </c>
      <c r="AD48" s="23">
        <f t="shared" si="37"/>
        <v>-3.200850945716871E-3</v>
      </c>
      <c r="AE48" s="23">
        <f t="shared" si="37"/>
        <v>0.10981063502995769</v>
      </c>
      <c r="AF48" s="23">
        <f t="shared" si="37"/>
        <v>7.4183400092637131E-2</v>
      </c>
      <c r="AG48" s="23">
        <f t="shared" si="37"/>
        <v>0.22546202742828947</v>
      </c>
      <c r="AH48" s="23">
        <f t="shared" si="37"/>
        <v>0.1432222950908657</v>
      </c>
      <c r="AI48" s="23">
        <f t="shared" si="37"/>
        <v>-5.049958462585924E-2</v>
      </c>
      <c r="AJ48" s="23">
        <f t="shared" si="37"/>
        <v>-0.13159325966216295</v>
      </c>
    </row>
    <row r="49" spans="1:36" x14ac:dyDescent="0.2">
      <c r="C49" s="42"/>
      <c r="D49" s="2"/>
      <c r="E49" s="29"/>
      <c r="F49" s="2"/>
      <c r="G49" s="2"/>
      <c r="H49" s="2"/>
      <c r="I49" s="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x14ac:dyDescent="0.2">
      <c r="B50" s="48" t="s">
        <v>5</v>
      </c>
      <c r="C50" s="6">
        <f>+C51+C52+C53+C54</f>
        <v>153129.30000000002</v>
      </c>
      <c r="D50" s="6">
        <v>194888.4</v>
      </c>
      <c r="E50" s="30">
        <v>246069.19999999998</v>
      </c>
      <c r="F50" s="6">
        <v>319643.89999999997</v>
      </c>
      <c r="G50" s="6">
        <v>431375.9</v>
      </c>
      <c r="H50" s="6">
        <v>476386.86178961</v>
      </c>
      <c r="I50" s="6">
        <f t="shared" ref="I50:O50" si="40">+I51+I52+I53+I54</f>
        <v>535617.10000000009</v>
      </c>
      <c r="J50" s="6">
        <f t="shared" si="40"/>
        <v>588654.93828268</v>
      </c>
      <c r="K50" s="6">
        <f t="shared" si="40"/>
        <v>652182.20437891001</v>
      </c>
      <c r="L50" s="6">
        <f t="shared" si="40"/>
        <v>691928.77015986992</v>
      </c>
      <c r="M50" s="6">
        <f t="shared" si="40"/>
        <v>732811.71421703009</v>
      </c>
      <c r="N50" s="6">
        <f t="shared" si="40"/>
        <v>800349.97121783998</v>
      </c>
      <c r="O50" s="6">
        <f t="shared" si="40"/>
        <v>857220.90514172008</v>
      </c>
      <c r="P50" s="6">
        <f t="shared" ref="P50:W50" si="41">+P51+P52+P53+P54</f>
        <v>919902.67580202001</v>
      </c>
      <c r="Q50" s="6">
        <f t="shared" si="41"/>
        <v>816356.86396380002</v>
      </c>
      <c r="R50" s="6">
        <f t="shared" si="41"/>
        <v>812866.44141107996</v>
      </c>
      <c r="S50" s="6">
        <f t="shared" si="41"/>
        <v>857108.74747836986</v>
      </c>
      <c r="T50" s="6">
        <f t="shared" si="41"/>
        <v>858503.76000939985</v>
      </c>
      <c r="U50" s="6">
        <f t="shared" si="41"/>
        <v>960974.80629997002</v>
      </c>
      <c r="V50" s="6">
        <f t="shared" si="41"/>
        <v>944187.68072101998</v>
      </c>
      <c r="W50" s="6">
        <f t="shared" si="41"/>
        <v>905590.55326724995</v>
      </c>
      <c r="X50" s="23">
        <f t="shared" ref="X50:AJ54" si="42">+K50/J50-1</f>
        <v>0.10791936322077267</v>
      </c>
      <c r="Y50" s="23">
        <f t="shared" si="42"/>
        <v>6.0943959393696678E-2</v>
      </c>
      <c r="Z50" s="23">
        <f t="shared" si="42"/>
        <v>5.9085480789755618E-2</v>
      </c>
      <c r="AA50" s="23">
        <f t="shared" si="42"/>
        <v>9.216317874090052E-2</v>
      </c>
      <c r="AB50" s="23">
        <f t="shared" si="42"/>
        <v>7.1057582269095754E-2</v>
      </c>
      <c r="AC50" s="23">
        <f t="shared" si="42"/>
        <v>7.3122074233522127E-2</v>
      </c>
      <c r="AD50" s="23">
        <f t="shared" si="42"/>
        <v>-0.11256170306053659</v>
      </c>
      <c r="AE50" s="23">
        <f t="shared" si="42"/>
        <v>-4.2756087524914443E-3</v>
      </c>
      <c r="AF50" s="23">
        <f t="shared" si="42"/>
        <v>5.4427521931509792E-2</v>
      </c>
      <c r="AG50" s="23">
        <f t="shared" si="42"/>
        <v>1.6275793884197309E-3</v>
      </c>
      <c r="AH50" s="23">
        <f t="shared" si="42"/>
        <v>0.11936004367581132</v>
      </c>
      <c r="AI50" s="23">
        <f t="shared" si="42"/>
        <v>-1.746885086778216E-2</v>
      </c>
      <c r="AJ50" s="23">
        <f t="shared" si="42"/>
        <v>-4.087866029378362E-2</v>
      </c>
    </row>
    <row r="51" spans="1:36" x14ac:dyDescent="0.2">
      <c r="B51" s="1" t="s">
        <v>6</v>
      </c>
      <c r="C51" s="42">
        <v>79704.2</v>
      </c>
      <c r="D51" s="2">
        <v>95791.232561190001</v>
      </c>
      <c r="E51" s="29">
        <v>108562.34076625</v>
      </c>
      <c r="F51" s="21">
        <v>124506.90000000001</v>
      </c>
      <c r="G51" s="2">
        <v>143242.79999999999</v>
      </c>
      <c r="H51" s="2">
        <v>156239.52982867</v>
      </c>
      <c r="I51" s="2">
        <v>164839.69070400001</v>
      </c>
      <c r="J51" s="42">
        <v>181727.66314630999</v>
      </c>
      <c r="K51" s="42">
        <v>202282.76838688002</v>
      </c>
      <c r="L51" s="42">
        <v>213092.50915050998</v>
      </c>
      <c r="M51" s="42">
        <v>221374.95268663001</v>
      </c>
      <c r="N51" s="42">
        <v>239631.02174284996</v>
      </c>
      <c r="O51" s="42">
        <v>252061.05761725997</v>
      </c>
      <c r="P51" s="42">
        <v>258180.57598002002</v>
      </c>
      <c r="Q51" s="42">
        <v>276410.85978583002</v>
      </c>
      <c r="R51" s="42">
        <v>290176.24064367992</v>
      </c>
      <c r="S51" s="42">
        <v>301145.42119285994</v>
      </c>
      <c r="T51" s="42">
        <v>298595.49958966998</v>
      </c>
      <c r="U51" s="42">
        <v>302229.11243106995</v>
      </c>
      <c r="V51" s="42">
        <v>306951.47636234993</v>
      </c>
      <c r="W51" s="42">
        <v>302996.91086811997</v>
      </c>
      <c r="X51" s="23">
        <f t="shared" si="42"/>
        <v>0.11310939063812753</v>
      </c>
      <c r="Y51" s="23">
        <f t="shared" si="42"/>
        <v>5.3438762232854042E-2</v>
      </c>
      <c r="Z51" s="23">
        <f t="shared" si="42"/>
        <v>3.8867830545230575E-2</v>
      </c>
      <c r="AA51" s="23">
        <f t="shared" si="42"/>
        <v>8.2466732729526759E-2</v>
      </c>
      <c r="AB51" s="23">
        <f t="shared" si="42"/>
        <v>5.1871563973669321E-2</v>
      </c>
      <c r="AC51" s="23">
        <f t="shared" si="42"/>
        <v>2.4277920677664433E-2</v>
      </c>
      <c r="AD51" s="23">
        <f t="shared" si="42"/>
        <v>7.0610593909360642E-2</v>
      </c>
      <c r="AE51" s="23">
        <f t="shared" si="42"/>
        <v>4.9800434282921024E-2</v>
      </c>
      <c r="AF51" s="23">
        <f t="shared" si="42"/>
        <v>3.7801787371866791E-2</v>
      </c>
      <c r="AG51" s="23">
        <f t="shared" si="42"/>
        <v>-8.4674095096299862E-3</v>
      </c>
      <c r="AH51" s="23">
        <f t="shared" si="42"/>
        <v>1.2169014088937224E-2</v>
      </c>
      <c r="AI51" s="23">
        <f t="shared" si="42"/>
        <v>1.562511266136557E-2</v>
      </c>
      <c r="AJ51" s="23">
        <f t="shared" si="42"/>
        <v>-1.2883357138708362E-2</v>
      </c>
    </row>
    <row r="52" spans="1:36" x14ac:dyDescent="0.2">
      <c r="B52" s="48" t="s">
        <v>70</v>
      </c>
      <c r="C52" s="42">
        <v>72281.900000000009</v>
      </c>
      <c r="D52" s="2">
        <v>96663</v>
      </c>
      <c r="E52" s="29">
        <v>135246.98729997</v>
      </c>
      <c r="F52" s="21">
        <v>192406.14942862</v>
      </c>
      <c r="G52" s="2">
        <v>284472.59999999998</v>
      </c>
      <c r="H52" s="2">
        <v>316691.14647912001</v>
      </c>
      <c r="I52" s="2">
        <v>368360.90929600003</v>
      </c>
      <c r="J52" s="42">
        <v>403420.15820725996</v>
      </c>
      <c r="K52" s="42">
        <v>442254.61707928003</v>
      </c>
      <c r="L52" s="42">
        <v>473463.32151655998</v>
      </c>
      <c r="M52" s="42">
        <f>508475.7134328-2437.335</f>
        <v>506038.3784328</v>
      </c>
      <c r="N52" s="42">
        <v>541907.16898285004</v>
      </c>
      <c r="O52" s="42">
        <v>591208.50004997</v>
      </c>
      <c r="P52" s="42">
        <v>655834.00031438004</v>
      </c>
      <c r="Q52" s="42">
        <v>537884.70456759003</v>
      </c>
      <c r="R52" s="42">
        <v>519975.34125276993</v>
      </c>
      <c r="S52" s="42">
        <v>553490.85693251004</v>
      </c>
      <c r="T52" s="42">
        <v>535891.9656779198</v>
      </c>
      <c r="U52" s="42">
        <v>655925.43625564012</v>
      </c>
      <c r="V52" s="42">
        <v>630446.17302605009</v>
      </c>
      <c r="W52" s="42">
        <v>599907.19015689997</v>
      </c>
      <c r="X52" s="23">
        <f t="shared" si="42"/>
        <v>9.6263059943743734E-2</v>
      </c>
      <c r="Y52" s="23">
        <f t="shared" si="42"/>
        <v>7.0567277835078768E-2</v>
      </c>
      <c r="Z52" s="23">
        <f t="shared" si="42"/>
        <v>6.8801648271080929E-2</v>
      </c>
      <c r="AA52" s="23">
        <f t="shared" si="42"/>
        <v>7.0881561713037611E-2</v>
      </c>
      <c r="AB52" s="23">
        <f t="shared" si="42"/>
        <v>9.0977447594313476E-2</v>
      </c>
      <c r="AC52" s="23">
        <f t="shared" si="42"/>
        <v>0.10931084424352444</v>
      </c>
      <c r="AD52" s="23">
        <f t="shared" si="42"/>
        <v>-0.17984626550354199</v>
      </c>
      <c r="AE52" s="23">
        <f t="shared" si="42"/>
        <v>-3.3295914835908214E-2</v>
      </c>
      <c r="AF52" s="23">
        <f t="shared" si="42"/>
        <v>6.4455971313931215E-2</v>
      </c>
      <c r="AG52" s="23">
        <f t="shared" si="42"/>
        <v>-3.1796173385997162E-2</v>
      </c>
      <c r="AH52" s="23">
        <f t="shared" si="42"/>
        <v>0.22398818841382395</v>
      </c>
      <c r="AI52" s="23">
        <f t="shared" si="42"/>
        <v>-3.8844755548799514E-2</v>
      </c>
      <c r="AJ52" s="23">
        <f t="shared" si="42"/>
        <v>-4.8440270043305089E-2</v>
      </c>
    </row>
    <row r="53" spans="1:36" x14ac:dyDescent="0.2">
      <c r="B53" s="1" t="s">
        <v>7</v>
      </c>
      <c r="C53" s="42">
        <v>902.5</v>
      </c>
      <c r="D53" s="2">
        <v>1308.8</v>
      </c>
      <c r="E53" s="29">
        <v>1381.5</v>
      </c>
      <c r="F53" s="21">
        <v>1494.6</v>
      </c>
      <c r="G53" s="2">
        <v>2243.7000000000003</v>
      </c>
      <c r="H53" s="2">
        <v>2165.7163646500003</v>
      </c>
      <c r="I53" s="2">
        <v>1628.1</v>
      </c>
      <c r="J53" s="42">
        <v>1857.3426350300001</v>
      </c>
      <c r="K53" s="42">
        <v>2780.2332371700004</v>
      </c>
      <c r="L53" s="42">
        <v>2131.2200226600003</v>
      </c>
      <c r="M53" s="42">
        <v>1446.7043546</v>
      </c>
      <c r="N53" s="42">
        <v>2458.541181430001</v>
      </c>
      <c r="O53" s="42">
        <v>2185.7619744900007</v>
      </c>
      <c r="P53" s="42">
        <v>2203.9495076199996</v>
      </c>
      <c r="Q53" s="42">
        <v>2061.2996103800001</v>
      </c>
      <c r="R53" s="42">
        <v>2714.8595146299986</v>
      </c>
      <c r="S53" s="42">
        <v>2470.5977059999996</v>
      </c>
      <c r="T53" s="42">
        <v>4052.4722067099997</v>
      </c>
      <c r="U53" s="42">
        <v>2809.4515017899989</v>
      </c>
      <c r="V53" s="42">
        <v>6660.1939686800015</v>
      </c>
      <c r="W53" s="42">
        <v>2686.4522422300006</v>
      </c>
      <c r="X53" s="23">
        <f t="shared" si="42"/>
        <v>0.49688764191055879</v>
      </c>
      <c r="Y53" s="23">
        <f t="shared" si="42"/>
        <v>-0.23343840575427077</v>
      </c>
      <c r="Z53" s="23">
        <f t="shared" si="42"/>
        <v>-0.32118488977297066</v>
      </c>
      <c r="AA53" s="23">
        <f t="shared" si="42"/>
        <v>0.69940815731474326</v>
      </c>
      <c r="AB53" s="23">
        <f t="shared" si="42"/>
        <v>-0.11095165254923212</v>
      </c>
      <c r="AC53" s="23">
        <f t="shared" si="42"/>
        <v>8.3209120399501124E-3</v>
      </c>
      <c r="AD53" s="23">
        <f t="shared" si="42"/>
        <v>-6.4724666670809672E-2</v>
      </c>
      <c r="AE53" s="23">
        <f t="shared" si="42"/>
        <v>0.31706206170073203</v>
      </c>
      <c r="AF53" s="23">
        <f t="shared" si="42"/>
        <v>-8.9972172524473648E-2</v>
      </c>
      <c r="AG53" s="23">
        <f t="shared" si="42"/>
        <v>0.64028008156419802</v>
      </c>
      <c r="AH53" s="23">
        <f t="shared" si="42"/>
        <v>-0.30673145712432837</v>
      </c>
      <c r="AI53" s="23">
        <f t="shared" si="42"/>
        <v>1.3706385265723795</v>
      </c>
      <c r="AJ53" s="23">
        <f t="shared" si="42"/>
        <v>-0.59664054007087208</v>
      </c>
    </row>
    <row r="54" spans="1:36" x14ac:dyDescent="0.2">
      <c r="B54" s="12" t="s">
        <v>38</v>
      </c>
      <c r="C54" s="42">
        <v>240.7</v>
      </c>
      <c r="D54" s="2">
        <v>1125.4000000000001</v>
      </c>
      <c r="E54" s="29">
        <v>878.4</v>
      </c>
      <c r="F54" s="21">
        <v>1236.3</v>
      </c>
      <c r="G54" s="2">
        <v>1416.8</v>
      </c>
      <c r="H54" s="2">
        <v>1290.4691171700001</v>
      </c>
      <c r="I54" s="2">
        <v>788.4</v>
      </c>
      <c r="J54" s="42">
        <v>1649.7742940799999</v>
      </c>
      <c r="K54" s="42">
        <f>4864.58567558</f>
        <v>4864.5856755799996</v>
      </c>
      <c r="L54" s="42">
        <v>3241.7194701399999</v>
      </c>
      <c r="M54" s="42">
        <f>1514.343743+2437.335</f>
        <v>3951.6787429999999</v>
      </c>
      <c r="N54" s="42">
        <v>16353.23931071</v>
      </c>
      <c r="O54" s="42">
        <v>11765.585500000001</v>
      </c>
      <c r="P54" s="42">
        <v>3684.15</v>
      </c>
      <c r="Q54" s="42">
        <v>0</v>
      </c>
      <c r="R54" s="42">
        <v>0</v>
      </c>
      <c r="S54" s="42">
        <v>1.8716470000000001</v>
      </c>
      <c r="T54" s="42">
        <v>19963.8225351</v>
      </c>
      <c r="U54" s="42">
        <v>10.806111470000001</v>
      </c>
      <c r="V54" s="42">
        <v>129.83736393999999</v>
      </c>
      <c r="W54" s="42">
        <v>0</v>
      </c>
      <c r="X54" s="36">
        <f t="shared" si="42"/>
        <v>1.9486370911681261</v>
      </c>
      <c r="Y54" s="36">
        <f t="shared" si="42"/>
        <v>-0.33360830986834389</v>
      </c>
      <c r="Z54" s="36">
        <f t="shared" si="42"/>
        <v>0.21900700520188421</v>
      </c>
      <c r="AA54" s="36">
        <f t="shared" si="42"/>
        <v>3.1383018140526007</v>
      </c>
      <c r="AB54" s="36">
        <f t="shared" si="42"/>
        <v>-0.28053486673465788</v>
      </c>
      <c r="AC54" s="36">
        <f t="shared" si="42"/>
        <v>-0.68687066189778656</v>
      </c>
      <c r="AD54" s="36">
        <f t="shared" si="42"/>
        <v>-1</v>
      </c>
      <c r="AE54" s="36" t="e">
        <f t="shared" si="42"/>
        <v>#DIV/0!</v>
      </c>
      <c r="AF54" s="36" t="e">
        <f t="shared" si="42"/>
        <v>#DIV/0!</v>
      </c>
      <c r="AG54" s="36">
        <f t="shared" si="42"/>
        <v>10665.446469393</v>
      </c>
      <c r="AH54" s="36">
        <f t="shared" si="42"/>
        <v>-0.9994587153111083</v>
      </c>
      <c r="AI54" s="36">
        <f t="shared" si="42"/>
        <v>11.015179030908143</v>
      </c>
      <c r="AJ54" s="36">
        <f t="shared" si="42"/>
        <v>-1</v>
      </c>
    </row>
    <row r="55" spans="1:36" x14ac:dyDescent="0.2">
      <c r="C55" s="42"/>
      <c r="D55" s="2"/>
      <c r="E55" s="29"/>
      <c r="F55" s="2"/>
      <c r="G55" s="2"/>
      <c r="H55" s="2"/>
      <c r="I55" s="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x14ac:dyDescent="0.2">
      <c r="A56" s="10"/>
      <c r="B56" s="44" t="s">
        <v>8</v>
      </c>
      <c r="C56" s="14">
        <f>+C58+C59</f>
        <v>18237.2</v>
      </c>
      <c r="D56" s="14">
        <v>26251.699999999997</v>
      </c>
      <c r="E56" s="31">
        <v>69840.800000000003</v>
      </c>
      <c r="F56" s="14">
        <v>70545.3</v>
      </c>
      <c r="G56" s="14">
        <v>79658.8</v>
      </c>
      <c r="H56" s="14">
        <v>64097.597517030001</v>
      </c>
      <c r="I56" s="14">
        <f t="shared" ref="I56:O56" si="43">+I58+I59</f>
        <v>61213.1</v>
      </c>
      <c r="J56" s="15">
        <f t="shared" si="43"/>
        <v>109984.69201842</v>
      </c>
      <c r="K56" s="15">
        <f t="shared" si="43"/>
        <v>117231.85723901</v>
      </c>
      <c r="L56" s="15">
        <f t="shared" si="43"/>
        <v>141216.85337651998</v>
      </c>
      <c r="M56" s="15">
        <f t="shared" si="43"/>
        <v>93472.407248460004</v>
      </c>
      <c r="N56" s="15">
        <f t="shared" si="43"/>
        <v>136089.34750316999</v>
      </c>
      <c r="O56" s="15">
        <f t="shared" si="43"/>
        <v>104813.09252899</v>
      </c>
      <c r="P56" s="15">
        <f t="shared" ref="P56:W56" si="44">+P58+P59</f>
        <v>160082.65292834997</v>
      </c>
      <c r="Q56" s="15">
        <f t="shared" si="44"/>
        <v>104363.82201182999</v>
      </c>
      <c r="R56" s="15">
        <f t="shared" si="44"/>
        <v>153312.47870897001</v>
      </c>
      <c r="S56" s="15">
        <f t="shared" si="44"/>
        <v>137083.45830148002</v>
      </c>
      <c r="T56" s="15">
        <f t="shared" si="44"/>
        <v>132977.38593660999</v>
      </c>
      <c r="U56" s="15">
        <f t="shared" si="44"/>
        <v>153995.64497456999</v>
      </c>
      <c r="V56" s="15">
        <f t="shared" si="44"/>
        <v>159304.05191712</v>
      </c>
      <c r="W56" s="15">
        <f t="shared" si="44"/>
        <v>198882.87701358998</v>
      </c>
      <c r="X56" s="22">
        <f t="shared" ref="X56:AJ56" si="45">+K56/J56-1</f>
        <v>6.5892490014667349E-2</v>
      </c>
      <c r="Y56" s="22">
        <f t="shared" si="45"/>
        <v>0.20459452492175267</v>
      </c>
      <c r="Z56" s="22">
        <f t="shared" si="45"/>
        <v>-0.33809311697918354</v>
      </c>
      <c r="AA56" s="22">
        <f t="shared" si="45"/>
        <v>0.4559307020030996</v>
      </c>
      <c r="AB56" s="22">
        <f t="shared" si="45"/>
        <v>-0.22982147793346908</v>
      </c>
      <c r="AC56" s="22">
        <f t="shared" si="45"/>
        <v>0.52731542468392578</v>
      </c>
      <c r="AD56" s="22">
        <f t="shared" si="45"/>
        <v>-0.34806289062100126</v>
      </c>
      <c r="AE56" s="22">
        <f t="shared" si="45"/>
        <v>0.46901939535705695</v>
      </c>
      <c r="AF56" s="22">
        <f t="shared" si="45"/>
        <v>-0.10585583472495552</v>
      </c>
      <c r="AG56" s="22">
        <f t="shared" si="45"/>
        <v>-2.995308417037279E-2</v>
      </c>
      <c r="AH56" s="22">
        <f t="shared" si="45"/>
        <v>0.15805889768339521</v>
      </c>
      <c r="AI56" s="22">
        <f t="shared" si="45"/>
        <v>3.4471149774570664E-2</v>
      </c>
      <c r="AJ56" s="22">
        <f t="shared" si="45"/>
        <v>0.24844832645601111</v>
      </c>
    </row>
    <row r="57" spans="1:36" x14ac:dyDescent="0.2">
      <c r="C57" s="42"/>
      <c r="D57" s="2"/>
      <c r="E57" s="29"/>
      <c r="F57" s="2"/>
      <c r="G57" s="2"/>
      <c r="H57" s="2"/>
      <c r="I57" s="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x14ac:dyDescent="0.2">
      <c r="B58" s="1" t="s">
        <v>12</v>
      </c>
      <c r="C58" s="42">
        <v>3939.1</v>
      </c>
      <c r="D58" s="2">
        <v>6134.9</v>
      </c>
      <c r="E58" s="29">
        <v>9555.9</v>
      </c>
      <c r="F58" s="21">
        <v>12368.7</v>
      </c>
      <c r="G58" s="2">
        <v>12492.3</v>
      </c>
      <c r="H58" s="2">
        <v>10178.535276619999</v>
      </c>
      <c r="I58" s="2">
        <v>8088.1</v>
      </c>
      <c r="J58" s="42">
        <v>10391.440788040001</v>
      </c>
      <c r="K58" s="42">
        <v>16873.35584611</v>
      </c>
      <c r="L58" s="42">
        <v>14052.240086530001</v>
      </c>
      <c r="M58" s="42">
        <v>14682.879773809998</v>
      </c>
      <c r="N58" s="42">
        <v>16520.302493850002</v>
      </c>
      <c r="O58" s="42">
        <v>13403.214911919998</v>
      </c>
      <c r="P58" s="42">
        <v>9193.9280608299996</v>
      </c>
      <c r="Q58" s="42">
        <v>11921.524935579999</v>
      </c>
      <c r="R58" s="42">
        <v>66546.949861349989</v>
      </c>
      <c r="S58" s="42">
        <v>50934.979466919998</v>
      </c>
      <c r="T58" s="42">
        <v>67003.275381499989</v>
      </c>
      <c r="U58" s="42">
        <v>52486.859411459991</v>
      </c>
      <c r="V58" s="42">
        <v>48641.833393539993</v>
      </c>
      <c r="W58" s="42">
        <v>47606.718404379993</v>
      </c>
      <c r="X58" s="23">
        <f t="shared" ref="X58:AJ61" si="46">+K58/J58-1</f>
        <v>0.62377443034947966</v>
      </c>
      <c r="Y58" s="23">
        <f t="shared" si="46"/>
        <v>-0.16719352008630706</v>
      </c>
      <c r="Z58" s="23">
        <f t="shared" si="46"/>
        <v>4.4878231754986064E-2</v>
      </c>
      <c r="AA58" s="23">
        <f t="shared" si="46"/>
        <v>0.12514048663106503</v>
      </c>
      <c r="AB58" s="23">
        <f t="shared" si="46"/>
        <v>-0.18868223406262685</v>
      </c>
      <c r="AC58" s="23">
        <f t="shared" si="46"/>
        <v>-0.31405053778153758</v>
      </c>
      <c r="AD58" s="23">
        <f t="shared" si="46"/>
        <v>0.29667372386463509</v>
      </c>
      <c r="AE58" s="23">
        <f t="shared" si="46"/>
        <v>4.5820836865206278</v>
      </c>
      <c r="AF58" s="23">
        <f t="shared" si="46"/>
        <v>-0.23460084086434319</v>
      </c>
      <c r="AG58" s="23">
        <f t="shared" si="46"/>
        <v>0.31546681833877321</v>
      </c>
      <c r="AH58" s="23">
        <f t="shared" si="46"/>
        <v>-0.21665233359693437</v>
      </c>
      <c r="AI58" s="23">
        <f t="shared" si="46"/>
        <v>-7.3256926801005595E-2</v>
      </c>
      <c r="AJ58" s="23">
        <f t="shared" si="46"/>
        <v>-2.1280344858413014E-2</v>
      </c>
    </row>
    <row r="59" spans="1:36" s="10" customFormat="1" x14ac:dyDescent="0.2">
      <c r="B59" s="48" t="s">
        <v>5</v>
      </c>
      <c r="C59" s="6">
        <f>+C60+C61+C62+C63</f>
        <v>14298.1</v>
      </c>
      <c r="D59" s="6">
        <v>20116.8</v>
      </c>
      <c r="E59" s="30">
        <v>60284.9</v>
      </c>
      <c r="F59" s="6">
        <v>58176.6</v>
      </c>
      <c r="G59" s="6">
        <v>67166.5</v>
      </c>
      <c r="H59" s="6">
        <v>53919.06224041</v>
      </c>
      <c r="I59" s="6">
        <v>53125</v>
      </c>
      <c r="J59" s="6">
        <f t="shared" ref="J59:O59" si="47">+J60+J61+J62+J63</f>
        <v>99593.251230380003</v>
      </c>
      <c r="K59" s="6">
        <f t="shared" si="47"/>
        <v>100358.5013929</v>
      </c>
      <c r="L59" s="6">
        <f t="shared" si="47"/>
        <v>127164.61328999</v>
      </c>
      <c r="M59" s="6">
        <f t="shared" si="47"/>
        <v>78789.527474650007</v>
      </c>
      <c r="N59" s="6">
        <f t="shared" si="47"/>
        <v>119569.04500931999</v>
      </c>
      <c r="O59" s="6">
        <f t="shared" si="47"/>
        <v>91409.87761707</v>
      </c>
      <c r="P59" s="6">
        <f t="shared" ref="P59:W59" si="48">+P60+P61+P62+P63</f>
        <v>150888.72486751998</v>
      </c>
      <c r="Q59" s="6">
        <f t="shared" si="48"/>
        <v>92442.29707624999</v>
      </c>
      <c r="R59" s="6">
        <f t="shared" si="48"/>
        <v>86765.528847620008</v>
      </c>
      <c r="S59" s="6">
        <f t="shared" si="48"/>
        <v>86148.47883456001</v>
      </c>
      <c r="T59" s="6">
        <f t="shared" si="48"/>
        <v>65974.110555110004</v>
      </c>
      <c r="U59" s="6">
        <f t="shared" si="48"/>
        <v>101508.78556311</v>
      </c>
      <c r="V59" s="6">
        <f t="shared" si="48"/>
        <v>110662.21852358001</v>
      </c>
      <c r="W59" s="6">
        <f t="shared" si="48"/>
        <v>151276.15860920999</v>
      </c>
      <c r="X59" s="23">
        <f t="shared" si="46"/>
        <v>7.6837552049566771E-3</v>
      </c>
      <c r="Y59" s="23">
        <f t="shared" si="46"/>
        <v>0.26710354902715228</v>
      </c>
      <c r="Z59" s="23">
        <f t="shared" si="46"/>
        <v>-0.38041310836233966</v>
      </c>
      <c r="AA59" s="23">
        <f t="shared" si="46"/>
        <v>0.5175753534984775</v>
      </c>
      <c r="AB59" s="23">
        <f t="shared" si="46"/>
        <v>-0.23550549717993552</v>
      </c>
      <c r="AC59" s="23">
        <f t="shared" si="46"/>
        <v>0.65068293275280387</v>
      </c>
      <c r="AD59" s="23">
        <f t="shared" si="46"/>
        <v>-0.38734788064904013</v>
      </c>
      <c r="AE59" s="23">
        <f t="shared" si="46"/>
        <v>-6.1408775075629807E-2</v>
      </c>
      <c r="AF59" s="23">
        <f t="shared" si="46"/>
        <v>-7.1116954077888872E-3</v>
      </c>
      <c r="AG59" s="23">
        <f t="shared" si="46"/>
        <v>-0.23418136399358791</v>
      </c>
      <c r="AH59" s="23">
        <f t="shared" si="46"/>
        <v>0.53861544640782832</v>
      </c>
      <c r="AI59" s="23">
        <f t="shared" si="46"/>
        <v>9.0173800323708475E-2</v>
      </c>
      <c r="AJ59" s="23">
        <f t="shared" si="46"/>
        <v>0.36700818605923691</v>
      </c>
    </row>
    <row r="60" spans="1:36" x14ac:dyDescent="0.2">
      <c r="B60" s="1" t="s">
        <v>6</v>
      </c>
      <c r="C60" s="42">
        <v>11.7</v>
      </c>
      <c r="D60" s="2">
        <v>40.9</v>
      </c>
      <c r="E60" s="29">
        <v>211.9</v>
      </c>
      <c r="F60" s="21">
        <v>1723.9</v>
      </c>
      <c r="G60" s="2">
        <v>2033.3999999999999</v>
      </c>
      <c r="H60" s="2">
        <v>1099.9256399999999</v>
      </c>
      <c r="I60" s="2">
        <v>521.20000000000005</v>
      </c>
      <c r="J60" s="42">
        <v>399.94086400000003</v>
      </c>
      <c r="K60" s="42">
        <v>2601.052432</v>
      </c>
      <c r="L60" s="42">
        <v>1659.5527400000001</v>
      </c>
      <c r="M60" s="42">
        <v>4151.9957583900004</v>
      </c>
      <c r="N60" s="42">
        <v>3053.1529640899998</v>
      </c>
      <c r="O60" s="42">
        <v>4049.0332119999998</v>
      </c>
      <c r="P60" s="42">
        <v>4947.2079085999994</v>
      </c>
      <c r="Q60" s="42">
        <v>4410.2193734700004</v>
      </c>
      <c r="R60" s="42">
        <v>4770.7183546799997</v>
      </c>
      <c r="S60" s="42">
        <v>2177.8253059999997</v>
      </c>
      <c r="T60" s="42">
        <v>418.5025321</v>
      </c>
      <c r="U60" s="42">
        <v>1757.7124860900001</v>
      </c>
      <c r="V60" s="42">
        <v>443.18640822999998</v>
      </c>
      <c r="W60" s="42">
        <v>498.38843228999997</v>
      </c>
      <c r="X60" s="23">
        <f t="shared" si="46"/>
        <v>5.503592571125715</v>
      </c>
      <c r="Y60" s="23">
        <f t="shared" si="46"/>
        <v>-0.36196874788720135</v>
      </c>
      <c r="Z60" s="23">
        <f t="shared" si="46"/>
        <v>1.501876353980772</v>
      </c>
      <c r="AA60" s="23">
        <f t="shared" si="46"/>
        <v>-0.26465412255770071</v>
      </c>
      <c r="AB60" s="23">
        <f t="shared" si="46"/>
        <v>0.32618092169739188</v>
      </c>
      <c r="AC60" s="23">
        <f t="shared" si="46"/>
        <v>0.22182448243153607</v>
      </c>
      <c r="AD60" s="23">
        <f t="shared" si="46"/>
        <v>-0.1085437574185073</v>
      </c>
      <c r="AE60" s="23">
        <f t="shared" si="46"/>
        <v>8.1741734522007503E-2</v>
      </c>
      <c r="AF60" s="23">
        <f t="shared" si="46"/>
        <v>-0.54350159785400298</v>
      </c>
      <c r="AG60" s="23">
        <f t="shared" si="46"/>
        <v>-0.80783466380567437</v>
      </c>
      <c r="AH60" s="23">
        <f t="shared" si="46"/>
        <v>3.2000044235574654</v>
      </c>
      <c r="AI60" s="23">
        <f t="shared" si="46"/>
        <v>-0.74786183079585433</v>
      </c>
      <c r="AJ60" s="23">
        <f t="shared" si="46"/>
        <v>0.12455712322150414</v>
      </c>
    </row>
    <row r="61" spans="1:36" x14ac:dyDescent="0.2">
      <c r="B61" s="48" t="s">
        <v>68</v>
      </c>
      <c r="C61" s="42">
        <f>15006.1-1000</f>
        <v>14006.1</v>
      </c>
      <c r="D61" s="2">
        <v>19991.099999999999</v>
      </c>
      <c r="E61" s="29">
        <v>59341.2</v>
      </c>
      <c r="F61" s="21">
        <v>54710.299999999996</v>
      </c>
      <c r="G61" s="2">
        <v>56704.1</v>
      </c>
      <c r="H61" s="2">
        <v>50400.199830799997</v>
      </c>
      <c r="I61" s="2">
        <v>50329.100000000006</v>
      </c>
      <c r="J61" s="42">
        <v>73621.453727949993</v>
      </c>
      <c r="K61" s="42">
        <v>72238.877717070005</v>
      </c>
      <c r="L61" s="42">
        <v>72922.731348749992</v>
      </c>
      <c r="M61" s="42">
        <f>43426.78678379-3075.31385+311.625</f>
        <v>40663.097933789999</v>
      </c>
      <c r="N61" s="42">
        <v>113729.33322817</v>
      </c>
      <c r="O61" s="42">
        <v>84165.384669120001</v>
      </c>
      <c r="P61" s="42">
        <v>61374.575722700007</v>
      </c>
      <c r="Q61" s="42">
        <v>83928.265916609991</v>
      </c>
      <c r="R61" s="42">
        <v>53074.549300470004</v>
      </c>
      <c r="S61" s="42">
        <v>57341.567116890008</v>
      </c>
      <c r="T61" s="42">
        <v>65077.260870800012</v>
      </c>
      <c r="U61" s="42">
        <v>99633.430347200003</v>
      </c>
      <c r="V61" s="42">
        <v>90889.027196630006</v>
      </c>
      <c r="W61" s="42">
        <v>144446.02837871999</v>
      </c>
      <c r="X61" s="23">
        <f t="shared" si="46"/>
        <v>-1.8779526087449372E-2</v>
      </c>
      <c r="Y61" s="23">
        <f t="shared" si="46"/>
        <v>9.466559466197122E-3</v>
      </c>
      <c r="Z61" s="23">
        <f t="shared" si="46"/>
        <v>-0.4423810356290635</v>
      </c>
      <c r="AA61" s="23">
        <f t="shared" si="46"/>
        <v>1.7968683894510611</v>
      </c>
      <c r="AB61" s="23">
        <f t="shared" si="46"/>
        <v>-0.25995007373987844</v>
      </c>
      <c r="AC61" s="23">
        <f t="shared" si="46"/>
        <v>-0.2707860129911801</v>
      </c>
      <c r="AD61" s="23">
        <f t="shared" si="46"/>
        <v>0.36747610762819938</v>
      </c>
      <c r="AE61" s="23">
        <f t="shared" si="46"/>
        <v>-0.3676200893605478</v>
      </c>
      <c r="AF61" s="23">
        <f t="shared" si="46"/>
        <v>8.0396684901895554E-2</v>
      </c>
      <c r="AG61" s="23">
        <f t="shared" si="46"/>
        <v>0.13490551693749309</v>
      </c>
      <c r="AH61" s="23">
        <f t="shared" si="46"/>
        <v>0.53100221204769937</v>
      </c>
      <c r="AI61" s="23">
        <f t="shared" si="46"/>
        <v>-8.7765754125876505E-2</v>
      </c>
      <c r="AJ61" s="23">
        <f t="shared" si="46"/>
        <v>0.58925706252993959</v>
      </c>
    </row>
    <row r="62" spans="1:36" x14ac:dyDescent="0.2">
      <c r="B62" s="1" t="s">
        <v>7</v>
      </c>
      <c r="C62" s="42">
        <v>7.5</v>
      </c>
      <c r="D62" s="2">
        <v>0</v>
      </c>
      <c r="E62" s="29">
        <v>28.3</v>
      </c>
      <c r="F62" s="21">
        <v>33.299999999999997</v>
      </c>
      <c r="G62" s="2">
        <v>0</v>
      </c>
      <c r="H62" s="2">
        <v>0</v>
      </c>
      <c r="I62" s="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/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36" t="e">
        <f>+P62/Q62-1</f>
        <v>#DIV/0!</v>
      </c>
      <c r="Y62" s="36" t="e">
        <f>+Q62/X62-1</f>
        <v>#DIV/0!</v>
      </c>
      <c r="Z62" s="36" t="e">
        <f t="shared" ref="Z62:AJ62" si="49">+X62/Y62-1</f>
        <v>#DIV/0!</v>
      </c>
      <c r="AA62" s="36" t="e">
        <f t="shared" si="49"/>
        <v>#DIV/0!</v>
      </c>
      <c r="AB62" s="36" t="e">
        <f t="shared" si="49"/>
        <v>#DIV/0!</v>
      </c>
      <c r="AC62" s="36" t="e">
        <f t="shared" si="49"/>
        <v>#DIV/0!</v>
      </c>
      <c r="AD62" s="36" t="e">
        <f t="shared" si="49"/>
        <v>#DIV/0!</v>
      </c>
      <c r="AE62" s="36" t="e">
        <f t="shared" si="49"/>
        <v>#DIV/0!</v>
      </c>
      <c r="AF62" s="36" t="e">
        <f t="shared" si="49"/>
        <v>#DIV/0!</v>
      </c>
      <c r="AG62" s="36" t="e">
        <f t="shared" si="49"/>
        <v>#DIV/0!</v>
      </c>
      <c r="AH62" s="36" t="e">
        <f t="shared" si="49"/>
        <v>#DIV/0!</v>
      </c>
      <c r="AI62" s="36" t="e">
        <f t="shared" si="49"/>
        <v>#DIV/0!</v>
      </c>
      <c r="AJ62" s="36" t="e">
        <f t="shared" si="49"/>
        <v>#DIV/0!</v>
      </c>
    </row>
    <row r="63" spans="1:36" x14ac:dyDescent="0.2">
      <c r="B63" s="12" t="s">
        <v>38</v>
      </c>
      <c r="C63" s="42">
        <v>272.8</v>
      </c>
      <c r="D63" s="2">
        <v>84.8</v>
      </c>
      <c r="E63" s="29">
        <v>703.5</v>
      </c>
      <c r="F63" s="21">
        <v>1709.1</v>
      </c>
      <c r="G63" s="2">
        <v>8429</v>
      </c>
      <c r="H63" s="2">
        <v>2418.9367696099998</v>
      </c>
      <c r="I63" s="2">
        <v>2274.6999999999998</v>
      </c>
      <c r="J63" s="42">
        <v>25571.856638429999</v>
      </c>
      <c r="K63" s="42">
        <v>25518.57124383</v>
      </c>
      <c r="L63" s="42">
        <v>52582.329201240005</v>
      </c>
      <c r="M63" s="42">
        <f>31210.74493247+3075.31385-311.625</f>
        <v>33974.433782469998</v>
      </c>
      <c r="N63" s="42">
        <v>2786.5588170599995</v>
      </c>
      <c r="O63" s="42">
        <v>3195.4597359499999</v>
      </c>
      <c r="P63" s="42">
        <v>84566.941236219995</v>
      </c>
      <c r="Q63" s="42">
        <v>4103.8117861700002</v>
      </c>
      <c r="R63" s="42">
        <v>28920.261192470003</v>
      </c>
      <c r="S63" s="42">
        <v>26629.08641167</v>
      </c>
      <c r="T63" s="42">
        <v>478.34715220999999</v>
      </c>
      <c r="U63" s="42">
        <v>117.64272982</v>
      </c>
      <c r="V63" s="42">
        <v>19330.004918720002</v>
      </c>
      <c r="W63" s="42">
        <v>6331.7417981999997</v>
      </c>
      <c r="X63" s="23">
        <f t="shared" ref="X63:AJ63" si="50">+K63/J63-1</f>
        <v>-2.0837514989006101E-3</v>
      </c>
      <c r="Y63" s="23">
        <f t="shared" si="50"/>
        <v>1.0605514587323772</v>
      </c>
      <c r="Z63" s="23">
        <f t="shared" si="50"/>
        <v>-0.35388115554096056</v>
      </c>
      <c r="AA63" s="23">
        <f t="shared" si="50"/>
        <v>-0.91798071353001331</v>
      </c>
      <c r="AB63" s="23">
        <f t="shared" si="50"/>
        <v>0.14674045865696717</v>
      </c>
      <c r="AC63" s="23">
        <f t="shared" si="50"/>
        <v>25.464718138931115</v>
      </c>
      <c r="AD63" s="23">
        <f t="shared" si="50"/>
        <v>-0.95147262362597618</v>
      </c>
      <c r="AE63" s="23">
        <f t="shared" si="50"/>
        <v>6.0471704598959359</v>
      </c>
      <c r="AF63" s="23">
        <f t="shared" si="50"/>
        <v>-7.9223861968319986E-2</v>
      </c>
      <c r="AG63" s="23">
        <f t="shared" si="50"/>
        <v>-0.98203666679303092</v>
      </c>
      <c r="AH63" s="23">
        <f t="shared" si="50"/>
        <v>-0.75406411582784239</v>
      </c>
      <c r="AI63" s="23">
        <f t="shared" si="50"/>
        <v>163.31108788699478</v>
      </c>
      <c r="AJ63" s="23">
        <f t="shared" si="50"/>
        <v>-0.67243972131284502</v>
      </c>
    </row>
    <row r="64" spans="1:36" x14ac:dyDescent="0.2">
      <c r="B64" s="12"/>
      <c r="C64" s="42"/>
      <c r="D64" s="2"/>
      <c r="E64" s="29"/>
      <c r="F64" s="21"/>
      <c r="G64" s="2"/>
      <c r="H64" s="2"/>
      <c r="I64" s="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x14ac:dyDescent="0.2">
      <c r="B65" s="3" t="s">
        <v>50</v>
      </c>
      <c r="C65" s="42"/>
      <c r="D65" s="2"/>
      <c r="E65" s="29"/>
      <c r="F65" s="21"/>
      <c r="G65" s="2"/>
      <c r="H65" s="6">
        <f t="shared" ref="H65:O65" si="51">+H66-H67</f>
        <v>0</v>
      </c>
      <c r="I65" s="6">
        <f t="shared" si="51"/>
        <v>0</v>
      </c>
      <c r="J65" s="6">
        <f t="shared" si="51"/>
        <v>0</v>
      </c>
      <c r="K65" s="6">
        <f t="shared" si="51"/>
        <v>0</v>
      </c>
      <c r="L65" s="6">
        <f t="shared" si="51"/>
        <v>2527.71710841</v>
      </c>
      <c r="M65" s="6">
        <f t="shared" si="51"/>
        <v>1857.35579351</v>
      </c>
      <c r="N65" s="6">
        <f t="shared" si="51"/>
        <v>0</v>
      </c>
      <c r="O65" s="6">
        <f t="shared" si="51"/>
        <v>673.14005049000002</v>
      </c>
      <c r="P65" s="6">
        <f t="shared" ref="P65:W65" si="52">+P66-P67</f>
        <v>30843.892763330001</v>
      </c>
      <c r="Q65" s="6">
        <f t="shared" si="52"/>
        <v>0</v>
      </c>
      <c r="R65" s="6">
        <f t="shared" si="52"/>
        <v>3901.5</v>
      </c>
      <c r="S65" s="6">
        <f t="shared" si="52"/>
        <v>4038.62586792</v>
      </c>
      <c r="T65" s="6">
        <f t="shared" si="52"/>
        <v>4649.5974864199998</v>
      </c>
      <c r="U65" s="6">
        <f t="shared" si="52"/>
        <v>3730.82</v>
      </c>
      <c r="V65" s="6">
        <f t="shared" si="52"/>
        <v>3579.826</v>
      </c>
      <c r="W65" s="6">
        <f t="shared" si="52"/>
        <v>3183.4837499999999</v>
      </c>
      <c r="X65" s="36" t="e">
        <f t="shared" ref="X65:AJ66" si="53">+K65/J65-1</f>
        <v>#DIV/0!</v>
      </c>
      <c r="Y65" s="36" t="e">
        <f t="shared" si="53"/>
        <v>#DIV/0!</v>
      </c>
      <c r="Z65" s="36">
        <f t="shared" si="53"/>
        <v>-0.26520424800292419</v>
      </c>
      <c r="AA65" s="36">
        <f t="shared" si="53"/>
        <v>-1</v>
      </c>
      <c r="AB65" s="36" t="e">
        <f t="shared" si="53"/>
        <v>#DIV/0!</v>
      </c>
      <c r="AC65" s="36">
        <f t="shared" si="53"/>
        <v>44.820914594039905</v>
      </c>
      <c r="AD65" s="36">
        <f t="shared" si="53"/>
        <v>-1</v>
      </c>
      <c r="AE65" s="36" t="e">
        <f t="shared" si="53"/>
        <v>#DIV/0!</v>
      </c>
      <c r="AF65" s="23">
        <f t="shared" si="53"/>
        <v>3.5146960891964563E-2</v>
      </c>
      <c r="AG65" s="23">
        <f t="shared" si="53"/>
        <v>0.15128205446142662</v>
      </c>
      <c r="AH65" s="23">
        <f t="shared" si="53"/>
        <v>-0.19760366119937423</v>
      </c>
      <c r="AI65" s="23">
        <f t="shared" si="53"/>
        <v>-4.0472067802788669E-2</v>
      </c>
      <c r="AJ65" s="23">
        <f t="shared" si="53"/>
        <v>-0.11071550684307008</v>
      </c>
    </row>
    <row r="66" spans="1:36" x14ac:dyDescent="0.2">
      <c r="B66" s="49" t="s">
        <v>51</v>
      </c>
      <c r="C66" s="42"/>
      <c r="D66" s="2"/>
      <c r="E66" s="29"/>
      <c r="F66" s="21"/>
      <c r="G66" s="2"/>
      <c r="H66" s="2">
        <v>0</v>
      </c>
      <c r="I66" s="2">
        <v>0</v>
      </c>
      <c r="J66" s="42">
        <v>0</v>
      </c>
      <c r="K66" s="42">
        <v>0</v>
      </c>
      <c r="L66" s="6">
        <v>2527.71710841</v>
      </c>
      <c r="M66" s="6">
        <v>1857.35579351</v>
      </c>
      <c r="N66" s="21">
        <v>0</v>
      </c>
      <c r="O66" s="21">
        <v>673.14005049000002</v>
      </c>
      <c r="P66" s="21">
        <v>30843.892763330001</v>
      </c>
      <c r="Q66" s="21">
        <v>0</v>
      </c>
      <c r="R66" s="21">
        <v>3901.5</v>
      </c>
      <c r="S66" s="21">
        <v>4038.62586792</v>
      </c>
      <c r="T66" s="21">
        <v>4649.5974864199998</v>
      </c>
      <c r="U66" s="21">
        <v>3730.82</v>
      </c>
      <c r="V66" s="21">
        <v>3579.826</v>
      </c>
      <c r="W66" s="21">
        <v>3183.4837499999999</v>
      </c>
      <c r="X66" s="36" t="e">
        <f t="shared" si="53"/>
        <v>#DIV/0!</v>
      </c>
      <c r="Y66" s="36" t="e">
        <f t="shared" si="53"/>
        <v>#DIV/0!</v>
      </c>
      <c r="Z66" s="36">
        <f t="shared" si="53"/>
        <v>-0.26520424800292419</v>
      </c>
      <c r="AA66" s="36">
        <f t="shared" si="53"/>
        <v>-1</v>
      </c>
      <c r="AB66" s="36" t="e">
        <f t="shared" si="53"/>
        <v>#DIV/0!</v>
      </c>
      <c r="AC66" s="36">
        <f t="shared" si="53"/>
        <v>44.820914594039905</v>
      </c>
      <c r="AD66" s="36">
        <f t="shared" si="53"/>
        <v>-1</v>
      </c>
      <c r="AE66" s="36" t="e">
        <f t="shared" si="53"/>
        <v>#DIV/0!</v>
      </c>
      <c r="AF66" s="23">
        <f t="shared" si="53"/>
        <v>3.5146960891964563E-2</v>
      </c>
      <c r="AG66" s="23">
        <f t="shared" si="53"/>
        <v>0.15128205446142662</v>
      </c>
      <c r="AH66" s="23">
        <f t="shared" si="53"/>
        <v>-0.19760366119937423</v>
      </c>
      <c r="AI66" s="23">
        <f t="shared" si="53"/>
        <v>-4.0472067802788669E-2</v>
      </c>
      <c r="AJ66" s="23">
        <f t="shared" si="53"/>
        <v>-0.11071550684307008</v>
      </c>
    </row>
    <row r="67" spans="1:36" x14ac:dyDescent="0.2">
      <c r="B67" s="49" t="s">
        <v>52</v>
      </c>
      <c r="C67" s="42"/>
      <c r="D67" s="2"/>
      <c r="E67" s="29"/>
      <c r="F67" s="21"/>
      <c r="G67" s="2"/>
      <c r="H67" s="2">
        <v>0</v>
      </c>
      <c r="I67" s="2">
        <v>0</v>
      </c>
      <c r="J67" s="42">
        <v>0</v>
      </c>
      <c r="K67" s="42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36"/>
      <c r="Y67" s="36"/>
      <c r="Z67" s="36"/>
      <c r="AA67" s="36"/>
      <c r="AB67" s="36"/>
      <c r="AC67" s="36"/>
      <c r="AD67" s="36"/>
      <c r="AE67" s="36"/>
      <c r="AF67" s="23"/>
      <c r="AG67" s="36"/>
      <c r="AH67" s="36"/>
      <c r="AI67" s="36"/>
      <c r="AJ67" s="36"/>
    </row>
    <row r="68" spans="1:36" x14ac:dyDescent="0.2">
      <c r="B68" s="49"/>
      <c r="C68" s="42"/>
      <c r="D68" s="2"/>
      <c r="E68" s="29"/>
      <c r="F68" s="21"/>
      <c r="G68" s="2"/>
      <c r="H68" s="2"/>
      <c r="I68" s="2"/>
      <c r="J68" s="42"/>
      <c r="K68" s="4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</row>
    <row r="69" spans="1:36" x14ac:dyDescent="0.2">
      <c r="A69" s="5" t="s">
        <v>17</v>
      </c>
      <c r="B69" s="4" t="s">
        <v>21</v>
      </c>
      <c r="C69" s="15">
        <f>+C9-C38</f>
        <v>115604.51465331006</v>
      </c>
      <c r="D69" s="15">
        <v>194857.06539931992</v>
      </c>
      <c r="E69" s="15">
        <v>253418.24320477992</v>
      </c>
      <c r="F69" s="15">
        <v>11280.67808804987</v>
      </c>
      <c r="G69" s="15">
        <v>-125179.51006895001</v>
      </c>
      <c r="H69" s="15">
        <v>-195535.09804272035</v>
      </c>
      <c r="I69" s="15">
        <v>-200078.19917619985</v>
      </c>
      <c r="J69" s="15">
        <f t="shared" ref="J69:O69" si="54">+J9-J38</f>
        <v>-237071.93734433013</v>
      </c>
      <c r="K69" s="15">
        <f t="shared" si="54"/>
        <v>-262553.20176724996</v>
      </c>
      <c r="L69" s="15">
        <f t="shared" si="54"/>
        <v>-286796.48493090994</v>
      </c>
      <c r="M69" s="15">
        <f t="shared" si="54"/>
        <v>-213242.95367913041</v>
      </c>
      <c r="N69" s="15">
        <f t="shared" si="54"/>
        <v>-246826.28918529977</v>
      </c>
      <c r="O69" s="15">
        <f t="shared" si="54"/>
        <v>-262060.84564026026</v>
      </c>
      <c r="P69" s="15">
        <f t="shared" ref="P69:U69" si="55">+P9-P38</f>
        <v>-291472.80617866036</v>
      </c>
      <c r="Q69" s="15">
        <f t="shared" si="55"/>
        <v>-168965.26698219986</v>
      </c>
      <c r="R69" s="15">
        <f t="shared" si="55"/>
        <v>231422.06084484002</v>
      </c>
      <c r="S69" s="15">
        <f t="shared" si="55"/>
        <v>389971.79022996034</v>
      </c>
      <c r="T69" s="15">
        <f t="shared" si="55"/>
        <v>491159.92346837092</v>
      </c>
      <c r="U69" s="15">
        <f t="shared" si="55"/>
        <v>317949.68159190053</v>
      </c>
      <c r="V69" s="15">
        <f>+V9-V38</f>
        <v>383849.56606695056</v>
      </c>
      <c r="W69" s="15">
        <f>+W9-W38</f>
        <v>299783.60581156006</v>
      </c>
      <c r="X69" s="37">
        <f t="shared" ref="X69:AJ69" si="56">+K69/J69-1</f>
        <v>0.10748325891440325</v>
      </c>
      <c r="Y69" s="37">
        <f t="shared" si="56"/>
        <v>9.2336650250227414E-2</v>
      </c>
      <c r="Z69" s="37">
        <f t="shared" si="56"/>
        <v>-0.25646594402821488</v>
      </c>
      <c r="AA69" s="37">
        <f t="shared" si="56"/>
        <v>0.15748860596211145</v>
      </c>
      <c r="AB69" s="37">
        <f t="shared" si="56"/>
        <v>6.1721774067281299E-2</v>
      </c>
      <c r="AC69" s="37">
        <f t="shared" si="56"/>
        <v>0.11223332683118525</v>
      </c>
      <c r="AD69" s="37">
        <f t="shared" si="56"/>
        <v>-0.42030521063899395</v>
      </c>
      <c r="AE69" s="37">
        <f t="shared" si="56"/>
        <v>-2.3696427968786029</v>
      </c>
      <c r="AF69" s="37">
        <f t="shared" si="56"/>
        <v>0.68511069690724979</v>
      </c>
      <c r="AG69" s="37">
        <f t="shared" si="56"/>
        <v>0.25947552046967681</v>
      </c>
      <c r="AH69" s="37">
        <f t="shared" si="56"/>
        <v>-0.35265548673704961</v>
      </c>
      <c r="AI69" s="37">
        <f t="shared" si="56"/>
        <v>0.20726513750573528</v>
      </c>
      <c r="AJ69" s="37">
        <f t="shared" si="56"/>
        <v>-0.21900756881597683</v>
      </c>
    </row>
    <row r="70" spans="1:36" ht="18.75" x14ac:dyDescent="0.25">
      <c r="A70" s="2"/>
      <c r="B70" s="45" t="s">
        <v>48</v>
      </c>
      <c r="C70" s="43"/>
      <c r="D70" s="34"/>
      <c r="E70" s="46">
        <f t="shared" ref="E70:O70" si="57">+E69/E77</f>
        <v>1.5634440049115503E-2</v>
      </c>
      <c r="F70" s="46">
        <f t="shared" si="57"/>
        <v>6.3999679794183673E-4</v>
      </c>
      <c r="G70" s="46">
        <f t="shared" si="57"/>
        <v>-6.3215555529977348E-3</v>
      </c>
      <c r="H70" s="46">
        <f t="shared" si="57"/>
        <v>-9.0427024113691589E-3</v>
      </c>
      <c r="I70" s="46">
        <f t="shared" si="57"/>
        <v>-8.423327832336E-3</v>
      </c>
      <c r="J70" s="46">
        <f t="shared" si="57"/>
        <v>-9.3104645972361001E-3</v>
      </c>
      <c r="K70" s="46">
        <f t="shared" si="57"/>
        <v>-9.3764554851767084E-3</v>
      </c>
      <c r="L70" s="46">
        <f t="shared" si="57"/>
        <v>-9.4335043120231353E-3</v>
      </c>
      <c r="M70" s="46">
        <f t="shared" si="57"/>
        <v>-6.6521411446235504E-3</v>
      </c>
      <c r="N70" s="46">
        <f t="shared" si="57"/>
        <v>-7.1869561666476969E-3</v>
      </c>
      <c r="O70" s="46">
        <f t="shared" si="57"/>
        <v>-7.2764929201088067E-3</v>
      </c>
      <c r="P70" s="46">
        <f t="shared" ref="P70:U70" si="58">+P69/P77</f>
        <v>-7.7043680499134732E-3</v>
      </c>
      <c r="Q70" s="46">
        <f t="shared" si="58"/>
        <v>-4.6297883981716694E-3</v>
      </c>
      <c r="R70" s="46">
        <f t="shared" si="58"/>
        <v>5.7386913901180123E-3</v>
      </c>
      <c r="S70" s="46">
        <f t="shared" si="58"/>
        <v>8.702778931598416E-3</v>
      </c>
      <c r="T70" s="46">
        <f t="shared" si="58"/>
        <v>1.0437048864269747E-2</v>
      </c>
      <c r="U70" s="46">
        <f t="shared" si="58"/>
        <v>6.4734527304414818E-3</v>
      </c>
      <c r="V70" s="46">
        <f>+V69/V77</f>
        <v>7.4084638748676901E-3</v>
      </c>
      <c r="W70" s="46">
        <f>+W69/W77</f>
        <v>5.5896075139129919E-3</v>
      </c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</row>
    <row r="71" spans="1:36" x14ac:dyDescent="0.2">
      <c r="A71" s="5" t="s">
        <v>18</v>
      </c>
      <c r="B71" s="4" t="s">
        <v>20</v>
      </c>
      <c r="C71" s="15">
        <f>+C9-C36</f>
        <v>-53921.785346689925</v>
      </c>
      <c r="D71" s="15">
        <v>2468.2653993199347</v>
      </c>
      <c r="E71" s="15">
        <v>101222.3432047799</v>
      </c>
      <c r="F71" s="15">
        <v>-127243.82191195013</v>
      </c>
      <c r="G71" s="15">
        <v>-292839.91006895003</v>
      </c>
      <c r="H71" s="15">
        <v>-370325.29246395023</v>
      </c>
      <c r="I71" s="15">
        <v>-367137.29917619994</v>
      </c>
      <c r="J71" s="15">
        <f t="shared" ref="J71:O71" si="59">+J9-J36</f>
        <v>-441473.03562230011</v>
      </c>
      <c r="K71" s="15">
        <f t="shared" si="59"/>
        <v>-461517.28560057003</v>
      </c>
      <c r="L71" s="15">
        <f t="shared" si="59"/>
        <v>-533738.07568563009</v>
      </c>
      <c r="M71" s="15">
        <f t="shared" si="59"/>
        <v>-507693.10444500507</v>
      </c>
      <c r="N71" s="15">
        <f t="shared" si="59"/>
        <v>-570920.24428410968</v>
      </c>
      <c r="O71" s="15">
        <f t="shared" si="59"/>
        <v>-670560.03426208021</v>
      </c>
      <c r="P71" s="15">
        <f t="shared" ref="P71:U71" si="60">+P9-P36</f>
        <v>-780332.06048560026</v>
      </c>
      <c r="Q71" s="15">
        <f t="shared" si="60"/>
        <v>-786352.27069885982</v>
      </c>
      <c r="R71" s="15">
        <f t="shared" si="60"/>
        <v>-466072.68025022</v>
      </c>
      <c r="S71" s="15">
        <f t="shared" si="60"/>
        <v>-358539.05595780956</v>
      </c>
      <c r="T71" s="15">
        <f t="shared" si="60"/>
        <v>-319185.49222696899</v>
      </c>
      <c r="U71" s="15">
        <f t="shared" si="60"/>
        <v>-540649.85315997945</v>
      </c>
      <c r="V71" s="15">
        <f>+V9-V36</f>
        <v>-425516.74292121967</v>
      </c>
      <c r="W71" s="15">
        <f>+W9-W36</f>
        <v>-541002.09854596993</v>
      </c>
      <c r="X71" s="37">
        <f t="shared" ref="X71:AJ71" si="61">+K71/J71-1</f>
        <v>4.5403112672590673E-2</v>
      </c>
      <c r="Y71" s="37">
        <f t="shared" si="61"/>
        <v>0.15648555826263255</v>
      </c>
      <c r="Z71" s="37">
        <f t="shared" si="61"/>
        <v>-4.8797289208134753E-2</v>
      </c>
      <c r="AA71" s="37">
        <f t="shared" si="61"/>
        <v>0.12453811029839112</v>
      </c>
      <c r="AB71" s="37">
        <f t="shared" si="61"/>
        <v>0.17452488500020036</v>
      </c>
      <c r="AC71" s="37">
        <f t="shared" si="61"/>
        <v>0.16370201117685013</v>
      </c>
      <c r="AD71" s="37">
        <f t="shared" si="61"/>
        <v>7.7149338315194438E-3</v>
      </c>
      <c r="AE71" s="37">
        <f t="shared" si="61"/>
        <v>-0.40729785159009679</v>
      </c>
      <c r="AF71" s="37">
        <f t="shared" si="61"/>
        <v>-0.23072286544381659</v>
      </c>
      <c r="AG71" s="37">
        <f t="shared" si="61"/>
        <v>-0.10976088400107642</v>
      </c>
      <c r="AH71" s="37">
        <f t="shared" si="61"/>
        <v>0.69384218996874014</v>
      </c>
      <c r="AI71" s="37">
        <f t="shared" si="61"/>
        <v>-0.21295318877057323</v>
      </c>
      <c r="AJ71" s="37">
        <f t="shared" si="61"/>
        <v>0.27140026225978908</v>
      </c>
    </row>
    <row r="72" spans="1:36" ht="18.75" x14ac:dyDescent="0.25">
      <c r="A72" s="5"/>
      <c r="B72" s="45" t="s">
        <v>48</v>
      </c>
      <c r="C72" s="15"/>
      <c r="D72" s="15"/>
      <c r="E72" s="46">
        <f t="shared" ref="E72:O72" si="62">+E71/E77</f>
        <v>6.2448331913788416E-3</v>
      </c>
      <c r="F72" s="46">
        <f t="shared" si="62"/>
        <v>-7.2190375388690373E-3</v>
      </c>
      <c r="G72" s="46">
        <f t="shared" si="62"/>
        <v>-1.4788392753862581E-2</v>
      </c>
      <c r="H72" s="46">
        <f t="shared" si="62"/>
        <v>-1.7126037466803641E-2</v>
      </c>
      <c r="I72" s="46">
        <f t="shared" si="62"/>
        <v>-1.5456545706492054E-2</v>
      </c>
      <c r="J72" s="46">
        <f t="shared" si="62"/>
        <v>-1.7337855820639923E-2</v>
      </c>
      <c r="K72" s="46">
        <f t="shared" si="62"/>
        <v>-1.6481978718772248E-2</v>
      </c>
      <c r="L72" s="46">
        <f t="shared" si="62"/>
        <v>-1.755607443963015E-2</v>
      </c>
      <c r="M72" s="46">
        <f t="shared" si="62"/>
        <v>-1.5837551162427004E-2</v>
      </c>
      <c r="N72" s="46">
        <f t="shared" si="62"/>
        <v>-1.6623750994535735E-2</v>
      </c>
      <c r="O72" s="46">
        <f t="shared" si="62"/>
        <v>-1.8619055165966913E-2</v>
      </c>
      <c r="P72" s="46">
        <f t="shared" ref="P72:U72" si="63">+P71/P77</f>
        <v>-2.062616226174914E-2</v>
      </c>
      <c r="Q72" s="46">
        <f t="shared" si="63"/>
        <v>-2.154670415275977E-2</v>
      </c>
      <c r="R72" s="46">
        <f t="shared" si="63"/>
        <v>-1.1557443000710358E-2</v>
      </c>
      <c r="S72" s="46">
        <f t="shared" si="63"/>
        <v>-8.0013124552030437E-3</v>
      </c>
      <c r="T72" s="46">
        <f t="shared" si="63"/>
        <v>-6.78262704256121E-3</v>
      </c>
      <c r="U72" s="46">
        <f t="shared" si="63"/>
        <v>-1.1007626271642132E-2</v>
      </c>
      <c r="V72" s="46">
        <f>+V71/V77</f>
        <v>-8.2126585432517486E-3</v>
      </c>
      <c r="W72" s="46">
        <f>+W71/W77</f>
        <v>-1.0087240717813266E-2</v>
      </c>
      <c r="X72" s="15"/>
      <c r="Y72" s="15"/>
      <c r="Z72" s="15"/>
      <c r="AA72" s="15"/>
      <c r="AB72" s="15"/>
      <c r="AC72" s="15"/>
      <c r="AD72" s="15"/>
    </row>
    <row r="73" spans="1:36" x14ac:dyDescent="0.2">
      <c r="B73" s="3"/>
      <c r="C73" s="25"/>
      <c r="D73" s="25"/>
      <c r="E73" s="2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5"/>
      <c r="Y73" s="25"/>
      <c r="Z73" s="25"/>
      <c r="AA73" s="25"/>
      <c r="AB73" s="25"/>
      <c r="AC73" s="25"/>
      <c r="AD73" s="25"/>
    </row>
    <row r="74" spans="1:36" x14ac:dyDescent="0.2">
      <c r="B74" s="20" t="s">
        <v>39</v>
      </c>
      <c r="C74" s="26"/>
      <c r="D74" s="26"/>
      <c r="E74" s="26"/>
      <c r="F74" s="40">
        <v>132312.11300000001</v>
      </c>
      <c r="G74" s="40">
        <v>285879.86306411843</v>
      </c>
      <c r="H74" s="40">
        <v>366175.2140006026</v>
      </c>
      <c r="I74" s="40">
        <f t="shared" ref="I74:O74" si="64">+I75+I76</f>
        <v>367137.30000000005</v>
      </c>
      <c r="J74" s="40">
        <f t="shared" si="64"/>
        <v>439306.23804388091</v>
      </c>
      <c r="K74" s="40">
        <f t="shared" si="64"/>
        <v>461517.32256963948</v>
      </c>
      <c r="L74" s="40">
        <f t="shared" si="64"/>
        <v>533738.11396807467</v>
      </c>
      <c r="M74" s="40">
        <f t="shared" si="64"/>
        <v>507693.06160970614</v>
      </c>
      <c r="N74" s="40">
        <f t="shared" si="64"/>
        <v>570920.15522614541</v>
      </c>
      <c r="O74" s="40">
        <f t="shared" si="64"/>
        <v>670559.99506438721</v>
      </c>
      <c r="P74" s="40">
        <f t="shared" ref="P74:W74" si="65">+P75+P76</f>
        <v>780332.10048011434</v>
      </c>
      <c r="Q74" s="40">
        <f t="shared" si="65"/>
        <v>786352.3000370441</v>
      </c>
      <c r="R74" s="40">
        <f t="shared" si="65"/>
        <v>-466072.70060406683</v>
      </c>
      <c r="S74" s="40">
        <f t="shared" si="65"/>
        <v>358539.09118271165</v>
      </c>
      <c r="T74" s="40">
        <f t="shared" si="65"/>
        <v>319185.4525166321</v>
      </c>
      <c r="U74" s="40">
        <f t="shared" si="65"/>
        <v>540649.87628387369</v>
      </c>
      <c r="V74" s="40">
        <f t="shared" si="65"/>
        <v>425516.74355554162</v>
      </c>
      <c r="W74" s="40">
        <f t="shared" si="65"/>
        <v>541002.1030392868</v>
      </c>
      <c r="X74" s="26"/>
      <c r="Y74" s="26"/>
      <c r="Z74" s="26"/>
      <c r="AA74" s="26"/>
      <c r="AB74" s="26"/>
      <c r="AC74" s="26"/>
      <c r="AD74" s="26"/>
    </row>
    <row r="75" spans="1:36" x14ac:dyDescent="0.2">
      <c r="B75" s="27" t="s">
        <v>41</v>
      </c>
      <c r="C75" s="26"/>
      <c r="D75" s="26"/>
      <c r="E75" s="26"/>
      <c r="F75" s="41">
        <v>145532.11300000001</v>
      </c>
      <c r="G75" s="41">
        <v>288681.10520200047</v>
      </c>
      <c r="H75" s="41">
        <v>503629.22203062259</v>
      </c>
      <c r="I75" s="42">
        <v>506360.30000000005</v>
      </c>
      <c r="J75" s="42">
        <v>75324.136420855502</v>
      </c>
      <c r="K75" s="42">
        <f>23113.0171965513+25153.9</f>
        <v>48266.917196551301</v>
      </c>
      <c r="L75" s="42">
        <f>11530.6182194691-11731</f>
        <v>-200.38178053090087</v>
      </c>
      <c r="M75" s="42">
        <v>506567.79999999993</v>
      </c>
      <c r="N75" s="42">
        <v>588435.07296629297</v>
      </c>
      <c r="O75" s="42">
        <v>680692.98373035796</v>
      </c>
      <c r="P75" s="42">
        <v>787205.73524028307</v>
      </c>
      <c r="Q75" s="42">
        <v>517378.579679702</v>
      </c>
      <c r="R75" s="42">
        <v>-494238.44586378703</v>
      </c>
      <c r="S75" s="42">
        <f>-204768.451496234+186.9</f>
        <v>-204581.55149623399</v>
      </c>
      <c r="T75" s="42">
        <f>79249.9052830164-11689.3</f>
        <v>67560.605283016397</v>
      </c>
      <c r="U75" s="42">
        <v>190023.43180817299</v>
      </c>
      <c r="V75" s="42">
        <v>734785.70380980393</v>
      </c>
      <c r="W75" s="42">
        <f>489081.078142526+103383.3</f>
        <v>592464.37814252602</v>
      </c>
      <c r="X75" s="26"/>
      <c r="Y75" s="26"/>
      <c r="Z75" s="26"/>
      <c r="AA75" s="26"/>
      <c r="AB75" s="26"/>
      <c r="AC75" s="26"/>
      <c r="AD75" s="26"/>
    </row>
    <row r="76" spans="1:36" ht="13.5" thickBot="1" x14ac:dyDescent="0.25">
      <c r="B76" s="27" t="s">
        <v>42</v>
      </c>
      <c r="C76" s="59"/>
      <c r="D76" s="59"/>
      <c r="E76" s="59"/>
      <c r="F76" s="56">
        <v>-13220</v>
      </c>
      <c r="G76" s="56">
        <v>-2801.2421378820472</v>
      </c>
      <c r="H76" s="56">
        <v>-137454.00803001999</v>
      </c>
      <c r="I76" s="57">
        <v>-139223</v>
      </c>
      <c r="J76" s="57">
        <v>363982.10162302543</v>
      </c>
      <c r="K76" s="57">
        <v>413250.4053730882</v>
      </c>
      <c r="L76" s="57">
        <v>533938.49574860558</v>
      </c>
      <c r="M76" s="57">
        <v>1125.2616097062019</v>
      </c>
      <c r="N76" s="57">
        <v>-17514.917740147586</v>
      </c>
      <c r="O76" s="57">
        <v>-10132.988665970761</v>
      </c>
      <c r="P76" s="57">
        <v>-6873.6347601686721</v>
      </c>
      <c r="Q76" s="57">
        <v>268973.7203573421</v>
      </c>
      <c r="R76" s="57">
        <v>28165.745259720195</v>
      </c>
      <c r="S76" s="57">
        <v>563120.64267894567</v>
      </c>
      <c r="T76" s="57">
        <v>251624.8472336157</v>
      </c>
      <c r="U76" s="57">
        <v>350626.44447570073</v>
      </c>
      <c r="V76" s="57">
        <v>-309268.96025426232</v>
      </c>
      <c r="W76" s="57">
        <v>-51462.27510323927</v>
      </c>
      <c r="X76" s="59"/>
      <c r="Y76" s="59"/>
      <c r="Z76" s="59"/>
      <c r="AA76" s="26"/>
      <c r="AB76" s="26"/>
      <c r="AC76" s="26"/>
      <c r="AD76" s="26"/>
      <c r="AE76" s="62"/>
      <c r="AF76" s="62"/>
      <c r="AG76" s="62"/>
      <c r="AH76" s="62"/>
      <c r="AI76" s="62"/>
      <c r="AJ76" s="62"/>
    </row>
    <row r="77" spans="1:36" s="48" customFormat="1" ht="15" thickTop="1" x14ac:dyDescent="0.2">
      <c r="B77" s="51" t="s">
        <v>74</v>
      </c>
      <c r="C77" s="47">
        <v>11613320</v>
      </c>
      <c r="D77" s="47">
        <v>13889052.9</v>
      </c>
      <c r="E77" s="47">
        <v>16208974.699999999</v>
      </c>
      <c r="F77" s="47">
        <v>17626147.699999999</v>
      </c>
      <c r="G77" s="47">
        <v>19802010.600000001</v>
      </c>
      <c r="H77" s="47">
        <v>21623524.600000001</v>
      </c>
      <c r="I77" s="47">
        <v>23752868.600000001</v>
      </c>
      <c r="J77" s="47">
        <v>25462954.600000001</v>
      </c>
      <c r="K77" s="47">
        <v>28001327.600000001</v>
      </c>
      <c r="L77" s="47">
        <v>30401903.199999999</v>
      </c>
      <c r="M77" s="47">
        <v>32056288.199999999</v>
      </c>
      <c r="N77" s="47">
        <v>34343647.5</v>
      </c>
      <c r="O77" s="47">
        <v>36014718.700000003</v>
      </c>
      <c r="P77" s="47">
        <v>37832149.799999997</v>
      </c>
      <c r="Q77" s="47">
        <v>36495246.100000001</v>
      </c>
      <c r="R77" s="47">
        <v>40326625.899999999</v>
      </c>
      <c r="S77" s="47">
        <v>44810030.600000001</v>
      </c>
      <c r="T77" s="47">
        <v>47059272.200000003</v>
      </c>
      <c r="U77" s="47">
        <v>49115934.700000003</v>
      </c>
      <c r="V77" s="47">
        <v>51812301.787569404</v>
      </c>
      <c r="W77" s="47">
        <v>53632317.665484391</v>
      </c>
      <c r="X77" s="47"/>
      <c r="Y77" s="47"/>
      <c r="Z77" s="47"/>
      <c r="AA77" s="52"/>
      <c r="AB77" s="52"/>
      <c r="AC77" s="52"/>
      <c r="AD77" s="52"/>
      <c r="AE77" s="53"/>
    </row>
    <row r="78" spans="1:36" x14ac:dyDescent="0.2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205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6" ht="14.25" x14ac:dyDescent="0.2">
      <c r="B79" s="207" t="s">
        <v>134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25"/>
      <c r="Y79" s="25"/>
      <c r="Z79" s="25"/>
      <c r="AA79" s="25"/>
      <c r="AB79" s="25"/>
      <c r="AC79" s="25"/>
      <c r="AD79" s="25"/>
    </row>
    <row r="80" spans="1:36" s="48" customFormat="1" ht="12.75" customHeight="1" x14ac:dyDescent="0.2">
      <c r="A80" s="54"/>
      <c r="B80" s="48" t="s">
        <v>77</v>
      </c>
      <c r="X80" s="55"/>
      <c r="Y80" s="55"/>
      <c r="Z80" s="55"/>
      <c r="AA80" s="55"/>
      <c r="AB80" s="55"/>
      <c r="AC80" s="55"/>
    </row>
    <row r="81" spans="1:30" s="48" customFormat="1" ht="12.75" customHeight="1" x14ac:dyDescent="0.2">
      <c r="A81" s="54"/>
      <c r="B81" s="48" t="s">
        <v>73</v>
      </c>
      <c r="X81" s="55"/>
      <c r="Y81" s="55"/>
      <c r="Z81" s="55"/>
      <c r="AA81" s="55"/>
      <c r="AB81" s="55"/>
      <c r="AC81" s="55"/>
    </row>
    <row r="82" spans="1:30" s="48" customFormat="1" ht="12.75" customHeight="1" x14ac:dyDescent="0.2">
      <c r="A82" s="54"/>
      <c r="X82" s="55"/>
      <c r="Y82" s="55"/>
      <c r="Z82" s="55"/>
      <c r="AA82" s="55"/>
      <c r="AB82" s="55"/>
      <c r="AC82" s="55"/>
    </row>
    <row r="83" spans="1:30" s="48" customFormat="1" ht="12.75" customHeight="1" x14ac:dyDescent="0.2">
      <c r="A83" s="54"/>
      <c r="W83" s="42"/>
      <c r="X83" s="55"/>
      <c r="Y83" s="55"/>
      <c r="Z83" s="55"/>
      <c r="AA83" s="55"/>
      <c r="AB83" s="55"/>
      <c r="AC83" s="55"/>
    </row>
    <row r="84" spans="1:30" s="48" customFormat="1" ht="12.75" customHeight="1" x14ac:dyDescent="0.2">
      <c r="A84" s="54"/>
      <c r="X84" s="55"/>
      <c r="Y84" s="55"/>
      <c r="Z84" s="55"/>
      <c r="AA84" s="55"/>
      <c r="AB84" s="55"/>
      <c r="AC84" s="55"/>
    </row>
    <row r="85" spans="1:30" x14ac:dyDescent="0.2">
      <c r="B85" s="208" t="s">
        <v>53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9"/>
      <c r="Y85" s="209"/>
      <c r="Z85" s="209"/>
      <c r="AA85" s="209"/>
      <c r="AB85" s="209"/>
      <c r="AC85" s="209"/>
      <c r="AD85" s="209"/>
    </row>
    <row r="86" spans="1:30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5"/>
      <c r="Y86" s="25"/>
      <c r="Z86" s="25"/>
      <c r="AA86" s="25"/>
      <c r="AB86" s="25"/>
      <c r="AC86" s="25"/>
      <c r="AD86" s="25"/>
    </row>
    <row r="87" spans="1:30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5"/>
      <c r="Y87" s="25"/>
      <c r="Z87" s="25"/>
      <c r="AA87" s="25"/>
      <c r="AB87" s="25"/>
      <c r="AC87" s="25"/>
      <c r="AD87" s="25"/>
    </row>
    <row r="88" spans="1:30" s="48" customFormat="1" ht="12.75" customHeight="1" x14ac:dyDescent="0.2">
      <c r="A88" s="54"/>
      <c r="P88" s="42"/>
      <c r="S88" s="42"/>
      <c r="U88" s="42"/>
      <c r="V88" s="42"/>
      <c r="W88" s="42"/>
      <c r="X88" s="55"/>
      <c r="Y88" s="55"/>
      <c r="Z88" s="55"/>
      <c r="AA88" s="55"/>
      <c r="AB88" s="55"/>
      <c r="AC88" s="55"/>
    </row>
    <row r="89" spans="1:30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5"/>
      <c r="Y89" s="25"/>
      <c r="Z89" s="25"/>
      <c r="AA89" s="25"/>
      <c r="AB89" s="25"/>
      <c r="AC89" s="25"/>
      <c r="AD89" s="25"/>
    </row>
    <row r="90" spans="1:30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5"/>
      <c r="Y90" s="25"/>
      <c r="Z90" s="25"/>
      <c r="AA90" s="25"/>
      <c r="AB90" s="25"/>
      <c r="AC90" s="25"/>
      <c r="AD90" s="25"/>
    </row>
    <row r="91" spans="1:30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5"/>
      <c r="Y91" s="25"/>
      <c r="Z91" s="25"/>
      <c r="AA91" s="25"/>
      <c r="AB91" s="25"/>
      <c r="AC91" s="25"/>
      <c r="AD91" s="25"/>
    </row>
    <row r="92" spans="1:30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5"/>
      <c r="Y92" s="25"/>
      <c r="Z92" s="25"/>
      <c r="AA92" s="25"/>
      <c r="AB92" s="25"/>
      <c r="AC92" s="25"/>
      <c r="AD92" s="25"/>
    </row>
    <row r="93" spans="1:30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5"/>
      <c r="Y93" s="25"/>
      <c r="Z93" s="25"/>
      <c r="AA93" s="25"/>
      <c r="AB93" s="25"/>
      <c r="AC93" s="25"/>
      <c r="AD93" s="25"/>
    </row>
    <row r="94" spans="1:30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5"/>
      <c r="Y94" s="25"/>
      <c r="Z94" s="25"/>
      <c r="AA94" s="25"/>
      <c r="AB94" s="25"/>
      <c r="AC94" s="25"/>
      <c r="AD94" s="25"/>
    </row>
    <row r="95" spans="1:30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5"/>
      <c r="Y95" s="25"/>
      <c r="Z95" s="25"/>
      <c r="AA95" s="25"/>
      <c r="AB95" s="25"/>
      <c r="AC95" s="25"/>
      <c r="AD95" s="25"/>
    </row>
    <row r="96" spans="1:30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5"/>
      <c r="Y96" s="25"/>
      <c r="Z96" s="25"/>
      <c r="AA96" s="25"/>
      <c r="AB96" s="25"/>
      <c r="AC96" s="25"/>
      <c r="AD96" s="25"/>
    </row>
    <row r="97" spans="2:30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5"/>
      <c r="Y97" s="25"/>
      <c r="Z97" s="25"/>
      <c r="AA97" s="25"/>
      <c r="AB97" s="25"/>
      <c r="AC97" s="25"/>
      <c r="AD97" s="25"/>
    </row>
    <row r="98" spans="2:30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5"/>
      <c r="Y98" s="25"/>
      <c r="Z98" s="25"/>
      <c r="AA98" s="25"/>
      <c r="AB98" s="25"/>
      <c r="AC98" s="25"/>
      <c r="AD98" s="25"/>
    </row>
    <row r="99" spans="2:30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5"/>
      <c r="Y99" s="25"/>
      <c r="Z99" s="25"/>
      <c r="AA99" s="25"/>
      <c r="AB99" s="25"/>
      <c r="AC99" s="25"/>
      <c r="AD99" s="25"/>
    </row>
    <row r="100" spans="2:30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5"/>
      <c r="Y100" s="25"/>
      <c r="Z100" s="25"/>
      <c r="AA100" s="25"/>
      <c r="AB100" s="25"/>
      <c r="AC100" s="25"/>
      <c r="AD100" s="25"/>
    </row>
    <row r="101" spans="2:30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5"/>
      <c r="Y101" s="25"/>
      <c r="Z101" s="25"/>
      <c r="AA101" s="25"/>
      <c r="AB101" s="25"/>
      <c r="AC101" s="25"/>
      <c r="AD101" s="25"/>
    </row>
    <row r="102" spans="2:30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5"/>
      <c r="Y102" s="25"/>
      <c r="Z102" s="25"/>
      <c r="AA102" s="25"/>
      <c r="AB102" s="25"/>
      <c r="AC102" s="25"/>
      <c r="AD102" s="25"/>
    </row>
    <row r="103" spans="2:30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5"/>
      <c r="Y103" s="25"/>
      <c r="Z103" s="25"/>
      <c r="AA103" s="25"/>
      <c r="AB103" s="25"/>
      <c r="AC103" s="25"/>
      <c r="AD103" s="25"/>
    </row>
  </sheetData>
  <mergeCells count="7">
    <mergeCell ref="B85:AD85"/>
    <mergeCell ref="B5:AD5"/>
    <mergeCell ref="A2:AH2"/>
    <mergeCell ref="A3:AH3"/>
    <mergeCell ref="A4:AH4"/>
    <mergeCell ref="C6:W6"/>
    <mergeCell ref="X6:AJ6"/>
  </mergeCells>
  <phoneticPr fontId="0" type="noConversion"/>
  <pageMargins left="0.23622047244094491" right="0.27559055118110237" top="0.78740157480314965" bottom="0.19685039370078741" header="0" footer="0"/>
  <pageSetup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659F-4560-439F-A210-062EC39BAB5A}">
  <dimension ref="A1:N68"/>
  <sheetViews>
    <sheetView workbookViewId="0">
      <selection activeCell="Q45" sqref="Q45"/>
    </sheetView>
  </sheetViews>
  <sheetFormatPr baseColWidth="10" defaultRowHeight="11.25" x14ac:dyDescent="0.2"/>
  <cols>
    <col min="1" max="1" width="4.7109375" style="50" customWidth="1"/>
    <col min="2" max="2" width="35.140625" style="50" bestFit="1" customWidth="1"/>
    <col min="3" max="3" width="10.28515625" style="50" customWidth="1"/>
    <col min="4" max="4" width="9.140625" style="50" bestFit="1" customWidth="1"/>
    <col min="5" max="5" width="7.85546875" style="50" bestFit="1" customWidth="1"/>
    <col min="6" max="6" width="7.28515625" style="50" bestFit="1" customWidth="1"/>
    <col min="7" max="7" width="6.85546875" style="50" bestFit="1" customWidth="1"/>
    <col min="8" max="8" width="3.28515625" style="50" customWidth="1"/>
    <col min="9" max="9" width="35.7109375" style="50" customWidth="1"/>
    <col min="10" max="10" width="10.85546875" style="50" customWidth="1"/>
    <col min="11" max="11" width="10.5703125" style="50" customWidth="1"/>
    <col min="12" max="12" width="9.140625" style="50" bestFit="1" customWidth="1"/>
    <col min="13" max="13" width="6.28515625" style="50" bestFit="1" customWidth="1"/>
    <col min="14" max="14" width="6.85546875" style="50" bestFit="1" customWidth="1"/>
    <col min="15" max="16384" width="11.42578125" style="50"/>
  </cols>
  <sheetData>
    <row r="1" spans="1:14" x14ac:dyDescent="0.2">
      <c r="B1" s="130"/>
      <c r="C1" s="131" t="s">
        <v>82</v>
      </c>
      <c r="D1" s="131" t="s">
        <v>82</v>
      </c>
      <c r="E1" s="131" t="s">
        <v>82</v>
      </c>
      <c r="F1" s="132" t="s">
        <v>82</v>
      </c>
      <c r="G1" s="132"/>
      <c r="J1" s="68" t="s">
        <v>82</v>
      </c>
      <c r="K1" s="68" t="s">
        <v>82</v>
      </c>
      <c r="L1" s="68" t="s">
        <v>82</v>
      </c>
      <c r="M1" s="132"/>
      <c r="N1" s="132"/>
    </row>
    <row r="2" spans="1:14" x14ac:dyDescent="0.2">
      <c r="B2" s="215" t="s">
        <v>83</v>
      </c>
      <c r="C2" s="215"/>
      <c r="D2" s="215"/>
      <c r="E2" s="215"/>
      <c r="F2" s="215"/>
      <c r="G2" s="215"/>
      <c r="I2" s="215" t="s">
        <v>83</v>
      </c>
      <c r="J2" s="215"/>
      <c r="K2" s="215"/>
      <c r="L2" s="215"/>
      <c r="M2" s="215"/>
      <c r="N2" s="215"/>
    </row>
    <row r="3" spans="1:14" x14ac:dyDescent="0.2">
      <c r="B3" s="215" t="s">
        <v>84</v>
      </c>
      <c r="C3" s="215"/>
      <c r="D3" s="215"/>
      <c r="E3" s="215"/>
      <c r="F3" s="215"/>
      <c r="G3" s="215"/>
      <c r="I3" s="215" t="s">
        <v>84</v>
      </c>
      <c r="J3" s="215"/>
      <c r="K3" s="215"/>
      <c r="L3" s="215"/>
      <c r="M3" s="215"/>
      <c r="N3" s="215"/>
    </row>
    <row r="4" spans="1:14" x14ac:dyDescent="0.2">
      <c r="B4" s="215" t="s">
        <v>85</v>
      </c>
      <c r="C4" s="215"/>
      <c r="D4" s="215"/>
      <c r="E4" s="215"/>
      <c r="F4" s="215"/>
      <c r="G4" s="215"/>
      <c r="I4" s="215" t="s">
        <v>86</v>
      </c>
      <c r="J4" s="215"/>
      <c r="K4" s="215"/>
      <c r="L4" s="215"/>
      <c r="M4" s="215"/>
      <c r="N4" s="215"/>
    </row>
    <row r="5" spans="1:14" x14ac:dyDescent="0.2">
      <c r="B5" s="215" t="s">
        <v>87</v>
      </c>
      <c r="C5" s="215"/>
      <c r="D5" s="215"/>
      <c r="E5" s="215"/>
      <c r="F5" s="215"/>
      <c r="G5" s="215"/>
      <c r="I5" s="215" t="s">
        <v>87</v>
      </c>
      <c r="J5" s="215"/>
      <c r="K5" s="215"/>
      <c r="L5" s="215"/>
      <c r="M5" s="215"/>
      <c r="N5" s="215"/>
    </row>
    <row r="6" spans="1:14" x14ac:dyDescent="0.2">
      <c r="B6" s="133"/>
      <c r="C6" s="133"/>
      <c r="D6" s="133"/>
      <c r="E6" s="133"/>
      <c r="F6" s="133"/>
      <c r="G6" s="133"/>
      <c r="I6" s="133"/>
      <c r="J6" s="133"/>
      <c r="K6" s="133"/>
      <c r="L6" s="133"/>
      <c r="M6" s="133"/>
      <c r="N6" s="133"/>
    </row>
    <row r="7" spans="1:14" ht="11.25" customHeight="1" x14ac:dyDescent="0.2">
      <c r="B7" s="134" t="s">
        <v>0</v>
      </c>
      <c r="C7" s="135">
        <v>2024</v>
      </c>
      <c r="D7" s="136">
        <v>2025</v>
      </c>
      <c r="E7" s="136">
        <v>2026</v>
      </c>
      <c r="F7" s="216" t="s">
        <v>88</v>
      </c>
      <c r="G7" s="217"/>
      <c r="I7" s="134" t="s">
        <v>0</v>
      </c>
      <c r="J7" s="135">
        <v>2024</v>
      </c>
      <c r="K7" s="136">
        <v>2025</v>
      </c>
      <c r="L7" s="136">
        <v>2026</v>
      </c>
      <c r="M7" s="216" t="s">
        <v>88</v>
      </c>
      <c r="N7" s="217"/>
    </row>
    <row r="8" spans="1:14" x14ac:dyDescent="0.2">
      <c r="B8" s="137"/>
      <c r="C8" s="137"/>
      <c r="D8" s="138"/>
      <c r="E8" s="139"/>
      <c r="F8" s="69" t="s">
        <v>71</v>
      </c>
      <c r="G8" s="69" t="s">
        <v>80</v>
      </c>
      <c r="I8" s="137"/>
      <c r="J8" s="135"/>
      <c r="K8" s="135"/>
      <c r="L8" s="136"/>
      <c r="M8" s="69" t="s">
        <v>71</v>
      </c>
      <c r="N8" s="69" t="s">
        <v>80</v>
      </c>
    </row>
    <row r="9" spans="1:14" x14ac:dyDescent="0.2">
      <c r="A9" s="68"/>
      <c r="B9" s="140" t="s">
        <v>89</v>
      </c>
      <c r="C9" s="141">
        <v>577929.51380985999</v>
      </c>
      <c r="D9" s="142">
        <v>553061.73181350005</v>
      </c>
      <c r="E9" s="143">
        <f>E10+E64</f>
        <v>570596.91388384998</v>
      </c>
      <c r="F9" s="70">
        <f>D9/C9-1</f>
        <v>-4.3029091614347759E-2</v>
      </c>
      <c r="G9" s="71">
        <f>E9/D9-1</f>
        <v>3.1705650674566987E-2</v>
      </c>
      <c r="I9" s="140" t="s">
        <v>89</v>
      </c>
      <c r="J9" s="144">
        <v>2519311.31627629</v>
      </c>
      <c r="K9" s="145">
        <v>2583079.82228933</v>
      </c>
      <c r="L9" s="143">
        <f>L10+L64</f>
        <v>2529759.6562548103</v>
      </c>
      <c r="M9" s="71">
        <f>K9/J9-1</f>
        <v>2.5311880116227092E-2</v>
      </c>
      <c r="N9" s="71">
        <f>L9/K9-1</f>
        <v>-2.0642089947984332E-2</v>
      </c>
    </row>
    <row r="10" spans="1:14" x14ac:dyDescent="0.2">
      <c r="A10" s="68"/>
      <c r="B10" s="146" t="s">
        <v>90</v>
      </c>
      <c r="C10" s="147">
        <v>577929.51380985999</v>
      </c>
      <c r="D10" s="148">
        <v>553061.73181350005</v>
      </c>
      <c r="E10" s="149">
        <f>E12++E61+E62+E63</f>
        <v>570596.91388384998</v>
      </c>
      <c r="F10" s="72">
        <f t="shared" ref="F10:G63" si="0">D10/C10-1</f>
        <v>-4.3029091614347759E-2</v>
      </c>
      <c r="G10" s="73">
        <f>E10/D10-1</f>
        <v>3.1705650674566987E-2</v>
      </c>
      <c r="I10" s="146" t="s">
        <v>90</v>
      </c>
      <c r="J10" s="147">
        <v>2511727.8799222899</v>
      </c>
      <c r="K10" s="148">
        <v>2575538.1216243301</v>
      </c>
      <c r="L10" s="149">
        <f>L12++L61+L62+L63</f>
        <v>2518505.9349678103</v>
      </c>
      <c r="M10" s="73">
        <f t="shared" ref="M10" si="1">K10/J10-1</f>
        <v>2.5404918348087335E-2</v>
      </c>
      <c r="N10" s="73">
        <f>L10/K10-1</f>
        <v>-2.2143794408506334E-2</v>
      </c>
    </row>
    <row r="11" spans="1:14" x14ac:dyDescent="0.2">
      <c r="A11" s="68"/>
      <c r="B11" s="150"/>
      <c r="C11" s="141"/>
      <c r="D11" s="151"/>
      <c r="E11" s="143"/>
      <c r="F11" s="74"/>
      <c r="G11" s="75"/>
      <c r="I11" s="150"/>
      <c r="J11" s="152"/>
      <c r="K11" s="153"/>
      <c r="L11" s="143"/>
      <c r="M11" s="76"/>
      <c r="N11" s="76"/>
    </row>
    <row r="12" spans="1:14" x14ac:dyDescent="0.2">
      <c r="A12" s="68"/>
      <c r="B12" s="198" t="s">
        <v>91</v>
      </c>
      <c r="C12" s="77">
        <v>511651.91890699003</v>
      </c>
      <c r="D12" s="78">
        <v>486755.45813879999</v>
      </c>
      <c r="E12" s="79">
        <f>E14+E21+E26+E30+E35+E39+E43+E58+E59</f>
        <v>499681.44621080998</v>
      </c>
      <c r="F12" s="80">
        <f t="shared" si="0"/>
        <v>-4.8658980545552954E-2</v>
      </c>
      <c r="G12" s="81">
        <f>E12/D12-1</f>
        <v>2.6555404476479749E-2</v>
      </c>
      <c r="I12" s="154" t="s">
        <v>91</v>
      </c>
      <c r="J12" s="82">
        <v>2233650.2828222499</v>
      </c>
      <c r="K12" s="78">
        <v>2289940.6627115901</v>
      </c>
      <c r="L12" s="79">
        <f>L14+L21+L26+L30+L35+L39+L43+L58+L59</f>
        <v>2223082.3202076899</v>
      </c>
      <c r="M12" s="80">
        <f t="shared" ref="M12" si="2">K12/J12-1</f>
        <v>2.5201071234041361E-2</v>
      </c>
      <c r="N12" s="81">
        <f>L12/K12-1</f>
        <v>-2.9196539278328326E-2</v>
      </c>
    </row>
    <row r="13" spans="1:14" x14ac:dyDescent="0.2">
      <c r="A13" s="68"/>
      <c r="B13" s="199"/>
      <c r="C13" s="83"/>
      <c r="D13" s="83"/>
      <c r="E13" s="84"/>
      <c r="F13" s="85"/>
      <c r="G13" s="86"/>
      <c r="I13" s="155"/>
      <c r="J13" s="87"/>
      <c r="K13" s="83"/>
      <c r="L13" s="84"/>
      <c r="M13" s="85"/>
      <c r="N13" s="86"/>
    </row>
    <row r="14" spans="1:14" x14ac:dyDescent="0.2">
      <c r="A14" s="68"/>
      <c r="B14" s="200" t="s">
        <v>92</v>
      </c>
      <c r="C14" s="157">
        <v>153529.11830058001</v>
      </c>
      <c r="D14" s="157">
        <v>164495.88024272997</v>
      </c>
      <c r="E14" s="158">
        <f>SUM(E15:E19)</f>
        <v>161424.40139114996</v>
      </c>
      <c r="F14" s="88">
        <f t="shared" si="0"/>
        <v>7.1431153018668203E-2</v>
      </c>
      <c r="G14" s="89">
        <f>E14/D14-1</f>
        <v>-1.8672071586520733E-2</v>
      </c>
      <c r="H14" s="159"/>
      <c r="I14" s="156" t="s">
        <v>92</v>
      </c>
      <c r="J14" s="160">
        <v>817831.55317166005</v>
      </c>
      <c r="K14" s="157">
        <v>840930.29975667002</v>
      </c>
      <c r="L14" s="158">
        <f>SUM(L15:L19)</f>
        <v>832315.32637804002</v>
      </c>
      <c r="M14" s="88">
        <f t="shared" ref="M14:N18" si="3">K14/J14-1</f>
        <v>2.8243892639541635E-2</v>
      </c>
      <c r="N14" s="89">
        <f t="shared" si="3"/>
        <v>-1.0244574825194031E-2</v>
      </c>
    </row>
    <row r="15" spans="1:14" x14ac:dyDescent="0.2">
      <c r="A15" s="68"/>
      <c r="B15" s="199" t="s">
        <v>93</v>
      </c>
      <c r="C15" s="90">
        <v>75074.639057410008</v>
      </c>
      <c r="D15" s="90">
        <v>80078.520227419998</v>
      </c>
      <c r="E15" s="91">
        <v>79688.43562792</v>
      </c>
      <c r="F15" s="92">
        <f>D15/C15-1</f>
        <v>6.6652084283528756E-2</v>
      </c>
      <c r="G15" s="93">
        <f>E15/D15-1</f>
        <v>-4.8712763221919753E-3</v>
      </c>
      <c r="I15" s="155" t="s">
        <v>93</v>
      </c>
      <c r="J15" s="94">
        <v>261989.38629145001</v>
      </c>
      <c r="K15" s="90">
        <v>277215.24135834002</v>
      </c>
      <c r="L15" s="91">
        <v>276847.83215890999</v>
      </c>
      <c r="M15" s="95">
        <f t="shared" si="3"/>
        <v>5.8116304948140129E-2</v>
      </c>
      <c r="N15" s="96">
        <f t="shared" si="3"/>
        <v>-1.3253571399239883E-3</v>
      </c>
    </row>
    <row r="16" spans="1:14" x14ac:dyDescent="0.2">
      <c r="A16" s="68"/>
      <c r="B16" s="199" t="s">
        <v>94</v>
      </c>
      <c r="C16" s="90">
        <v>63055.596593230002</v>
      </c>
      <c r="D16" s="90">
        <v>66633.153358319993</v>
      </c>
      <c r="E16" s="91">
        <v>66423.280374879992</v>
      </c>
      <c r="F16" s="92">
        <f t="shared" ref="F16:G18" si="4">D16/C16-1</f>
        <v>5.6736546133544952E-2</v>
      </c>
      <c r="G16" s="93">
        <f t="shared" si="4"/>
        <v>-3.1496780935971191E-3</v>
      </c>
      <c r="I16" s="155" t="s">
        <v>94</v>
      </c>
      <c r="J16" s="94">
        <v>469276.90994178003</v>
      </c>
      <c r="K16" s="90">
        <v>483374.31724663998</v>
      </c>
      <c r="L16" s="91">
        <v>479718.08372012002</v>
      </c>
      <c r="M16" s="95">
        <f t="shared" si="3"/>
        <v>3.0040700929881536E-2</v>
      </c>
      <c r="N16" s="96">
        <f t="shared" si="3"/>
        <v>-7.5639797069615433E-3</v>
      </c>
    </row>
    <row r="17" spans="1:14" x14ac:dyDescent="0.2">
      <c r="A17" s="68"/>
      <c r="B17" s="199" t="s">
        <v>95</v>
      </c>
      <c r="C17" s="90">
        <v>0</v>
      </c>
      <c r="D17" s="90">
        <v>0</v>
      </c>
      <c r="E17" s="91">
        <v>0</v>
      </c>
      <c r="F17" s="190" t="e">
        <f t="shared" si="4"/>
        <v>#DIV/0!</v>
      </c>
      <c r="G17" s="191" t="e">
        <f t="shared" si="4"/>
        <v>#DIV/0!</v>
      </c>
      <c r="I17" s="155" t="s">
        <v>95</v>
      </c>
      <c r="J17" s="94">
        <v>0</v>
      </c>
      <c r="K17" s="90">
        <v>0</v>
      </c>
      <c r="L17" s="91">
        <v>0</v>
      </c>
      <c r="M17" s="193" t="e">
        <f t="shared" si="3"/>
        <v>#DIV/0!</v>
      </c>
      <c r="N17" s="194" t="e">
        <f t="shared" si="3"/>
        <v>#DIV/0!</v>
      </c>
    </row>
    <row r="18" spans="1:14" x14ac:dyDescent="0.2">
      <c r="A18" s="68"/>
      <c r="B18" s="199" t="s">
        <v>96</v>
      </c>
      <c r="C18" s="90">
        <v>15398.88264994</v>
      </c>
      <c r="D18" s="90">
        <v>17784.206656990002</v>
      </c>
      <c r="E18" s="91">
        <v>15312.685388350001</v>
      </c>
      <c r="F18" s="92">
        <f t="shared" si="4"/>
        <v>0.15490240826397206</v>
      </c>
      <c r="G18" s="93">
        <f t="shared" si="4"/>
        <v>-0.13897281539227846</v>
      </c>
      <c r="I18" s="155" t="s">
        <v>96</v>
      </c>
      <c r="J18" s="94">
        <v>86565.25693843</v>
      </c>
      <c r="K18" s="90">
        <v>80340.741151690003</v>
      </c>
      <c r="L18" s="91">
        <v>75749.410499010002</v>
      </c>
      <c r="M18" s="95">
        <f t="shared" si="3"/>
        <v>-7.1905473476122417E-2</v>
      </c>
      <c r="N18" s="96">
        <f t="shared" si="3"/>
        <v>-5.7148223763721417E-2</v>
      </c>
    </row>
    <row r="19" spans="1:14" x14ac:dyDescent="0.2">
      <c r="A19" s="68"/>
      <c r="B19" s="199" t="s">
        <v>97</v>
      </c>
      <c r="C19" s="90">
        <v>0</v>
      </c>
      <c r="D19" s="90">
        <v>0</v>
      </c>
      <c r="E19" s="91">
        <v>0</v>
      </c>
      <c r="F19" s="92">
        <v>0</v>
      </c>
      <c r="G19" s="93">
        <v>0</v>
      </c>
      <c r="I19" s="155" t="s">
        <v>97</v>
      </c>
      <c r="J19" s="94">
        <v>0</v>
      </c>
      <c r="K19" s="90">
        <v>0</v>
      </c>
      <c r="L19" s="91">
        <v>0</v>
      </c>
      <c r="M19" s="95">
        <v>0</v>
      </c>
      <c r="N19" s="96">
        <v>0</v>
      </c>
    </row>
    <row r="20" spans="1:14" x14ac:dyDescent="0.2">
      <c r="A20" s="68"/>
      <c r="B20" s="201"/>
      <c r="C20" s="161"/>
      <c r="D20" s="161"/>
      <c r="E20" s="162"/>
      <c r="F20" s="92"/>
      <c r="G20" s="93"/>
      <c r="H20" s="68"/>
      <c r="I20" s="155"/>
      <c r="J20" s="163"/>
      <c r="K20" s="161"/>
      <c r="L20" s="162"/>
      <c r="M20" s="92"/>
      <c r="N20" s="93"/>
    </row>
    <row r="21" spans="1:14" x14ac:dyDescent="0.2">
      <c r="A21" s="68"/>
      <c r="B21" s="164" t="s">
        <v>98</v>
      </c>
      <c r="C21" s="165">
        <v>3241.7335696199998</v>
      </c>
      <c r="D21" s="166">
        <v>3806.3151761400004</v>
      </c>
      <c r="E21" s="167">
        <f t="shared" ref="E21" si="5">SUM(E22:E24)</f>
        <v>4554.35186789</v>
      </c>
      <c r="F21" s="97">
        <f t="shared" si="0"/>
        <v>0.17416039732906907</v>
      </c>
      <c r="G21" s="98">
        <f>E21/D21-1</f>
        <v>0.19652515809491811</v>
      </c>
      <c r="I21" s="164" t="s">
        <v>98</v>
      </c>
      <c r="J21" s="165">
        <v>75421.122655250001</v>
      </c>
      <c r="K21" s="166">
        <v>93529.097613730002</v>
      </c>
      <c r="L21" s="167">
        <f>SUM(L22:L24)</f>
        <v>71347.215354009997</v>
      </c>
      <c r="M21" s="99">
        <f t="shared" ref="M21:N28" si="6">K21/J21-1</f>
        <v>0.24009155951246663</v>
      </c>
      <c r="N21" s="97">
        <f>L21/K21-1</f>
        <v>-0.23716557548037032</v>
      </c>
    </row>
    <row r="22" spans="1:14" x14ac:dyDescent="0.2">
      <c r="A22" s="68"/>
      <c r="B22" s="155" t="s">
        <v>99</v>
      </c>
      <c r="C22" s="94">
        <v>1346.87337841</v>
      </c>
      <c r="D22" s="90">
        <v>2089.99852147</v>
      </c>
      <c r="E22" s="91">
        <v>2177.6508224099998</v>
      </c>
      <c r="F22" s="93">
        <f t="shared" si="0"/>
        <v>0.55174090970397538</v>
      </c>
      <c r="G22" s="100">
        <f>E22/D22-1</f>
        <v>4.1938929640174871E-2</v>
      </c>
      <c r="I22" s="155" t="s">
        <v>99</v>
      </c>
      <c r="J22" s="94">
        <v>50544.649587010004</v>
      </c>
      <c r="K22" s="90">
        <v>67219.427137079998</v>
      </c>
      <c r="L22" s="91">
        <v>44347.356248059994</v>
      </c>
      <c r="M22" s="101">
        <f t="shared" si="6"/>
        <v>0.32990193198125195</v>
      </c>
      <c r="N22" s="93">
        <f t="shared" si="6"/>
        <v>-0.34025983057512799</v>
      </c>
    </row>
    <row r="23" spans="1:14" x14ac:dyDescent="0.2">
      <c r="A23" s="68"/>
      <c r="B23" s="155" t="s">
        <v>100</v>
      </c>
      <c r="C23" s="94">
        <v>186.34477699999999</v>
      </c>
      <c r="D23" s="90">
        <v>101.85685100000001</v>
      </c>
      <c r="E23" s="91">
        <v>241.89650399999999</v>
      </c>
      <c r="F23" s="93">
        <f t="shared" si="0"/>
        <v>-0.45339572892885527</v>
      </c>
      <c r="G23" s="100">
        <f>E23/D23-1</f>
        <v>1.3748672929226919</v>
      </c>
      <c r="I23" s="155" t="s">
        <v>100</v>
      </c>
      <c r="J23" s="94">
        <v>4817.7974610000001</v>
      </c>
      <c r="K23" s="90">
        <v>5049.9555920000003</v>
      </c>
      <c r="L23" s="91">
        <v>5433.132260110001</v>
      </c>
      <c r="M23" s="101">
        <f>K23/J23-1</f>
        <v>4.8187607071346727E-2</v>
      </c>
      <c r="N23" s="93">
        <f t="shared" si="6"/>
        <v>7.5877235181437852E-2</v>
      </c>
    </row>
    <row r="24" spans="1:14" x14ac:dyDescent="0.2">
      <c r="A24" s="68"/>
      <c r="B24" s="168" t="s">
        <v>101</v>
      </c>
      <c r="C24" s="94">
        <v>1708.51541421</v>
      </c>
      <c r="D24" s="90">
        <v>1614.4598036700002</v>
      </c>
      <c r="E24" s="91">
        <v>2134.8045414799999</v>
      </c>
      <c r="F24" s="93">
        <f t="shared" si="0"/>
        <v>-5.5051075195297727E-2</v>
      </c>
      <c r="G24" s="100">
        <f t="shared" si="0"/>
        <v>0.32230269011786405</v>
      </c>
      <c r="I24" s="168" t="s">
        <v>101</v>
      </c>
      <c r="J24" s="94">
        <v>20058.675607239998</v>
      </c>
      <c r="K24" s="90">
        <v>21259.714884650002</v>
      </c>
      <c r="L24" s="91">
        <v>21566.726845839999</v>
      </c>
      <c r="M24" s="101">
        <f>K24/J24-1</f>
        <v>5.9876299957535517E-2</v>
      </c>
      <c r="N24" s="93">
        <f t="shared" si="6"/>
        <v>1.4441019687035705E-2</v>
      </c>
    </row>
    <row r="25" spans="1:14" x14ac:dyDescent="0.2">
      <c r="A25" s="68"/>
      <c r="B25" s="169"/>
      <c r="C25" s="102"/>
      <c r="D25" s="103"/>
      <c r="E25" s="104"/>
      <c r="F25" s="105"/>
      <c r="G25" s="106"/>
      <c r="I25" s="169"/>
      <c r="J25" s="102"/>
      <c r="K25" s="103"/>
      <c r="L25" s="104"/>
      <c r="M25" s="107"/>
      <c r="N25" s="105"/>
    </row>
    <row r="26" spans="1:14" x14ac:dyDescent="0.2">
      <c r="A26" s="68"/>
      <c r="B26" s="156" t="s">
        <v>102</v>
      </c>
      <c r="C26" s="160">
        <v>14354.147106029997</v>
      </c>
      <c r="D26" s="157">
        <v>14180.80903928</v>
      </c>
      <c r="E26" s="158">
        <f t="shared" ref="E26" si="7">SUM(E27:E28)</f>
        <v>14794.08303439</v>
      </c>
      <c r="F26" s="108">
        <f t="shared" si="0"/>
        <v>-1.2075817913080988E-2</v>
      </c>
      <c r="G26" s="109">
        <f>E26/D26-1</f>
        <v>4.3246756472868908E-2</v>
      </c>
      <c r="I26" s="156" t="s">
        <v>102</v>
      </c>
      <c r="J26" s="160">
        <v>55241.290367899994</v>
      </c>
      <c r="K26" s="157">
        <v>62356.018332530002</v>
      </c>
      <c r="L26" s="158">
        <f>SUM(L27:L28)</f>
        <v>61643.810896600007</v>
      </c>
      <c r="M26" s="109">
        <f t="shared" ref="M26:M28" si="8">K26/J26-1</f>
        <v>0.12879365990994818</v>
      </c>
      <c r="N26" s="109">
        <f>L26/K26-1</f>
        <v>-1.1421631062649928E-2</v>
      </c>
    </row>
    <row r="27" spans="1:14" x14ac:dyDescent="0.2">
      <c r="A27" s="68"/>
      <c r="B27" s="155" t="s">
        <v>103</v>
      </c>
      <c r="C27" s="94">
        <v>11560.682931289997</v>
      </c>
      <c r="D27" s="90">
        <v>11523.629084010001</v>
      </c>
      <c r="E27" s="91">
        <v>11811.68966724</v>
      </c>
      <c r="F27" s="92">
        <f t="shared" si="0"/>
        <v>-3.2051607591198072E-3</v>
      </c>
      <c r="G27" s="93">
        <f>E27/D27-1</f>
        <v>2.4997384168647718E-2</v>
      </c>
      <c r="I27" s="155" t="s">
        <v>103</v>
      </c>
      <c r="J27" s="94">
        <v>44874.527102259992</v>
      </c>
      <c r="K27" s="90">
        <v>51245.1299822</v>
      </c>
      <c r="L27" s="91">
        <v>49830.387455660006</v>
      </c>
      <c r="M27" s="93">
        <f t="shared" si="8"/>
        <v>0.14196479141546581</v>
      </c>
      <c r="N27" s="93">
        <f t="shared" si="6"/>
        <v>-2.760735560689187E-2</v>
      </c>
    </row>
    <row r="28" spans="1:14" x14ac:dyDescent="0.2">
      <c r="A28" s="68"/>
      <c r="B28" s="155" t="s">
        <v>104</v>
      </c>
      <c r="C28" s="94">
        <v>2793.4641747399996</v>
      </c>
      <c r="D28" s="90">
        <v>2657.1799552699999</v>
      </c>
      <c r="E28" s="91">
        <v>2982.3933671499999</v>
      </c>
      <c r="F28" s="92">
        <f t="shared" si="0"/>
        <v>-4.8786814845293014E-2</v>
      </c>
      <c r="G28" s="93">
        <f>E28/D28-1</f>
        <v>0.12239043548217432</v>
      </c>
      <c r="I28" s="155" t="s">
        <v>104</v>
      </c>
      <c r="J28" s="94">
        <v>10366.76326564</v>
      </c>
      <c r="K28" s="90">
        <v>11110.888350329999</v>
      </c>
      <c r="L28" s="91">
        <v>11813.42344094</v>
      </c>
      <c r="M28" s="93">
        <f t="shared" si="8"/>
        <v>7.177988593183704E-2</v>
      </c>
      <c r="N28" s="93">
        <f t="shared" si="6"/>
        <v>6.3229425808165596E-2</v>
      </c>
    </row>
    <row r="29" spans="1:14" x14ac:dyDescent="0.2">
      <c r="A29" s="68"/>
      <c r="B29" s="155"/>
      <c r="C29" s="163"/>
      <c r="D29" s="161"/>
      <c r="E29" s="162"/>
      <c r="F29" s="92"/>
      <c r="G29" s="93"/>
      <c r="I29" s="155"/>
      <c r="J29" s="163"/>
      <c r="K29" s="161"/>
      <c r="L29" s="162"/>
      <c r="M29" s="93"/>
      <c r="N29" s="93"/>
    </row>
    <row r="30" spans="1:14" x14ac:dyDescent="0.2">
      <c r="A30" s="68"/>
      <c r="B30" s="164" t="s">
        <v>105</v>
      </c>
      <c r="C30" s="165">
        <v>425.93313650999994</v>
      </c>
      <c r="D30" s="166">
        <v>325.25039705</v>
      </c>
      <c r="E30" s="167">
        <f>SUM(E31:E33)</f>
        <v>401.90943562000001</v>
      </c>
      <c r="F30" s="97">
        <f t="shared" si="0"/>
        <v>-0.23638156046033798</v>
      </c>
      <c r="G30" s="98">
        <f>E30/D30-1</f>
        <v>0.23569237506023821</v>
      </c>
      <c r="I30" s="164" t="s">
        <v>105</v>
      </c>
      <c r="J30" s="165">
        <v>1639.9881179000001</v>
      </c>
      <c r="K30" s="166">
        <v>1534.6584544499999</v>
      </c>
      <c r="L30" s="167">
        <f>SUM(L31:L33)</f>
        <v>1626.6596923499999</v>
      </c>
      <c r="M30" s="99">
        <f t="shared" ref="M30:N37" si="9">K30/J30-1</f>
        <v>-6.4225869870858876E-2</v>
      </c>
      <c r="N30" s="97">
        <f t="shared" si="9"/>
        <v>5.9948998836338419E-2</v>
      </c>
    </row>
    <row r="31" spans="1:14" x14ac:dyDescent="0.2">
      <c r="A31" s="68"/>
      <c r="B31" s="155" t="s">
        <v>106</v>
      </c>
      <c r="C31" s="94">
        <v>16.218481499999999</v>
      </c>
      <c r="D31" s="90">
        <v>11.2430685</v>
      </c>
      <c r="E31" s="91">
        <v>16.206309000000001</v>
      </c>
      <c r="F31" s="93">
        <f t="shared" si="0"/>
        <v>-0.30677428093376069</v>
      </c>
      <c r="G31" s="100">
        <f>E31/D31-1</f>
        <v>0.4414489247308242</v>
      </c>
      <c r="I31" s="155" t="s">
        <v>106</v>
      </c>
      <c r="J31" s="94">
        <v>62.16504599999999</v>
      </c>
      <c r="K31" s="90">
        <v>56.714245500000004</v>
      </c>
      <c r="L31" s="91">
        <v>61.812373500000007</v>
      </c>
      <c r="M31" s="101">
        <f t="shared" si="9"/>
        <v>-8.7682722860045637E-2</v>
      </c>
      <c r="N31" s="93">
        <f t="shared" si="9"/>
        <v>8.9891489431874749E-2</v>
      </c>
    </row>
    <row r="32" spans="1:14" x14ac:dyDescent="0.2">
      <c r="A32" s="68"/>
      <c r="B32" s="155" t="s">
        <v>107</v>
      </c>
      <c r="C32" s="94">
        <v>267.85435875999997</v>
      </c>
      <c r="D32" s="90">
        <v>183.82905730000002</v>
      </c>
      <c r="E32" s="91">
        <v>251.31871912</v>
      </c>
      <c r="F32" s="93">
        <f t="shared" si="0"/>
        <v>-0.31369771934638335</v>
      </c>
      <c r="G32" s="100">
        <f>E32/D32-1</f>
        <v>0.36713271999137853</v>
      </c>
      <c r="I32" s="155" t="s">
        <v>107</v>
      </c>
      <c r="J32" s="94">
        <v>1046.9139009</v>
      </c>
      <c r="K32" s="90">
        <v>937.77204670000003</v>
      </c>
      <c r="L32" s="91">
        <v>991.51266084999997</v>
      </c>
      <c r="M32" s="101">
        <f t="shared" si="9"/>
        <v>-0.10425103163323568</v>
      </c>
      <c r="N32" s="93">
        <f t="shared" si="9"/>
        <v>5.7306692323696451E-2</v>
      </c>
    </row>
    <row r="33" spans="1:14" x14ac:dyDescent="0.2">
      <c r="A33" s="68"/>
      <c r="B33" s="170" t="s">
        <v>108</v>
      </c>
      <c r="C33" s="94">
        <v>141.86029625</v>
      </c>
      <c r="D33" s="90">
        <v>130.17827124999999</v>
      </c>
      <c r="E33" s="91">
        <v>134.38440750000001</v>
      </c>
      <c r="F33" s="93">
        <f t="shared" si="0"/>
        <v>-8.2348798845117366E-2</v>
      </c>
      <c r="G33" s="100">
        <f t="shared" si="0"/>
        <v>3.2310586164739918E-2</v>
      </c>
      <c r="I33" s="170" t="s">
        <v>108</v>
      </c>
      <c r="J33" s="94">
        <v>530.90917100000001</v>
      </c>
      <c r="K33" s="90">
        <v>540.17216224999993</v>
      </c>
      <c r="L33" s="91">
        <v>573.33465799999999</v>
      </c>
      <c r="M33" s="101">
        <f t="shared" si="9"/>
        <v>1.7447412393635009E-2</v>
      </c>
      <c r="N33" s="93">
        <f t="shared" si="9"/>
        <v>6.1392456086346803E-2</v>
      </c>
    </row>
    <row r="34" spans="1:14" x14ac:dyDescent="0.2">
      <c r="A34" s="68"/>
      <c r="B34" s="171"/>
      <c r="C34" s="102"/>
      <c r="D34" s="103"/>
      <c r="E34" s="104"/>
      <c r="F34" s="105"/>
      <c r="G34" s="106"/>
      <c r="I34" s="171"/>
      <c r="J34" s="102"/>
      <c r="K34" s="103"/>
      <c r="L34" s="104"/>
      <c r="M34" s="107"/>
      <c r="N34" s="105"/>
    </row>
    <row r="35" spans="1:14" x14ac:dyDescent="0.2">
      <c r="A35" s="68"/>
      <c r="B35" s="156" t="s">
        <v>109</v>
      </c>
      <c r="C35" s="160">
        <v>216616.23647956998</v>
      </c>
      <c r="D35" s="157">
        <v>197824.52469869002</v>
      </c>
      <c r="E35" s="172">
        <f t="shared" ref="E35" si="10">SUM(E36:E37)</f>
        <v>192837.66273911</v>
      </c>
      <c r="F35" s="64">
        <f t="shared" si="0"/>
        <v>-8.6751169193414968E-2</v>
      </c>
      <c r="G35" s="109">
        <f>E35/D35-1</f>
        <v>-2.5208512277108186E-2</v>
      </c>
      <c r="I35" s="156" t="s">
        <v>109</v>
      </c>
      <c r="J35" s="160">
        <v>813658.29041518993</v>
      </c>
      <c r="K35" s="157">
        <v>842494.54223627003</v>
      </c>
      <c r="L35" s="172">
        <f>SUM(L36:L37)</f>
        <v>811107.38174653007</v>
      </c>
      <c r="M35" s="109">
        <f t="shared" ref="M35:M37" si="11">K35/J35-1</f>
        <v>3.544024827223935E-2</v>
      </c>
      <c r="N35" s="109">
        <f t="shared" si="9"/>
        <v>-3.7255031239048386E-2</v>
      </c>
    </row>
    <row r="36" spans="1:14" x14ac:dyDescent="0.2">
      <c r="A36" s="68"/>
      <c r="B36" s="155" t="s">
        <v>110</v>
      </c>
      <c r="C36" s="94">
        <v>138003.70987851999</v>
      </c>
      <c r="D36" s="90">
        <v>126035.97018897001</v>
      </c>
      <c r="E36" s="110">
        <v>121604.28270698</v>
      </c>
      <c r="F36" s="101">
        <f t="shared" si="0"/>
        <v>-8.6720420053089775E-2</v>
      </c>
      <c r="G36" s="93">
        <f>E36/D36-1</f>
        <v>-3.5162084882160438E-2</v>
      </c>
      <c r="I36" s="155" t="s">
        <v>110</v>
      </c>
      <c r="J36" s="94">
        <v>523542.62147714</v>
      </c>
      <c r="K36" s="90">
        <v>540843.28389383003</v>
      </c>
      <c r="L36" s="110">
        <v>522438.19862321002</v>
      </c>
      <c r="M36" s="93">
        <f t="shared" si="11"/>
        <v>3.304537530846563E-2</v>
      </c>
      <c r="N36" s="93">
        <f t="shared" si="9"/>
        <v>-3.4030348196452787E-2</v>
      </c>
    </row>
    <row r="37" spans="1:14" x14ac:dyDescent="0.2">
      <c r="A37" s="68"/>
      <c r="B37" s="155" t="s">
        <v>111</v>
      </c>
      <c r="C37" s="94">
        <v>78612.526601050005</v>
      </c>
      <c r="D37" s="90">
        <v>71788.554509720008</v>
      </c>
      <c r="E37" s="110">
        <v>71233.380032130008</v>
      </c>
      <c r="F37" s="101">
        <f t="shared" si="0"/>
        <v>-8.680514908216741E-2</v>
      </c>
      <c r="G37" s="93">
        <f>E37/D37-1</f>
        <v>-7.7334678401252965E-3</v>
      </c>
      <c r="I37" s="155" t="s">
        <v>111</v>
      </c>
      <c r="J37" s="94">
        <v>290115.66893804999</v>
      </c>
      <c r="K37" s="90">
        <v>301651.25834244001</v>
      </c>
      <c r="L37" s="110">
        <v>288669.18312331999</v>
      </c>
      <c r="M37" s="93">
        <f t="shared" si="11"/>
        <v>3.9762035075924462E-2</v>
      </c>
      <c r="N37" s="93">
        <f t="shared" si="9"/>
        <v>-4.3036701688088153E-2</v>
      </c>
    </row>
    <row r="38" spans="1:14" x14ac:dyDescent="0.2">
      <c r="A38" s="68"/>
      <c r="B38" s="173" t="s">
        <v>82</v>
      </c>
      <c r="C38" s="174"/>
      <c r="D38" s="175"/>
      <c r="E38" s="110"/>
      <c r="F38" s="101"/>
      <c r="G38" s="105"/>
      <c r="I38" s="173" t="s">
        <v>82</v>
      </c>
      <c r="J38" s="174"/>
      <c r="K38" s="175"/>
      <c r="L38" s="176"/>
      <c r="M38" s="93"/>
      <c r="N38" s="93"/>
    </row>
    <row r="39" spans="1:14" x14ac:dyDescent="0.2">
      <c r="A39" s="68"/>
      <c r="B39" s="164" t="s">
        <v>112</v>
      </c>
      <c r="C39" s="165">
        <v>30560.870429439998</v>
      </c>
      <c r="D39" s="166">
        <v>23802.73670881</v>
      </c>
      <c r="E39" s="177">
        <f t="shared" ref="E39" si="12">SUM(E40:E41)</f>
        <v>25595.77167559</v>
      </c>
      <c r="F39" s="111">
        <f t="shared" si="0"/>
        <v>-0.22113682057038964</v>
      </c>
      <c r="G39" s="97">
        <f>E39/D39-1</f>
        <v>7.5328941739558619E-2</v>
      </c>
      <c r="I39" s="164" t="s">
        <v>112</v>
      </c>
      <c r="J39" s="165">
        <v>103824.43642908001</v>
      </c>
      <c r="K39" s="166">
        <v>98531.795733870007</v>
      </c>
      <c r="L39" s="177">
        <f>SUM(L40:L41)</f>
        <v>91001.148103840009</v>
      </c>
      <c r="M39" s="97">
        <f t="shared" ref="M39:M41" si="13">K39/J39-1</f>
        <v>-5.0976830476949231E-2</v>
      </c>
      <c r="N39" s="97">
        <f>L39/K39-1</f>
        <v>-7.6428604329610961E-2</v>
      </c>
    </row>
    <row r="40" spans="1:14" x14ac:dyDescent="0.2">
      <c r="A40" s="68"/>
      <c r="B40" s="155" t="s">
        <v>113</v>
      </c>
      <c r="C40" s="94">
        <v>1159.8119429999999</v>
      </c>
      <c r="D40" s="90">
        <v>1010.80002</v>
      </c>
      <c r="E40" s="110">
        <v>989.976719</v>
      </c>
      <c r="F40" s="92">
        <f t="shared" si="0"/>
        <v>-0.12847938314427232</v>
      </c>
      <c r="G40" s="93">
        <f>E40/D40-1</f>
        <v>-2.060081182032425E-2</v>
      </c>
      <c r="I40" s="155" t="s">
        <v>113</v>
      </c>
      <c r="J40" s="94">
        <v>4936.634153</v>
      </c>
      <c r="K40" s="90">
        <v>4246.5206920000001</v>
      </c>
      <c r="L40" s="110">
        <v>3502.9744149999997</v>
      </c>
      <c r="M40" s="93">
        <f t="shared" si="13"/>
        <v>-0.13979432941787207</v>
      </c>
      <c r="N40" s="93">
        <f>L40/K40-1</f>
        <v>-0.17509540890752362</v>
      </c>
    </row>
    <row r="41" spans="1:14" x14ac:dyDescent="0.2">
      <c r="A41" s="68"/>
      <c r="B41" s="155" t="s">
        <v>114</v>
      </c>
      <c r="C41" s="94">
        <v>29401.058486439997</v>
      </c>
      <c r="D41" s="90">
        <v>22791.936688810001</v>
      </c>
      <c r="E41" s="110">
        <v>24605.794956590002</v>
      </c>
      <c r="F41" s="92">
        <f t="shared" si="0"/>
        <v>-0.22479196797211143</v>
      </c>
      <c r="G41" s="93">
        <f>E41/D41-1</f>
        <v>7.9583332147045605E-2</v>
      </c>
      <c r="I41" s="155" t="s">
        <v>114</v>
      </c>
      <c r="J41" s="94">
        <v>98887.802276080009</v>
      </c>
      <c r="K41" s="90">
        <v>94285.275041870002</v>
      </c>
      <c r="L41" s="110">
        <v>87498.173688840005</v>
      </c>
      <c r="M41" s="93">
        <f t="shared" si="13"/>
        <v>-4.65429216574198E-2</v>
      </c>
      <c r="N41" s="93">
        <f>L41/K41-1</f>
        <v>-7.1984743641210103E-2</v>
      </c>
    </row>
    <row r="42" spans="1:14" x14ac:dyDescent="0.2">
      <c r="A42" s="68"/>
      <c r="B42" s="178" t="s">
        <v>82</v>
      </c>
      <c r="C42" s="174"/>
      <c r="D42" s="175"/>
      <c r="E42" s="110"/>
      <c r="F42" s="112"/>
      <c r="G42" s="105"/>
      <c r="I42" s="178" t="s">
        <v>82</v>
      </c>
      <c r="J42" s="174"/>
      <c r="K42" s="175"/>
      <c r="L42" s="176"/>
      <c r="M42" s="105"/>
      <c r="N42" s="105"/>
    </row>
    <row r="43" spans="1:14" x14ac:dyDescent="0.2">
      <c r="A43" s="68"/>
      <c r="B43" s="164" t="s">
        <v>115</v>
      </c>
      <c r="C43" s="165">
        <v>92923.879885240036</v>
      </c>
      <c r="D43" s="166">
        <v>82319.941876100027</v>
      </c>
      <c r="E43" s="177">
        <f>SUM(E44:E57)-E45-E46</f>
        <v>100073.26606706</v>
      </c>
      <c r="F43" s="64">
        <f t="shared" si="0"/>
        <v>-0.11411424084138277</v>
      </c>
      <c r="G43" s="109">
        <f>E43/D43-1</f>
        <v>0.21566249667280557</v>
      </c>
      <c r="I43" s="164" t="s">
        <v>115</v>
      </c>
      <c r="J43" s="165">
        <v>366033.60166526999</v>
      </c>
      <c r="K43" s="166">
        <v>350564.25058406999</v>
      </c>
      <c r="L43" s="177">
        <f>SUM(L44:L57)-L45-L46</f>
        <v>354040.77803632006</v>
      </c>
      <c r="M43" s="97">
        <f t="shared" ref="M43:M59" si="14">K43/J43-1</f>
        <v>-4.2262106568419333E-2</v>
      </c>
      <c r="N43" s="98">
        <f>L43/K43-1</f>
        <v>9.9169480243861408E-3</v>
      </c>
    </row>
    <row r="44" spans="1:14" x14ac:dyDescent="0.2">
      <c r="A44" s="68"/>
      <c r="B44" s="155" t="s">
        <v>116</v>
      </c>
      <c r="C44" s="94">
        <v>56121.394225240001</v>
      </c>
      <c r="D44" s="90">
        <v>50022.339324280001</v>
      </c>
      <c r="E44" s="110">
        <v>65252.38856159</v>
      </c>
      <c r="F44" s="101">
        <f>D44/C44-1</f>
        <v>-0.1086761115820073</v>
      </c>
      <c r="G44" s="93">
        <f>E44/D44-1</f>
        <v>0.30446495391944994</v>
      </c>
      <c r="I44" s="155" t="s">
        <v>116</v>
      </c>
      <c r="J44" s="94">
        <v>230193.09107471001</v>
      </c>
      <c r="K44" s="90">
        <v>216886.84580953998</v>
      </c>
      <c r="L44" s="91">
        <v>222188.77199396997</v>
      </c>
      <c r="M44" s="93">
        <f>K44/J44-1</f>
        <v>-5.7804711701149314E-2</v>
      </c>
      <c r="N44" s="100">
        <f>L44/K44-1</f>
        <v>2.4445586658980112E-2</v>
      </c>
    </row>
    <row r="45" spans="1:14" x14ac:dyDescent="0.2">
      <c r="A45" s="68"/>
      <c r="B45" s="155" t="s">
        <v>117</v>
      </c>
      <c r="C45" s="94">
        <v>36935.913114000003</v>
      </c>
      <c r="D45" s="90">
        <v>24218.385932000001</v>
      </c>
      <c r="E45" s="110">
        <v>39145.590233000003</v>
      </c>
      <c r="F45" s="101">
        <f t="shared" ref="F45:G59" si="15">D45/C45-1</f>
        <v>-0.34431332840610385</v>
      </c>
      <c r="G45" s="93">
        <f t="shared" si="15"/>
        <v>0.61635834621317742</v>
      </c>
      <c r="I45" s="155" t="s">
        <v>117</v>
      </c>
      <c r="J45" s="94">
        <v>138053.66456199999</v>
      </c>
      <c r="K45" s="90">
        <v>130616.19854099999</v>
      </c>
      <c r="L45" s="91">
        <v>133782.045144</v>
      </c>
      <c r="M45" s="93">
        <f t="shared" ref="M45:N56" si="16">K45/J45-1</f>
        <v>-5.3873731237752298E-2</v>
      </c>
      <c r="N45" s="100">
        <f t="shared" si="16"/>
        <v>2.4237779374709501E-2</v>
      </c>
    </row>
    <row r="46" spans="1:14" x14ac:dyDescent="0.2">
      <c r="A46" s="68"/>
      <c r="B46" s="155" t="s">
        <v>118</v>
      </c>
      <c r="C46" s="94">
        <v>19185.481111240002</v>
      </c>
      <c r="D46" s="90">
        <v>25803.95339228</v>
      </c>
      <c r="E46" s="110">
        <v>26106.798328590001</v>
      </c>
      <c r="F46" s="101">
        <f t="shared" si="15"/>
        <v>0.34497296380868447</v>
      </c>
      <c r="G46" s="93">
        <f t="shared" si="15"/>
        <v>1.1736377434343304E-2</v>
      </c>
      <c r="I46" s="155" t="s">
        <v>118</v>
      </c>
      <c r="J46" s="94">
        <v>92139.426512710008</v>
      </c>
      <c r="K46" s="90">
        <v>86270.647268540008</v>
      </c>
      <c r="L46" s="91">
        <v>88406.72684997</v>
      </c>
      <c r="M46" s="93">
        <f t="shared" si="16"/>
        <v>-6.3694549296553715E-2</v>
      </c>
      <c r="N46" s="100">
        <f t="shared" si="16"/>
        <v>2.4760212761368194E-2</v>
      </c>
    </row>
    <row r="47" spans="1:14" x14ac:dyDescent="0.2">
      <c r="A47" s="68"/>
      <c r="B47" s="155" t="s">
        <v>119</v>
      </c>
      <c r="C47" s="94">
        <v>5632.1664713800001</v>
      </c>
      <c r="D47" s="90">
        <v>5330.4262882700004</v>
      </c>
      <c r="E47" s="110">
        <v>5919.2494842100004</v>
      </c>
      <c r="F47" s="101">
        <f t="shared" si="0"/>
        <v>-5.3574443270329453E-2</v>
      </c>
      <c r="G47" s="93">
        <f t="shared" si="15"/>
        <v>0.11046456026148399</v>
      </c>
      <c r="I47" s="155" t="s">
        <v>119</v>
      </c>
      <c r="J47" s="94">
        <v>21653.509456430002</v>
      </c>
      <c r="K47" s="90">
        <v>20731.774683409996</v>
      </c>
      <c r="L47" s="91">
        <v>21611.707906240001</v>
      </c>
      <c r="M47" s="93">
        <f>K47/J47-1</f>
        <v>-4.2567454244526459E-2</v>
      </c>
      <c r="N47" s="100">
        <f t="shared" si="16"/>
        <v>4.2443699889047393E-2</v>
      </c>
    </row>
    <row r="48" spans="1:14" x14ac:dyDescent="0.2">
      <c r="A48" s="68"/>
      <c r="B48" s="155" t="s">
        <v>120</v>
      </c>
      <c r="C48" s="94">
        <v>210.37167916999999</v>
      </c>
      <c r="D48" s="90">
        <v>219.54601965000001</v>
      </c>
      <c r="E48" s="110">
        <v>189.24905649999999</v>
      </c>
      <c r="F48" s="101">
        <f t="shared" si="0"/>
        <v>4.3610149979295798E-2</v>
      </c>
      <c r="G48" s="93">
        <f t="shared" si="15"/>
        <v>-0.13799823471315664</v>
      </c>
      <c r="I48" s="155" t="s">
        <v>120</v>
      </c>
      <c r="J48" s="94">
        <v>914.99442568000006</v>
      </c>
      <c r="K48" s="90">
        <v>969.38259590000007</v>
      </c>
      <c r="L48" s="91">
        <v>783.77241585000002</v>
      </c>
      <c r="M48" s="93">
        <f t="shared" si="14"/>
        <v>5.9440985314834105E-2</v>
      </c>
      <c r="N48" s="100">
        <f>L48/K48-1</f>
        <v>-0.19147257319765965</v>
      </c>
    </row>
    <row r="49" spans="1:14" x14ac:dyDescent="0.2">
      <c r="A49" s="68"/>
      <c r="B49" s="155" t="s">
        <v>121</v>
      </c>
      <c r="C49" s="94">
        <v>5456.9642604700002</v>
      </c>
      <c r="D49" s="90">
        <v>5203.0204137199999</v>
      </c>
      <c r="E49" s="110">
        <v>5691.9860789499999</v>
      </c>
      <c r="F49" s="101">
        <f t="shared" si="0"/>
        <v>-4.6535735736727868E-2</v>
      </c>
      <c r="G49" s="93">
        <f t="shared" si="15"/>
        <v>9.3977272113065613E-2</v>
      </c>
      <c r="I49" s="155" t="s">
        <v>121</v>
      </c>
      <c r="J49" s="94">
        <v>20477.005577309999</v>
      </c>
      <c r="K49" s="90">
        <v>20229.823523049999</v>
      </c>
      <c r="L49" s="91">
        <v>20106.197801909999</v>
      </c>
      <c r="M49" s="93">
        <f t="shared" si="14"/>
        <v>-1.2071201198181836E-2</v>
      </c>
      <c r="N49" s="100">
        <f t="shared" si="16"/>
        <v>-6.1110627583647048E-3</v>
      </c>
    </row>
    <row r="50" spans="1:14" x14ac:dyDescent="0.2">
      <c r="A50" s="68"/>
      <c r="B50" s="168" t="s">
        <v>122</v>
      </c>
      <c r="C50" s="94">
        <v>1450.05081974</v>
      </c>
      <c r="D50" s="90">
        <v>1729.0799347499999</v>
      </c>
      <c r="E50" s="110">
        <v>1315.2271177</v>
      </c>
      <c r="F50" s="101">
        <f>D50/C50-1</f>
        <v>0.19242712821612074</v>
      </c>
      <c r="G50" s="93">
        <f t="shared" si="15"/>
        <v>-0.23934857419407685</v>
      </c>
      <c r="I50" s="168" t="s">
        <v>122</v>
      </c>
      <c r="J50" s="94">
        <v>8489.7626596600003</v>
      </c>
      <c r="K50" s="90">
        <v>6478.8411521999997</v>
      </c>
      <c r="L50" s="91">
        <v>6056.6686869599998</v>
      </c>
      <c r="M50" s="93">
        <f t="shared" si="14"/>
        <v>-0.2368642785522268</v>
      </c>
      <c r="N50" s="100">
        <f t="shared" si="16"/>
        <v>-6.5161724963212597E-2</v>
      </c>
    </row>
    <row r="51" spans="1:14" x14ac:dyDescent="0.2">
      <c r="A51" s="68"/>
      <c r="B51" s="155" t="s">
        <v>123</v>
      </c>
      <c r="C51" s="94">
        <v>2692.2052469999999</v>
      </c>
      <c r="D51" s="90">
        <v>2358.9797789999998</v>
      </c>
      <c r="E51" s="110">
        <v>2454.8856850000002</v>
      </c>
      <c r="F51" s="101">
        <f t="shared" si="0"/>
        <v>-0.1237741692879184</v>
      </c>
      <c r="G51" s="93">
        <f t="shared" si="15"/>
        <v>4.0655671088734913E-2</v>
      </c>
      <c r="I51" s="155" t="s">
        <v>123</v>
      </c>
      <c r="J51" s="94">
        <v>10647.412144</v>
      </c>
      <c r="K51" s="90">
        <v>10983.61931</v>
      </c>
      <c r="L51" s="91">
        <v>10432.031523000001</v>
      </c>
      <c r="M51" s="93">
        <f t="shared" si="14"/>
        <v>3.157642077276579E-2</v>
      </c>
      <c r="N51" s="100">
        <f t="shared" si="16"/>
        <v>-5.0219128270205693E-2</v>
      </c>
    </row>
    <row r="52" spans="1:14" x14ac:dyDescent="0.2">
      <c r="A52" s="68"/>
      <c r="B52" s="155" t="s">
        <v>124</v>
      </c>
      <c r="C52" s="94">
        <v>6331.7918769999997</v>
      </c>
      <c r="D52" s="90">
        <v>4780.4378429999997</v>
      </c>
      <c r="E52" s="110">
        <v>4756.0808082200001</v>
      </c>
      <c r="F52" s="101">
        <f t="shared" si="0"/>
        <v>-0.24501026946814786</v>
      </c>
      <c r="G52" s="93">
        <f t="shared" si="15"/>
        <v>-5.0951472605518244E-3</v>
      </c>
      <c r="I52" s="155" t="s">
        <v>124</v>
      </c>
      <c r="J52" s="94">
        <v>20759.931551000001</v>
      </c>
      <c r="K52" s="90">
        <v>21311.515350000001</v>
      </c>
      <c r="L52" s="91">
        <v>21056.256979220001</v>
      </c>
      <c r="M52" s="93">
        <f t="shared" si="14"/>
        <v>2.6569634762279914E-2</v>
      </c>
      <c r="N52" s="100">
        <f t="shared" si="16"/>
        <v>-1.1977485720178982E-2</v>
      </c>
    </row>
    <row r="53" spans="1:14" x14ac:dyDescent="0.2">
      <c r="A53" s="68"/>
      <c r="B53" s="155" t="s">
        <v>125</v>
      </c>
      <c r="C53" s="94">
        <v>638.1981399</v>
      </c>
      <c r="D53" s="90">
        <v>51.357291119999999</v>
      </c>
      <c r="E53" s="110">
        <v>40.079396179999996</v>
      </c>
      <c r="F53" s="101">
        <f t="shared" si="0"/>
        <v>-0.91952767031247185</v>
      </c>
      <c r="G53" s="93">
        <f t="shared" si="15"/>
        <v>-0.21959676404365625</v>
      </c>
      <c r="I53" s="155" t="s">
        <v>125</v>
      </c>
      <c r="J53" s="94">
        <v>2589.1985110100004</v>
      </c>
      <c r="K53" s="90">
        <v>1498.1742442099999</v>
      </c>
      <c r="L53" s="91">
        <v>125.11368543</v>
      </c>
      <c r="M53" s="93">
        <f t="shared" si="14"/>
        <v>-0.42137528743379793</v>
      </c>
      <c r="N53" s="100">
        <f t="shared" si="16"/>
        <v>-0.91648922953152656</v>
      </c>
    </row>
    <row r="54" spans="1:14" x14ac:dyDescent="0.2">
      <c r="A54" s="68"/>
      <c r="B54" s="155" t="s">
        <v>126</v>
      </c>
      <c r="C54" s="94">
        <v>5957.0394846999998</v>
      </c>
      <c r="D54" s="90">
        <v>5973.4981308100005</v>
      </c>
      <c r="E54" s="110">
        <v>5018.8644405499999</v>
      </c>
      <c r="F54" s="101">
        <f t="shared" si="0"/>
        <v>2.7628902162346591E-3</v>
      </c>
      <c r="G54" s="93">
        <f t="shared" si="15"/>
        <v>-0.15981149895003866</v>
      </c>
      <c r="I54" s="155" t="s">
        <v>126</v>
      </c>
      <c r="J54" s="94">
        <v>23625.217203569999</v>
      </c>
      <c r="K54" s="90">
        <v>23926.107895049998</v>
      </c>
      <c r="L54" s="91">
        <v>23601.838221680002</v>
      </c>
      <c r="M54" s="93">
        <f t="shared" si="14"/>
        <v>1.2735996832847318E-2</v>
      </c>
      <c r="N54" s="100">
        <f t="shared" si="16"/>
        <v>-1.3552963766291559E-2</v>
      </c>
    </row>
    <row r="55" spans="1:14" x14ac:dyDescent="0.2">
      <c r="A55" s="68"/>
      <c r="B55" s="155" t="s">
        <v>127</v>
      </c>
      <c r="C55" s="94">
        <v>117.90699438</v>
      </c>
      <c r="D55" s="90">
        <v>0</v>
      </c>
      <c r="E55" s="110">
        <v>0</v>
      </c>
      <c r="F55" s="101">
        <f t="shared" si="0"/>
        <v>-1</v>
      </c>
      <c r="G55" s="93" t="e">
        <f t="shared" si="15"/>
        <v>#DIV/0!</v>
      </c>
      <c r="I55" s="155" t="s">
        <v>127</v>
      </c>
      <c r="J55" s="94">
        <v>453.68046122999999</v>
      </c>
      <c r="K55" s="90">
        <v>172.07121186000001</v>
      </c>
      <c r="L55" s="91">
        <v>157.97330840000001</v>
      </c>
      <c r="M55" s="93">
        <f t="shared" si="14"/>
        <v>-0.62072157263839944</v>
      </c>
      <c r="N55" s="100">
        <f t="shared" si="16"/>
        <v>-8.1930633878898318E-2</v>
      </c>
    </row>
    <row r="56" spans="1:14" x14ac:dyDescent="0.2">
      <c r="A56" s="68"/>
      <c r="B56" s="155" t="s">
        <v>128</v>
      </c>
      <c r="C56" s="94">
        <v>2824.8119198000004</v>
      </c>
      <c r="D56" s="90">
        <v>641.68765041999995</v>
      </c>
      <c r="E56" s="110">
        <v>2524.6111793499999</v>
      </c>
      <c r="F56" s="101">
        <f t="shared" si="0"/>
        <v>-0.77283880532993776</v>
      </c>
      <c r="G56" s="93">
        <f t="shared" si="15"/>
        <v>2.9343303205189959</v>
      </c>
      <c r="I56" s="155" t="s">
        <v>128</v>
      </c>
      <c r="J56" s="94">
        <v>7002.4289742600004</v>
      </c>
      <c r="K56" s="90">
        <v>5687.92538496</v>
      </c>
      <c r="L56" s="91">
        <v>5297.8907094299993</v>
      </c>
      <c r="M56" s="93">
        <f t="shared" si="14"/>
        <v>-0.18772108851541958</v>
      </c>
      <c r="N56" s="100">
        <f t="shared" si="16"/>
        <v>-6.8572396635393496E-2</v>
      </c>
    </row>
    <row r="57" spans="1:14" x14ac:dyDescent="0.2">
      <c r="A57" s="68"/>
      <c r="B57" s="155" t="s">
        <v>129</v>
      </c>
      <c r="C57" s="94">
        <v>5490.9787664600008</v>
      </c>
      <c r="D57" s="90">
        <v>6009.5692010800003</v>
      </c>
      <c r="E57" s="110">
        <v>6910.6442588100017</v>
      </c>
      <c r="F57" s="101">
        <f t="shared" si="0"/>
        <v>9.4444079403048109E-2</v>
      </c>
      <c r="G57" s="93">
        <f t="shared" si="15"/>
        <v>0.14994004188654086</v>
      </c>
      <c r="I57" s="155" t="s">
        <v>129</v>
      </c>
      <c r="J57" s="94">
        <v>19227.36962641</v>
      </c>
      <c r="K57" s="90">
        <v>21688.169423889998</v>
      </c>
      <c r="L57" s="91">
        <v>22622.55480423</v>
      </c>
      <c r="M57" s="93">
        <f t="shared" si="14"/>
        <v>0.12798421444501362</v>
      </c>
      <c r="N57" s="100">
        <f>L57/K57-1</f>
        <v>4.3082722293323439E-2</v>
      </c>
    </row>
    <row r="58" spans="1:14" x14ac:dyDescent="0.2">
      <c r="A58" s="68"/>
      <c r="B58" s="155" t="s">
        <v>130</v>
      </c>
      <c r="C58" s="94">
        <v>0</v>
      </c>
      <c r="D58" s="90">
        <v>0</v>
      </c>
      <c r="E58" s="110">
        <v>0</v>
      </c>
      <c r="F58" s="195" t="e">
        <f t="shared" si="0"/>
        <v>#DIV/0!</v>
      </c>
      <c r="G58" s="191" t="e">
        <f t="shared" si="15"/>
        <v>#DIV/0!</v>
      </c>
      <c r="I58" s="155" t="s">
        <v>130</v>
      </c>
      <c r="J58" s="94">
        <v>0</v>
      </c>
      <c r="K58" s="90">
        <v>0</v>
      </c>
      <c r="L58" s="91">
        <v>0</v>
      </c>
      <c r="M58" s="191" t="e">
        <f t="shared" si="14"/>
        <v>#DIV/0!</v>
      </c>
      <c r="N58" s="196" t="e">
        <f>L58/K58-1</f>
        <v>#DIV/0!</v>
      </c>
    </row>
    <row r="59" spans="1:14" x14ac:dyDescent="0.2">
      <c r="A59" s="68"/>
      <c r="B59" s="155" t="s">
        <v>131</v>
      </c>
      <c r="C59" s="94">
        <v>0</v>
      </c>
      <c r="D59" s="90">
        <v>0</v>
      </c>
      <c r="E59" s="110">
        <v>0</v>
      </c>
      <c r="F59" s="195" t="e">
        <f t="shared" si="0"/>
        <v>#DIV/0!</v>
      </c>
      <c r="G59" s="191" t="e">
        <f t="shared" si="15"/>
        <v>#DIV/0!</v>
      </c>
      <c r="I59" s="155" t="s">
        <v>131</v>
      </c>
      <c r="J59" s="94">
        <v>0</v>
      </c>
      <c r="K59" s="90">
        <v>0</v>
      </c>
      <c r="L59" s="91">
        <v>0</v>
      </c>
      <c r="M59" s="191" t="e">
        <f t="shared" si="14"/>
        <v>#DIV/0!</v>
      </c>
      <c r="N59" s="196" t="e">
        <f>L59/K59-1</f>
        <v>#DIV/0!</v>
      </c>
    </row>
    <row r="60" spans="1:14" x14ac:dyDescent="0.2">
      <c r="A60" s="68"/>
      <c r="B60" s="179"/>
      <c r="C60" s="180"/>
      <c r="D60" s="181"/>
      <c r="E60" s="182"/>
      <c r="F60" s="107"/>
      <c r="G60" s="105"/>
      <c r="I60" s="179"/>
      <c r="J60" s="183"/>
      <c r="K60" s="184"/>
      <c r="L60" s="185"/>
      <c r="M60" s="105"/>
      <c r="N60" s="106"/>
    </row>
    <row r="61" spans="1:14" x14ac:dyDescent="0.2">
      <c r="A61" s="68"/>
      <c r="B61" s="186" t="s">
        <v>32</v>
      </c>
      <c r="C61" s="113">
        <v>49837.031973789999</v>
      </c>
      <c r="D61" s="114">
        <v>52844.15210544</v>
      </c>
      <c r="E61" s="114">
        <v>54252.479377069998</v>
      </c>
      <c r="F61" s="115">
        <f t="shared" si="0"/>
        <v>6.0339069413914759E-2</v>
      </c>
      <c r="G61" s="116">
        <f>E61/D61-1</f>
        <v>2.6650579402238472E-2</v>
      </c>
      <c r="I61" s="186" t="s">
        <v>32</v>
      </c>
      <c r="J61" s="113">
        <v>190846.75743231998</v>
      </c>
      <c r="K61" s="114">
        <v>200692.70152037</v>
      </c>
      <c r="L61" s="117">
        <v>209175.79437883</v>
      </c>
      <c r="M61" s="116">
        <f t="shared" ref="M61:M63" si="17">K61/J61-1</f>
        <v>5.1590837698888725E-2</v>
      </c>
      <c r="N61" s="116">
        <f>L61/K61-1</f>
        <v>4.2269065064127309E-2</v>
      </c>
    </row>
    <row r="62" spans="1:14" x14ac:dyDescent="0.2">
      <c r="A62" s="68"/>
      <c r="B62" s="186" t="s">
        <v>11</v>
      </c>
      <c r="C62" s="118">
        <v>15160.552366989999</v>
      </c>
      <c r="D62" s="202">
        <v>11709.61758224</v>
      </c>
      <c r="E62" s="118">
        <v>15315.619914159999</v>
      </c>
      <c r="F62" s="119">
        <f t="shared" si="0"/>
        <v>-0.22762592689326622</v>
      </c>
      <c r="G62" s="120">
        <f t="shared" si="0"/>
        <v>0.30795218602093621</v>
      </c>
      <c r="I62" s="186" t="s">
        <v>11</v>
      </c>
      <c r="J62" s="118">
        <v>78222.846688990001</v>
      </c>
      <c r="K62" s="121">
        <v>78949.790339569998</v>
      </c>
      <c r="L62" s="122">
        <v>80688.288757079994</v>
      </c>
      <c r="M62" s="120">
        <f t="shared" si="17"/>
        <v>9.2932395246403399E-3</v>
      </c>
      <c r="N62" s="120">
        <f>L62/K62-1</f>
        <v>2.2020304424274828E-2</v>
      </c>
    </row>
    <row r="63" spans="1:14" x14ac:dyDescent="0.2">
      <c r="A63" s="68"/>
      <c r="B63" s="187" t="s">
        <v>132</v>
      </c>
      <c r="C63" s="123">
        <v>1280.0105620899999</v>
      </c>
      <c r="D63" s="124">
        <v>1752.5039870200001</v>
      </c>
      <c r="E63" s="124">
        <v>1347.3683818099998</v>
      </c>
      <c r="F63" s="125">
        <f t="shared" si="0"/>
        <v>0.36913244228118969</v>
      </c>
      <c r="G63" s="126">
        <f t="shared" si="0"/>
        <v>-0.23117528302968515</v>
      </c>
      <c r="I63" s="186" t="s">
        <v>132</v>
      </c>
      <c r="J63" s="123">
        <v>9007.9929787300007</v>
      </c>
      <c r="K63" s="124">
        <v>5954.9670527999997</v>
      </c>
      <c r="L63" s="127">
        <v>5559.5316242099998</v>
      </c>
      <c r="M63" s="126">
        <f t="shared" si="17"/>
        <v>-0.33892410142180573</v>
      </c>
      <c r="N63" s="126">
        <f>L63/K63-1</f>
        <v>-6.6404301666802334E-2</v>
      </c>
    </row>
    <row r="64" spans="1:14" x14ac:dyDescent="0.2">
      <c r="A64" s="68"/>
      <c r="B64" s="187" t="s">
        <v>133</v>
      </c>
      <c r="C64" s="123">
        <v>0</v>
      </c>
      <c r="D64" s="124">
        <v>0</v>
      </c>
      <c r="E64" s="124">
        <v>0</v>
      </c>
      <c r="F64" s="125">
        <v>0</v>
      </c>
      <c r="G64" s="126">
        <v>0</v>
      </c>
      <c r="H64" s="188"/>
      <c r="I64" s="189" t="s">
        <v>133</v>
      </c>
      <c r="J64" s="123">
        <v>7583.4363540000004</v>
      </c>
      <c r="K64" s="124">
        <v>7541.7006650000003</v>
      </c>
      <c r="L64" s="127">
        <v>11253.721287</v>
      </c>
      <c r="M64" s="128">
        <v>0</v>
      </c>
      <c r="N64" s="126">
        <v>0</v>
      </c>
    </row>
    <row r="67" spans="5:5" x14ac:dyDescent="0.2">
      <c r="E67" s="68"/>
    </row>
    <row r="68" spans="5:5" x14ac:dyDescent="0.2">
      <c r="E68" s="68"/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orientation="portrait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1C82D-21AD-4794-8E11-0859A3931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84577-6EA7-4748-8939-A638FA625AA2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3.xml><?xml version="1.0" encoding="utf-8"?>
<ds:datastoreItem xmlns:ds="http://schemas.openxmlformats.org/officeDocument/2006/customXml" ds:itemID="{F5220C9A-A4F5-4900-AA9A-E5A0A9BD5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SIMPLE</vt:lpstr>
      <vt:lpstr>ACUMULADO</vt:lpstr>
      <vt:lpstr>INGRESOS</vt:lpstr>
      <vt:lpstr>ACUMULADO!Área_de_impresión</vt:lpstr>
      <vt:lpstr>INGRESOS!Área_de_impresión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Vivian Martinez Rivera</cp:lastModifiedBy>
  <cp:lastPrinted>2016-07-20T19:30:27Z</cp:lastPrinted>
  <dcterms:created xsi:type="dcterms:W3CDTF">1996-11-27T10:00:04Z</dcterms:created>
  <dcterms:modified xsi:type="dcterms:W3CDTF">2026-07-13T14:19:25Z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0x010100EB04A67B5499E14787401D8D5CC90E62</vt:lpwstr>
  </property>
</Properties>
</file>