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05_INGRESOS Y GASTOS RECONOCIDO/2026/03 Marzo 2026/"/>
    </mc:Choice>
  </mc:AlternateContent>
  <xr:revisionPtr revIDLastSave="340" documentId="8_{0C5CDA2E-1169-48F6-A1EF-E6F2639D047E}" xr6:coauthVersionLast="47" xr6:coauthVersionMax="47" xr10:uidLastSave="{2C5BB58B-FCD5-49AF-8336-4D11E16EE8C2}"/>
  <bookViews>
    <workbookView xWindow="-120" yWindow="-120" windowWidth="15600" windowHeight="11040" activeTab="1" xr2:uid="{7F1D90E4-1F08-4A10-9805-8537BA31ADD2}"/>
  </bookViews>
  <sheets>
    <sheet name="SIMPLE" sheetId="1" r:id="rId1"/>
    <sheet name="Acumul" sheetId="2" r:id="rId2"/>
    <sheet name="Ingresos" sheetId="3" r:id="rId3"/>
  </sheets>
  <definedNames>
    <definedName name="_xlnm.Print_Area" localSheetId="1">Acumul!$A$1:$AJ$86</definedName>
    <definedName name="_xlnm.Print_Area" localSheetId="0">SIMPLE!$A$1:$AJ$85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4" i="1" l="1"/>
  <c r="N63" i="3"/>
  <c r="M63" i="3"/>
  <c r="F63" i="3"/>
  <c r="G63" i="3"/>
  <c r="M62" i="3"/>
  <c r="N62" i="3"/>
  <c r="F62" i="3"/>
  <c r="G62" i="3"/>
  <c r="N61" i="3"/>
  <c r="M61" i="3"/>
  <c r="G61" i="3"/>
  <c r="F61" i="3"/>
  <c r="N59" i="3"/>
  <c r="M59" i="3"/>
  <c r="G59" i="3"/>
  <c r="F59" i="3"/>
  <c r="N58" i="3"/>
  <c r="M58" i="3"/>
  <c r="G58" i="3"/>
  <c r="F58" i="3"/>
  <c r="N57" i="3"/>
  <c r="M57" i="3"/>
  <c r="G57" i="3"/>
  <c r="F57" i="3"/>
  <c r="N56" i="3"/>
  <c r="M56" i="3"/>
  <c r="G56" i="3"/>
  <c r="F56" i="3"/>
  <c r="N55" i="3"/>
  <c r="M55" i="3"/>
  <c r="G55" i="3"/>
  <c r="F55" i="3"/>
  <c r="N54" i="3"/>
  <c r="M54" i="3"/>
  <c r="G54" i="3"/>
  <c r="F54" i="3"/>
  <c r="N53" i="3"/>
  <c r="M53" i="3"/>
  <c r="G53" i="3"/>
  <c r="F53" i="3"/>
  <c r="N52" i="3"/>
  <c r="M52" i="3"/>
  <c r="G52" i="3"/>
  <c r="F52" i="3"/>
  <c r="N51" i="3"/>
  <c r="M51" i="3"/>
  <c r="G51" i="3"/>
  <c r="F51" i="3"/>
  <c r="N50" i="3"/>
  <c r="M50" i="3"/>
  <c r="G50" i="3"/>
  <c r="F50" i="3"/>
  <c r="N49" i="3"/>
  <c r="M49" i="3"/>
  <c r="G49" i="3"/>
  <c r="F49" i="3"/>
  <c r="N48" i="3"/>
  <c r="M48" i="3"/>
  <c r="G48" i="3"/>
  <c r="F48" i="3"/>
  <c r="N47" i="3"/>
  <c r="M47" i="3"/>
  <c r="G47" i="3"/>
  <c r="F47" i="3"/>
  <c r="N46" i="3"/>
  <c r="M46" i="3"/>
  <c r="G46" i="3"/>
  <c r="F46" i="3"/>
  <c r="N45" i="3"/>
  <c r="M45" i="3"/>
  <c r="G45" i="3"/>
  <c r="F45" i="3"/>
  <c r="N44" i="3"/>
  <c r="M44" i="3"/>
  <c r="G44" i="3"/>
  <c r="F44" i="3"/>
  <c r="M43" i="3"/>
  <c r="L43" i="3"/>
  <c r="N43" i="3" s="1"/>
  <c r="F43" i="3"/>
  <c r="E43" i="3"/>
  <c r="G43" i="3" s="1"/>
  <c r="N41" i="3"/>
  <c r="M41" i="3"/>
  <c r="G41" i="3"/>
  <c r="F41" i="3"/>
  <c r="N40" i="3"/>
  <c r="M40" i="3"/>
  <c r="L39" i="3"/>
  <c r="N39" i="3" s="1"/>
  <c r="G40" i="3"/>
  <c r="F40" i="3"/>
  <c r="E39" i="3"/>
  <c r="G39" i="3" s="1"/>
  <c r="M39" i="3"/>
  <c r="F39" i="3"/>
  <c r="N37" i="3"/>
  <c r="M37" i="3"/>
  <c r="G37" i="3"/>
  <c r="F37" i="3"/>
  <c r="M36" i="3"/>
  <c r="N36" i="3"/>
  <c r="F36" i="3"/>
  <c r="E35" i="3"/>
  <c r="G35" i="3" s="1"/>
  <c r="M35" i="3"/>
  <c r="F35" i="3"/>
  <c r="M33" i="3"/>
  <c r="N33" i="3"/>
  <c r="F33" i="3"/>
  <c r="G33" i="3"/>
  <c r="M32" i="3"/>
  <c r="N32" i="3"/>
  <c r="F32" i="3"/>
  <c r="G32" i="3"/>
  <c r="M31" i="3"/>
  <c r="L30" i="3"/>
  <c r="N30" i="3" s="1"/>
  <c r="F31" i="3"/>
  <c r="G31" i="3"/>
  <c r="M30" i="3"/>
  <c r="F30" i="3"/>
  <c r="M28" i="3"/>
  <c r="N28" i="3"/>
  <c r="F28" i="3"/>
  <c r="G28" i="3"/>
  <c r="M27" i="3"/>
  <c r="N27" i="3"/>
  <c r="F27" i="3"/>
  <c r="G27" i="3"/>
  <c r="M26" i="3"/>
  <c r="L26" i="3"/>
  <c r="N26" i="3" s="1"/>
  <c r="F26" i="3"/>
  <c r="E26" i="3"/>
  <c r="G26" i="3" s="1"/>
  <c r="M24" i="3"/>
  <c r="N24" i="3"/>
  <c r="F24" i="3"/>
  <c r="G24" i="3"/>
  <c r="M23" i="3"/>
  <c r="N23" i="3"/>
  <c r="F23" i="3"/>
  <c r="G23" i="3"/>
  <c r="M22" i="3"/>
  <c r="N22" i="3"/>
  <c r="F22" i="3"/>
  <c r="G22" i="3"/>
  <c r="M21" i="3"/>
  <c r="L21" i="3"/>
  <c r="N21" i="3" s="1"/>
  <c r="F21" i="3"/>
  <c r="E21" i="3"/>
  <c r="G21" i="3" s="1"/>
  <c r="L14" i="3"/>
  <c r="N18" i="3"/>
  <c r="M18" i="3"/>
  <c r="G18" i="3"/>
  <c r="F18" i="3"/>
  <c r="N17" i="3"/>
  <c r="M17" i="3"/>
  <c r="G17" i="3"/>
  <c r="F17" i="3"/>
  <c r="N16" i="3"/>
  <c r="M16" i="3"/>
  <c r="G16" i="3"/>
  <c r="F16" i="3"/>
  <c r="N15" i="3"/>
  <c r="M15" i="3"/>
  <c r="G15" i="3"/>
  <c r="F15" i="3"/>
  <c r="E14" i="3"/>
  <c r="M14" i="3"/>
  <c r="F14" i="3"/>
  <c r="M12" i="3"/>
  <c r="F12" i="3"/>
  <c r="M10" i="3"/>
  <c r="F10" i="3"/>
  <c r="M9" i="3"/>
  <c r="F9" i="3"/>
  <c r="G14" i="3" l="1"/>
  <c r="N14" i="3"/>
  <c r="E30" i="3"/>
  <c r="G30" i="3" s="1"/>
  <c r="L35" i="3"/>
  <c r="N35" i="3" s="1"/>
  <c r="G36" i="3"/>
  <c r="N31" i="3"/>
  <c r="W65" i="1"/>
  <c r="E12" i="3" l="1"/>
  <c r="G12" i="3" s="1"/>
  <c r="L12" i="3"/>
  <c r="AQ67" i="1"/>
  <c r="AQ66" i="1"/>
  <c r="AQ65" i="1"/>
  <c r="AQ63" i="1"/>
  <c r="AQ62" i="1"/>
  <c r="AQ61" i="1"/>
  <c r="AQ60" i="1"/>
  <c r="AQ58" i="1"/>
  <c r="AQ54" i="1"/>
  <c r="AQ53" i="1"/>
  <c r="AQ52" i="1"/>
  <c r="AQ51" i="1"/>
  <c r="AQ48" i="1"/>
  <c r="AQ47" i="1"/>
  <c r="AQ45" i="1"/>
  <c r="AQ44" i="1"/>
  <c r="AQ43" i="1"/>
  <c r="AQ34" i="1"/>
  <c r="AQ32" i="1"/>
  <c r="AQ31" i="1"/>
  <c r="AQ30" i="1"/>
  <c r="AQ29" i="1"/>
  <c r="AQ28" i="1"/>
  <c r="AQ27" i="1"/>
  <c r="AQ26" i="1"/>
  <c r="AQ25" i="1"/>
  <c r="AQ23" i="1"/>
  <c r="AQ22" i="1"/>
  <c r="AQ20" i="1"/>
  <c r="AQ19" i="1"/>
  <c r="AQ18" i="1"/>
  <c r="AQ16" i="1"/>
  <c r="AQ15" i="1"/>
  <c r="AQ13" i="1"/>
  <c r="W59" i="1"/>
  <c r="W56" i="1" s="1"/>
  <c r="AQ56" i="1" s="1"/>
  <c r="W50" i="1"/>
  <c r="AQ50" i="1" s="1"/>
  <c r="W46" i="1"/>
  <c r="AQ46" i="1" s="1"/>
  <c r="W42" i="1"/>
  <c r="AQ42" i="1" s="1"/>
  <c r="W24" i="1"/>
  <c r="AQ24" i="1" s="1"/>
  <c r="W21" i="1"/>
  <c r="AQ21" i="1" s="1"/>
  <c r="W14" i="1"/>
  <c r="AQ14" i="1" s="1"/>
  <c r="W17" i="1"/>
  <c r="AQ17" i="1" s="1"/>
  <c r="E10" i="3" l="1"/>
  <c r="G10" i="3" s="1"/>
  <c r="N12" i="3"/>
  <c r="L10" i="3"/>
  <c r="AQ59" i="1"/>
  <c r="W40" i="1"/>
  <c r="AQ40" i="1" s="1"/>
  <c r="W12" i="1"/>
  <c r="W11" i="1" s="1"/>
  <c r="W9" i="1" s="1"/>
  <c r="AQ9" i="1" s="1"/>
  <c r="AQ67" i="2"/>
  <c r="AQ66" i="2"/>
  <c r="AQ63" i="2"/>
  <c r="AQ62" i="2"/>
  <c r="AQ61" i="2"/>
  <c r="AQ60" i="2"/>
  <c r="AQ58" i="2"/>
  <c r="AQ54" i="2"/>
  <c r="AQ53" i="2"/>
  <c r="AQ52" i="2"/>
  <c r="AQ51" i="2"/>
  <c r="AQ48" i="2"/>
  <c r="AQ47" i="2"/>
  <c r="AQ45" i="2"/>
  <c r="AQ44" i="2"/>
  <c r="AQ43" i="2"/>
  <c r="AQ34" i="2"/>
  <c r="AQ32" i="2"/>
  <c r="AQ31" i="2"/>
  <c r="AQ30" i="2"/>
  <c r="AQ27" i="2"/>
  <c r="AQ26" i="2"/>
  <c r="AQ25" i="2"/>
  <c r="AQ23" i="2"/>
  <c r="AQ22" i="2"/>
  <c r="AQ20" i="2"/>
  <c r="AQ19" i="2"/>
  <c r="AQ18" i="2"/>
  <c r="AQ16" i="2"/>
  <c r="AQ15" i="2"/>
  <c r="AQ13" i="2"/>
  <c r="W74" i="2"/>
  <c r="W65" i="2"/>
  <c r="W59" i="2"/>
  <c r="W56" i="2" s="1"/>
  <c r="W50" i="2"/>
  <c r="W46" i="2"/>
  <c r="W42" i="2"/>
  <c r="AQ42" i="2" s="1"/>
  <c r="W24" i="2"/>
  <c r="AQ24" i="2" s="1"/>
  <c r="W21" i="2"/>
  <c r="AQ21" i="2" s="1"/>
  <c r="W17" i="2"/>
  <c r="W14" i="2"/>
  <c r="V74" i="1"/>
  <c r="V24" i="1"/>
  <c r="AP29" i="1"/>
  <c r="AP28" i="1"/>
  <c r="V65" i="1"/>
  <c r="AP65" i="1" s="1"/>
  <c r="AP67" i="1"/>
  <c r="AP66" i="1"/>
  <c r="AP63" i="1"/>
  <c r="AP62" i="1"/>
  <c r="AP61" i="1"/>
  <c r="AP60" i="1"/>
  <c r="AP58" i="1"/>
  <c r="AP54" i="1"/>
  <c r="AP53" i="1"/>
  <c r="AP52" i="1"/>
  <c r="AP51" i="1"/>
  <c r="AP48" i="1"/>
  <c r="AP47" i="1"/>
  <c r="AP45" i="1"/>
  <c r="AP44" i="1"/>
  <c r="AP43" i="1"/>
  <c r="AP34" i="1"/>
  <c r="AP32" i="1"/>
  <c r="AP31" i="1"/>
  <c r="AP30" i="1"/>
  <c r="AP27" i="1"/>
  <c r="AP26" i="1"/>
  <c r="AP25" i="1"/>
  <c r="AP23" i="1"/>
  <c r="AP22" i="1"/>
  <c r="AP20" i="1"/>
  <c r="AP19" i="1"/>
  <c r="AP18" i="1"/>
  <c r="AP16" i="1"/>
  <c r="AP13" i="1"/>
  <c r="AP67" i="2"/>
  <c r="AP66" i="2"/>
  <c r="AP63" i="2"/>
  <c r="AP62" i="2"/>
  <c r="AP61" i="2"/>
  <c r="AP60" i="2"/>
  <c r="AP58" i="2"/>
  <c r="AP54" i="2"/>
  <c r="AP53" i="2"/>
  <c r="AP52" i="2"/>
  <c r="AP51" i="2"/>
  <c r="AP48" i="2"/>
  <c r="AP47" i="2"/>
  <c r="AP45" i="2"/>
  <c r="AP44" i="2"/>
  <c r="AP43" i="2"/>
  <c r="AP34" i="2"/>
  <c r="AP32" i="2"/>
  <c r="AP31" i="2"/>
  <c r="AP30" i="2"/>
  <c r="AP27" i="2"/>
  <c r="AP26" i="2"/>
  <c r="AP25" i="2"/>
  <c r="AP23" i="2"/>
  <c r="AP22" i="2"/>
  <c r="AP20" i="2"/>
  <c r="AP19" i="2"/>
  <c r="AP18" i="2"/>
  <c r="AP16" i="2"/>
  <c r="AP13" i="2"/>
  <c r="V59" i="1"/>
  <c r="AP59" i="1" s="1"/>
  <c r="V50" i="1"/>
  <c r="V40" i="1" s="1"/>
  <c r="V46" i="1"/>
  <c r="V42" i="1"/>
  <c r="V21" i="1"/>
  <c r="V17" i="1"/>
  <c r="V14" i="1"/>
  <c r="V74" i="2"/>
  <c r="V65" i="2"/>
  <c r="V59" i="2"/>
  <c r="V56" i="2" s="1"/>
  <c r="V50" i="2"/>
  <c r="V46" i="2"/>
  <c r="V42" i="2"/>
  <c r="V24" i="2"/>
  <c r="V21" i="2"/>
  <c r="V17" i="2"/>
  <c r="V14" i="2"/>
  <c r="U75" i="2"/>
  <c r="U74" i="2" s="1"/>
  <c r="U75" i="1"/>
  <c r="U74" i="1" s="1"/>
  <c r="U15" i="2"/>
  <c r="AP15" i="2" s="1"/>
  <c r="U15" i="1"/>
  <c r="AP15" i="1" s="1"/>
  <c r="AO29" i="1"/>
  <c r="U24" i="1"/>
  <c r="AO67" i="1"/>
  <c r="AO66" i="1"/>
  <c r="AO63" i="1"/>
  <c r="AO62" i="1"/>
  <c r="AO61" i="1"/>
  <c r="AO60" i="1"/>
  <c r="AO58" i="1"/>
  <c r="AO54" i="1"/>
  <c r="AO53" i="1"/>
  <c r="AO52" i="1"/>
  <c r="AO51" i="1"/>
  <c r="AO48" i="1"/>
  <c r="AO47" i="1"/>
  <c r="AO45" i="1"/>
  <c r="AO44" i="1"/>
  <c r="AO43" i="1"/>
  <c r="AO34" i="1"/>
  <c r="AO32" i="1"/>
  <c r="AO31" i="1"/>
  <c r="AO30" i="1"/>
  <c r="AO27" i="1"/>
  <c r="AO26" i="1"/>
  <c r="AO25" i="1"/>
  <c r="AO23" i="1"/>
  <c r="AO22" i="1"/>
  <c r="AO20" i="1"/>
  <c r="AO19" i="1"/>
  <c r="AO18" i="1"/>
  <c r="AO16" i="1"/>
  <c r="AO13" i="1"/>
  <c r="AO67" i="2"/>
  <c r="AO66" i="2"/>
  <c r="AO63" i="2"/>
  <c r="AO62" i="2"/>
  <c r="AO61" i="2"/>
  <c r="AO60" i="2"/>
  <c r="AO58" i="2"/>
  <c r="AO54" i="2"/>
  <c r="AO53" i="2"/>
  <c r="AO52" i="2"/>
  <c r="AO51" i="2"/>
  <c r="AO48" i="2"/>
  <c r="AO47" i="2"/>
  <c r="AO45" i="2"/>
  <c r="AO44" i="2"/>
  <c r="AO43" i="2"/>
  <c r="AO34" i="2"/>
  <c r="AO32" i="2"/>
  <c r="AO31" i="2"/>
  <c r="AO30" i="2"/>
  <c r="AO27" i="2"/>
  <c r="AO26" i="2"/>
  <c r="AO25" i="2"/>
  <c r="AO23" i="2"/>
  <c r="AO22" i="2"/>
  <c r="AO20" i="2"/>
  <c r="AO19" i="2"/>
  <c r="AO18" i="2"/>
  <c r="AO16" i="2"/>
  <c r="AO13" i="2"/>
  <c r="U65" i="2"/>
  <c r="U59" i="2"/>
  <c r="U56" i="2" s="1"/>
  <c r="U50" i="2"/>
  <c r="U46" i="2"/>
  <c r="U42" i="2"/>
  <c r="U24" i="2"/>
  <c r="U21" i="2"/>
  <c r="AP21" i="2" s="1"/>
  <c r="U17" i="2"/>
  <c r="U65" i="1"/>
  <c r="U59" i="1"/>
  <c r="U56" i="1" s="1"/>
  <c r="U50" i="1"/>
  <c r="U46" i="1"/>
  <c r="U42" i="1"/>
  <c r="U21" i="1"/>
  <c r="AO21" i="1" s="1"/>
  <c r="U17" i="1"/>
  <c r="AP17" i="1" s="1"/>
  <c r="T74" i="1"/>
  <c r="T74" i="2"/>
  <c r="T17" i="1"/>
  <c r="T24" i="2"/>
  <c r="T24" i="1"/>
  <c r="T65" i="1"/>
  <c r="AN67" i="1"/>
  <c r="AN66" i="1"/>
  <c r="AN63" i="1"/>
  <c r="AN62" i="1"/>
  <c r="AN61" i="1"/>
  <c r="AN60" i="1"/>
  <c r="AN58" i="1"/>
  <c r="AN54" i="1"/>
  <c r="AN53" i="1"/>
  <c r="AN52" i="1"/>
  <c r="AN51" i="1"/>
  <c r="AN48" i="1"/>
  <c r="AN47" i="1"/>
  <c r="AN45" i="1"/>
  <c r="AN44" i="1"/>
  <c r="AN43" i="1"/>
  <c r="AN34" i="1"/>
  <c r="AN32" i="1"/>
  <c r="AN31" i="1"/>
  <c r="AN30" i="1"/>
  <c r="AN27" i="1"/>
  <c r="AN26" i="1"/>
  <c r="AN25" i="1"/>
  <c r="AN23" i="1"/>
  <c r="AN22" i="1"/>
  <c r="AN20" i="1"/>
  <c r="AN19" i="1"/>
  <c r="AN18" i="1"/>
  <c r="AN16" i="1"/>
  <c r="AN15" i="1"/>
  <c r="AN13" i="1"/>
  <c r="AN67" i="2"/>
  <c r="AN66" i="2"/>
  <c r="AN63" i="2"/>
  <c r="AN62" i="2"/>
  <c r="AN61" i="2"/>
  <c r="AN60" i="2"/>
  <c r="AN58" i="2"/>
  <c r="AN54" i="2"/>
  <c r="AN53" i="2"/>
  <c r="AN52" i="2"/>
  <c r="AN51" i="2"/>
  <c r="AN48" i="2"/>
  <c r="AN47" i="2"/>
  <c r="AN45" i="2"/>
  <c r="AN44" i="2"/>
  <c r="AN43" i="2"/>
  <c r="AN34" i="2"/>
  <c r="AN32" i="2"/>
  <c r="AN31" i="2"/>
  <c r="AN30" i="2"/>
  <c r="AN27" i="2"/>
  <c r="AN26" i="2"/>
  <c r="AN25" i="2"/>
  <c r="AN23" i="2"/>
  <c r="AN22" i="2"/>
  <c r="AN20" i="2"/>
  <c r="AN19" i="2"/>
  <c r="AN18" i="2"/>
  <c r="AN16" i="2"/>
  <c r="AN15" i="2"/>
  <c r="AN13" i="2"/>
  <c r="T59" i="1"/>
  <c r="T56" i="1" s="1"/>
  <c r="T50" i="1"/>
  <c r="T46" i="1"/>
  <c r="AO46" i="1" s="1"/>
  <c r="T42" i="1"/>
  <c r="T21" i="1"/>
  <c r="T14" i="1"/>
  <c r="T65" i="2"/>
  <c r="T59" i="2"/>
  <c r="T56" i="2" s="1"/>
  <c r="T50" i="2"/>
  <c r="T46" i="2"/>
  <c r="T42" i="2"/>
  <c r="T40" i="2" s="1"/>
  <c r="T21" i="2"/>
  <c r="T17" i="2"/>
  <c r="T14" i="2"/>
  <c r="S74" i="2"/>
  <c r="S65" i="1"/>
  <c r="S65" i="2"/>
  <c r="S59" i="2"/>
  <c r="S50" i="2"/>
  <c r="AN50" i="2" s="1"/>
  <c r="S46" i="2"/>
  <c r="S42" i="2"/>
  <c r="S24" i="2"/>
  <c r="S21" i="2"/>
  <c r="S17" i="2"/>
  <c r="S14" i="2"/>
  <c r="AN14" i="2" s="1"/>
  <c r="AM67" i="2"/>
  <c r="AM66" i="2"/>
  <c r="AM63" i="2"/>
  <c r="AM62" i="2"/>
  <c r="AM61" i="2"/>
  <c r="AM60" i="2"/>
  <c r="AM58" i="2"/>
  <c r="AM54" i="2"/>
  <c r="AM53" i="2"/>
  <c r="AM52" i="2"/>
  <c r="AM51" i="2"/>
  <c r="AM48" i="2"/>
  <c r="AM47" i="2"/>
  <c r="AM45" i="2"/>
  <c r="AM44" i="2"/>
  <c r="AM43" i="2"/>
  <c r="AM34" i="2"/>
  <c r="AM32" i="2"/>
  <c r="AM31" i="2"/>
  <c r="AM30" i="2"/>
  <c r="AM27" i="2"/>
  <c r="AM26" i="2"/>
  <c r="AM25" i="2"/>
  <c r="AM23" i="2"/>
  <c r="AM22" i="2"/>
  <c r="AM20" i="2"/>
  <c r="AM19" i="2"/>
  <c r="AM18" i="2"/>
  <c r="AM16" i="2"/>
  <c r="AM15" i="2"/>
  <c r="AM13" i="2"/>
  <c r="AM67" i="1"/>
  <c r="AM66" i="1"/>
  <c r="AM63" i="1"/>
  <c r="AM62" i="1"/>
  <c r="AM61" i="1"/>
  <c r="AM60" i="1"/>
  <c r="AM58" i="1"/>
  <c r="AM54" i="1"/>
  <c r="AM53" i="1"/>
  <c r="AM52" i="1"/>
  <c r="AM51" i="1"/>
  <c r="AM48" i="1"/>
  <c r="AM47" i="1"/>
  <c r="AM45" i="1"/>
  <c r="AM44" i="1"/>
  <c r="AM43" i="1"/>
  <c r="AM34" i="1"/>
  <c r="AM32" i="1"/>
  <c r="AM31" i="1"/>
  <c r="AM30" i="1"/>
  <c r="AM27" i="1"/>
  <c r="AM26" i="1"/>
  <c r="AM25" i="1"/>
  <c r="AM23" i="1"/>
  <c r="AM22" i="1"/>
  <c r="AM20" i="1"/>
  <c r="AM19" i="1"/>
  <c r="AM18" i="1"/>
  <c r="AM16" i="1"/>
  <c r="AM15" i="1"/>
  <c r="AM13" i="1"/>
  <c r="S74" i="1"/>
  <c r="S59" i="1"/>
  <c r="S56" i="1" s="1"/>
  <c r="S50" i="1"/>
  <c r="S46" i="1"/>
  <c r="S42" i="1"/>
  <c r="S24" i="1"/>
  <c r="AN24" i="1" s="1"/>
  <c r="S21" i="1"/>
  <c r="S17" i="1"/>
  <c r="S14" i="1"/>
  <c r="R24" i="1"/>
  <c r="R65" i="2"/>
  <c r="R65" i="1"/>
  <c r="AL67" i="2"/>
  <c r="AL66" i="2"/>
  <c r="AL63" i="2"/>
  <c r="AL62" i="2"/>
  <c r="AL61" i="2"/>
  <c r="AL60" i="2"/>
  <c r="AL58" i="2"/>
  <c r="AL54" i="2"/>
  <c r="AL53" i="2"/>
  <c r="AL52" i="2"/>
  <c r="AL51" i="2"/>
  <c r="AL48" i="2"/>
  <c r="AL47" i="2"/>
  <c r="AL45" i="2"/>
  <c r="AL44" i="2"/>
  <c r="AL43" i="2"/>
  <c r="AL34" i="2"/>
  <c r="AL32" i="2"/>
  <c r="AL31" i="2"/>
  <c r="AL30" i="2"/>
  <c r="AL27" i="2"/>
  <c r="AL26" i="2"/>
  <c r="AL25" i="2"/>
  <c r="AL23" i="2"/>
  <c r="AL22" i="2"/>
  <c r="AL20" i="2"/>
  <c r="AL19" i="2"/>
  <c r="AL18" i="2"/>
  <c r="AL16" i="2"/>
  <c r="AL15" i="2"/>
  <c r="AL13" i="2"/>
  <c r="R74" i="2"/>
  <c r="R59" i="2"/>
  <c r="R50" i="2"/>
  <c r="R46" i="2"/>
  <c r="AM46" i="2" s="1"/>
  <c r="R42" i="2"/>
  <c r="R24" i="2"/>
  <c r="R21" i="2"/>
  <c r="R17" i="2"/>
  <c r="R14" i="2"/>
  <c r="AL67" i="1"/>
  <c r="AL66" i="1"/>
  <c r="AL63" i="1"/>
  <c r="AL62" i="1"/>
  <c r="AL61" i="1"/>
  <c r="AL60" i="1"/>
  <c r="AL58" i="1"/>
  <c r="AL54" i="1"/>
  <c r="AL53" i="1"/>
  <c r="AL52" i="1"/>
  <c r="AL51" i="1"/>
  <c r="AL48" i="1"/>
  <c r="AL47" i="1"/>
  <c r="AL45" i="1"/>
  <c r="AL44" i="1"/>
  <c r="AL43" i="1"/>
  <c r="AL34" i="1"/>
  <c r="AL32" i="1"/>
  <c r="AL31" i="1"/>
  <c r="AL30" i="1"/>
  <c r="AL27" i="1"/>
  <c r="AL26" i="1"/>
  <c r="AL25" i="1"/>
  <c r="AL23" i="1"/>
  <c r="AL22" i="1"/>
  <c r="AL20" i="1"/>
  <c r="AL19" i="1"/>
  <c r="AL18" i="1"/>
  <c r="AL16" i="1"/>
  <c r="AL15" i="1"/>
  <c r="AL13" i="1"/>
  <c r="R74" i="1"/>
  <c r="R59" i="1"/>
  <c r="R56" i="1" s="1"/>
  <c r="R50" i="1"/>
  <c r="R46" i="1"/>
  <c r="R42" i="1"/>
  <c r="R21" i="1"/>
  <c r="R17" i="1"/>
  <c r="R14" i="1"/>
  <c r="AK20" i="1"/>
  <c r="AK19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AA65" i="1"/>
  <c r="Z65" i="1"/>
  <c r="Y65" i="1"/>
  <c r="AK63" i="1"/>
  <c r="AJ63" i="1"/>
  <c r="AI63" i="1"/>
  <c r="AF63" i="1"/>
  <c r="AE63" i="1"/>
  <c r="AD63" i="1"/>
  <c r="AC63" i="1"/>
  <c r="AB63" i="1"/>
  <c r="AA63" i="1"/>
  <c r="Z63" i="1"/>
  <c r="Y63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AK61" i="1"/>
  <c r="AJ61" i="1"/>
  <c r="AI61" i="1"/>
  <c r="AF61" i="1"/>
  <c r="AE61" i="1"/>
  <c r="AD61" i="1"/>
  <c r="AA61" i="1"/>
  <c r="Z61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AK54" i="1"/>
  <c r="AJ54" i="1"/>
  <c r="AI54" i="1"/>
  <c r="AH54" i="1"/>
  <c r="AG54" i="1"/>
  <c r="AD54" i="1"/>
  <c r="AC54" i="1"/>
  <c r="AB54" i="1"/>
  <c r="AA54" i="1"/>
  <c r="Z54" i="1"/>
  <c r="Y54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AK52" i="1"/>
  <c r="AJ52" i="1"/>
  <c r="AI52" i="1"/>
  <c r="AH52" i="1"/>
  <c r="AG52" i="1"/>
  <c r="AD52" i="1"/>
  <c r="AC52" i="1"/>
  <c r="AB52" i="1"/>
  <c r="AA52" i="1"/>
  <c r="Z52" i="1"/>
  <c r="Y52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AK27" i="1"/>
  <c r="AJ27" i="1"/>
  <c r="AI27" i="1"/>
  <c r="AH27" i="1"/>
  <c r="AG27" i="1"/>
  <c r="AF27" i="1"/>
  <c r="AE27" i="1"/>
  <c r="AD27" i="1"/>
  <c r="AA27" i="1"/>
  <c r="Z27" i="1"/>
  <c r="Y27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Y24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Y21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Y17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Y14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Y12" i="1"/>
  <c r="X67" i="1"/>
  <c r="X66" i="1"/>
  <c r="X65" i="1"/>
  <c r="X63" i="1"/>
  <c r="X62" i="1"/>
  <c r="X60" i="1"/>
  <c r="X58" i="1"/>
  <c r="X54" i="1"/>
  <c r="X52" i="1"/>
  <c r="X51" i="1"/>
  <c r="X48" i="1"/>
  <c r="X47" i="1"/>
  <c r="X45" i="1"/>
  <c r="X44" i="1"/>
  <c r="X43" i="1"/>
  <c r="X34" i="1"/>
  <c r="X32" i="1"/>
  <c r="X31" i="1"/>
  <c r="X30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O75" i="1"/>
  <c r="O74" i="1" s="1"/>
  <c r="O65" i="1"/>
  <c r="AI65" i="1" s="1"/>
  <c r="O59" i="1"/>
  <c r="O56" i="1" s="1"/>
  <c r="O50" i="1"/>
  <c r="O46" i="1"/>
  <c r="O42" i="1"/>
  <c r="O24" i="1"/>
  <c r="O21" i="1"/>
  <c r="O12" i="1" s="1"/>
  <c r="O17" i="1"/>
  <c r="O14" i="1"/>
  <c r="N74" i="1"/>
  <c r="N65" i="1"/>
  <c r="N59" i="1"/>
  <c r="N50" i="1"/>
  <c r="AH50" i="1" s="1"/>
  <c r="N46" i="1"/>
  <c r="N42" i="1"/>
  <c r="N24" i="1"/>
  <c r="AH24" i="1" s="1"/>
  <c r="N21" i="1"/>
  <c r="N17" i="1"/>
  <c r="N14" i="1"/>
  <c r="M74" i="1"/>
  <c r="M65" i="1"/>
  <c r="M63" i="1"/>
  <c r="AG63" i="1" s="1"/>
  <c r="M61" i="1"/>
  <c r="AH61" i="1"/>
  <c r="M50" i="1"/>
  <c r="M46" i="1"/>
  <c r="M42" i="1"/>
  <c r="M40" i="1" s="1"/>
  <c r="M24" i="1"/>
  <c r="M21" i="1"/>
  <c r="AH21" i="1" s="1"/>
  <c r="M17" i="1"/>
  <c r="M14" i="1"/>
  <c r="AH14" i="1"/>
  <c r="L75" i="1"/>
  <c r="L74" i="1" s="1"/>
  <c r="L65" i="1"/>
  <c r="L59" i="1"/>
  <c r="L50" i="1"/>
  <c r="L40" i="1" s="1"/>
  <c r="L46" i="1"/>
  <c r="L42" i="1"/>
  <c r="L24" i="1"/>
  <c r="L21" i="1"/>
  <c r="L17" i="1"/>
  <c r="L14" i="1"/>
  <c r="K75" i="1"/>
  <c r="K74" i="1" s="1"/>
  <c r="K65" i="1"/>
  <c r="K59" i="1"/>
  <c r="K54" i="1"/>
  <c r="AF54" i="1" s="1"/>
  <c r="K52" i="1"/>
  <c r="AF52" i="1" s="1"/>
  <c r="K46" i="1"/>
  <c r="K42" i="1"/>
  <c r="AF42" i="1" s="1"/>
  <c r="K24" i="1"/>
  <c r="K21" i="1"/>
  <c r="K17" i="1"/>
  <c r="K12" i="1" s="1"/>
  <c r="K14" i="1"/>
  <c r="J75" i="1"/>
  <c r="J74" i="1"/>
  <c r="J65" i="1"/>
  <c r="J59" i="1"/>
  <c r="J50" i="1"/>
  <c r="AD50" i="1" s="1"/>
  <c r="J46" i="1"/>
  <c r="J42" i="1"/>
  <c r="J24" i="1"/>
  <c r="AE24" i="1" s="1"/>
  <c r="J21" i="1"/>
  <c r="J17" i="1"/>
  <c r="J14" i="1"/>
  <c r="AE14" i="1" s="1"/>
  <c r="I74" i="1"/>
  <c r="I65" i="1"/>
  <c r="I59" i="1"/>
  <c r="I56" i="1" s="1"/>
  <c r="I50" i="1"/>
  <c r="I46" i="1"/>
  <c r="I42" i="1"/>
  <c r="I40" i="1" s="1"/>
  <c r="I36" i="1" s="1"/>
  <c r="I38" i="1" s="1"/>
  <c r="I24" i="1"/>
  <c r="I21" i="1"/>
  <c r="I17" i="1"/>
  <c r="AD17" i="1" s="1"/>
  <c r="I14" i="1"/>
  <c r="H74" i="1"/>
  <c r="H65" i="1"/>
  <c r="AC65" i="1" s="1"/>
  <c r="H61" i="1"/>
  <c r="AB61" i="1"/>
  <c r="H50" i="1"/>
  <c r="AB50" i="1" s="1"/>
  <c r="H46" i="1"/>
  <c r="H42" i="1"/>
  <c r="H27" i="1"/>
  <c r="H12" i="1" s="1"/>
  <c r="H11" i="1" s="1"/>
  <c r="H24" i="1"/>
  <c r="H21" i="1"/>
  <c r="H17" i="1"/>
  <c r="AB17" i="1" s="1"/>
  <c r="H14" i="1"/>
  <c r="G74" i="1"/>
  <c r="G59" i="1"/>
  <c r="G50" i="1"/>
  <c r="G46" i="1"/>
  <c r="G42" i="1"/>
  <c r="G24" i="1"/>
  <c r="G21" i="1"/>
  <c r="AB21" i="1" s="1"/>
  <c r="G17" i="1"/>
  <c r="AA17" i="1" s="1"/>
  <c r="G14" i="1"/>
  <c r="F59" i="1"/>
  <c r="F56" i="1" s="1"/>
  <c r="F50" i="1"/>
  <c r="F40" i="1" s="1"/>
  <c r="F46" i="1"/>
  <c r="F42" i="1"/>
  <c r="F24" i="1"/>
  <c r="Z24" i="1" s="1"/>
  <c r="F21" i="1"/>
  <c r="F17" i="1"/>
  <c r="Z17" i="1" s="1"/>
  <c r="F14" i="1"/>
  <c r="Z14" i="1"/>
  <c r="E59" i="1"/>
  <c r="E56" i="1" s="1"/>
  <c r="E50" i="1"/>
  <c r="E46" i="1"/>
  <c r="Y46" i="1" s="1"/>
  <c r="E42" i="1"/>
  <c r="E40" i="1" s="1"/>
  <c r="E11" i="1"/>
  <c r="E9" i="1"/>
  <c r="P14" i="1"/>
  <c r="P17" i="1"/>
  <c r="P21" i="1"/>
  <c r="P24" i="1"/>
  <c r="P42" i="1"/>
  <c r="AJ42" i="1" s="1"/>
  <c r="P46" i="1"/>
  <c r="P50" i="1"/>
  <c r="AK50" i="1" s="1"/>
  <c r="P59" i="1"/>
  <c r="P65" i="1"/>
  <c r="P74" i="1"/>
  <c r="D61" i="1"/>
  <c r="D59" i="1" s="1"/>
  <c r="D50" i="1"/>
  <c r="D46" i="1"/>
  <c r="D42" i="1"/>
  <c r="D11" i="1"/>
  <c r="D9" i="1" s="1"/>
  <c r="C61" i="1"/>
  <c r="C59" i="1" s="1"/>
  <c r="C53" i="1"/>
  <c r="C50" i="1" s="1"/>
  <c r="C46" i="1"/>
  <c r="X46" i="1" s="1"/>
  <c r="C42" i="1"/>
  <c r="C11" i="1"/>
  <c r="C9" i="1" s="1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AA65" i="2"/>
  <c r="Z65" i="2"/>
  <c r="Y65" i="2"/>
  <c r="AK63" i="2"/>
  <c r="AJ63" i="2"/>
  <c r="AI63" i="2"/>
  <c r="AF63" i="2"/>
  <c r="AE63" i="2"/>
  <c r="AD63" i="2"/>
  <c r="AC63" i="2"/>
  <c r="AB63" i="2"/>
  <c r="AA63" i="2"/>
  <c r="Z63" i="2"/>
  <c r="Y63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AK61" i="2"/>
  <c r="AJ61" i="2"/>
  <c r="AI61" i="2"/>
  <c r="AF61" i="2"/>
  <c r="AE61" i="2"/>
  <c r="AD61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AK54" i="2"/>
  <c r="AJ54" i="2"/>
  <c r="AI54" i="2"/>
  <c r="AH54" i="2"/>
  <c r="AG54" i="2"/>
  <c r="AD54" i="2"/>
  <c r="AC54" i="2"/>
  <c r="AB54" i="2"/>
  <c r="AA54" i="2"/>
  <c r="Z54" i="2"/>
  <c r="Y54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Y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Y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Y17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Y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Y12" i="2"/>
  <c r="X34" i="2"/>
  <c r="X67" i="2"/>
  <c r="X66" i="2"/>
  <c r="X65" i="2"/>
  <c r="X63" i="2"/>
  <c r="X62" i="2"/>
  <c r="X60" i="2"/>
  <c r="X58" i="2"/>
  <c r="X54" i="2"/>
  <c r="X53" i="2"/>
  <c r="X52" i="2"/>
  <c r="X51" i="2"/>
  <c r="X48" i="2"/>
  <c r="X47" i="2"/>
  <c r="X45" i="2"/>
  <c r="X44" i="2"/>
  <c r="X43" i="2"/>
  <c r="X32" i="2"/>
  <c r="X31" i="2"/>
  <c r="X30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Q74" i="2"/>
  <c r="Q65" i="2"/>
  <c r="Q59" i="2"/>
  <c r="AL59" i="2" s="1"/>
  <c r="Q50" i="2"/>
  <c r="AL50" i="2" s="1"/>
  <c r="Q46" i="2"/>
  <c r="Q42" i="2"/>
  <c r="Q24" i="2"/>
  <c r="Q21" i="2"/>
  <c r="Q17" i="2"/>
  <c r="Q14" i="2"/>
  <c r="O74" i="2"/>
  <c r="O65" i="2"/>
  <c r="O59" i="2"/>
  <c r="O56" i="2" s="1"/>
  <c r="O50" i="2"/>
  <c r="O46" i="2"/>
  <c r="O42" i="2"/>
  <c r="O24" i="2"/>
  <c r="O21" i="2"/>
  <c r="O17" i="2"/>
  <c r="O14" i="2"/>
  <c r="N74" i="2"/>
  <c r="N65" i="2"/>
  <c r="N59" i="2"/>
  <c r="N56" i="2" s="1"/>
  <c r="N50" i="2"/>
  <c r="AH50" i="2" s="1"/>
  <c r="N46" i="2"/>
  <c r="N42" i="2"/>
  <c r="N24" i="2"/>
  <c r="AH24" i="2" s="1"/>
  <c r="N21" i="2"/>
  <c r="N17" i="2"/>
  <c r="N14" i="2"/>
  <c r="AH14" i="2" s="1"/>
  <c r="M74" i="2"/>
  <c r="M65" i="2"/>
  <c r="M63" i="2"/>
  <c r="M61" i="2"/>
  <c r="AH61" i="2" s="1"/>
  <c r="M50" i="2"/>
  <c r="M46" i="2"/>
  <c r="AG46" i="2" s="1"/>
  <c r="M42" i="2"/>
  <c r="M24" i="2"/>
  <c r="M21" i="2"/>
  <c r="M17" i="2"/>
  <c r="AH17" i="2" s="1"/>
  <c r="M14" i="2"/>
  <c r="L75" i="2"/>
  <c r="L74" i="2" s="1"/>
  <c r="L65" i="2"/>
  <c r="L59" i="2"/>
  <c r="L56" i="2" s="1"/>
  <c r="L50" i="2"/>
  <c r="L46" i="2"/>
  <c r="AF46" i="2" s="1"/>
  <c r="L42" i="2"/>
  <c r="L24" i="2"/>
  <c r="L21" i="2"/>
  <c r="L17" i="2"/>
  <c r="L14" i="2"/>
  <c r="K75" i="2"/>
  <c r="K74" i="2" s="1"/>
  <c r="K65" i="2"/>
  <c r="K59" i="2"/>
  <c r="K54" i="2"/>
  <c r="AF54" i="2" s="1"/>
  <c r="K46" i="2"/>
  <c r="K42" i="2"/>
  <c r="AF42" i="2" s="1"/>
  <c r="K24" i="2"/>
  <c r="K21" i="2"/>
  <c r="K17" i="2"/>
  <c r="K14" i="2"/>
  <c r="J75" i="2"/>
  <c r="J74" i="2" s="1"/>
  <c r="J65" i="2"/>
  <c r="J59" i="2"/>
  <c r="J56" i="2" s="1"/>
  <c r="J50" i="2"/>
  <c r="J46" i="2"/>
  <c r="J42" i="2"/>
  <c r="J24" i="2"/>
  <c r="AD24" i="2" s="1"/>
  <c r="J21" i="2"/>
  <c r="J17" i="2"/>
  <c r="J14" i="2"/>
  <c r="AE14" i="2" s="1"/>
  <c r="I74" i="2"/>
  <c r="I65" i="2"/>
  <c r="I59" i="2"/>
  <c r="I56" i="2" s="1"/>
  <c r="I50" i="2"/>
  <c r="I46" i="2"/>
  <c r="I42" i="2"/>
  <c r="I24" i="2"/>
  <c r="AC24" i="2" s="1"/>
  <c r="I21" i="2"/>
  <c r="I17" i="2"/>
  <c r="AC17" i="2" s="1"/>
  <c r="I14" i="2"/>
  <c r="H74" i="2"/>
  <c r="H65" i="2"/>
  <c r="AC65" i="2" s="1"/>
  <c r="H61" i="2"/>
  <c r="H59" i="2" s="1"/>
  <c r="H50" i="2"/>
  <c r="AC50" i="2"/>
  <c r="H46" i="2"/>
  <c r="H42" i="2"/>
  <c r="H14" i="2"/>
  <c r="H12" i="2" s="1"/>
  <c r="H11" i="2" s="1"/>
  <c r="H9" i="2" s="1"/>
  <c r="G74" i="2"/>
  <c r="G61" i="2"/>
  <c r="G59" i="2" s="1"/>
  <c r="G50" i="2"/>
  <c r="G46" i="2"/>
  <c r="AA46" i="2" s="1"/>
  <c r="G42" i="2"/>
  <c r="G24" i="2"/>
  <c r="G21" i="2"/>
  <c r="AB21" i="2" s="1"/>
  <c r="G17" i="2"/>
  <c r="G14" i="2"/>
  <c r="AA14" i="2" s="1"/>
  <c r="F61" i="2"/>
  <c r="F59" i="2" s="1"/>
  <c r="F50" i="2"/>
  <c r="F46" i="2"/>
  <c r="F42" i="2"/>
  <c r="F24" i="2"/>
  <c r="Z24" i="2" s="1"/>
  <c r="F21" i="2"/>
  <c r="Z21" i="2" s="1"/>
  <c r="F17" i="2"/>
  <c r="Z17" i="2" s="1"/>
  <c r="F14" i="2"/>
  <c r="E61" i="2"/>
  <c r="E50" i="2"/>
  <c r="E46" i="2"/>
  <c r="E42" i="2"/>
  <c r="E40" i="2" s="1"/>
  <c r="E11" i="2"/>
  <c r="Y11" i="2" s="1"/>
  <c r="D61" i="2"/>
  <c r="D59" i="2" s="1"/>
  <c r="D56" i="2" s="1"/>
  <c r="D50" i="2"/>
  <c r="D46" i="2"/>
  <c r="D42" i="2"/>
  <c r="X42" i="2" s="1"/>
  <c r="D11" i="2"/>
  <c r="D9" i="2" s="1"/>
  <c r="C61" i="2"/>
  <c r="C50" i="2"/>
  <c r="C46" i="2"/>
  <c r="C42" i="2"/>
  <c r="C11" i="2"/>
  <c r="C9" i="2" s="1"/>
  <c r="P74" i="2"/>
  <c r="P65" i="2"/>
  <c r="AK65" i="2" s="1"/>
  <c r="P59" i="2"/>
  <c r="P56" i="2" s="1"/>
  <c r="P50" i="2"/>
  <c r="AJ50" i="2" s="1"/>
  <c r="P46" i="2"/>
  <c r="P42" i="2"/>
  <c r="AK42" i="2" s="1"/>
  <c r="P24" i="2"/>
  <c r="AK24" i="2" s="1"/>
  <c r="P21" i="2"/>
  <c r="AK21" i="2" s="1"/>
  <c r="P17" i="2"/>
  <c r="AJ17" i="2" s="1"/>
  <c r="P14" i="2"/>
  <c r="AK14" i="2" s="1"/>
  <c r="Q65" i="1"/>
  <c r="Q74" i="1"/>
  <c r="Q59" i="1"/>
  <c r="Q56" i="1" s="1"/>
  <c r="Q50" i="1"/>
  <c r="Q46" i="1"/>
  <c r="Q42" i="1"/>
  <c r="AK42" i="1" s="1"/>
  <c r="Q24" i="1"/>
  <c r="Q21" i="1"/>
  <c r="AK21" i="1" s="1"/>
  <c r="Q17" i="1"/>
  <c r="AL17" i="1" s="1"/>
  <c r="Q14" i="1"/>
  <c r="AK14" i="1" s="1"/>
  <c r="K56" i="2"/>
  <c r="AE21" i="2"/>
  <c r="AC61" i="2"/>
  <c r="AB17" i="2"/>
  <c r="R56" i="2"/>
  <c r="AM59" i="2"/>
  <c r="Z14" i="2"/>
  <c r="AL65" i="2"/>
  <c r="AL42" i="2"/>
  <c r="AA50" i="2"/>
  <c r="AD14" i="2"/>
  <c r="Y50" i="2"/>
  <c r="AI42" i="2"/>
  <c r="AG61" i="1"/>
  <c r="M59" i="1"/>
  <c r="M56" i="1"/>
  <c r="AE52" i="1"/>
  <c r="AJ17" i="1"/>
  <c r="AB14" i="1"/>
  <c r="AN14" i="1"/>
  <c r="AB46" i="1"/>
  <c r="AF21" i="1"/>
  <c r="AF59" i="1"/>
  <c r="AH63" i="1"/>
  <c r="AA14" i="1"/>
  <c r="L56" i="1"/>
  <c r="AN59" i="2"/>
  <c r="S56" i="2"/>
  <c r="AI59" i="2"/>
  <c r="AM50" i="2"/>
  <c r="R40" i="2"/>
  <c r="AL40" i="2" s="1"/>
  <c r="AH63" i="2"/>
  <c r="AL14" i="2"/>
  <c r="AM14" i="1"/>
  <c r="K12" i="2"/>
  <c r="K11" i="2" s="1"/>
  <c r="AF17" i="2"/>
  <c r="AI17" i="2"/>
  <c r="AM42" i="1"/>
  <c r="AB50" i="2"/>
  <c r="AM17" i="2"/>
  <c r="AM17" i="1"/>
  <c r="AO59" i="1"/>
  <c r="AF14" i="1"/>
  <c r="AL50" i="1"/>
  <c r="AN42" i="1"/>
  <c r="AH65" i="1"/>
  <c r="AI14" i="1"/>
  <c r="Y50" i="1"/>
  <c r="AG14" i="1"/>
  <c r="AE54" i="1"/>
  <c r="F12" i="1"/>
  <c r="H59" i="1"/>
  <c r="H56" i="1" s="1"/>
  <c r="AG17" i="1"/>
  <c r="AM65" i="1"/>
  <c r="AO17" i="1"/>
  <c r="AC61" i="1"/>
  <c r="AG59" i="1"/>
  <c r="AD65" i="1"/>
  <c r="AI17" i="1"/>
  <c r="AN59" i="1"/>
  <c r="AN50" i="1"/>
  <c r="AJ59" i="1"/>
  <c r="AO24" i="1"/>
  <c r="AD46" i="1"/>
  <c r="AD59" i="1"/>
  <c r="AJ14" i="1"/>
  <c r="AC21" i="1"/>
  <c r="AH59" i="1"/>
  <c r="J56" i="1"/>
  <c r="AK46" i="1"/>
  <c r="AL65" i="1"/>
  <c r="AA42" i="1"/>
  <c r="AE59" i="1"/>
  <c r="P56" i="1"/>
  <c r="AK59" i="1"/>
  <c r="AN65" i="1"/>
  <c r="Z21" i="1"/>
  <c r="AA46" i="1"/>
  <c r="AC46" i="1"/>
  <c r="X11" i="1"/>
  <c r="Y61" i="1"/>
  <c r="Y11" i="1"/>
  <c r="AA59" i="1"/>
  <c r="AC14" i="1"/>
  <c r="AF24" i="1"/>
  <c r="AG46" i="1"/>
  <c r="E59" i="2"/>
  <c r="E56" i="2" s="1"/>
  <c r="AM42" i="2"/>
  <c r="Z61" i="2"/>
  <c r="AN46" i="2"/>
  <c r="AO50" i="2"/>
  <c r="AJ42" i="2"/>
  <c r="G40" i="2"/>
  <c r="AF14" i="2"/>
  <c r="AE65" i="2"/>
  <c r="Q40" i="2"/>
  <c r="AO59" i="2"/>
  <c r="X50" i="2"/>
  <c r="AM24" i="2"/>
  <c r="AN24" i="2"/>
  <c r="Z46" i="2"/>
  <c r="U14" i="2"/>
  <c r="AO14" i="2" s="1"/>
  <c r="AD50" i="2"/>
  <c r="K50" i="2"/>
  <c r="AE50" i="2" s="1"/>
  <c r="AI65" i="2"/>
  <c r="C40" i="2"/>
  <c r="AN17" i="2"/>
  <c r="AG65" i="2"/>
  <c r="AN21" i="2"/>
  <c r="S40" i="2"/>
  <c r="S36" i="2" s="1"/>
  <c r="AL46" i="2"/>
  <c r="AF24" i="2"/>
  <c r="X11" i="2"/>
  <c r="R36" i="2"/>
  <c r="Y42" i="2"/>
  <c r="E9" i="2"/>
  <c r="AL24" i="2"/>
  <c r="AG14" i="2"/>
  <c r="AK46" i="2"/>
  <c r="AJ59" i="2"/>
  <c r="AE59" i="2"/>
  <c r="AB42" i="2"/>
  <c r="Z12" i="1"/>
  <c r="F11" i="1"/>
  <c r="Z11" i="1" s="1"/>
  <c r="T12" i="1"/>
  <c r="AN21" i="1"/>
  <c r="AG24" i="1"/>
  <c r="AI59" i="1"/>
  <c r="U14" i="1"/>
  <c r="AP14" i="1" s="1"/>
  <c r="AH17" i="1"/>
  <c r="AF65" i="1"/>
  <c r="AD14" i="1"/>
  <c r="AI42" i="1"/>
  <c r="G56" i="1"/>
  <c r="K56" i="1"/>
  <c r="AE56" i="1" s="1"/>
  <c r="N56" i="1"/>
  <c r="AH56" i="1"/>
  <c r="X42" i="1"/>
  <c r="J12" i="1"/>
  <c r="J11" i="1" s="1"/>
  <c r="L12" i="1"/>
  <c r="G40" i="1"/>
  <c r="T11" i="1"/>
  <c r="L11" i="1"/>
  <c r="L9" i="1" s="1"/>
  <c r="T9" i="1"/>
  <c r="AP24" i="1"/>
  <c r="V12" i="1"/>
  <c r="V11" i="1" s="1"/>
  <c r="V9" i="1" s="1"/>
  <c r="V12" i="2"/>
  <c r="AP14" i="2"/>
  <c r="AP59" i="2"/>
  <c r="V40" i="2"/>
  <c r="E9" i="3" l="1"/>
  <c r="G9" i="3" s="1"/>
  <c r="N10" i="3"/>
  <c r="L9" i="3"/>
  <c r="N9" i="3" s="1"/>
  <c r="AQ11" i="1"/>
  <c r="W36" i="1"/>
  <c r="W38" i="1" s="1"/>
  <c r="AQ65" i="2"/>
  <c r="AQ59" i="2"/>
  <c r="AD59" i="2"/>
  <c r="AM56" i="2"/>
  <c r="AC42" i="2"/>
  <c r="AQ14" i="2"/>
  <c r="AQ17" i="2"/>
  <c r="AG24" i="2"/>
  <c r="N40" i="2"/>
  <c r="AI50" i="2"/>
  <c r="AN65" i="2"/>
  <c r="AI24" i="2"/>
  <c r="AG21" i="2"/>
  <c r="AI46" i="2"/>
  <c r="AQ46" i="2"/>
  <c r="AE54" i="2"/>
  <c r="AE17" i="2"/>
  <c r="AQ50" i="2"/>
  <c r="AQ56" i="2"/>
  <c r="P40" i="2"/>
  <c r="AK40" i="2" s="1"/>
  <c r="AB14" i="2"/>
  <c r="AF59" i="2"/>
  <c r="AJ46" i="2"/>
  <c r="Y46" i="2"/>
  <c r="AA42" i="2"/>
  <c r="AP65" i="2"/>
  <c r="W40" i="2"/>
  <c r="AQ12" i="1"/>
  <c r="W12" i="2"/>
  <c r="W11" i="2" s="1"/>
  <c r="W9" i="2" s="1"/>
  <c r="F36" i="1"/>
  <c r="Z40" i="1"/>
  <c r="AG40" i="1"/>
  <c r="M36" i="1"/>
  <c r="M38" i="1" s="1"/>
  <c r="P40" i="1"/>
  <c r="K50" i="1"/>
  <c r="AC17" i="1"/>
  <c r="AJ46" i="1"/>
  <c r="AC42" i="1"/>
  <c r="Y42" i="1"/>
  <c r="T36" i="1"/>
  <c r="T38" i="1" s="1"/>
  <c r="T69" i="1" s="1"/>
  <c r="T70" i="1" s="1"/>
  <c r="AK17" i="1"/>
  <c r="AK24" i="1"/>
  <c r="AD56" i="1"/>
  <c r="AO50" i="1"/>
  <c r="AI24" i="1"/>
  <c r="T40" i="1"/>
  <c r="D40" i="1"/>
  <c r="AA40" i="1"/>
  <c r="Z50" i="1"/>
  <c r="AM21" i="1"/>
  <c r="AL42" i="1"/>
  <c r="AH42" i="1"/>
  <c r="Z42" i="1"/>
  <c r="N12" i="1"/>
  <c r="N11" i="1" s="1"/>
  <c r="AN46" i="1"/>
  <c r="AG42" i="1"/>
  <c r="Z59" i="1"/>
  <c r="AA50" i="1"/>
  <c r="Q40" i="1"/>
  <c r="AK40" i="1" s="1"/>
  <c r="AP21" i="1"/>
  <c r="AD42" i="1"/>
  <c r="AE46" i="1"/>
  <c r="AM59" i="1"/>
  <c r="AL24" i="1"/>
  <c r="AC24" i="1"/>
  <c r="AI46" i="1"/>
  <c r="E36" i="1"/>
  <c r="E38" i="1" s="1"/>
  <c r="C40" i="1"/>
  <c r="X50" i="1"/>
  <c r="N9" i="1"/>
  <c r="O11" i="1"/>
  <c r="AI12" i="1"/>
  <c r="D56" i="1"/>
  <c r="Y56" i="1" s="1"/>
  <c r="Y59" i="1"/>
  <c r="F9" i="1"/>
  <c r="F71" i="1" s="1"/>
  <c r="AE42" i="1"/>
  <c r="V56" i="1"/>
  <c r="AB27" i="1"/>
  <c r="M12" i="1"/>
  <c r="S12" i="1"/>
  <c r="AC27" i="1"/>
  <c r="AG21" i="1"/>
  <c r="AP50" i="1"/>
  <c r="K40" i="1"/>
  <c r="AF46" i="1"/>
  <c r="AJ21" i="1"/>
  <c r="AA24" i="1"/>
  <c r="U12" i="1"/>
  <c r="AP12" i="1" s="1"/>
  <c r="P12" i="1"/>
  <c r="J40" i="1"/>
  <c r="AL59" i="1"/>
  <c r="AM24" i="1"/>
  <c r="AL46" i="1"/>
  <c r="AO65" i="1"/>
  <c r="AL14" i="1"/>
  <c r="AC50" i="1"/>
  <c r="AG50" i="1"/>
  <c r="AM50" i="1"/>
  <c r="AJ24" i="1"/>
  <c r="AF56" i="1"/>
  <c r="AJ50" i="1"/>
  <c r="AA21" i="1"/>
  <c r="E69" i="1"/>
  <c r="E70" i="1" s="1"/>
  <c r="AN17" i="1"/>
  <c r="AI21" i="1"/>
  <c r="X53" i="1"/>
  <c r="AK65" i="1"/>
  <c r="AE65" i="1"/>
  <c r="Z46" i="1"/>
  <c r="G36" i="1"/>
  <c r="G38" i="1" s="1"/>
  <c r="AA38" i="1" s="1"/>
  <c r="AG65" i="1"/>
  <c r="AP42" i="1"/>
  <c r="R12" i="1"/>
  <c r="R11" i="1" s="1"/>
  <c r="R9" i="1" s="1"/>
  <c r="AE21" i="1"/>
  <c r="U40" i="1"/>
  <c r="AP40" i="1" s="1"/>
  <c r="AP46" i="1"/>
  <c r="J9" i="1"/>
  <c r="AP56" i="1"/>
  <c r="AO56" i="1"/>
  <c r="AB56" i="1"/>
  <c r="AC56" i="1"/>
  <c r="AM56" i="1"/>
  <c r="AN56" i="1"/>
  <c r="AJ56" i="1"/>
  <c r="AI56" i="1"/>
  <c r="AF12" i="1"/>
  <c r="K11" i="1"/>
  <c r="AE12" i="1"/>
  <c r="X40" i="1"/>
  <c r="Y40" i="1"/>
  <c r="H9" i="1"/>
  <c r="C56" i="1"/>
  <c r="X59" i="1"/>
  <c r="AA56" i="1"/>
  <c r="Z56" i="1"/>
  <c r="F38" i="1"/>
  <c r="Z36" i="1"/>
  <c r="AL56" i="1"/>
  <c r="AK56" i="1"/>
  <c r="X9" i="1"/>
  <c r="U36" i="1"/>
  <c r="AO40" i="1"/>
  <c r="V36" i="1"/>
  <c r="V71" i="1" s="1"/>
  <c r="AO14" i="1"/>
  <c r="AB24" i="1"/>
  <c r="G12" i="1"/>
  <c r="AC59" i="1"/>
  <c r="X61" i="1"/>
  <c r="AJ65" i="1"/>
  <c r="AM46" i="1"/>
  <c r="AF17" i="1"/>
  <c r="Y9" i="1"/>
  <c r="P36" i="1"/>
  <c r="AB59" i="1"/>
  <c r="E71" i="1"/>
  <c r="L36" i="1"/>
  <c r="R40" i="1"/>
  <c r="AE17" i="1"/>
  <c r="I12" i="1"/>
  <c r="Q12" i="1"/>
  <c r="AI50" i="1"/>
  <c r="AD12" i="1"/>
  <c r="N40" i="1"/>
  <c r="AH46" i="1"/>
  <c r="AO15" i="1"/>
  <c r="H40" i="1"/>
  <c r="O40" i="1"/>
  <c r="AB42" i="1"/>
  <c r="S40" i="1"/>
  <c r="AB65" i="1"/>
  <c r="AG56" i="1"/>
  <c r="AL21" i="1"/>
  <c r="AO42" i="1"/>
  <c r="AD24" i="1"/>
  <c r="AD21" i="1"/>
  <c r="AI56" i="2"/>
  <c r="V36" i="2"/>
  <c r="V38" i="2" s="1"/>
  <c r="AK59" i="2"/>
  <c r="AD21" i="2"/>
  <c r="L40" i="2"/>
  <c r="AK50" i="2"/>
  <c r="AF56" i="2"/>
  <c r="S12" i="2"/>
  <c r="AB61" i="2"/>
  <c r="AM14" i="2"/>
  <c r="AA61" i="2"/>
  <c r="Q56" i="2"/>
  <c r="AO46" i="2"/>
  <c r="U12" i="2"/>
  <c r="U11" i="2" s="1"/>
  <c r="U9" i="2" s="1"/>
  <c r="I40" i="2"/>
  <c r="I36" i="2" s="1"/>
  <c r="AF65" i="2"/>
  <c r="AH65" i="2"/>
  <c r="AP17" i="2"/>
  <c r="AH46" i="2"/>
  <c r="AI14" i="2"/>
  <c r="AK17" i="2"/>
  <c r="AL21" i="2"/>
  <c r="AP24" i="2"/>
  <c r="AO21" i="2"/>
  <c r="AD65" i="2"/>
  <c r="AN56" i="2"/>
  <c r="AP50" i="2"/>
  <c r="Y9" i="2"/>
  <c r="AE24" i="2"/>
  <c r="O40" i="2"/>
  <c r="O36" i="2" s="1"/>
  <c r="D40" i="2"/>
  <c r="X40" i="2" s="1"/>
  <c r="AC14" i="2"/>
  <c r="AG42" i="2"/>
  <c r="G56" i="2"/>
  <c r="AA59" i="2"/>
  <c r="F56" i="2"/>
  <c r="Z56" i="2" s="1"/>
  <c r="Z59" i="2"/>
  <c r="AB59" i="2"/>
  <c r="AC59" i="2"/>
  <c r="H56" i="2"/>
  <c r="Y56" i="2"/>
  <c r="M12" i="2"/>
  <c r="M11" i="2" s="1"/>
  <c r="AN42" i="2"/>
  <c r="AC46" i="2"/>
  <c r="AD42" i="2"/>
  <c r="Q12" i="2"/>
  <c r="AL12" i="2" s="1"/>
  <c r="AO42" i="2"/>
  <c r="AA24" i="2"/>
  <c r="J40" i="2"/>
  <c r="AJ65" i="2"/>
  <c r="N12" i="2"/>
  <c r="AI21" i="2"/>
  <c r="AO56" i="2"/>
  <c r="AA21" i="2"/>
  <c r="AG17" i="2"/>
  <c r="AO65" i="2"/>
  <c r="R12" i="2"/>
  <c r="R11" i="2" s="1"/>
  <c r="R9" i="2" s="1"/>
  <c r="AP42" i="2"/>
  <c r="AL17" i="2"/>
  <c r="AG61" i="2"/>
  <c r="AM65" i="2"/>
  <c r="X46" i="2"/>
  <c r="R38" i="2"/>
  <c r="M59" i="2"/>
  <c r="AG59" i="2" s="1"/>
  <c r="AM21" i="2"/>
  <c r="AO17" i="2"/>
  <c r="AO15" i="2"/>
  <c r="X61" i="2"/>
  <c r="Z50" i="2"/>
  <c r="T12" i="2"/>
  <c r="AN12" i="2" s="1"/>
  <c r="V11" i="2"/>
  <c r="V9" i="2" s="1"/>
  <c r="V71" i="2" s="1"/>
  <c r="Y61" i="2"/>
  <c r="AO24" i="2"/>
  <c r="AJ56" i="2"/>
  <c r="J36" i="2"/>
  <c r="AD40" i="2"/>
  <c r="N11" i="2"/>
  <c r="AE56" i="2"/>
  <c r="AD56" i="2"/>
  <c r="T36" i="2"/>
  <c r="AN40" i="2"/>
  <c r="K9" i="2"/>
  <c r="L36" i="2"/>
  <c r="X9" i="2"/>
  <c r="AM36" i="2"/>
  <c r="S38" i="2"/>
  <c r="AP56" i="2"/>
  <c r="H40" i="2"/>
  <c r="N36" i="2"/>
  <c r="P36" i="2"/>
  <c r="AE42" i="2"/>
  <c r="AH42" i="2"/>
  <c r="P12" i="2"/>
  <c r="C59" i="2"/>
  <c r="C56" i="2" s="1"/>
  <c r="C36" i="2" s="1"/>
  <c r="C38" i="2" s="1"/>
  <c r="C69" i="2" s="1"/>
  <c r="C70" i="2" s="1"/>
  <c r="Z42" i="2"/>
  <c r="AB24" i="2"/>
  <c r="AB46" i="2"/>
  <c r="AC21" i="2"/>
  <c r="Y59" i="2"/>
  <c r="F12" i="2"/>
  <c r="K40" i="2"/>
  <c r="AF40" i="2" s="1"/>
  <c r="I12" i="2"/>
  <c r="AJ21" i="2"/>
  <c r="AM40" i="2"/>
  <c r="J12" i="2"/>
  <c r="AA17" i="2"/>
  <c r="AJ14" i="2"/>
  <c r="AD46" i="2"/>
  <c r="AP46" i="2"/>
  <c r="F40" i="2"/>
  <c r="L12" i="2"/>
  <c r="AF21" i="2"/>
  <c r="O12" i="2"/>
  <c r="E36" i="2"/>
  <c r="U40" i="2"/>
  <c r="AP40" i="2" s="1"/>
  <c r="AF50" i="2"/>
  <c r="AG63" i="2"/>
  <c r="AJ24" i="2"/>
  <c r="AB65" i="2"/>
  <c r="I38" i="2"/>
  <c r="AE46" i="2"/>
  <c r="M40" i="2"/>
  <c r="AG50" i="2"/>
  <c r="G12" i="2"/>
  <c r="AD17" i="2"/>
  <c r="AH21" i="2"/>
  <c r="AQ40" i="2" l="1"/>
  <c r="W36" i="2"/>
  <c r="W71" i="2" s="1"/>
  <c r="AQ71" i="2" s="1"/>
  <c r="AQ36" i="1"/>
  <c r="W71" i="1"/>
  <c r="AQ71" i="1" s="1"/>
  <c r="AQ38" i="1"/>
  <c r="W69" i="1"/>
  <c r="W70" i="1" s="1"/>
  <c r="AM12" i="2"/>
  <c r="D36" i="2"/>
  <c r="Y40" i="2"/>
  <c r="AJ40" i="2"/>
  <c r="AI40" i="2"/>
  <c r="AQ9" i="2"/>
  <c r="AQ11" i="2"/>
  <c r="AQ12" i="2"/>
  <c r="AF50" i="1"/>
  <c r="AE50" i="1"/>
  <c r="Z9" i="1"/>
  <c r="T71" i="1"/>
  <c r="T72" i="1" s="1"/>
  <c r="Q36" i="1"/>
  <c r="AE40" i="1"/>
  <c r="K36" i="1"/>
  <c r="AF40" i="1"/>
  <c r="AO12" i="1"/>
  <c r="D36" i="1"/>
  <c r="D71" i="1" s="1"/>
  <c r="D72" i="1" s="1"/>
  <c r="S11" i="1"/>
  <c r="AN12" i="1"/>
  <c r="AM12" i="1"/>
  <c r="O9" i="1"/>
  <c r="AI9" i="1" s="1"/>
  <c r="AI11" i="1"/>
  <c r="AH12" i="1"/>
  <c r="M11" i="1"/>
  <c r="AG12" i="1"/>
  <c r="U11" i="1"/>
  <c r="AP11" i="1" s="1"/>
  <c r="AA36" i="1"/>
  <c r="J36" i="1"/>
  <c r="J71" i="1" s="1"/>
  <c r="AD40" i="1"/>
  <c r="P11" i="1"/>
  <c r="AJ12" i="1"/>
  <c r="AK12" i="1"/>
  <c r="AL12" i="1"/>
  <c r="Q11" i="1"/>
  <c r="AM40" i="1"/>
  <c r="S36" i="1"/>
  <c r="AN40" i="1"/>
  <c r="AC12" i="1"/>
  <c r="I11" i="1"/>
  <c r="AK36" i="1"/>
  <c r="Q38" i="1"/>
  <c r="AK38" i="1" s="1"/>
  <c r="R36" i="1"/>
  <c r="AL40" i="1"/>
  <c r="D38" i="1"/>
  <c r="AI40" i="1"/>
  <c r="AJ40" i="1"/>
  <c r="O36" i="1"/>
  <c r="AB40" i="1"/>
  <c r="H36" i="1"/>
  <c r="AC40" i="1"/>
  <c r="K9" i="1"/>
  <c r="AE11" i="1"/>
  <c r="AF11" i="1"/>
  <c r="F69" i="1"/>
  <c r="Z38" i="1"/>
  <c r="AA12" i="1"/>
  <c r="G11" i="1"/>
  <c r="AB12" i="1"/>
  <c r="U9" i="1"/>
  <c r="AG36" i="1"/>
  <c r="L71" i="1"/>
  <c r="AF36" i="1"/>
  <c r="L38" i="1"/>
  <c r="Z71" i="1"/>
  <c r="F72" i="1"/>
  <c r="E72" i="1"/>
  <c r="P38" i="1"/>
  <c r="V38" i="1"/>
  <c r="AP36" i="1"/>
  <c r="U38" i="1"/>
  <c r="AO38" i="1" s="1"/>
  <c r="AO36" i="1"/>
  <c r="N36" i="1"/>
  <c r="AH40" i="1"/>
  <c r="C36" i="1"/>
  <c r="X56" i="1"/>
  <c r="V72" i="1"/>
  <c r="Q36" i="2"/>
  <c r="AK36" i="2" s="1"/>
  <c r="AL56" i="2"/>
  <c r="Q11" i="2"/>
  <c r="Q9" i="2" s="1"/>
  <c r="AH12" i="2"/>
  <c r="V69" i="2"/>
  <c r="V70" i="2" s="1"/>
  <c r="AP9" i="2"/>
  <c r="AG12" i="2"/>
  <c r="AP12" i="2"/>
  <c r="AB56" i="2"/>
  <c r="AO12" i="2"/>
  <c r="AK56" i="2"/>
  <c r="AP11" i="2"/>
  <c r="AK12" i="2"/>
  <c r="T11" i="2"/>
  <c r="T9" i="2" s="1"/>
  <c r="S11" i="2"/>
  <c r="AM38" i="2"/>
  <c r="M56" i="2"/>
  <c r="AG56" i="2" s="1"/>
  <c r="AC56" i="2"/>
  <c r="AH59" i="2"/>
  <c r="R71" i="2"/>
  <c r="R72" i="2" s="1"/>
  <c r="R69" i="2"/>
  <c r="R70" i="2" s="1"/>
  <c r="AA56" i="2"/>
  <c r="G36" i="2"/>
  <c r="G38" i="2" s="1"/>
  <c r="X36" i="2"/>
  <c r="D38" i="2"/>
  <c r="D71" i="2"/>
  <c r="AI36" i="2"/>
  <c r="O38" i="2"/>
  <c r="J11" i="2"/>
  <c r="AD12" i="2"/>
  <c r="AE12" i="2"/>
  <c r="M36" i="2"/>
  <c r="AH36" i="2" s="1"/>
  <c r="AG40" i="2"/>
  <c r="AH40" i="2"/>
  <c r="I11" i="2"/>
  <c r="AC12" i="2"/>
  <c r="AD36" i="2"/>
  <c r="J38" i="2"/>
  <c r="AD38" i="2" s="1"/>
  <c r="G11" i="2"/>
  <c r="AA12" i="2"/>
  <c r="AB12" i="2"/>
  <c r="P11" i="2"/>
  <c r="AJ12" i="2"/>
  <c r="X56" i="2"/>
  <c r="AJ36" i="2"/>
  <c r="P38" i="2"/>
  <c r="M9" i="2"/>
  <c r="AE40" i="2"/>
  <c r="K36" i="2"/>
  <c r="K71" i="2" s="1"/>
  <c r="N38" i="2"/>
  <c r="C71" i="2"/>
  <c r="C72" i="2" s="1"/>
  <c r="AN36" i="2"/>
  <c r="T38" i="2"/>
  <c r="AN38" i="2" s="1"/>
  <c r="V72" i="2"/>
  <c r="U36" i="2"/>
  <c r="AO40" i="2"/>
  <c r="L38" i="2"/>
  <c r="E38" i="2"/>
  <c r="E71" i="2"/>
  <c r="Y36" i="2"/>
  <c r="O11" i="2"/>
  <c r="AI12" i="2"/>
  <c r="S9" i="2"/>
  <c r="AM11" i="2"/>
  <c r="AF12" i="2"/>
  <c r="L11" i="2"/>
  <c r="H36" i="2"/>
  <c r="AB40" i="2"/>
  <c r="AC40" i="2"/>
  <c r="N9" i="2"/>
  <c r="AH11" i="2"/>
  <c r="X59" i="2"/>
  <c r="Z12" i="2"/>
  <c r="F11" i="2"/>
  <c r="Z40" i="2"/>
  <c r="F36" i="2"/>
  <c r="AA40" i="2"/>
  <c r="AH56" i="2"/>
  <c r="AQ69" i="1" l="1"/>
  <c r="W72" i="1"/>
  <c r="AQ36" i="2"/>
  <c r="W38" i="2"/>
  <c r="AQ38" i="2" s="1"/>
  <c r="W72" i="2"/>
  <c r="AF36" i="2"/>
  <c r="AO11" i="2"/>
  <c r="AI38" i="2"/>
  <c r="AO11" i="1"/>
  <c r="Y71" i="1"/>
  <c r="Y36" i="1"/>
  <c r="AN11" i="1"/>
  <c r="S9" i="1"/>
  <c r="AM11" i="1"/>
  <c r="J38" i="1"/>
  <c r="AD36" i="1"/>
  <c r="AJ11" i="1"/>
  <c r="P9" i="1"/>
  <c r="X36" i="1"/>
  <c r="M9" i="1"/>
  <c r="AH11" i="1"/>
  <c r="AG11" i="1"/>
  <c r="K38" i="1"/>
  <c r="AE36" i="1"/>
  <c r="G9" i="1"/>
  <c r="AA11" i="1"/>
  <c r="AB11" i="1"/>
  <c r="AC36" i="1"/>
  <c r="H38" i="1"/>
  <c r="AB36" i="1"/>
  <c r="AI36" i="1"/>
  <c r="O71" i="1"/>
  <c r="O38" i="1"/>
  <c r="AJ38" i="1" s="1"/>
  <c r="H71" i="1"/>
  <c r="AM36" i="1"/>
  <c r="AN36" i="1"/>
  <c r="S38" i="1"/>
  <c r="Z69" i="1"/>
  <c r="F70" i="1"/>
  <c r="AJ36" i="1"/>
  <c r="L72" i="1"/>
  <c r="AL36" i="1"/>
  <c r="R71" i="1"/>
  <c r="R38" i="1"/>
  <c r="I9" i="1"/>
  <c r="AC11" i="1"/>
  <c r="AD11" i="1"/>
  <c r="L69" i="1"/>
  <c r="AG38" i="1"/>
  <c r="AE9" i="1"/>
  <c r="AF9" i="1"/>
  <c r="K71" i="1"/>
  <c r="AF71" i="1" s="1"/>
  <c r="S71" i="1"/>
  <c r="N38" i="1"/>
  <c r="AH36" i="1"/>
  <c r="N71" i="1"/>
  <c r="J72" i="1"/>
  <c r="Y38" i="1"/>
  <c r="D69" i="1"/>
  <c r="AP38" i="1"/>
  <c r="V69" i="1"/>
  <c r="U71" i="1"/>
  <c r="AO9" i="1"/>
  <c r="U69" i="1"/>
  <c r="AP9" i="1"/>
  <c r="AL11" i="1"/>
  <c r="AK11" i="1"/>
  <c r="Q9" i="1"/>
  <c r="C38" i="1"/>
  <c r="C69" i="1" s="1"/>
  <c r="C70" i="1" s="1"/>
  <c r="C71" i="1"/>
  <c r="AN11" i="2"/>
  <c r="Q38" i="2"/>
  <c r="AL38" i="2" s="1"/>
  <c r="AL36" i="2"/>
  <c r="AL11" i="2"/>
  <c r="K72" i="2"/>
  <c r="E72" i="2"/>
  <c r="Y71" i="2"/>
  <c r="H38" i="2"/>
  <c r="AB36" i="2"/>
  <c r="H71" i="2"/>
  <c r="AC36" i="2"/>
  <c r="Z11" i="2"/>
  <c r="F9" i="2"/>
  <c r="AH38" i="2"/>
  <c r="U38" i="2"/>
  <c r="AO36" i="2"/>
  <c r="AP36" i="2"/>
  <c r="U71" i="2"/>
  <c r="D69" i="2"/>
  <c r="X38" i="2"/>
  <c r="AI11" i="2"/>
  <c r="O9" i="2"/>
  <c r="Z36" i="2"/>
  <c r="F38" i="2"/>
  <c r="AA36" i="2"/>
  <c r="Y38" i="2"/>
  <c r="E69" i="2"/>
  <c r="AJ11" i="2"/>
  <c r="P9" i="2"/>
  <c r="J9" i="2"/>
  <c r="AD11" i="2"/>
  <c r="AE11" i="2"/>
  <c r="AB11" i="2"/>
  <c r="G9" i="2"/>
  <c r="AA11" i="2"/>
  <c r="AG9" i="2"/>
  <c r="M69" i="2"/>
  <c r="M71" i="2"/>
  <c r="AH9" i="2"/>
  <c r="N69" i="2"/>
  <c r="N71" i="2"/>
  <c r="M38" i="2"/>
  <c r="AG38" i="2" s="1"/>
  <c r="AG36" i="2"/>
  <c r="AK11" i="2"/>
  <c r="S69" i="2"/>
  <c r="S71" i="2"/>
  <c r="AM9" i="2"/>
  <c r="AC11" i="2"/>
  <c r="I9" i="2"/>
  <c r="Q71" i="2"/>
  <c r="AL9" i="2"/>
  <c r="AE36" i="2"/>
  <c r="K38" i="2"/>
  <c r="AF38" i="2" s="1"/>
  <c r="L9" i="2"/>
  <c r="AF11" i="2"/>
  <c r="D72" i="2"/>
  <c r="X71" i="2"/>
  <c r="AG11" i="2"/>
  <c r="AJ38" i="2"/>
  <c r="T69" i="2"/>
  <c r="AN9" i="2"/>
  <c r="T71" i="2"/>
  <c r="AO9" i="2"/>
  <c r="W69" i="2" l="1"/>
  <c r="W70" i="2" s="1"/>
  <c r="AE38" i="1"/>
  <c r="M71" i="1"/>
  <c r="AG9" i="1"/>
  <c r="M69" i="1"/>
  <c r="M70" i="1" s="1"/>
  <c r="AH9" i="1"/>
  <c r="K69" i="1"/>
  <c r="AF38" i="1"/>
  <c r="P71" i="1"/>
  <c r="AJ9" i="1"/>
  <c r="P69" i="1"/>
  <c r="P70" i="1" s="1"/>
  <c r="AD38" i="1"/>
  <c r="J69" i="1"/>
  <c r="J70" i="1" s="1"/>
  <c r="AN9" i="1"/>
  <c r="AM9" i="1"/>
  <c r="D70" i="1"/>
  <c r="X69" i="1"/>
  <c r="Y69" i="1"/>
  <c r="C72" i="1"/>
  <c r="X71" i="1"/>
  <c r="O72" i="1"/>
  <c r="AI71" i="1"/>
  <c r="AH38" i="1"/>
  <c r="N69" i="1"/>
  <c r="U72" i="1"/>
  <c r="AO71" i="1"/>
  <c r="AP71" i="1"/>
  <c r="I69" i="1"/>
  <c r="AC9" i="1"/>
  <c r="I71" i="1"/>
  <c r="AD9" i="1"/>
  <c r="AN38" i="1"/>
  <c r="AM38" i="1"/>
  <c r="S69" i="1"/>
  <c r="X38" i="1"/>
  <c r="K70" i="1"/>
  <c r="Q69" i="1"/>
  <c r="AL9" i="1"/>
  <c r="AK9" i="1"/>
  <c r="Q71" i="1"/>
  <c r="O69" i="1"/>
  <c r="AI38" i="1"/>
  <c r="AF69" i="1"/>
  <c r="L70" i="1"/>
  <c r="AG69" i="1"/>
  <c r="AO69" i="1"/>
  <c r="U70" i="1"/>
  <c r="AB38" i="1"/>
  <c r="AC38" i="1"/>
  <c r="H69" i="1"/>
  <c r="V70" i="1"/>
  <c r="AP69" i="1"/>
  <c r="AN71" i="1"/>
  <c r="S72" i="1"/>
  <c r="AM71" i="1"/>
  <c r="R69" i="1"/>
  <c r="AL38" i="1"/>
  <c r="H72" i="1"/>
  <c r="AH71" i="1"/>
  <c r="N72" i="1"/>
  <c r="AE71" i="1"/>
  <c r="K72" i="1"/>
  <c r="R72" i="1"/>
  <c r="G69" i="1"/>
  <c r="AA9" i="1"/>
  <c r="G71" i="1"/>
  <c r="AB71" i="1" s="1"/>
  <c r="AB9" i="1"/>
  <c r="AK38" i="2"/>
  <c r="Q69" i="2"/>
  <c r="Q70" i="2" s="1"/>
  <c r="Z9" i="2"/>
  <c r="F71" i="2"/>
  <c r="F69" i="2"/>
  <c r="Q72" i="2"/>
  <c r="AL71" i="2"/>
  <c r="AO38" i="2"/>
  <c r="U69" i="2"/>
  <c r="AP38" i="2"/>
  <c r="AC9" i="2"/>
  <c r="I69" i="2"/>
  <c r="I71" i="2"/>
  <c r="L71" i="2"/>
  <c r="AG71" i="2" s="1"/>
  <c r="AF9" i="2"/>
  <c r="L69" i="2"/>
  <c r="AG69" i="2" s="1"/>
  <c r="AE38" i="2"/>
  <c r="K69" i="2"/>
  <c r="U72" i="2"/>
  <c r="AO71" i="2"/>
  <c r="AP71" i="2"/>
  <c r="M72" i="2"/>
  <c r="Z38" i="2"/>
  <c r="AA38" i="2"/>
  <c r="G69" i="2"/>
  <c r="AA9" i="2"/>
  <c r="G71" i="2"/>
  <c r="AB9" i="2"/>
  <c r="O71" i="2"/>
  <c r="AI9" i="2"/>
  <c r="O69" i="2"/>
  <c r="H69" i="2"/>
  <c r="AB38" i="2"/>
  <c r="AC38" i="2"/>
  <c r="X69" i="2"/>
  <c r="D70" i="2"/>
  <c r="AN71" i="2"/>
  <c r="T72" i="2"/>
  <c r="J69" i="2"/>
  <c r="AD9" i="2"/>
  <c r="J71" i="2"/>
  <c r="AE9" i="2"/>
  <c r="E70" i="2"/>
  <c r="Y69" i="2"/>
  <c r="M70" i="2"/>
  <c r="S72" i="2"/>
  <c r="AM71" i="2"/>
  <c r="AM69" i="2"/>
  <c r="S70" i="2"/>
  <c r="H72" i="2"/>
  <c r="AB71" i="2"/>
  <c r="AH71" i="2"/>
  <c r="N72" i="2"/>
  <c r="N70" i="2"/>
  <c r="AH69" i="2"/>
  <c r="P69" i="2"/>
  <c r="AJ9" i="2"/>
  <c r="P71" i="2"/>
  <c r="AK71" i="2" s="1"/>
  <c r="AN69" i="2"/>
  <c r="T70" i="2"/>
  <c r="AK9" i="2"/>
  <c r="AQ69" i="2" l="1"/>
  <c r="AE69" i="1"/>
  <c r="P72" i="1"/>
  <c r="AJ71" i="1"/>
  <c r="M72" i="1"/>
  <c r="AG71" i="1"/>
  <c r="Q72" i="1"/>
  <c r="AK71" i="1"/>
  <c r="H70" i="1"/>
  <c r="AB69" i="1"/>
  <c r="S70" i="1"/>
  <c r="AM69" i="1"/>
  <c r="AN69" i="1"/>
  <c r="I70" i="1"/>
  <c r="AC69" i="1"/>
  <c r="AD69" i="1"/>
  <c r="Q70" i="1"/>
  <c r="AK69" i="1"/>
  <c r="G72" i="1"/>
  <c r="AA71" i="1"/>
  <c r="AH69" i="1"/>
  <c r="N70" i="1"/>
  <c r="AL69" i="1"/>
  <c r="R70" i="1"/>
  <c r="G70" i="1"/>
  <c r="AA69" i="1"/>
  <c r="AL71" i="1"/>
  <c r="O70" i="1"/>
  <c r="AI69" i="1"/>
  <c r="AJ69" i="1"/>
  <c r="AC71" i="1"/>
  <c r="I72" i="1"/>
  <c r="AD71" i="1"/>
  <c r="AL69" i="2"/>
  <c r="P70" i="2"/>
  <c r="AJ69" i="2"/>
  <c r="AO69" i="2"/>
  <c r="U70" i="2"/>
  <c r="AP69" i="2"/>
  <c r="I70" i="2"/>
  <c r="AC69" i="2"/>
  <c r="H70" i="2"/>
  <c r="AB69" i="2"/>
  <c r="AI69" i="2"/>
  <c r="O70" i="2"/>
  <c r="AC71" i="2"/>
  <c r="I72" i="2"/>
  <c r="K70" i="2"/>
  <c r="AE69" i="2"/>
  <c r="AD69" i="2"/>
  <c r="J70" i="2"/>
  <c r="F70" i="2"/>
  <c r="Z69" i="2"/>
  <c r="AI71" i="2"/>
  <c r="O72" i="2"/>
  <c r="AA71" i="2"/>
  <c r="G72" i="2"/>
  <c r="L70" i="2"/>
  <c r="AF69" i="2"/>
  <c r="Z71" i="2"/>
  <c r="F72" i="2"/>
  <c r="AK69" i="2"/>
  <c r="AD71" i="2"/>
  <c r="J72" i="2"/>
  <c r="AE71" i="2"/>
  <c r="AJ71" i="2"/>
  <c r="P72" i="2"/>
  <c r="AA69" i="2"/>
  <c r="G70" i="2"/>
  <c r="L72" i="2"/>
  <c r="AF71" i="2"/>
</calcChain>
</file>

<file path=xl/sharedStrings.xml><?xml version="1.0" encoding="utf-8"?>
<sst xmlns="http://schemas.openxmlformats.org/spreadsheetml/2006/main" count="300" uniqueCount="143">
  <si>
    <t>CONCEPTO</t>
  </si>
  <si>
    <t>GASTOS CORRIENTES</t>
  </si>
  <si>
    <t xml:space="preserve">    Sueldos y Salarios</t>
  </si>
  <si>
    <t xml:space="preserve">         Deuda Interna</t>
  </si>
  <si>
    <t xml:space="preserve">         Deuda externa</t>
  </si>
  <si>
    <t xml:space="preserve">    Transferencias</t>
  </si>
  <si>
    <t xml:space="preserve">         Sector Privado </t>
  </si>
  <si>
    <t xml:space="preserve">         Sector Publico</t>
  </si>
  <si>
    <t xml:space="preserve">         Sector Externo</t>
  </si>
  <si>
    <t>GASTOS DE CAPITAL</t>
  </si>
  <si>
    <t xml:space="preserve">INGRESOS TOTALES </t>
  </si>
  <si>
    <t xml:space="preserve"> II- Ingresos de Capital:</t>
  </si>
  <si>
    <t>I-3  Ingresos no Tributarios</t>
  </si>
  <si>
    <t xml:space="preserve">    Inversion </t>
  </si>
  <si>
    <t>Transferencias ctes con recurso externo</t>
  </si>
  <si>
    <t>Transferencias capital con recurso externo</t>
  </si>
  <si>
    <t>Gasto Total sin Intereses</t>
  </si>
  <si>
    <t xml:space="preserve">    Intereses    </t>
  </si>
  <si>
    <t>1 - 3</t>
  </si>
  <si>
    <t>1 - 2</t>
  </si>
  <si>
    <t>VARIACION</t>
  </si>
  <si>
    <t>SUP/ DÉFICIT  FINANCIERO.</t>
  </si>
  <si>
    <t>DEF/SUPERÁVIT PRIMARIO</t>
  </si>
  <si>
    <t>Impuesto a los ingresos y utilidades</t>
  </si>
  <si>
    <t>Sobre importaciones</t>
  </si>
  <si>
    <t>Sobre exportaciones</t>
  </si>
  <si>
    <t>Ventas</t>
  </si>
  <si>
    <t>Interno</t>
  </si>
  <si>
    <t>Aduanas</t>
  </si>
  <si>
    <t>Consumo</t>
  </si>
  <si>
    <t>I-1  Ingresos Tributarios</t>
  </si>
  <si>
    <t>I-   Ingresos Corrientes</t>
  </si>
  <si>
    <t>Otros ingresos tributarios</t>
  </si>
  <si>
    <t>I-2 Contribuciones Sociales</t>
  </si>
  <si>
    <t>I-4  Transferencias</t>
  </si>
  <si>
    <t>Arancel:</t>
  </si>
  <si>
    <t>1% Valor Aduanero:</t>
  </si>
  <si>
    <t xml:space="preserve"> Por Caja Banano Exportada</t>
  </si>
  <si>
    <t>Der.de Exp.ad/valorem</t>
  </si>
  <si>
    <t>FINANCIAMIENTO</t>
  </si>
  <si>
    <t>Remuneraciones</t>
  </si>
  <si>
    <t xml:space="preserve">   Interno Neto</t>
  </si>
  <si>
    <t xml:space="preserve">   Externo Neto</t>
  </si>
  <si>
    <t>en millones de colones</t>
  </si>
  <si>
    <t>INGRESO, GASTO Y FINANCIAMIENTO DEL GOBIERNO CENTRAL</t>
  </si>
  <si>
    <t>Mes de marzo</t>
  </si>
  <si>
    <t>Acumulado al mes de marzo</t>
  </si>
  <si>
    <t xml:space="preserve"> Impuesto Exportaciones Vía Terrestre</t>
  </si>
  <si>
    <t>% PIB</t>
  </si>
  <si>
    <t>2013  */</t>
  </si>
  <si>
    <t xml:space="preserve">    Inversión </t>
  </si>
  <si>
    <t>Concesión Neta de Préstamos</t>
  </si>
  <si>
    <t xml:space="preserve">Concesión </t>
  </si>
  <si>
    <t xml:space="preserve">Recuperación </t>
  </si>
  <si>
    <r>
      <t xml:space="preserve">    Transferencias</t>
    </r>
    <r>
      <rPr>
        <b/>
        <vertAlign val="superscript"/>
        <sz val="10"/>
        <rFont val="Arial"/>
        <family val="2"/>
      </rPr>
      <t>1/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</si>
  <si>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 xml:space="preserve"> Cuadro elaborado en la Secretaría Técnica de la Autoridad Presupuestaria, con información suministrada por la Contabilidad Nacional y la Dirección de Crédito Público.</t>
    </r>
  </si>
  <si>
    <t>GASTOS TOTALES Y CONCESIÓN NETA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</si>
  <si>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</si>
  <si>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</si>
  <si>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</si>
  <si>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</si>
  <si>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</si>
  <si>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</si>
  <si>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</si>
  <si>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</si>
  <si>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</si>
  <si>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</si>
  <si>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</si>
  <si>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</si>
  <si>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</si>
  <si>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</si>
  <si>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</si>
  <si>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</si>
  <si>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</si>
  <si>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Otros Ingresos tributarios diversos internos</t>
  </si>
  <si>
    <r>
      <t>Otros Ingresos tributarios diversos aduanas</t>
    </r>
    <r>
      <rPr>
        <vertAlign val="superscript"/>
        <sz val="10"/>
        <rFont val="Arial"/>
        <family val="2"/>
      </rPr>
      <t xml:space="preserve"> 6/</t>
    </r>
  </si>
  <si>
    <t>23/24</t>
  </si>
  <si>
    <t>24/25</t>
  </si>
  <si>
    <r>
      <t xml:space="preserve">PIB </t>
    </r>
    <r>
      <rPr>
        <b/>
        <vertAlign val="superscript"/>
        <sz val="10"/>
        <rFont val="Arial"/>
        <family val="2"/>
      </rPr>
      <t xml:space="preserve"> 1/</t>
    </r>
  </si>
  <si>
    <r>
      <t xml:space="preserve">    Transferencias</t>
    </r>
    <r>
      <rPr>
        <vertAlign val="superscript"/>
        <sz val="10"/>
        <rFont val="Arial"/>
        <family val="2"/>
      </rPr>
      <t xml:space="preserve"> </t>
    </r>
  </si>
  <si>
    <r>
      <t xml:space="preserve">    Cargas Sociales</t>
    </r>
    <r>
      <rPr>
        <vertAlign val="superscript"/>
        <sz val="10"/>
        <rFont val="Arial"/>
        <family val="2"/>
      </rPr>
      <t>2/</t>
    </r>
  </si>
  <si>
    <r>
      <t xml:space="preserve">    Bienes y Servicios</t>
    </r>
    <r>
      <rPr>
        <vertAlign val="superscript"/>
        <sz val="10"/>
        <rFont val="Arial"/>
        <family val="2"/>
      </rPr>
      <t>3/</t>
    </r>
  </si>
  <si>
    <r>
      <rPr>
        <vertAlign val="superscript"/>
        <sz val="10"/>
        <rFont val="Arial"/>
        <family val="2"/>
      </rPr>
      <t xml:space="preserve">2/  </t>
    </r>
    <r>
      <rPr>
        <sz val="10"/>
        <rFont val="Arial"/>
        <family val="2"/>
      </rPr>
      <t>A partir de enero 2020 los egresos de las cargas sociales de los programas 327-328- 329 del Ministerio de Obras Públicas y Transportes (MOPT), se capitalizan, por lo que se incluyen en el rubro de inversión</t>
    </r>
  </si>
  <si>
    <r>
      <rPr>
        <vertAlign val="superscript"/>
        <sz val="10"/>
        <rFont val="Arial"/>
        <family val="2"/>
      </rPr>
      <t xml:space="preserve">3/ </t>
    </r>
    <r>
      <rPr>
        <sz val="10"/>
        <rFont val="Arial"/>
        <family val="2"/>
      </rPr>
      <t>Los egresos de bienes y servicios del programa 797 de Ministerio de Comercio Exterior a partir de enero 2020 se capitalizan y se incluyen en el rubro de inversión</t>
    </r>
  </si>
  <si>
    <r>
      <t>PIB</t>
    </r>
    <r>
      <rPr>
        <b/>
        <vertAlign val="superscript"/>
        <sz val="10"/>
        <rFont val="Arial"/>
        <family val="2"/>
      </rPr>
      <t xml:space="preserve">  1/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</si>
  <si>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 A partir de enero 2020 los egresos de las cargas sociales de los programas 327-328- 329 del Ministerio de Obras Públicas y Transportes (MOPT), se capitalizan, por lo que se incluyen en el rubro de inversión</t>
    </r>
  </si>
  <si>
    <t xml:space="preserve"> </t>
  </si>
  <si>
    <t>GOBIERNO CENTRAL DE COSTA RICA</t>
  </si>
  <si>
    <t>PRINCIPALES INGRESOS</t>
  </si>
  <si>
    <t>COMPARATIVOS MES MARZO</t>
  </si>
  <si>
    <t>COMPARATIVOS ACUMULADO AL MES DE MARZO</t>
  </si>
  <si>
    <t>(en millones de colones)</t>
  </si>
  <si>
    <t>Variacion</t>
  </si>
  <si>
    <t>INGRESOS TOTALES:</t>
  </si>
  <si>
    <t>Ingresos Corrientes:</t>
  </si>
  <si>
    <t>I-1 Ingresos Tributarios :</t>
  </si>
  <si>
    <t>I-1.1   Impuesto a los ingresos y utilidades</t>
  </si>
  <si>
    <t xml:space="preserve">       - Ingresos y Utilidades a Personas Físicas</t>
  </si>
  <si>
    <t xml:space="preserve">       - Ingresos y Utilidades a Personas Jurídicas</t>
  </si>
  <si>
    <t xml:space="preserve">       - Dividendos e Intereses s/ Títulos valores</t>
  </si>
  <si>
    <t xml:space="preserve">       - Remesas al Exterior</t>
  </si>
  <si>
    <t xml:space="preserve">       - Bancos y Entidades Financ no domiciliadas</t>
  </si>
  <si>
    <t xml:space="preserve">I-1.2   Impuestos a la propiedad </t>
  </si>
  <si>
    <t xml:space="preserve">            Propiedad de vehículos</t>
  </si>
  <si>
    <t xml:space="preserve">            Imp Solidario Vivienda</t>
  </si>
  <si>
    <t xml:space="preserve">            Imp. Sociedades Anónimas</t>
  </si>
  <si>
    <t>I-1.3  Sobre Importaciones :</t>
  </si>
  <si>
    <t xml:space="preserve">           I-1.3.1  Arancel:</t>
  </si>
  <si>
    <t xml:space="preserve">           I-1.3.2 1% Valor Aduanero:</t>
  </si>
  <si>
    <t>I-1.4  Sobre Exportaciones :</t>
  </si>
  <si>
    <t xml:space="preserve">           I-1.4.1  Por Caja Banano Exportada</t>
  </si>
  <si>
    <t xml:space="preserve">           I-1.4.2  Der.de Exp.ad/valorem</t>
  </si>
  <si>
    <t xml:space="preserve">           I-1.4.3  Imp Exp vía terrestre</t>
  </si>
  <si>
    <t xml:space="preserve">I-1.5  Ventas: </t>
  </si>
  <si>
    <t xml:space="preserve">           I-1.5.1  Interno</t>
  </si>
  <si>
    <t xml:space="preserve">           I-1.5.2  Aduanas:</t>
  </si>
  <si>
    <t xml:space="preserve">I-1.6  Consumo: </t>
  </si>
  <si>
    <t xml:space="preserve">           I-1.6.1  Interno</t>
  </si>
  <si>
    <t xml:space="preserve">           I-1.6.2  Aduanas:</t>
  </si>
  <si>
    <t>I-1.7  Otros Indirectos :</t>
  </si>
  <si>
    <t xml:space="preserve">    Impuesto unico combustibles</t>
  </si>
  <si>
    <t xml:space="preserve">        -Interno</t>
  </si>
  <si>
    <t xml:space="preserve">       - Importaciones</t>
  </si>
  <si>
    <t xml:space="preserve">    Impuesto bebidas no alcohólicas</t>
  </si>
  <si>
    <t xml:space="preserve">    Impuesto jabón de tocador</t>
  </si>
  <si>
    <t xml:space="preserve">    Impuesto bebidas alcohólicas</t>
  </si>
  <si>
    <t xml:space="preserve">    Imp.Prod.Tabaco </t>
  </si>
  <si>
    <t xml:space="preserve">    Traspaso vehículos usados</t>
  </si>
  <si>
    <t xml:space="preserve">    Traspaso bienes inmuebles</t>
  </si>
  <si>
    <t xml:space="preserve">    Timbre Fiscal</t>
  </si>
  <si>
    <t xml:space="preserve">    Derechos de Salida del Territorio Nacional</t>
  </si>
  <si>
    <t xml:space="preserve">    Derechos Consulares</t>
  </si>
  <si>
    <t xml:space="preserve">    Impuestos Ley de Migración y Extranjeria </t>
  </si>
  <si>
    <t xml:space="preserve">    Otros Ingresos Tributarios</t>
  </si>
  <si>
    <t xml:space="preserve">    Otros Ingresos tributarios diversos internos</t>
  </si>
  <si>
    <t xml:space="preserve">    Otros Ingresos tributarios diversos aduanas</t>
  </si>
  <si>
    <t>I-4 Transferencias</t>
  </si>
  <si>
    <t>II- Ingresos de Capital:</t>
  </si>
  <si>
    <t xml:space="preserve">Cifras al mes de marzo 2020 - 2026 </t>
  </si>
  <si>
    <t>25/26</t>
  </si>
  <si>
    <t xml:space="preserve">Cifras del mes de marzo 2020-2026 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</si>
  <si>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cifras preliminares 2023-2026, proyección 2026-2027 utilizada en el informe de Política Monetaria  de abril 2026, aprobado por la Junta Directiva en el artículo 5 del acta de la sesión 6320-2026, el 28 de abril de 2026 </t>
    </r>
  </si>
  <si>
    <r>
      <rPr>
        <vertAlign val="superscript"/>
        <sz val="10"/>
        <rFont val="Arial"/>
        <family val="2"/>
      </rPr>
      <t xml:space="preserve">1/ </t>
    </r>
    <r>
      <rPr>
        <sz val="10"/>
        <rFont val="Arial"/>
        <family val="2"/>
      </rPr>
      <t xml:space="preserve">Según el PIB publicado por el Banco Central  cifras preliminares 2023-2026, proyección 2026-2027 utilizada en el informe de Política Monetaria  de abril 2026, aprobado por la Junta Directiva en el artículo 5 del acta de la sesión 6320-2026, el 28 de abril de 2026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</si>
</sst>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-* #,##0.00\ _P_t_s_-;\-* #,##0.00\ _P_t_s_-;_-* &quot;-&quot;??\ _P_t_s_-;_-@_-"/>
    <numFmt numFmtId="165" formatCode="#,##0.0\ _p_t_a"/>
    <numFmt numFmtId="166" formatCode="0.0"/>
    <numFmt numFmtId="167" formatCode="#,##0.0"/>
    <numFmt numFmtId="168" formatCode="#,##0.0_);\(#,##0.0\)"/>
    <numFmt numFmtId="169" formatCode="0.0%"/>
    <numFmt numFmtId="170" formatCode="_-* #,##0.00\ _€_-;\-* #,##0.00\ _€_-;_-* &quot;-&quot;??\ _€_-;_-@_-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[Black][&gt;0.05]#,##0.0;[Black][&lt;-0.05]\-#,##0.0;;"/>
    <numFmt numFmtId="179" formatCode="[Black][&gt;0.5]#,##0;[Black][&lt;-0.5]\-#,##0;;"/>
    <numFmt numFmtId="180" formatCode="_([$€-2]* #,##0.00_);_([$€-2]* \(#,##0.00\);_([$€-2]* &quot;-&quot;??_)"/>
    <numFmt numFmtId="181" formatCode="#,##0.0____"/>
    <numFmt numFmtId="182" formatCode="\$#,##0.00\ ;\(\$#,##0.00\)"/>
    <numFmt numFmtId="183" formatCode="[&gt;=0.05]#,##0.0;[&lt;=-0.05]\-#,##0.0;?0.0"/>
    <numFmt numFmtId="184" formatCode="[Black]#,##0.0;[Black]\-#,##0.0;;"/>
    <numFmt numFmtId="185" formatCode="_-* #,##0.00\ _P_t_a_-;\-* #,##0.00\ _P_t_a_-;_-* &quot;-&quot;??\ _P_t_a_-;_-@_-"/>
    <numFmt numFmtId="186" formatCode="_-* #,##0.00\ [$€]_-;\-* #,##0.00\ [$€]_-;_-* &quot;-&quot;??\ [$€]_-;_-@_-"/>
  </numFmts>
  <fonts count="6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b/>
      <u val="double"/>
      <sz val="8"/>
      <name val="Arial"/>
      <family val="2"/>
    </font>
    <font>
      <b/>
      <vertAlign val="superscript"/>
      <sz val="11"/>
      <name val="Arial"/>
      <family val="2"/>
    </font>
    <font>
      <sz val="10"/>
      <color indexed="49"/>
      <name val="Arial"/>
      <family val="2"/>
    </font>
    <font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color indexed="12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sz val="8"/>
      <color indexed="8"/>
      <name val="Helv"/>
    </font>
    <font>
      <sz val="10"/>
      <name val="Courier"/>
      <family val="3"/>
    </font>
    <font>
      <sz val="10"/>
      <name val="Helv"/>
    </font>
    <font>
      <sz val="12"/>
      <name val="Tms Rmn"/>
    </font>
    <font>
      <sz val="10"/>
      <name val="Tms Rmn"/>
    </font>
    <font>
      <sz val="10"/>
      <name val="MS Sans Serif"/>
      <family val="2"/>
    </font>
    <font>
      <sz val="10"/>
      <color indexed="10"/>
      <name val="MS Sans Serif"/>
      <family val="2"/>
    </font>
    <font>
      <sz val="12"/>
      <name val="Helv"/>
    </font>
    <font>
      <sz val="8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8"/>
      <color rgb="FF0070C0"/>
      <name val="Arial"/>
      <family val="2"/>
    </font>
    <font>
      <b/>
      <sz val="8"/>
      <color rgb="FF0000FF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54">
    <xf numFmtId="0" fontId="0" fillId="0" borderId="0"/>
    <xf numFmtId="173" fontId="42" fillId="0" borderId="0" applyFont="0" applyFill="0" applyBorder="0" applyAlignment="0" applyProtection="0"/>
    <xf numFmtId="174" fontId="42" fillId="0" borderId="0" applyFont="0" applyFill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175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177" fontId="42" fillId="0" borderId="0" applyFont="0" applyFill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43" fillId="0" borderId="1">
      <protection hidden="1"/>
    </xf>
    <xf numFmtId="0" fontId="44" fillId="20" borderId="1" applyNumberFormat="0" applyFont="0" applyBorder="0" applyAlignment="0" applyProtection="0">
      <protection hidden="1"/>
    </xf>
    <xf numFmtId="0" fontId="32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20" borderId="2" applyNumberFormat="0" applyAlignment="0" applyProtection="0"/>
    <xf numFmtId="0" fontId="26" fillId="20" borderId="2" applyNumberFormat="0" applyAlignment="0" applyProtection="0"/>
    <xf numFmtId="0" fontId="26" fillId="20" borderId="2" applyNumberFormat="0" applyAlignment="0" applyProtection="0"/>
    <xf numFmtId="0" fontId="27" fillId="21" borderId="3" applyNumberFormat="0" applyAlignment="0" applyProtection="0"/>
    <xf numFmtId="0" fontId="27" fillId="21" borderId="3" applyNumberFormat="0" applyAlignment="0" applyProtection="0"/>
    <xf numFmtId="0" fontId="28" fillId="0" borderId="4" applyNumberFormat="0" applyFill="0" applyAlignment="0" applyProtection="0"/>
    <xf numFmtId="0" fontId="28" fillId="0" borderId="4" applyNumberFormat="0" applyFill="0" applyAlignment="0" applyProtection="0"/>
    <xf numFmtId="0" fontId="27" fillId="21" borderId="3" applyNumberFormat="0" applyAlignment="0" applyProtection="0"/>
    <xf numFmtId="0" fontId="29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31" fillId="7" borderId="2" applyNumberFormat="0" applyAlignment="0" applyProtection="0"/>
    <xf numFmtId="0" fontId="31" fillId="7" borderId="2" applyNumberFormat="0" applyAlignment="0" applyProtection="0"/>
    <xf numFmtId="0" fontId="41" fillId="0" borderId="0"/>
    <xf numFmtId="0" fontId="41" fillId="0" borderId="0"/>
    <xf numFmtId="0" fontId="10" fillId="0" borderId="0">
      <alignment vertical="top"/>
    </xf>
    <xf numFmtId="180" fontId="3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5" fillId="4" borderId="0" applyNumberFormat="0" applyBorder="0" applyAlignment="0" applyProtection="0"/>
    <xf numFmtId="38" fontId="2" fillId="22" borderId="0" applyNumberFormat="0" applyBorder="0" applyAlignment="0" applyProtection="0"/>
    <xf numFmtId="0" fontId="29" fillId="0" borderId="5" applyNumberFormat="0" applyFill="0" applyAlignment="0" applyProtection="0"/>
    <xf numFmtId="0" fontId="38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167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1" fillId="7" borderId="2" applyNumberFormat="0" applyAlignment="0" applyProtection="0"/>
    <xf numFmtId="10" fontId="2" fillId="23" borderId="8" applyNumberFormat="0" applyBorder="0" applyAlignment="0" applyProtection="0"/>
    <xf numFmtId="0" fontId="28" fillId="0" borderId="4" applyNumberFormat="0" applyFill="0" applyAlignment="0" applyProtection="0"/>
    <xf numFmtId="0" fontId="45" fillId="0" borderId="1">
      <alignment horizontal="left"/>
      <protection locked="0"/>
    </xf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85" fontId="41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171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46" fillId="0" borderId="0"/>
    <xf numFmtId="0" fontId="47" fillId="0" borderId="0"/>
    <xf numFmtId="0" fontId="48" fillId="0" borderId="0"/>
    <xf numFmtId="0" fontId="48" fillId="0" borderId="0"/>
    <xf numFmtId="0" fontId="4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1" fillId="0" borderId="0"/>
    <xf numFmtId="0" fontId="57" fillId="0" borderId="0"/>
    <xf numFmtId="0" fontId="12" fillId="0" borderId="0"/>
    <xf numFmtId="0" fontId="3" fillId="0" borderId="0"/>
    <xf numFmtId="0" fontId="12" fillId="0" borderId="0"/>
    <xf numFmtId="0" fontId="41" fillId="0" borderId="0"/>
    <xf numFmtId="0" fontId="50" fillId="0" borderId="0"/>
    <xf numFmtId="0" fontId="40" fillId="0" borderId="0"/>
    <xf numFmtId="0" fontId="40" fillId="0" borderId="0"/>
    <xf numFmtId="0" fontId="12" fillId="0" borderId="0"/>
    <xf numFmtId="0" fontId="4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83" fontId="41" fillId="0" borderId="0" applyFill="0" applyBorder="0" applyAlignment="0" applyProtection="0">
      <alignment horizontal="right"/>
    </xf>
    <xf numFmtId="183" fontId="41" fillId="0" borderId="0" applyFill="0" applyBorder="0" applyAlignment="0" applyProtection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23" fillId="25" borderId="9" applyNumberFormat="0" applyFont="0" applyAlignment="0" applyProtection="0"/>
    <xf numFmtId="0" fontId="34" fillId="20" borderId="10" applyNumberFormat="0" applyAlignment="0" applyProtection="0"/>
    <xf numFmtId="10" fontId="3" fillId="0" borderId="0" applyFont="0" applyFill="0" applyBorder="0" applyAlignment="0" applyProtection="0"/>
    <xf numFmtId="184" fontId="41" fillId="0" borderId="0" applyFont="0" applyFill="0" applyBorder="0" applyAlignment="0" applyProtection="0"/>
    <xf numFmtId="178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41" fillId="0" borderId="0" applyFill="0" applyBorder="0" applyAlignment="0">
      <alignment horizontal="centerContinuous"/>
    </xf>
    <xf numFmtId="181" fontId="41" fillId="0" borderId="0" applyFill="0" applyBorder="0" applyAlignment="0">
      <alignment horizontal="centerContinuous"/>
    </xf>
    <xf numFmtId="0" fontId="42" fillId="0" borderId="0"/>
    <xf numFmtId="0" fontId="51" fillId="0" borderId="1" applyNumberFormat="0" applyFill="0" applyBorder="0" applyAlignment="0" applyProtection="0">
      <protection hidden="1"/>
    </xf>
    <xf numFmtId="0" fontId="34" fillId="20" borderId="10" applyNumberFormat="0" applyAlignment="0" applyProtection="0"/>
    <xf numFmtId="0" fontId="34" fillId="20" borderId="10" applyNumberFormat="0" applyAlignment="0" applyProtection="0"/>
    <xf numFmtId="0" fontId="52" fillId="0" borderId="0"/>
    <xf numFmtId="0" fontId="3" fillId="0" borderId="0" applyNumberFormat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3" fillId="20" borderId="1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54" fillId="0" borderId="0" applyProtection="0"/>
    <xf numFmtId="182" fontId="54" fillId="0" borderId="0" applyProtection="0"/>
    <xf numFmtId="0" fontId="55" fillId="0" borderId="0" applyProtection="0"/>
    <xf numFmtId="0" fontId="56" fillId="0" borderId="0" applyProtection="0"/>
    <xf numFmtId="0" fontId="54" fillId="0" borderId="12" applyProtection="0"/>
    <xf numFmtId="0" fontId="54" fillId="0" borderId="0"/>
    <xf numFmtId="10" fontId="54" fillId="0" borderId="0" applyProtection="0"/>
    <xf numFmtId="0" fontId="54" fillId="0" borderId="0"/>
    <xf numFmtId="2" fontId="54" fillId="0" borderId="0" applyProtection="0"/>
    <xf numFmtId="4" fontId="54" fillId="0" borderId="0" applyProtection="0"/>
  </cellStyleXfs>
  <cellXfs count="202">
    <xf numFmtId="0" fontId="0" fillId="0" borderId="0" xfId="0"/>
    <xf numFmtId="0" fontId="3" fillId="0" borderId="0" xfId="0" applyFont="1"/>
    <xf numFmtId="167" fontId="3" fillId="0" borderId="0" xfId="0" applyNumberFormat="1" applyFont="1"/>
    <xf numFmtId="167" fontId="4" fillId="0" borderId="0" xfId="0" applyNumberFormat="1" applyFont="1" applyAlignment="1">
      <alignment horizontal="left" wrapText="1"/>
    </xf>
    <xf numFmtId="167" fontId="3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67" fontId="4" fillId="0" borderId="0" xfId="0" applyNumberFormat="1" applyFont="1"/>
    <xf numFmtId="165" fontId="3" fillId="0" borderId="0" xfId="0" applyNumberFormat="1" applyFont="1"/>
    <xf numFmtId="0" fontId="3" fillId="0" borderId="13" xfId="0" applyFont="1" applyBorder="1"/>
    <xf numFmtId="165" fontId="3" fillId="0" borderId="13" xfId="0" applyNumberFormat="1" applyFont="1" applyBorder="1"/>
    <xf numFmtId="165" fontId="3" fillId="0" borderId="13" xfId="0" applyNumberFormat="1" applyFont="1" applyBorder="1" applyAlignment="1">
      <alignment horizontal="center"/>
    </xf>
    <xf numFmtId="0" fontId="5" fillId="0" borderId="14" xfId="0" applyFont="1" applyBorder="1"/>
    <xf numFmtId="49" fontId="5" fillId="0" borderId="14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left"/>
    </xf>
    <xf numFmtId="0" fontId="4" fillId="0" borderId="0" xfId="0" applyFont="1"/>
    <xf numFmtId="0" fontId="7" fillId="0" borderId="0" xfId="0" applyFont="1"/>
    <xf numFmtId="165" fontId="7" fillId="0" borderId="0" xfId="0" applyNumberFormat="1" applyFont="1"/>
    <xf numFmtId="0" fontId="3" fillId="0" borderId="0" xfId="0" applyFont="1" applyAlignment="1">
      <alignment horizontal="left" indent="2"/>
    </xf>
    <xf numFmtId="167" fontId="8" fillId="0" borderId="0" xfId="0" applyNumberFormat="1" applyFont="1"/>
    <xf numFmtId="167" fontId="9" fillId="0" borderId="0" xfId="0" applyNumberFormat="1" applyFont="1"/>
    <xf numFmtId="167" fontId="3" fillId="0" borderId="0" xfId="0" applyNumberFormat="1" applyFont="1" applyAlignment="1">
      <alignment horizontal="left" indent="1"/>
    </xf>
    <xf numFmtId="167" fontId="3" fillId="0" borderId="0" xfId="0" applyNumberFormat="1" applyFont="1" applyAlignment="1">
      <alignment horizontal="left" indent="2"/>
    </xf>
    <xf numFmtId="167" fontId="3" fillId="0" borderId="0" xfId="0" applyNumberFormat="1" applyFont="1" applyAlignment="1">
      <alignment horizontal="left" indent="3"/>
    </xf>
    <xf numFmtId="0" fontId="3" fillId="0" borderId="0" xfId="0" applyFont="1" applyAlignment="1">
      <alignment horizontal="left" indent="1"/>
    </xf>
    <xf numFmtId="167" fontId="9" fillId="0" borderId="0" xfId="0" applyNumberFormat="1" applyFont="1" applyAlignment="1">
      <alignment horizontal="left" wrapText="1"/>
    </xf>
    <xf numFmtId="167" fontId="3" fillId="0" borderId="0" xfId="0" applyNumberFormat="1" applyFont="1" applyAlignment="1">
      <alignment horizontal="right"/>
    </xf>
    <xf numFmtId="167" fontId="10" fillId="0" borderId="0" xfId="0" applyNumberFormat="1" applyFont="1"/>
    <xf numFmtId="169" fontId="7" fillId="0" borderId="0" xfId="211" applyNumberFormat="1" applyFont="1" applyBorder="1"/>
    <xf numFmtId="169" fontId="2" fillId="0" borderId="0" xfId="211" applyNumberFormat="1" applyFont="1" applyBorder="1"/>
    <xf numFmtId="169" fontId="5" fillId="0" borderId="0" xfId="211" applyNumberFormat="1" applyFont="1" applyBorder="1"/>
    <xf numFmtId="0" fontId="4" fillId="0" borderId="14" xfId="0" applyFont="1" applyBorder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left" vertical="center" wrapText="1"/>
    </xf>
    <xf numFmtId="167" fontId="0" fillId="0" borderId="0" xfId="0" applyNumberFormat="1"/>
    <xf numFmtId="167" fontId="4" fillId="0" borderId="13" xfId="0" applyNumberFormat="1" applyFont="1" applyBorder="1" applyAlignment="1">
      <alignment horizontal="left" wrapText="1"/>
    </xf>
    <xf numFmtId="167" fontId="3" fillId="0" borderId="13" xfId="0" applyNumberFormat="1" applyFont="1" applyBorder="1"/>
    <xf numFmtId="165" fontId="13" fillId="0" borderId="0" xfId="0" applyNumberFormat="1" applyFont="1"/>
    <xf numFmtId="168" fontId="3" fillId="0" borderId="0" xfId="198" applyNumberFormat="1"/>
    <xf numFmtId="169" fontId="14" fillId="0" borderId="0" xfId="211" applyNumberFormat="1" applyFont="1" applyBorder="1"/>
    <xf numFmtId="169" fontId="58" fillId="0" borderId="0" xfId="211" applyNumberFormat="1" applyFont="1" applyBorder="1"/>
    <xf numFmtId="169" fontId="59" fillId="0" borderId="0" xfId="211" applyNumberFormat="1" applyFont="1" applyBorder="1"/>
    <xf numFmtId="0" fontId="5" fillId="0" borderId="0" xfId="0" applyFont="1"/>
    <xf numFmtId="0" fontId="2" fillId="0" borderId="0" xfId="0" applyFont="1"/>
    <xf numFmtId="167" fontId="16" fillId="0" borderId="0" xfId="0" applyNumberFormat="1" applyFont="1"/>
    <xf numFmtId="0" fontId="4" fillId="0" borderId="15" xfId="0" applyFont="1" applyBorder="1" applyAlignment="1">
      <alignment horizontal="center"/>
    </xf>
    <xf numFmtId="167" fontId="15" fillId="0" borderId="0" xfId="0" applyNumberFormat="1" applyFont="1" applyAlignment="1">
      <alignment horizontal="right"/>
    </xf>
    <xf numFmtId="167" fontId="2" fillId="0" borderId="0" xfId="201" applyNumberFormat="1" applyFont="1"/>
    <xf numFmtId="169" fontId="17" fillId="0" borderId="0" xfId="211" applyNumberFormat="1" applyFont="1" applyFill="1" applyBorder="1" applyAlignment="1">
      <alignment horizontal="right" wrapText="1"/>
    </xf>
    <xf numFmtId="167" fontId="3" fillId="0" borderId="0" xfId="0" applyNumberFormat="1" applyFont="1" applyAlignment="1">
      <alignment horizontal="left" wrapText="1"/>
    </xf>
    <xf numFmtId="0" fontId="2" fillId="0" borderId="0" xfId="199" applyFont="1"/>
    <xf numFmtId="49" fontId="3" fillId="0" borderId="16" xfId="0" applyNumberFormat="1" applyFont="1" applyBorder="1" applyAlignment="1">
      <alignment wrapText="1"/>
    </xf>
    <xf numFmtId="4" fontId="3" fillId="0" borderId="0" xfId="0" applyNumberFormat="1" applyFont="1" applyAlignment="1">
      <alignment horizontal="left" indent="2"/>
    </xf>
    <xf numFmtId="0" fontId="19" fillId="0" borderId="0" xfId="0" applyFont="1" applyAlignment="1">
      <alignment horizontal="right"/>
    </xf>
    <xf numFmtId="167" fontId="2" fillId="0" borderId="0" xfId="202" applyNumberFormat="1" applyFont="1"/>
    <xf numFmtId="0" fontId="8" fillId="0" borderId="0" xfId="0" applyFont="1"/>
    <xf numFmtId="0" fontId="11" fillId="0" borderId="13" xfId="0" applyFont="1" applyBorder="1" applyAlignment="1">
      <alignment horizontal="left" vertical="center" wrapText="1"/>
    </xf>
    <xf numFmtId="167" fontId="0" fillId="0" borderId="13" xfId="0" applyNumberFormat="1" applyBorder="1"/>
    <xf numFmtId="165" fontId="60" fillId="0" borderId="0" xfId="0" applyNumberFormat="1" applyFont="1"/>
    <xf numFmtId="0" fontId="3" fillId="0" borderId="0" xfId="185"/>
    <xf numFmtId="49" fontId="5" fillId="26" borderId="17" xfId="199" applyNumberFormat="1" applyFont="1" applyFill="1" applyBorder="1" applyAlignment="1">
      <alignment horizontal="center" wrapText="1"/>
    </xf>
    <xf numFmtId="167" fontId="7" fillId="27" borderId="22" xfId="200" applyNumberFormat="1" applyFont="1" applyFill="1" applyBorder="1"/>
    <xf numFmtId="167" fontId="7" fillId="26" borderId="21" xfId="199" applyNumberFormat="1" applyFont="1" applyFill="1" applyBorder="1"/>
    <xf numFmtId="167" fontId="7" fillId="27" borderId="21" xfId="200" applyNumberFormat="1" applyFont="1" applyFill="1" applyBorder="1"/>
    <xf numFmtId="167" fontId="5" fillId="0" borderId="1" xfId="218" applyNumberFormat="1" applyFont="1" applyFill="1" applyBorder="1"/>
    <xf numFmtId="167" fontId="5" fillId="0" borderId="22" xfId="218" applyNumberFormat="1" applyFont="1" applyFill="1" applyBorder="1"/>
    <xf numFmtId="167" fontId="5" fillId="0" borderId="1" xfId="217" applyNumberFormat="1" applyFont="1" applyFill="1" applyBorder="1"/>
    <xf numFmtId="167" fontId="2" fillId="0" borderId="1" xfId="218" applyNumberFormat="1" applyFont="1" applyFill="1" applyBorder="1"/>
    <xf numFmtId="167" fontId="2" fillId="0" borderId="22" xfId="218" applyNumberFormat="1" applyFont="1" applyFill="1" applyBorder="1"/>
    <xf numFmtId="167" fontId="2" fillId="0" borderId="1" xfId="217" applyNumberFormat="1" applyFont="1" applyFill="1" applyBorder="1"/>
    <xf numFmtId="167" fontId="2" fillId="0" borderId="22" xfId="217" applyNumberFormat="1" applyFont="1" applyFill="1" applyBorder="1"/>
    <xf numFmtId="167" fontId="2" fillId="0" borderId="19" xfId="218" applyNumberFormat="1" applyFont="1" applyFill="1" applyBorder="1"/>
    <xf numFmtId="167" fontId="2" fillId="0" borderId="19" xfId="217" applyNumberFormat="1" applyFont="1" applyFill="1" applyBorder="1"/>
    <xf numFmtId="167" fontId="2" fillId="27" borderId="21" xfId="218" applyNumberFormat="1" applyFont="1" applyFill="1" applyBorder="1"/>
    <xf numFmtId="167" fontId="2" fillId="26" borderId="25" xfId="217" applyNumberFormat="1" applyFont="1" applyFill="1" applyBorder="1"/>
    <xf numFmtId="167" fontId="2" fillId="27" borderId="1" xfId="218" applyNumberFormat="1" applyFont="1" applyFill="1" applyBorder="1"/>
    <xf numFmtId="167" fontId="2" fillId="26" borderId="22" xfId="217" applyNumberFormat="1" applyFont="1" applyFill="1" applyBorder="1"/>
    <xf numFmtId="167" fontId="2" fillId="27" borderId="19" xfId="218" applyNumberFormat="1" applyFont="1" applyFill="1" applyBorder="1"/>
    <xf numFmtId="167" fontId="2" fillId="26" borderId="17" xfId="217" applyNumberFormat="1" applyFont="1" applyFill="1" applyBorder="1"/>
    <xf numFmtId="167" fontId="2" fillId="0" borderId="17" xfId="218" applyNumberFormat="1" applyFont="1" applyFill="1" applyBorder="1"/>
    <xf numFmtId="167" fontId="2" fillId="27" borderId="25" xfId="218" applyNumberFormat="1" applyFont="1" applyFill="1" applyBorder="1"/>
    <xf numFmtId="167" fontId="2" fillId="27" borderId="22" xfId="218" applyNumberFormat="1" applyFont="1" applyFill="1" applyBorder="1"/>
    <xf numFmtId="167" fontId="2" fillId="27" borderId="17" xfId="218" applyNumberFormat="1" applyFont="1" applyFill="1" applyBorder="1"/>
    <xf numFmtId="167" fontId="7" fillId="27" borderId="25" xfId="200" applyNumberFormat="1" applyFont="1" applyFill="1" applyBorder="1"/>
    <xf numFmtId="0" fontId="61" fillId="0" borderId="0" xfId="199" applyFont="1"/>
    <xf numFmtId="167" fontId="61" fillId="0" borderId="0" xfId="199" applyNumberFormat="1" applyFont="1"/>
    <xf numFmtId="168" fontId="2" fillId="0" borderId="0" xfId="199" applyNumberFormat="1" applyFont="1"/>
    <xf numFmtId="167" fontId="2" fillId="0" borderId="0" xfId="199" applyNumberFormat="1" applyFont="1"/>
    <xf numFmtId="0" fontId="5" fillId="0" borderId="0" xfId="199" applyFont="1" applyAlignment="1">
      <alignment horizontal="center"/>
    </xf>
    <xf numFmtId="0" fontId="5" fillId="26" borderId="20" xfId="199" applyFont="1" applyFill="1" applyBorder="1" applyAlignment="1">
      <alignment horizontal="center"/>
    </xf>
    <xf numFmtId="0" fontId="5" fillId="26" borderId="8" xfId="199" applyFont="1" applyFill="1" applyBorder="1" applyAlignment="1">
      <alignment horizontal="center"/>
    </xf>
    <xf numFmtId="0" fontId="5" fillId="26" borderId="27" xfId="199" applyFont="1" applyFill="1" applyBorder="1" applyAlignment="1">
      <alignment horizontal="center"/>
    </xf>
    <xf numFmtId="0" fontId="5" fillId="26" borderId="18" xfId="199" applyFont="1" applyFill="1" applyBorder="1" applyAlignment="1">
      <alignment horizontal="center"/>
    </xf>
    <xf numFmtId="0" fontId="5" fillId="26" borderId="19" xfId="199" applyFont="1" applyFill="1" applyBorder="1" applyAlignment="1">
      <alignment horizontal="center"/>
    </xf>
    <xf numFmtId="0" fontId="5" fillId="26" borderId="14" xfId="199" applyFont="1" applyFill="1" applyBorder="1" applyAlignment="1">
      <alignment horizontal="center"/>
    </xf>
    <xf numFmtId="0" fontId="5" fillId="0" borderId="18" xfId="199" applyFont="1" applyBorder="1" applyAlignment="1">
      <alignment horizontal="center"/>
    </xf>
    <xf numFmtId="167" fontId="5" fillId="0" borderId="8" xfId="200" applyNumberFormat="1" applyFont="1" applyBorder="1"/>
    <xf numFmtId="167" fontId="5" fillId="0" borderId="27" xfId="200" applyNumberFormat="1" applyFont="1" applyBorder="1"/>
    <xf numFmtId="167" fontId="5" fillId="0" borderId="8" xfId="199" applyNumberFormat="1" applyFont="1" applyBorder="1"/>
    <xf numFmtId="167" fontId="5" fillId="0" borderId="19" xfId="200" applyNumberFormat="1" applyFont="1" applyBorder="1"/>
    <xf numFmtId="167" fontId="5" fillId="0" borderId="17" xfId="200" applyNumberFormat="1" applyFont="1" applyBorder="1"/>
    <xf numFmtId="0" fontId="20" fillId="0" borderId="20" xfId="199" applyFont="1" applyBorder="1" applyAlignment="1">
      <alignment horizontal="center"/>
    </xf>
    <xf numFmtId="167" fontId="62" fillId="0" borderId="8" xfId="200" applyNumberFormat="1" applyFont="1" applyBorder="1"/>
    <xf numFmtId="167" fontId="62" fillId="0" borderId="27" xfId="200" applyNumberFormat="1" applyFont="1" applyBorder="1"/>
    <xf numFmtId="167" fontId="20" fillId="0" borderId="8" xfId="199" applyNumberFormat="1" applyFont="1" applyBorder="1"/>
    <xf numFmtId="0" fontId="2" fillId="0" borderId="20" xfId="199" applyFont="1" applyBorder="1" applyAlignment="1">
      <alignment horizontal="left"/>
    </xf>
    <xf numFmtId="167" fontId="5" fillId="0" borderId="15" xfId="200" applyNumberFormat="1" applyFont="1" applyBorder="1"/>
    <xf numFmtId="167" fontId="5" fillId="0" borderId="21" xfId="200" applyNumberFormat="1" applyFont="1" applyBorder="1"/>
    <xf numFmtId="167" fontId="5" fillId="0" borderId="25" xfId="200" applyNumberFormat="1" applyFont="1" applyBorder="1"/>
    <xf numFmtId="0" fontId="5" fillId="26" borderId="21" xfId="200" applyFont="1" applyFill="1" applyBorder="1" applyAlignment="1">
      <alignment horizontal="left"/>
    </xf>
    <xf numFmtId="0" fontId="5" fillId="26" borderId="23" xfId="199" applyFont="1" applyFill="1" applyBorder="1" applyAlignment="1">
      <alignment horizontal="left"/>
    </xf>
    <xf numFmtId="0" fontId="2" fillId="0" borderId="1" xfId="200" applyFont="1" applyBorder="1" applyAlignment="1">
      <alignment horizontal="left"/>
    </xf>
    <xf numFmtId="0" fontId="2" fillId="0" borderId="24" xfId="199" applyFont="1" applyBorder="1" applyAlignment="1">
      <alignment horizontal="left"/>
    </xf>
    <xf numFmtId="0" fontId="5" fillId="0" borderId="1" xfId="200" applyFont="1" applyBorder="1" applyAlignment="1">
      <alignment horizontal="left"/>
    </xf>
    <xf numFmtId="167" fontId="7" fillId="0" borderId="22" xfId="200" applyNumberFormat="1" applyFont="1" applyBorder="1"/>
    <xf numFmtId="167" fontId="7" fillId="0" borderId="1" xfId="199" applyNumberFormat="1" applyFont="1" applyBorder="1"/>
    <xf numFmtId="0" fontId="5" fillId="0" borderId="0" xfId="199" applyFont="1"/>
    <xf numFmtId="0" fontId="5" fillId="0" borderId="24" xfId="199" applyFont="1" applyBorder="1" applyAlignment="1">
      <alignment horizontal="left"/>
    </xf>
    <xf numFmtId="167" fontId="7" fillId="0" borderId="1" xfId="200" applyNumberFormat="1" applyFont="1" applyBorder="1"/>
    <xf numFmtId="0" fontId="2" fillId="0" borderId="19" xfId="200" applyFont="1" applyBorder="1" applyAlignment="1">
      <alignment horizontal="left"/>
    </xf>
    <xf numFmtId="167" fontId="2" fillId="0" borderId="22" xfId="200" applyNumberFormat="1" applyFont="1" applyBorder="1"/>
    <xf numFmtId="167" fontId="2" fillId="0" borderId="1" xfId="199" applyNumberFormat="1" applyFont="1" applyBorder="1"/>
    <xf numFmtId="167" fontId="2" fillId="0" borderId="1" xfId="200" applyNumberFormat="1" applyFont="1" applyBorder="1"/>
    <xf numFmtId="0" fontId="5" fillId="0" borderId="23" xfId="199" applyFont="1" applyBorder="1" applyAlignment="1">
      <alignment horizontal="left"/>
    </xf>
    <xf numFmtId="167" fontId="7" fillId="0" borderId="21" xfId="200" applyNumberFormat="1" applyFont="1" applyBorder="1"/>
    <xf numFmtId="167" fontId="7" fillId="0" borderId="25" xfId="200" applyNumberFormat="1" applyFont="1" applyBorder="1"/>
    <xf numFmtId="167" fontId="7" fillId="0" borderId="21" xfId="199" applyNumberFormat="1" applyFont="1" applyBorder="1"/>
    <xf numFmtId="0" fontId="2" fillId="0" borderId="24" xfId="200" applyFont="1" applyBorder="1" applyAlignment="1">
      <alignment horizontal="left"/>
    </xf>
    <xf numFmtId="0" fontId="2" fillId="0" borderId="18" xfId="200" applyFont="1" applyBorder="1" applyAlignment="1">
      <alignment horizontal="left"/>
    </xf>
    <xf numFmtId="0" fontId="21" fillId="0" borderId="24" xfId="199" applyFont="1" applyBorder="1" applyAlignment="1">
      <alignment horizontal="left"/>
    </xf>
    <xf numFmtId="0" fontId="21" fillId="0" borderId="18" xfId="199" applyFont="1" applyBorder="1" applyAlignment="1">
      <alignment horizontal="left"/>
    </xf>
    <xf numFmtId="167" fontId="7" fillId="0" borderId="22" xfId="199" applyNumberFormat="1" applyFont="1" applyBorder="1"/>
    <xf numFmtId="168" fontId="2" fillId="0" borderId="18" xfId="199" applyNumberFormat="1" applyFont="1" applyBorder="1" applyAlignment="1">
      <alignment horizontal="left"/>
    </xf>
    <xf numFmtId="167" fontId="2" fillId="0" borderId="19" xfId="200" applyNumberFormat="1" applyFont="1" applyBorder="1"/>
    <xf numFmtId="167" fontId="2" fillId="0" borderId="17" xfId="200" applyNumberFormat="1" applyFont="1" applyBorder="1"/>
    <xf numFmtId="167" fontId="2" fillId="0" borderId="17" xfId="199" applyNumberFormat="1" applyFont="1" applyBorder="1"/>
    <xf numFmtId="167" fontId="7" fillId="0" borderId="25" xfId="199" applyNumberFormat="1" applyFont="1" applyBorder="1"/>
    <xf numFmtId="166" fontId="2" fillId="0" borderId="24" xfId="199" applyNumberFormat="1" applyFont="1" applyBorder="1" applyAlignment="1">
      <alignment horizontal="left"/>
    </xf>
    <xf numFmtId="0" fontId="2" fillId="0" borderId="18" xfId="199" applyFont="1" applyBorder="1" applyAlignment="1">
      <alignment horizontal="left"/>
    </xf>
    <xf numFmtId="167" fontId="22" fillId="0" borderId="1" xfId="200" applyNumberFormat="1" applyFont="1" applyBorder="1"/>
    <xf numFmtId="167" fontId="22" fillId="0" borderId="22" xfId="200" applyNumberFormat="1" applyFont="1" applyBorder="1"/>
    <xf numFmtId="167" fontId="22" fillId="0" borderId="22" xfId="199" applyNumberFormat="1" applyFont="1" applyBorder="1"/>
    <xf numFmtId="167" fontId="7" fillId="0" borderId="19" xfId="200" applyNumberFormat="1" applyFont="1" applyBorder="1"/>
    <xf numFmtId="167" fontId="7" fillId="0" borderId="17" xfId="200" applyNumberFormat="1" applyFont="1" applyBorder="1"/>
    <xf numFmtId="167" fontId="7" fillId="0" borderId="19" xfId="199" applyNumberFormat="1" applyFont="1" applyBorder="1"/>
    <xf numFmtId="0" fontId="5" fillId="26" borderId="24" xfId="199" applyFont="1" applyFill="1" applyBorder="1" applyAlignment="1">
      <alignment horizontal="left"/>
    </xf>
    <xf numFmtId="167" fontId="2" fillId="27" borderId="0" xfId="218" applyNumberFormat="1" applyFont="1" applyFill="1" applyBorder="1"/>
    <xf numFmtId="0" fontId="5" fillId="26" borderId="18" xfId="199" applyFont="1" applyFill="1" applyBorder="1" applyAlignment="1">
      <alignment horizontal="left"/>
    </xf>
    <xf numFmtId="0" fontId="2" fillId="0" borderId="14" xfId="199" applyFont="1" applyBorder="1"/>
    <xf numFmtId="0" fontId="5" fillId="26" borderId="20" xfId="199" applyFont="1" applyFill="1" applyBorder="1" applyAlignment="1">
      <alignment horizontal="left"/>
    </xf>
    <xf numFmtId="169" fontId="5" fillId="0" borderId="18" xfId="211" applyNumberFormat="1" applyFont="1" applyFill="1" applyBorder="1" applyAlignment="1">
      <alignment horizontal="right"/>
    </xf>
    <xf numFmtId="169" fontId="5" fillId="0" borderId="19" xfId="211" applyNumberFormat="1" applyFont="1" applyFill="1" applyBorder="1" applyAlignment="1">
      <alignment horizontal="right"/>
    </xf>
    <xf numFmtId="169" fontId="20" fillId="0" borderId="18" xfId="211" applyNumberFormat="1" applyFont="1" applyFill="1" applyBorder="1"/>
    <xf numFmtId="169" fontId="20" fillId="0" borderId="19" xfId="211" applyNumberFormat="1" applyFont="1" applyFill="1" applyBorder="1"/>
    <xf numFmtId="169" fontId="5" fillId="0" borderId="20" xfId="211" applyNumberFormat="1" applyFont="1" applyFill="1" applyBorder="1"/>
    <xf numFmtId="169" fontId="5" fillId="0" borderId="8" xfId="211" applyNumberFormat="1" applyFont="1" applyFill="1" applyBorder="1"/>
    <xf numFmtId="169" fontId="5" fillId="0" borderId="21" xfId="211" applyNumberFormat="1" applyFont="1" applyFill="1" applyBorder="1"/>
    <xf numFmtId="169" fontId="7" fillId="26" borderId="23" xfId="211" applyNumberFormat="1" applyFont="1" applyFill="1" applyBorder="1"/>
    <xf numFmtId="169" fontId="7" fillId="26" borderId="21" xfId="211" applyNumberFormat="1" applyFont="1" applyFill="1" applyBorder="1"/>
    <xf numFmtId="169" fontId="5" fillId="0" borderId="24" xfId="211" applyNumberFormat="1" applyFont="1" applyFill="1" applyBorder="1" applyAlignment="1"/>
    <xf numFmtId="169" fontId="5" fillId="0" borderId="1" xfId="211" applyNumberFormat="1" applyFont="1" applyFill="1" applyBorder="1" applyAlignment="1"/>
    <xf numFmtId="169" fontId="7" fillId="0" borderId="24" xfId="211" applyNumberFormat="1" applyFont="1" applyFill="1" applyBorder="1" applyAlignment="1"/>
    <xf numFmtId="169" fontId="7" fillId="0" borderId="1" xfId="211" applyNumberFormat="1" applyFont="1" applyFill="1" applyBorder="1" applyAlignment="1"/>
    <xf numFmtId="169" fontId="2" fillId="0" borderId="24" xfId="211" applyNumberFormat="1" applyFont="1" applyFill="1" applyBorder="1"/>
    <xf numFmtId="169" fontId="2" fillId="0" borderId="1" xfId="211" applyNumberFormat="1" applyFont="1" applyFill="1" applyBorder="1"/>
    <xf numFmtId="169" fontId="2" fillId="0" borderId="24" xfId="211" applyNumberFormat="1" applyFont="1" applyFill="1" applyBorder="1" applyAlignment="1"/>
    <xf numFmtId="169" fontId="2" fillId="0" borderId="1" xfId="211" applyNumberFormat="1" applyFont="1" applyFill="1" applyBorder="1" applyAlignment="1"/>
    <xf numFmtId="169" fontId="59" fillId="0" borderId="24" xfId="211" applyNumberFormat="1" applyFont="1" applyFill="1" applyBorder="1"/>
    <xf numFmtId="169" fontId="59" fillId="0" borderId="1" xfId="211" applyNumberFormat="1" applyFont="1" applyFill="1" applyBorder="1"/>
    <xf numFmtId="169" fontId="59" fillId="0" borderId="24" xfId="211" applyNumberFormat="1" applyFont="1" applyFill="1" applyBorder="1" applyAlignment="1"/>
    <xf numFmtId="169" fontId="59" fillId="0" borderId="1" xfId="211" applyNumberFormat="1" applyFont="1" applyFill="1" applyBorder="1" applyAlignment="1"/>
    <xf numFmtId="169" fontId="7" fillId="0" borderId="21" xfId="211" applyNumberFormat="1" applyFont="1" applyFill="1" applyBorder="1"/>
    <xf numFmtId="169" fontId="7" fillId="0" borderId="25" xfId="211" applyNumberFormat="1" applyFont="1" applyFill="1" applyBorder="1"/>
    <xf numFmtId="169" fontId="7" fillId="0" borderId="26" xfId="211" applyNumberFormat="1" applyFont="1" applyFill="1" applyBorder="1"/>
    <xf numFmtId="169" fontId="2" fillId="0" borderId="22" xfId="211" applyNumberFormat="1" applyFont="1" applyFill="1" applyBorder="1"/>
    <xf numFmtId="169" fontId="2" fillId="0" borderId="0" xfId="211" applyNumberFormat="1" applyFont="1" applyFill="1" applyBorder="1"/>
    <xf numFmtId="169" fontId="2" fillId="0" borderId="19" xfId="211" applyNumberFormat="1" applyFont="1" applyFill="1" applyBorder="1"/>
    <xf numFmtId="169" fontId="2" fillId="0" borderId="17" xfId="211" applyNumberFormat="1" applyFont="1" applyFill="1" applyBorder="1"/>
    <xf numFmtId="169" fontId="2" fillId="0" borderId="14" xfId="211" applyNumberFormat="1" applyFont="1" applyFill="1" applyBorder="1"/>
    <xf numFmtId="169" fontId="7" fillId="0" borderId="24" xfId="211" applyNumberFormat="1" applyFont="1" applyFill="1" applyBorder="1"/>
    <xf numFmtId="169" fontId="7" fillId="0" borderId="1" xfId="211" applyNumberFormat="1" applyFont="1" applyFill="1" applyBorder="1"/>
    <xf numFmtId="169" fontId="7" fillId="0" borderId="0" xfId="211" applyNumberFormat="1" applyFont="1" applyFill="1" applyBorder="1"/>
    <xf numFmtId="169" fontId="7" fillId="0" borderId="23" xfId="211" applyNumberFormat="1" applyFont="1" applyFill="1" applyBorder="1"/>
    <xf numFmtId="169" fontId="2" fillId="0" borderId="18" xfId="211" applyNumberFormat="1" applyFont="1" applyFill="1" applyBorder="1"/>
    <xf numFmtId="169" fontId="59" fillId="0" borderId="0" xfId="211" applyNumberFormat="1" applyFont="1" applyFill="1" applyBorder="1"/>
    <xf numFmtId="169" fontId="59" fillId="0" borderId="22" xfId="211" applyNumberFormat="1" applyFont="1" applyFill="1" applyBorder="1"/>
    <xf numFmtId="169" fontId="2" fillId="26" borderId="26" xfId="211" applyNumberFormat="1" applyFont="1" applyFill="1" applyBorder="1"/>
    <xf numFmtId="169" fontId="2" fillId="26" borderId="21" xfId="211" applyNumberFormat="1" applyFont="1" applyFill="1" applyBorder="1"/>
    <xf numFmtId="169" fontId="2" fillId="26" borderId="0" xfId="211" applyNumberFormat="1" applyFont="1" applyFill="1" applyBorder="1"/>
    <xf numFmtId="169" fontId="2" fillId="26" borderId="1" xfId="211" applyNumberFormat="1" applyFont="1" applyFill="1" applyBorder="1"/>
    <xf numFmtId="169" fontId="2" fillId="26" borderId="14" xfId="211" applyNumberFormat="1" applyFont="1" applyFill="1" applyBorder="1"/>
    <xf numFmtId="169" fontId="2" fillId="26" borderId="19" xfId="211" applyNumberFormat="1" applyFont="1" applyFill="1" applyBorder="1"/>
    <xf numFmtId="169" fontId="2" fillId="26" borderId="8" xfId="211" applyNumberFormat="1" applyFont="1" applyFill="1" applyBorder="1"/>
    <xf numFmtId="0" fontId="1" fillId="0" borderId="0" xfId="185" applyFont="1"/>
    <xf numFmtId="0" fontId="5" fillId="0" borderId="0" xfId="174" applyFont="1" applyAlignment="1">
      <alignment horizontal="center"/>
    </xf>
    <xf numFmtId="2" fontId="3" fillId="0" borderId="0" xfId="0" applyNumberFormat="1" applyFont="1" applyAlignment="1">
      <alignment horizontal="left" wrapText="1"/>
    </xf>
    <xf numFmtId="0" fontId="4" fillId="0" borderId="0" xfId="174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0" xfId="199" applyFont="1" applyAlignment="1">
      <alignment horizontal="center"/>
    </xf>
    <xf numFmtId="49" fontId="5" fillId="26" borderId="20" xfId="199" applyNumberFormat="1" applyFont="1" applyFill="1" applyBorder="1" applyAlignment="1">
      <alignment horizontal="center" wrapText="1"/>
    </xf>
    <xf numFmtId="49" fontId="5" fillId="26" borderId="27" xfId="199" applyNumberFormat="1" applyFont="1" applyFill="1" applyBorder="1" applyAlignment="1">
      <alignment horizontal="center" wrapText="1"/>
    </xf>
  </cellXfs>
  <cellStyles count="254">
    <cellStyle name="1 indent" xfId="1" xr:uid="{CACEF4BD-A3AE-45BA-933F-D96975BAE026}"/>
    <cellStyle name="2 indents" xfId="2" xr:uid="{1621E5A7-BBFB-428C-9E5D-722DC5162884}"/>
    <cellStyle name="20% - Accent1" xfId="3" xr:uid="{F405FA87-54C1-4B83-A24E-082242CD6746}"/>
    <cellStyle name="20% - Accent2" xfId="4" xr:uid="{E2FDE1B7-92FA-4FE1-9901-CCDBE914F677}"/>
    <cellStyle name="20% - Accent3" xfId="5" xr:uid="{E041E908-E783-4690-B2D4-5B50D89965CE}"/>
    <cellStyle name="20% - Accent4" xfId="6" xr:uid="{B616805C-F9E5-464F-A652-643E97D33285}"/>
    <cellStyle name="20% - Accent5" xfId="7" xr:uid="{9B948416-E0A4-46AA-BCB2-9921DC2D409B}"/>
    <cellStyle name="20% - Accent6" xfId="8" xr:uid="{59670973-4467-41DB-A1F8-4BA408B950A2}"/>
    <cellStyle name="20% - Énfasis1 2" xfId="9" xr:uid="{641FAB47-36C8-4516-93B8-7A70A0A17495}"/>
    <cellStyle name="20% - Énfasis1 3" xfId="10" xr:uid="{CC944A91-5E24-4D0F-85E7-45BB211067ED}"/>
    <cellStyle name="20% - Énfasis2 2" xfId="11" xr:uid="{51782A91-5823-4009-AAEB-F05A7AF113DA}"/>
    <cellStyle name="20% - Énfasis2 3" xfId="12" xr:uid="{CEA812A6-B0A4-4BBA-93E9-DEC1B46CEFC9}"/>
    <cellStyle name="20% - Énfasis3 2" xfId="13" xr:uid="{E3CDC81B-CDFF-4F99-BB78-5FD8C7CAF7D0}"/>
    <cellStyle name="20% - Énfasis3 3" xfId="14" xr:uid="{B493FC61-61A3-4906-97A1-6E40E0BCE5FF}"/>
    <cellStyle name="20% - Énfasis4 2" xfId="15" xr:uid="{0E6ABE79-BB86-40AF-BBAC-909F2F0FF541}"/>
    <cellStyle name="20% - Énfasis4 3" xfId="16" xr:uid="{533A111C-A470-462C-958F-85425B09036B}"/>
    <cellStyle name="20% - Énfasis5 2" xfId="17" xr:uid="{05FA9399-44CB-4C03-98BB-92E001037DA4}"/>
    <cellStyle name="20% - Énfasis5 3" xfId="18" xr:uid="{8EDD5F47-CB9E-44BE-BB0F-F436DD131A85}"/>
    <cellStyle name="20% - Énfasis6 2" xfId="19" xr:uid="{B92506CB-D07E-44CA-A3AE-043D9201FC6E}"/>
    <cellStyle name="20% - Énfasis6 3" xfId="20" xr:uid="{FBB4031C-F129-4F2C-B6DE-3D36C7547346}"/>
    <cellStyle name="3 indents" xfId="21" xr:uid="{AEF49DDB-B96F-49F7-A303-83FAAF5511CF}"/>
    <cellStyle name="4 indents" xfId="22" xr:uid="{9ED614D2-6BF5-4811-9A2E-E7E40662882F}"/>
    <cellStyle name="40% - Accent1" xfId="23" xr:uid="{F060ADDF-EF8C-49C4-8E82-25BF30E1CD79}"/>
    <cellStyle name="40% - Accent2" xfId="24" xr:uid="{960B113E-6562-436A-8A25-B248A094106D}"/>
    <cellStyle name="40% - Accent3" xfId="25" xr:uid="{0F5BE59C-216C-43A0-A059-9E5C2E80A76D}"/>
    <cellStyle name="40% - Accent4" xfId="26" xr:uid="{03A88F77-7172-40A3-8CD8-706ABA7CB15D}"/>
    <cellStyle name="40% - Accent5" xfId="27" xr:uid="{CA69486A-A586-471A-9206-67C8C86AD2C4}"/>
    <cellStyle name="40% - Accent6" xfId="28" xr:uid="{375C3C29-1E46-426B-B6E2-B17B716117AB}"/>
    <cellStyle name="40% - Énfasis1 2" xfId="29" xr:uid="{C1B85178-7FF2-4C67-AC3C-163A14EF94E9}"/>
    <cellStyle name="40% - Énfasis1 3" xfId="30" xr:uid="{AB105D34-1C00-43E6-99B5-2FDBED3C5607}"/>
    <cellStyle name="40% - Énfasis2 2" xfId="31" xr:uid="{D09BE8F6-C69C-43D3-9232-5D23BB72F9B2}"/>
    <cellStyle name="40% - Énfasis2 3" xfId="32" xr:uid="{3BABAE94-74A0-4079-9917-1E1CB23B7203}"/>
    <cellStyle name="40% - Énfasis3 2" xfId="33" xr:uid="{9629E437-EA18-4008-91AC-90533546E0CA}"/>
    <cellStyle name="40% - Énfasis3 3" xfId="34" xr:uid="{970FE1D4-432E-4377-83C4-31586477E154}"/>
    <cellStyle name="40% - Énfasis4 2" xfId="35" xr:uid="{60C993BF-511A-4AFB-BE8A-9382CC7F166E}"/>
    <cellStyle name="40% - Énfasis4 3" xfId="36" xr:uid="{F9CFEBA0-B242-4731-923A-31F5AB88C4A2}"/>
    <cellStyle name="40% - Énfasis5 2" xfId="37" xr:uid="{B082FC82-3415-4E8E-BC2E-068398DE22E0}"/>
    <cellStyle name="40% - Énfasis5 3" xfId="38" xr:uid="{CDD30210-D406-431E-BFB3-8135BC9C37E5}"/>
    <cellStyle name="40% - Énfasis6 2" xfId="39" xr:uid="{1D4EC532-38C0-4FC2-939D-68B63B990F37}"/>
    <cellStyle name="40% - Énfasis6 3" xfId="40" xr:uid="{4CF77634-F82B-4AC4-B8C4-64E871321E92}"/>
    <cellStyle name="5 indents" xfId="41" xr:uid="{60BA1360-9661-4E74-82F8-5F16246CBE8D}"/>
    <cellStyle name="60% - Accent1" xfId="42" xr:uid="{15070628-1CFD-43CC-BD7A-022EC7F27D86}"/>
    <cellStyle name="60% - Accent2" xfId="43" xr:uid="{F7E7EF9A-B365-4DEF-B9CD-2A1A2339A5C9}"/>
    <cellStyle name="60% - Accent3" xfId="44" xr:uid="{5855D024-FAC1-4463-9D53-1B9310AFCA61}"/>
    <cellStyle name="60% - Accent4" xfId="45" xr:uid="{3E35CA0F-7AD8-4704-BB89-CD0C32E69489}"/>
    <cellStyle name="60% - Accent5" xfId="46" xr:uid="{087AF69E-DA0E-48CF-81DE-76C25F9C2130}"/>
    <cellStyle name="60% - Accent6" xfId="47" xr:uid="{3248EA52-D09F-4711-A61F-0782A10309EA}"/>
    <cellStyle name="60% - Énfasis1 2" xfId="48" xr:uid="{C7742062-046E-449E-B699-86528851832E}"/>
    <cellStyle name="60% - Énfasis1 3" xfId="49" xr:uid="{8FD0E716-2777-4C0C-89CF-18DA560EF686}"/>
    <cellStyle name="60% - Énfasis2 2" xfId="50" xr:uid="{46C61E6F-5C4B-47DF-94E8-C8C4EE39BDD9}"/>
    <cellStyle name="60% - Énfasis2 3" xfId="51" xr:uid="{9E9D6A1F-DF5E-4FD4-B375-09226472FC5E}"/>
    <cellStyle name="60% - Énfasis3 2" xfId="52" xr:uid="{F37B323A-4EF0-4CE5-8106-CA706FA8858E}"/>
    <cellStyle name="60% - Énfasis3 3" xfId="53" xr:uid="{E603863B-605F-4EB6-9596-2D82D0187CA2}"/>
    <cellStyle name="60% - Énfasis4 2" xfId="54" xr:uid="{77D648EA-A352-4FEA-A652-B7D083A6F9EB}"/>
    <cellStyle name="60% - Énfasis4 3" xfId="55" xr:uid="{91247891-DE2E-4E36-9FC5-C322348E3002}"/>
    <cellStyle name="60% - Énfasis5 2" xfId="56" xr:uid="{BEFF4FD3-DB0B-4486-9E84-1C8E80A892B6}"/>
    <cellStyle name="60% - Énfasis5 3" xfId="57" xr:uid="{C5BF7176-C99E-4F15-850F-912CCCBCA2BA}"/>
    <cellStyle name="60% - Énfasis6 2" xfId="58" xr:uid="{A9604A63-F205-4997-83B8-32B2A790D6CE}"/>
    <cellStyle name="60% - Énfasis6 3" xfId="59" xr:uid="{E3AA4AD0-9262-4AC1-81C4-2A97C9A4C485}"/>
    <cellStyle name="Accent1" xfId="60" xr:uid="{7B8422E9-F9CE-497F-B1DB-D8C26E7E337F}"/>
    <cellStyle name="Accent2" xfId="61" xr:uid="{A0323603-68D4-4D53-8E3D-6E8B769F21C7}"/>
    <cellStyle name="Accent3" xfId="62" xr:uid="{1D3D3D12-C3B9-4463-9789-DD6646B273E7}"/>
    <cellStyle name="Accent4" xfId="63" xr:uid="{9F14FC2A-C0B2-48E9-BB38-1D4FB1FC58EB}"/>
    <cellStyle name="Accent5" xfId="64" xr:uid="{D23E9417-1421-4B2E-8B59-5F0F5ED88A57}"/>
    <cellStyle name="Accent6" xfId="65" xr:uid="{C7727C82-03A8-410E-8122-5AAB166966B6}"/>
    <cellStyle name="Array" xfId="66" xr:uid="{D6E3E201-95E8-43AD-AB70-69FFD525F740}"/>
    <cellStyle name="Array Enter" xfId="67" xr:uid="{51B3A621-550D-4696-8507-604655CE26B3}"/>
    <cellStyle name="Bad" xfId="68" xr:uid="{C9CC6DA2-5430-41AF-BD43-19E928C8F16B}"/>
    <cellStyle name="Buena 2" xfId="69" xr:uid="{D27FFB96-5585-4E32-BB85-260D6E1BF4DC}"/>
    <cellStyle name="Bueno 2" xfId="70" xr:uid="{5F30C89F-E673-40F1-AD0E-E2BCF22AD2A0}"/>
    <cellStyle name="Calculation" xfId="71" xr:uid="{C644757B-FBE1-411F-AE96-C505DF5434ED}"/>
    <cellStyle name="Cálculo 2" xfId="72" xr:uid="{691542A5-78A4-4A62-BC05-3191711DDB50}"/>
    <cellStyle name="Cálculo 3" xfId="73" xr:uid="{A4D01AFA-1DFC-4534-AB14-E0142CDBA625}"/>
    <cellStyle name="Celda de comprobación 2" xfId="74" xr:uid="{049201DB-A496-46B7-AA58-E66F6501A052}"/>
    <cellStyle name="Celda de comprobación 3" xfId="75" xr:uid="{4E714A35-80D2-4E31-819F-60970E2F6FC6}"/>
    <cellStyle name="Celda vinculada 2" xfId="76" xr:uid="{CBF14E2E-7C68-4746-8F64-FA7D5E9EAE1D}"/>
    <cellStyle name="Celda vinculada 3" xfId="77" xr:uid="{B4ABDDD1-6CEE-41C4-BE08-DD0B54CDE97E}"/>
    <cellStyle name="Check Cell" xfId="78" xr:uid="{54AC8B21-282E-44DA-A47C-F5AD689AD846}"/>
    <cellStyle name="Encabezado 1 2" xfId="79" xr:uid="{CE4601FA-5BB3-4B96-B69D-CD3E6AF98F1E}"/>
    <cellStyle name="Encabezado 4 2" xfId="80" xr:uid="{D1CC5481-443D-4B8D-9452-C856C0981806}"/>
    <cellStyle name="Encabezado 4 3" xfId="81" xr:uid="{D734D1BD-4F28-4FAE-9602-0DD3BAD333F4}"/>
    <cellStyle name="Énfasis1 2" xfId="82" xr:uid="{34EAB63E-57BE-43EA-B356-664CFB0D4AA7}"/>
    <cellStyle name="Énfasis1 3" xfId="83" xr:uid="{E6AE6A22-106E-4668-A9A9-3B1D9E476353}"/>
    <cellStyle name="Énfasis2 2" xfId="84" xr:uid="{501EC0C7-1418-49D3-8117-5D179386B74C}"/>
    <cellStyle name="Énfasis2 3" xfId="85" xr:uid="{32F9851A-8608-4193-95D1-F4795DCBD66B}"/>
    <cellStyle name="Énfasis3 2" xfId="86" xr:uid="{4E148B1B-6C97-4FE0-AFE7-3C274E3A334B}"/>
    <cellStyle name="Énfasis3 3" xfId="87" xr:uid="{977C3E60-33CB-40F6-B48A-8A6C00C401EA}"/>
    <cellStyle name="Énfasis4 2" xfId="88" xr:uid="{4F280C4E-17BD-4E12-A3F0-07E5F7D6B141}"/>
    <cellStyle name="Énfasis4 3" xfId="89" xr:uid="{A0011DC9-6DC8-465D-9229-668709EDA85F}"/>
    <cellStyle name="Énfasis5 2" xfId="90" xr:uid="{BDF7DD5F-2F0A-49BB-AACC-281CEAAED721}"/>
    <cellStyle name="Énfasis5 3" xfId="91" xr:uid="{D6D3BFE3-EFFD-4B53-BCFE-503DAF41DF0E}"/>
    <cellStyle name="Énfasis6 2" xfId="92" xr:uid="{2EE1E471-92E6-48D3-B3F0-A2E848D3DC43}"/>
    <cellStyle name="Énfasis6 3" xfId="93" xr:uid="{06500F2E-0CFF-4148-A62C-4B3D6D7C40A1}"/>
    <cellStyle name="Entrada 2" xfId="94" xr:uid="{03B20582-D007-4DB2-BB60-1B1C26AADDB3}"/>
    <cellStyle name="Entrada 3" xfId="95" xr:uid="{997D509E-8882-4F5D-B3E2-D6C462B9B03F}"/>
    <cellStyle name="Est.Fin." xfId="96" xr:uid="{61818AED-E361-4269-AEF4-54C11618520D}"/>
    <cellStyle name="Est.Fin. 2" xfId="97" xr:uid="{8752485E-4465-4D37-8833-EAD768AE5809}"/>
    <cellStyle name="Estilo 1" xfId="98" xr:uid="{6E489044-6925-4CBE-AB5B-4F436F352BA9}"/>
    <cellStyle name="Euro" xfId="99" xr:uid="{335E3DF1-9C2E-4E61-BBEC-EAF0E16121CD}"/>
    <cellStyle name="Euro 2" xfId="100" xr:uid="{73B9E40A-B7CA-4C67-8FBC-1C75D88F355B}"/>
    <cellStyle name="Explanatory Text" xfId="101" xr:uid="{F712872D-F2C6-4E4C-BFB3-D36194846F14}"/>
    <cellStyle name="Good" xfId="102" xr:uid="{F8B06689-01B6-4EC4-996D-F5C397159335}"/>
    <cellStyle name="Grey" xfId="103" xr:uid="{DDB8BA0B-9725-4E74-A3EC-780A8B9682D8}"/>
    <cellStyle name="Heading 1" xfId="104" xr:uid="{2E8D13A3-F156-497F-8DB8-6F89E9621E0D}"/>
    <cellStyle name="Heading 2" xfId="105" xr:uid="{11C9676D-D0D2-4B37-975D-A52BEBB9823D}"/>
    <cellStyle name="Heading 3" xfId="106" xr:uid="{61147AC2-BC55-46AF-B5AE-4FE4483E26C5}"/>
    <cellStyle name="Heading 4" xfId="107" xr:uid="{5B2F3485-4802-4F61-9C6F-638265257AB6}"/>
    <cellStyle name="imf-one decimal" xfId="108" xr:uid="{7B6719F8-4DFC-46A1-B12E-25B00C2EAE01}"/>
    <cellStyle name="imf-zero decimal" xfId="109" xr:uid="{BC7CCD57-E8C3-4B20-AB41-C2355BEB300E}"/>
    <cellStyle name="Incorrecto 2" xfId="110" xr:uid="{5E7729DC-0C5B-4772-AA66-17BD6DECE7AA}"/>
    <cellStyle name="Incorrecto 3" xfId="111" xr:uid="{7A497F5E-0B04-4FB5-AA16-1C7B659B5DCE}"/>
    <cellStyle name="Input" xfId="112" xr:uid="{0E16BD71-6455-4E4E-AF02-81EDDB0F0E39}"/>
    <cellStyle name="Input [yellow]" xfId="113" xr:uid="{F0771222-9389-4964-BFCA-7B0DFCD47694}"/>
    <cellStyle name="Linked Cell" xfId="114" xr:uid="{B8967482-F134-4B8A-9CF1-CB6CF9F28E53}"/>
    <cellStyle name="MacroCode" xfId="115" xr:uid="{BBD571AD-F5BE-4D4B-B746-AE1955DB1EFC}"/>
    <cellStyle name="Millares 10" xfId="116" xr:uid="{B8237A62-1D54-43E0-B21D-FCEECAF6A715}"/>
    <cellStyle name="Millares 10 2" xfId="117" xr:uid="{92E8BF62-2D75-4497-B2DE-BDE49381C301}"/>
    <cellStyle name="Millares 11" xfId="118" xr:uid="{3D0F8207-0338-4459-B3A4-0ECB7E7EB335}"/>
    <cellStyle name="Millares 11 2" xfId="119" xr:uid="{BD5268D3-A6EA-4591-BE7D-63A6328FBD9F}"/>
    <cellStyle name="Millares 12" xfId="120" xr:uid="{3C649813-0676-4ADC-8364-20DC35E1C221}"/>
    <cellStyle name="Millares 13" xfId="121" xr:uid="{60F300C3-5319-4E62-81F1-9239FE619816}"/>
    <cellStyle name="Millares 14" xfId="122" xr:uid="{68E3F55B-9A27-4A61-AB5A-A1F6CB94A005}"/>
    <cellStyle name="Millares 2" xfId="123" xr:uid="{3BBA342B-38CC-4737-B481-7615D95FC21F}"/>
    <cellStyle name="Millares 2 2" xfId="124" xr:uid="{19DA2296-6386-480C-8ED9-358A5EBEE5FB}"/>
    <cellStyle name="Millares 2 3" xfId="125" xr:uid="{FB97511C-13C0-44B9-89D0-85106929E973}"/>
    <cellStyle name="Millares 2 4" xfId="126" xr:uid="{0F4C5FDC-3410-4AFA-8723-B56C5BB8015E}"/>
    <cellStyle name="Millares 3" xfId="127" xr:uid="{CDA0701A-C745-49F6-9FDA-679E8CAB58AE}"/>
    <cellStyle name="Millares 3 2" xfId="128" xr:uid="{8EB26818-BB34-4068-B83E-2645A3F118F3}"/>
    <cellStyle name="Millares 3 3" xfId="129" xr:uid="{BD67697C-3E5D-4600-BEA1-C5FDA7B671E0}"/>
    <cellStyle name="Millares 4" xfId="130" xr:uid="{E980881C-BB01-4483-BD87-50DFC5C3563C}"/>
    <cellStyle name="Millares 4 2" xfId="131" xr:uid="{D57892D8-1A15-4381-AA22-663B8999FDED}"/>
    <cellStyle name="Millares 5" xfId="132" xr:uid="{425767EE-B575-4743-A453-49C142C83E0B}"/>
    <cellStyle name="Millares 5 2" xfId="133" xr:uid="{8A9837D0-B8A9-4303-8CF4-2354E73D3533}"/>
    <cellStyle name="Millares 6" xfId="134" xr:uid="{0205E144-5575-4046-BF62-1FE8CE9B4452}"/>
    <cellStyle name="Millares 6 2" xfId="135" xr:uid="{151265F7-18A9-41DB-81D3-B43579C2A449}"/>
    <cellStyle name="Millares 7" xfId="136" xr:uid="{665061A4-6C52-4C2C-BDAD-C2CA9FD7FCCA}"/>
    <cellStyle name="Millares 7 2" xfId="137" xr:uid="{EEEAC6F2-582A-4F13-9AB4-668601834919}"/>
    <cellStyle name="Millares 8" xfId="138" xr:uid="{AC02F04C-BD18-44D6-B647-237536C9A484}"/>
    <cellStyle name="Millares 8 2" xfId="139" xr:uid="{A1F453CE-A51F-4BBF-BCD8-2BAA5EB84A87}"/>
    <cellStyle name="Millares 9" xfId="140" xr:uid="{FBEDA9C0-8CFF-4354-8CFB-24972A636CB1}"/>
    <cellStyle name="Milliers [0]_Encours - Apr rééch" xfId="141" xr:uid="{93741F72-54EE-4688-BC45-084F3EF79DAB}"/>
    <cellStyle name="Milliers_Encours - Apr rééch" xfId="142" xr:uid="{F0ABFD53-05F5-4B2B-A9BC-A309F2BCA822}"/>
    <cellStyle name="Moneda 2" xfId="143" xr:uid="{EA5B9322-73FE-4100-801A-25DE655955AC}"/>
    <cellStyle name="Moneda 2 2" xfId="144" xr:uid="{25779D62-3001-4EFB-9DE9-63FAE5F129DD}"/>
    <cellStyle name="Monétaire [0]_Encours - Apr rééch" xfId="145" xr:uid="{83691764-868A-41DA-8E38-E07B6034EDD3}"/>
    <cellStyle name="Monétaire_Encours - Apr rééch" xfId="146" xr:uid="{A672A129-13A4-4666-9AFE-6D0944629609}"/>
    <cellStyle name="Neutral 2" xfId="147" xr:uid="{A371926B-2132-4A8C-A5C0-303F967F8A0B}"/>
    <cellStyle name="Neutral 3" xfId="148" xr:uid="{8E8E8DDE-0F0B-4A78-8EE6-3B826813A46C}"/>
    <cellStyle name="No-definido" xfId="149" xr:uid="{69902671-8E38-4BC0-9A4D-7B49831D2248}"/>
    <cellStyle name="Normal" xfId="0" builtinId="0"/>
    <cellStyle name="Normal - Modelo1" xfId="150" xr:uid="{F37BD9B1-AE8F-4884-B553-D57FF5D55B1E}"/>
    <cellStyle name="Normal - Style1" xfId="151" xr:uid="{C42AF174-BE16-45E1-8820-7F77C6D4EDED}"/>
    <cellStyle name="Normal - Style2" xfId="152" xr:uid="{C88CB9B3-A100-4E2F-9E71-1898FCE33B05}"/>
    <cellStyle name="Normal - Style3" xfId="153" xr:uid="{5BFE2EF6-2587-4929-BEA9-E8230FE3A594}"/>
    <cellStyle name="Normal 10" xfId="154" xr:uid="{2D775192-D214-4052-9AA9-0E18D409E9C5}"/>
    <cellStyle name="Normal 10 2" xfId="155" xr:uid="{350ADCFD-5D3C-40B5-912B-A58BBD49D616}"/>
    <cellStyle name="Normal 11" xfId="156" xr:uid="{3D062CF3-5304-49AE-B87A-C5520B2B80D3}"/>
    <cellStyle name="Normal 11 2" xfId="157" xr:uid="{7299AE76-405D-4268-AA4D-A9E5FB39C35A}"/>
    <cellStyle name="Normal 12" xfId="158" xr:uid="{5EC24F98-480B-4BCB-A70A-8F6AF554F44D}"/>
    <cellStyle name="Normal 12 2" xfId="159" xr:uid="{ABEC80F6-5A9B-4B84-840F-B827AFE73784}"/>
    <cellStyle name="Normal 13" xfId="160" xr:uid="{EFF1870F-5344-45A0-8DB6-4E430F9907A3}"/>
    <cellStyle name="Normal 13 2" xfId="161" xr:uid="{571CCAD3-78DE-445D-88AB-3A57F8B9EC65}"/>
    <cellStyle name="Normal 14" xfId="162" xr:uid="{D17E4563-F03B-4974-A099-1210C1AD2F21}"/>
    <cellStyle name="Normal 14 2" xfId="163" xr:uid="{47233B4C-3E13-4B33-9250-6410D7D1E223}"/>
    <cellStyle name="Normal 15" xfId="164" xr:uid="{6F9032E1-7A47-4F5A-BA1B-E789300F2AEC}"/>
    <cellStyle name="Normal 15 2" xfId="165" xr:uid="{EAF9C8CE-B51D-429B-9C1E-167973042C32}"/>
    <cellStyle name="Normal 16" xfId="166" xr:uid="{22316E69-6F0F-4E34-96BA-DE27D0399926}"/>
    <cellStyle name="Normal 16 2" xfId="167" xr:uid="{62D968EE-7D6B-4FD9-AB52-6F7861B3B255}"/>
    <cellStyle name="Normal 17" xfId="168" xr:uid="{7C1183A7-B74D-40F3-AF37-90FC85E15C12}"/>
    <cellStyle name="Normal 17 2" xfId="169" xr:uid="{02D296C6-FE7E-4EE5-AD59-C816E65123BF}"/>
    <cellStyle name="Normal 18" xfId="170" xr:uid="{B1822E21-D1A5-416C-82F0-5772F2155456}"/>
    <cellStyle name="Normal 19" xfId="171" xr:uid="{666E206B-90A5-485E-AEB5-5F1E6F5F4E5F}"/>
    <cellStyle name="Normal 2 2" xfId="172" xr:uid="{000EEF3B-6719-44E1-B9BF-CB4B7D786CAF}"/>
    <cellStyle name="Normal 2 2 2" xfId="173" xr:uid="{87ECFF1B-47DC-4696-949B-B2B2280342B3}"/>
    <cellStyle name="Normal 2 3" xfId="174" xr:uid="{786C8A21-CDDF-42DD-82DA-1D359841CF06}"/>
    <cellStyle name="Normal 2 3 2" xfId="175" xr:uid="{9A408DD9-CD80-4C19-B5FB-5B35F151CAD7}"/>
    <cellStyle name="Normal 2 4" xfId="176" xr:uid="{DEE6DF92-6BFB-4E05-A134-A8B90D69C8EB}"/>
    <cellStyle name="Normal 20" xfId="177" xr:uid="{CE03B8CB-8A4B-4D2C-BA33-57A93A5907F0}"/>
    <cellStyle name="Normal 21" xfId="178" xr:uid="{03165360-3E14-4907-891F-33CEBE02C247}"/>
    <cellStyle name="Normal 3" xfId="179" xr:uid="{E51D428D-BB7D-4DCD-8B03-D94A424423AC}"/>
    <cellStyle name="Normal 3 2" xfId="180" xr:uid="{CD263FB5-671C-450A-B740-F9A822953F6A}"/>
    <cellStyle name="Normal 3 3" xfId="181" xr:uid="{37AD123F-C4A7-45AD-B959-A3C6F1CE3C32}"/>
    <cellStyle name="Normal 3 4" xfId="182" xr:uid="{28910BD0-6118-4639-860F-DCF09C34F0C7}"/>
    <cellStyle name="Normal 4 2" xfId="183" xr:uid="{DDE695BE-54E3-41B9-B691-54B11BC855B0}"/>
    <cellStyle name="Normal 4 3" xfId="184" xr:uid="{CA104FDA-B116-413A-B6C5-6F9247CC9CE3}"/>
    <cellStyle name="Normal 5" xfId="185" xr:uid="{F6DDF532-4532-4AE9-9375-43D8563C1250}"/>
    <cellStyle name="Normal 5 2" xfId="186" xr:uid="{2558A139-90C0-445C-BBF7-E4A9153C542E}"/>
    <cellStyle name="Normal 5 3" xfId="187" xr:uid="{A7DE54C4-1D69-4DF9-A5C9-172C96772E0B}"/>
    <cellStyle name="Normal 6" xfId="188" xr:uid="{06E4F1A5-F64A-44F2-8B7B-F252E37A0830}"/>
    <cellStyle name="Normal 6 2" xfId="189" xr:uid="{4628E530-123D-4516-B9F5-125A319ED407}"/>
    <cellStyle name="Normal 7" xfId="190" xr:uid="{3E83F3E4-0FE0-48F3-AB48-BECB734FC8DA}"/>
    <cellStyle name="Normal 7 2" xfId="191" xr:uid="{0B62966F-AC83-4DA4-9907-618AFEA4C372}"/>
    <cellStyle name="Normal 8" xfId="192" xr:uid="{54498EF7-0174-4425-AF2D-FFE06F90C658}"/>
    <cellStyle name="Normal 8 2" xfId="193" xr:uid="{5E09F47C-88BF-46A7-BB6A-95292A5D1CBB}"/>
    <cellStyle name="Normal 9" xfId="194" xr:uid="{20C34DCD-5402-449F-8E4B-596969AD5C31}"/>
    <cellStyle name="Normal 9 2" xfId="195" xr:uid="{5F2852B6-6BAF-4ADE-A98B-55E6350959B1}"/>
    <cellStyle name="Normal Table" xfId="196" xr:uid="{C7B1F2C1-F950-4717-ACD4-F6955B3FFD3D}"/>
    <cellStyle name="Normal Table 2" xfId="197" xr:uid="{5F9D9091-AD88-421C-B043-E702939AD15B}"/>
    <cellStyle name="Normal_Cuadro Resumen 05-06" xfId="198" xr:uid="{AE6ACAA4-7ADD-4B68-BB20-4D27D870E601}"/>
    <cellStyle name="Normal_Cuadro Resumen 05-06 2" xfId="199" xr:uid="{E327442B-FF45-4532-8E16-45B7EF73DD52}"/>
    <cellStyle name="Normal_Cuadro Resumen 05-06 2 2" xfId="200" xr:uid="{58EC1FF6-623F-4763-A38E-430BE7D47E00}"/>
    <cellStyle name="Normal_plantilla para datos fiscales" xfId="201" xr:uid="{1AB67DBA-F861-4AC4-A828-D5FDA1AC2365}"/>
    <cellStyle name="Normal_plantilla para datos fiscales 2" xfId="202" xr:uid="{C7C1078A-CF6E-488D-BCFC-540B0355C072}"/>
    <cellStyle name="Notas 2" xfId="203" xr:uid="{7CBCC927-39AE-40C4-AA00-D0119572AB33}"/>
    <cellStyle name="Notas 3" xfId="204" xr:uid="{746F9BBA-F7CB-4682-BA55-6FB8D6FE9369}"/>
    <cellStyle name="Note" xfId="205" xr:uid="{B0A22631-BB7A-451D-9553-4CCFE68FF30D}"/>
    <cellStyle name="Output" xfId="206" xr:uid="{7CAAC376-1B5B-4C1A-8603-75A92B2182F8}"/>
    <cellStyle name="Percent [2]" xfId="207" xr:uid="{C428A63F-7677-4B78-A579-FD60A5A1C1A4}"/>
    <cellStyle name="percentage difference" xfId="208" xr:uid="{E4741395-7EFF-4198-8CC9-F3FA7EF6B03A}"/>
    <cellStyle name="percentage difference one decimal" xfId="209" xr:uid="{A994571C-C87B-4270-87F4-03A80A505FB7}"/>
    <cellStyle name="percentage difference zero decimal" xfId="210" xr:uid="{04BC47F4-CA0C-45DD-94A0-2E7064A2C66B}"/>
    <cellStyle name="Porcentaje" xfId="211" builtinId="5"/>
    <cellStyle name="Porcentaje 2" xfId="212" xr:uid="{085C16EE-071E-43E1-9DA0-4779FE42700E}"/>
    <cellStyle name="Porcentaje 3" xfId="213" xr:uid="{33964B0C-0423-4447-9A89-9B95158E13CF}"/>
    <cellStyle name="Porcentaje 3 2" xfId="214" xr:uid="{950A0118-C6FD-4E20-9B66-BB42466C0ECE}"/>
    <cellStyle name="Porcentaje 4" xfId="215" xr:uid="{8B315351-CAA7-4130-BC14-EE1FEECFBEB6}"/>
    <cellStyle name="Porcentaje 5" xfId="216" xr:uid="{F46675B2-E308-4D16-ACCD-A67C5A17EE7C}"/>
    <cellStyle name="Porcentual 2" xfId="217" xr:uid="{2C665C21-DEA2-461E-BC9E-2E818376E937}"/>
    <cellStyle name="Porcentual 2 10" xfId="218" xr:uid="{C5994AA5-DBD7-4367-8F10-1E328935D31C}"/>
    <cellStyle name="Porcentual 2 2" xfId="219" xr:uid="{53EF2A5D-7911-4E00-8982-055DD8AB4E04}"/>
    <cellStyle name="Presentation" xfId="220" xr:uid="{E967CCEA-FF9A-4C0F-B8BF-54CA05CC2EFB}"/>
    <cellStyle name="Presentation 2" xfId="221" xr:uid="{84CEB0CF-C83E-4259-8B61-01472DC8D030}"/>
    <cellStyle name="Publication" xfId="222" xr:uid="{7EB29F6C-7673-42DB-8830-71ED32C7F3F1}"/>
    <cellStyle name="Red Text" xfId="223" xr:uid="{456FB147-73C7-479F-8810-7BED925D66DE}"/>
    <cellStyle name="Salida 2" xfId="224" xr:uid="{CC00C4AB-7AAC-49B8-98EF-EAE64FB217CB}"/>
    <cellStyle name="Salida 3" xfId="225" xr:uid="{BCEFC663-F9A9-4EAE-9530-8A760DD145CB}"/>
    <cellStyle name="Style1" xfId="226" xr:uid="{EB977DE0-728C-4B64-9CA5-9C5329BDFA16}"/>
    <cellStyle name="Text" xfId="227" xr:uid="{037B575B-763D-4CE9-A036-A8D256FA82AD}"/>
    <cellStyle name="Texto de advertencia 2" xfId="228" xr:uid="{8BFAF117-0278-4B91-B8B0-F8641DCE65D8}"/>
    <cellStyle name="Texto de advertencia 3" xfId="229" xr:uid="{3373572C-6C4F-4E09-9E0F-8A5C162DD63C}"/>
    <cellStyle name="Texto explicativo 2" xfId="230" xr:uid="{75F8BA34-261E-4504-8823-328C2850B3B3}"/>
    <cellStyle name="Texto explicativo 3" xfId="231" xr:uid="{BC5E3935-F748-4EAE-8ECF-ED4A58E819F1}"/>
    <cellStyle name="Title" xfId="232" xr:uid="{5592255E-AA7D-416D-B56F-DD9CAC124A9C}"/>
    <cellStyle name="Título 1 2" xfId="233" xr:uid="{535C10B1-6DED-4588-850D-A57AD18F942A}"/>
    <cellStyle name="Título 2 2" xfId="234" xr:uid="{EF4BE7B1-5E7F-45E8-BE66-E56F2FD20E0B}"/>
    <cellStyle name="Título 2 3" xfId="235" xr:uid="{9DF2B366-F372-48B8-8AAA-4A53DD79B974}"/>
    <cellStyle name="Título 3 2" xfId="236" xr:uid="{3A4CAE8D-BC22-421D-927D-EF407F9C81A4}"/>
    <cellStyle name="Título 3 3" xfId="237" xr:uid="{2262CF44-D2FE-4710-80F5-2267D02518C3}"/>
    <cellStyle name="Título 4" xfId="238" xr:uid="{88F8D262-E9FE-4D29-951A-E1C3CBC9CC39}"/>
    <cellStyle name="Título 5" xfId="239" xr:uid="{69C8F4FA-B1D7-467A-8561-9424A7401A62}"/>
    <cellStyle name="TopGrey" xfId="240" xr:uid="{115CA767-92EE-45A3-B3B1-6A6A96FFD6FE}"/>
    <cellStyle name="Total 2" xfId="241" xr:uid="{0699C17C-CE06-45CF-BCB3-6A1F31664F47}"/>
    <cellStyle name="Total 3" xfId="242" xr:uid="{BC9C873D-6668-46C3-B70C-B04E88C87646}"/>
    <cellStyle name="Warning Text" xfId="243" xr:uid="{7FB898F0-9DAD-4861-98E5-2B10BFFAE10C}"/>
    <cellStyle name="ДАТА" xfId="244" xr:uid="{1EFC0B2C-EE43-4F61-9AAB-2E001BB9D882}"/>
    <cellStyle name="ДЕНЕЖНЫЙ_BOPENGC" xfId="245" xr:uid="{0CF75680-E53D-46A9-977B-BE21619205AD}"/>
    <cellStyle name="ЗАГОЛОВОК1" xfId="246" xr:uid="{EF7A50FE-29C5-44F4-8557-7915DF2E2E83}"/>
    <cellStyle name="ЗАГОЛОВОК2" xfId="247" xr:uid="{12241A85-59C0-4147-851C-917D4B296D0A}"/>
    <cellStyle name="ИТОГОВЫЙ" xfId="248" xr:uid="{4CBE6EE9-C6B8-4CDB-96C5-5F278BFCDAD9}"/>
    <cellStyle name="Обычный_BOPENGC" xfId="249" xr:uid="{CD3876E7-3CB8-4EDD-B908-721E7DC21C4D}"/>
    <cellStyle name="ПРОЦЕНТНЫЙ_BOPENGC" xfId="250" xr:uid="{AB790804-9409-4C1B-9E08-D340C377A095}"/>
    <cellStyle name="ТЕКСТ" xfId="251" xr:uid="{ECAD20DF-60FB-41AE-B1F7-3F4F2E78CE76}"/>
    <cellStyle name="ФИКСИРОВАННЫЙ" xfId="252" xr:uid="{94A84C75-9717-4BC4-B2BD-385C6183BEFF}"/>
    <cellStyle name="ФИНАНСОВЫЙ_BOPENGC" xfId="253" xr:uid="{70441CB6-7C1D-4F6C-AB96-64498D66CE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1</xdr:col>
      <xdr:colOff>2562225</xdr:colOff>
      <xdr:row>4</xdr:row>
      <xdr:rowOff>76200</xdr:rowOff>
    </xdr:to>
    <xdr:pic>
      <xdr:nvPicPr>
        <xdr:cNvPr id="2842" name="Imagen 4">
          <a:extLst>
            <a:ext uri="{FF2B5EF4-FFF2-40B4-BE49-F238E27FC236}">
              <a16:creationId xmlns:a16="http://schemas.microsoft.com/office/drawing/2014/main" id="{FE657F98-C811-6D66-599A-F850AC29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0975"/>
          <a:ext cx="2733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</xdr:col>
      <xdr:colOff>2476500</xdr:colOff>
      <xdr:row>4</xdr:row>
      <xdr:rowOff>47625</xdr:rowOff>
    </xdr:to>
    <xdr:pic>
      <xdr:nvPicPr>
        <xdr:cNvPr id="3864" name="Imagen 4">
          <a:extLst>
            <a:ext uri="{FF2B5EF4-FFF2-40B4-BE49-F238E27FC236}">
              <a16:creationId xmlns:a16="http://schemas.microsoft.com/office/drawing/2014/main" id="{51D92501-F3F1-03BE-21E6-11258B83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3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0</xdr:rowOff>
    </xdr:from>
    <xdr:to>
      <xdr:col>8</xdr:col>
      <xdr:colOff>1619250</xdr:colOff>
      <xdr:row>4</xdr:row>
      <xdr:rowOff>114300</xdr:rowOff>
    </xdr:to>
    <xdr:pic>
      <xdr:nvPicPr>
        <xdr:cNvPr id="5149" name="Imagen 6">
          <a:extLst>
            <a:ext uri="{FF2B5EF4-FFF2-40B4-BE49-F238E27FC236}">
              <a16:creationId xmlns:a16="http://schemas.microsoft.com/office/drawing/2014/main" id="{876BDA0B-3994-2B8F-BC3D-83789B73D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42875"/>
          <a:ext cx="3524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5C75-C47B-4545-BF26-C2A399C62B32}">
  <dimension ref="A1:AQ89"/>
  <sheetViews>
    <sheetView zoomScale="95" zoomScaleNormal="9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W77" sqref="W77"/>
    </sheetView>
  </sheetViews>
  <sheetFormatPr baseColWidth="10" defaultRowHeight="12.75"/>
  <cols>
    <col min="1" max="1" width="3.85546875" style="1" customWidth="1"/>
    <col min="2" max="2" width="40.140625" style="1" bestFit="1" customWidth="1"/>
    <col min="3" max="16" width="10" style="1" hidden="1" customWidth="1"/>
    <col min="17" max="17" width="10" style="1" bestFit="1" customWidth="1"/>
    <col min="18" max="23" width="10" style="1" customWidth="1"/>
    <col min="24" max="24" width="6.85546875" style="8" hidden="1" customWidth="1"/>
    <col min="25" max="26" width="6.7109375" style="8" hidden="1" customWidth="1"/>
    <col min="27" max="27" width="6.85546875" style="8" hidden="1" customWidth="1"/>
    <col min="28" max="28" width="7.140625" style="8" hidden="1" customWidth="1"/>
    <col min="29" max="29" width="6.7109375" style="8" hidden="1" customWidth="1"/>
    <col min="30" max="30" width="7.140625" style="8" hidden="1" customWidth="1"/>
    <col min="31" max="31" width="6.28515625" style="8" hidden="1" customWidth="1"/>
    <col min="32" max="32" width="6.85546875" style="8" hidden="1" customWidth="1"/>
    <col min="33" max="33" width="7.140625" style="8" hidden="1" customWidth="1"/>
    <col min="34" max="34" width="6.7109375" style="1" hidden="1" customWidth="1"/>
    <col min="35" max="35" width="6.85546875" style="1" hidden="1" customWidth="1"/>
    <col min="36" max="36" width="7.140625" style="1" hidden="1" customWidth="1"/>
    <col min="37" max="37" width="6.85546875" style="1" hidden="1" customWidth="1"/>
    <col min="38" max="43" width="6.85546875" style="1" bestFit="1" customWidth="1"/>
    <col min="44" max="16384" width="11.42578125" style="1"/>
  </cols>
  <sheetData>
    <row r="1" spans="1:43">
      <c r="X1" s="1"/>
      <c r="Y1" s="1"/>
      <c r="Z1" s="1"/>
      <c r="AA1" s="1"/>
      <c r="AB1" s="1"/>
      <c r="AC1" s="1"/>
      <c r="AD1" s="1"/>
    </row>
    <row r="2" spans="1:43">
      <c r="A2" s="196" t="s">
        <v>44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</row>
    <row r="3" spans="1:43">
      <c r="A3" s="196" t="s">
        <v>140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</row>
    <row r="4" spans="1:43">
      <c r="A4" s="194" t="s">
        <v>43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</row>
    <row r="5" spans="1:43" ht="13.5" thickBo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1"/>
      <c r="AI5" s="9"/>
      <c r="AJ5" s="9"/>
      <c r="AL5" s="9"/>
      <c r="AM5" s="9"/>
      <c r="AO5" s="9"/>
      <c r="AP5" s="9"/>
      <c r="AQ5" s="9"/>
    </row>
    <row r="6" spans="1:43" ht="13.5" thickTop="1">
      <c r="C6" s="198" t="s">
        <v>45</v>
      </c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7" t="s">
        <v>20</v>
      </c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</row>
    <row r="7" spans="1:43">
      <c r="B7" s="12" t="s">
        <v>0</v>
      </c>
      <c r="C7" s="31">
        <v>2006</v>
      </c>
      <c r="D7" s="31">
        <v>2007</v>
      </c>
      <c r="E7" s="31">
        <v>2008</v>
      </c>
      <c r="F7" s="31">
        <v>2009</v>
      </c>
      <c r="G7" s="31">
        <v>2010</v>
      </c>
      <c r="H7" s="31">
        <v>2011</v>
      </c>
      <c r="I7" s="31">
        <v>2012</v>
      </c>
      <c r="J7" s="45">
        <v>2013</v>
      </c>
      <c r="K7" s="45">
        <v>2014</v>
      </c>
      <c r="L7" s="45">
        <v>2015</v>
      </c>
      <c r="M7" s="45">
        <v>2016</v>
      </c>
      <c r="N7" s="45">
        <v>2017</v>
      </c>
      <c r="O7" s="45">
        <v>2018</v>
      </c>
      <c r="P7" s="45">
        <v>2019</v>
      </c>
      <c r="Q7" s="45">
        <v>2020</v>
      </c>
      <c r="R7" s="45">
        <v>2021</v>
      </c>
      <c r="S7" s="45">
        <v>2022</v>
      </c>
      <c r="T7" s="45">
        <v>2023</v>
      </c>
      <c r="U7" s="45">
        <v>2024</v>
      </c>
      <c r="V7" s="45">
        <v>2025</v>
      </c>
      <c r="W7" s="45">
        <v>2026</v>
      </c>
      <c r="X7" s="13" t="s">
        <v>57</v>
      </c>
      <c r="Y7" s="13" t="s">
        <v>58</v>
      </c>
      <c r="Z7" s="13" t="s">
        <v>59</v>
      </c>
      <c r="AA7" s="13" t="s">
        <v>60</v>
      </c>
      <c r="AB7" s="13" t="s">
        <v>61</v>
      </c>
      <c r="AC7" s="13" t="s">
        <v>62</v>
      </c>
      <c r="AD7" s="13" t="s">
        <v>63</v>
      </c>
      <c r="AE7" s="13" t="s">
        <v>64</v>
      </c>
      <c r="AF7" s="13" t="s">
        <v>65</v>
      </c>
      <c r="AG7" s="13" t="s">
        <v>66</v>
      </c>
      <c r="AH7" s="13" t="s">
        <v>67</v>
      </c>
      <c r="AI7" s="13" t="s">
        <v>68</v>
      </c>
      <c r="AJ7" s="13" t="s">
        <v>69</v>
      </c>
      <c r="AK7" s="13" t="s">
        <v>70</v>
      </c>
      <c r="AL7" s="13" t="s">
        <v>71</v>
      </c>
      <c r="AM7" s="13" t="s">
        <v>72</v>
      </c>
      <c r="AN7" s="13" t="s">
        <v>73</v>
      </c>
      <c r="AO7" s="13" t="s">
        <v>76</v>
      </c>
      <c r="AP7" s="13" t="s">
        <v>77</v>
      </c>
      <c r="AQ7" s="13" t="s">
        <v>139</v>
      </c>
    </row>
    <row r="8" spans="1:43">
      <c r="C8" s="8"/>
      <c r="D8" s="8"/>
    </row>
    <row r="9" spans="1:43">
      <c r="A9" s="1">
        <v>1</v>
      </c>
      <c r="B9" s="5" t="s">
        <v>10</v>
      </c>
      <c r="C9" s="20">
        <f>+C11+C34</f>
        <v>140488.89059229</v>
      </c>
      <c r="D9" s="20">
        <f>+D11+D34</f>
        <v>189228.47264176002</v>
      </c>
      <c r="E9" s="20">
        <f>+E11+E34</f>
        <v>253729.21818338</v>
      </c>
      <c r="F9" s="20">
        <f>F11+F34</f>
        <v>234282.82736118001</v>
      </c>
      <c r="G9" s="20">
        <f>G11+G34</f>
        <v>273368.62784373004</v>
      </c>
      <c r="H9" s="20">
        <f>H11+H34</f>
        <v>281514.47344069998</v>
      </c>
      <c r="I9" s="20">
        <f>I11+I34</f>
        <v>330756.99933993007</v>
      </c>
      <c r="J9" s="20">
        <f t="shared" ref="J9:O9" si="0">J11+J34</f>
        <v>341518.35951927997</v>
      </c>
      <c r="K9" s="20">
        <f t="shared" si="0"/>
        <v>361010.11086834001</v>
      </c>
      <c r="L9" s="20">
        <f t="shared" si="0"/>
        <v>421040.45472430001</v>
      </c>
      <c r="M9" s="20">
        <f t="shared" si="0"/>
        <v>446675.48820795998</v>
      </c>
      <c r="N9" s="20">
        <f t="shared" si="0"/>
        <v>517246.55188366008</v>
      </c>
      <c r="O9" s="20">
        <f t="shared" si="0"/>
        <v>497244.6396303401</v>
      </c>
      <c r="P9" s="20">
        <f t="shared" ref="P9:U9" si="1">P11+P34</f>
        <v>559280.21846907004</v>
      </c>
      <c r="Q9" s="20">
        <f t="shared" si="1"/>
        <v>539168.11792903999</v>
      </c>
      <c r="R9" s="20">
        <f t="shared" si="1"/>
        <v>825866.05058080005</v>
      </c>
      <c r="S9" s="20">
        <f t="shared" si="1"/>
        <v>835022.40743659995</v>
      </c>
      <c r="T9" s="20">
        <f t="shared" si="1"/>
        <v>860484.22501897987</v>
      </c>
      <c r="U9" s="20">
        <f t="shared" si="1"/>
        <v>744007.59672922001</v>
      </c>
      <c r="V9" s="20">
        <f>V11+V34</f>
        <v>830074.40894819004</v>
      </c>
      <c r="W9" s="20">
        <f>W11+W34</f>
        <v>740771.95325188024</v>
      </c>
      <c r="X9" s="39">
        <f t="shared" ref="X9:AO9" si="2">+D9/C9-1</f>
        <v>0.34692837165976487</v>
      </c>
      <c r="Y9" s="39">
        <f t="shared" si="2"/>
        <v>0.34086173524071239</v>
      </c>
      <c r="Z9" s="39">
        <f t="shared" si="2"/>
        <v>-7.664229985584603E-2</v>
      </c>
      <c r="AA9" s="39">
        <f t="shared" si="2"/>
        <v>0.1668316919459647</v>
      </c>
      <c r="AB9" s="39">
        <f t="shared" si="2"/>
        <v>2.9798026427620972E-2</v>
      </c>
      <c r="AC9" s="39">
        <f t="shared" si="2"/>
        <v>0.17492005045915637</v>
      </c>
      <c r="AD9" s="39">
        <f t="shared" si="2"/>
        <v>3.2535547851823665E-2</v>
      </c>
      <c r="AE9" s="39">
        <f t="shared" si="2"/>
        <v>5.7073802346955915E-2</v>
      </c>
      <c r="AF9" s="39">
        <f t="shared" si="2"/>
        <v>0.16628438386827615</v>
      </c>
      <c r="AG9" s="39">
        <f t="shared" si="2"/>
        <v>6.0884965318703133E-2</v>
      </c>
      <c r="AH9" s="39">
        <f t="shared" si="2"/>
        <v>0.1579917983832686</v>
      </c>
      <c r="AI9" s="39">
        <f t="shared" si="2"/>
        <v>-3.8669976978055964E-2</v>
      </c>
      <c r="AJ9" s="39">
        <f t="shared" si="2"/>
        <v>0.12475866785582279</v>
      </c>
      <c r="AK9" s="39">
        <f t="shared" si="2"/>
        <v>-3.5960686389165275E-2</v>
      </c>
      <c r="AL9" s="39">
        <f t="shared" si="2"/>
        <v>0.53174125679570028</v>
      </c>
      <c r="AM9" s="39">
        <f t="shared" si="2"/>
        <v>1.1086975726100512E-2</v>
      </c>
      <c r="AN9" s="39">
        <f t="shared" si="2"/>
        <v>3.0492376438788105E-2</v>
      </c>
      <c r="AO9" s="39">
        <f t="shared" si="2"/>
        <v>-0.13536172413525738</v>
      </c>
      <c r="AP9" s="39">
        <f>+V9/U9-1</f>
        <v>0.11568001804999573</v>
      </c>
      <c r="AQ9" s="39">
        <f>+W9/V9-1</f>
        <v>-0.10758367531106927</v>
      </c>
    </row>
    <row r="10" spans="1:43">
      <c r="B10" s="5"/>
      <c r="C10" s="2"/>
      <c r="D10" s="2"/>
      <c r="E10" s="2"/>
      <c r="F10" s="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>
      <c r="B11" s="5" t="s">
        <v>31</v>
      </c>
      <c r="C11" s="19">
        <f>+C12+C30+C31+C32</f>
        <v>140476.89059229</v>
      </c>
      <c r="D11" s="19">
        <f>+D12+D30+D31+D32</f>
        <v>189188.47264176002</v>
      </c>
      <c r="E11" s="19">
        <f>+E12+E30+E31+E32</f>
        <v>253729.21818338</v>
      </c>
      <c r="F11" s="19">
        <f>F12+F30+F31+F32</f>
        <v>234282.82736118001</v>
      </c>
      <c r="G11" s="19">
        <f>G12+G30+G31+G32</f>
        <v>273346.58296110004</v>
      </c>
      <c r="H11" s="19">
        <f>H12+H30+H31+H32</f>
        <v>281498.97344069998</v>
      </c>
      <c r="I11" s="19">
        <f>I12+I30+I31+I32</f>
        <v>330756.99933993007</v>
      </c>
      <c r="J11" s="19">
        <f t="shared" ref="J11:O11" si="3">J12+J30+J31+J32</f>
        <v>341518.35951927997</v>
      </c>
      <c r="K11" s="19">
        <f t="shared" si="3"/>
        <v>361010.11086834001</v>
      </c>
      <c r="L11" s="19">
        <f t="shared" si="3"/>
        <v>420971.14940384001</v>
      </c>
      <c r="M11" s="19">
        <f t="shared" si="3"/>
        <v>446675.48820795998</v>
      </c>
      <c r="N11" s="19">
        <f t="shared" si="3"/>
        <v>517246.55188366008</v>
      </c>
      <c r="O11" s="19">
        <f t="shared" si="3"/>
        <v>496726.78450234007</v>
      </c>
      <c r="P11" s="19">
        <f t="shared" ref="P11:U11" si="4">P12+P30+P31+P32</f>
        <v>529227.70846907003</v>
      </c>
      <c r="Q11" s="19">
        <f t="shared" si="4"/>
        <v>539168.11792903999</v>
      </c>
      <c r="R11" s="19">
        <f t="shared" si="4"/>
        <v>825866.05058080005</v>
      </c>
      <c r="S11" s="19">
        <f t="shared" si="4"/>
        <v>835022.40743659995</v>
      </c>
      <c r="T11" s="19">
        <f t="shared" si="4"/>
        <v>860484.22501897987</v>
      </c>
      <c r="U11" s="19">
        <f t="shared" si="4"/>
        <v>736424.16037522</v>
      </c>
      <c r="V11" s="19">
        <f>V12+V30+V31+V32</f>
        <v>822532.70828319003</v>
      </c>
      <c r="W11" s="19">
        <f>W12+W30+W31+W32</f>
        <v>733036.38472088019</v>
      </c>
      <c r="X11" s="28">
        <f t="shared" ref="X11:X27" si="5">+D11/C11-1</f>
        <v>0.34675868638669538</v>
      </c>
      <c r="Y11" s="28">
        <f t="shared" ref="Y11:Y27" si="6">+E11/D11-1</f>
        <v>0.34114523279561459</v>
      </c>
      <c r="Z11" s="28">
        <f t="shared" ref="Z11:Z27" si="7">+F11/E11-1</f>
        <v>-7.664229985584603E-2</v>
      </c>
      <c r="AA11" s="28">
        <f t="shared" ref="AA11:AA27" si="8">+G11/F11-1</f>
        <v>0.166737596775276</v>
      </c>
      <c r="AB11" s="28">
        <f t="shared" ref="AB11:AB27" si="9">+H11/G11-1</f>
        <v>2.9824373113747971E-2</v>
      </c>
      <c r="AC11" s="28">
        <f t="shared" ref="AC11:AC27" si="10">+I11/H11-1</f>
        <v>0.17498474433906486</v>
      </c>
      <c r="AD11" s="28">
        <f t="shared" ref="AD11:AD27" si="11">+J11/I11-1</f>
        <v>3.2535547851823665E-2</v>
      </c>
      <c r="AE11" s="28">
        <f t="shared" ref="AE11:AE27" si="12">+K11/J11-1</f>
        <v>5.7073802346955915E-2</v>
      </c>
      <c r="AF11" s="28">
        <f t="shared" ref="AF11:AF27" si="13">+L11/K11-1</f>
        <v>0.16609240774801393</v>
      </c>
      <c r="AG11" s="28">
        <f t="shared" ref="AG11:AG27" si="14">+M11/L11-1</f>
        <v>6.1059620927755409E-2</v>
      </c>
      <c r="AH11" s="28">
        <f t="shared" ref="AH11:AH27" si="15">+N11/M11-1</f>
        <v>0.1579917983832686</v>
      </c>
      <c r="AI11" s="28">
        <f t="shared" ref="AI11:AI27" si="16">+O11/N11-1</f>
        <v>-3.9671153546781635E-2</v>
      </c>
      <c r="AJ11" s="28">
        <f t="shared" ref="AJ11:AJ27" si="17">+P11/O11-1</f>
        <v>6.5430182105625567E-2</v>
      </c>
      <c r="AK11" s="28">
        <f t="shared" ref="AK11:AK27" si="18">+Q11/P11-1</f>
        <v>1.8782859062170365E-2</v>
      </c>
      <c r="AL11" s="28">
        <f t="shared" ref="AL11:AL27" si="19">+R11/Q11-1</f>
        <v>0.53174125679570028</v>
      </c>
      <c r="AM11" s="28">
        <f t="shared" ref="AM11:AM27" si="20">+S11/R11-1</f>
        <v>1.1086975726100512E-2</v>
      </c>
      <c r="AN11" s="28">
        <f t="shared" ref="AN11:AN27" si="21">+T11/S11-1</f>
        <v>3.0492376438788105E-2</v>
      </c>
      <c r="AO11" s="28">
        <f t="shared" ref="AO11:AO27" si="22">+U11/T11-1</f>
        <v>-0.14417471121103176</v>
      </c>
      <c r="AP11" s="28">
        <f>+V11/U11-1</f>
        <v>0.11692792352724601</v>
      </c>
      <c r="AQ11" s="28">
        <f>+W11/V11-1</f>
        <v>-0.10880579296245707</v>
      </c>
    </row>
    <row r="12" spans="1:43">
      <c r="B12" s="21" t="s">
        <v>30</v>
      </c>
      <c r="C12" s="2">
        <v>136195.09805942999</v>
      </c>
      <c r="D12" s="2">
        <v>185830.18799126003</v>
      </c>
      <c r="E12" s="2">
        <v>247832.22852408001</v>
      </c>
      <c r="F12" s="2">
        <f>F13+F14+F17+F21+F24+F27</f>
        <v>227117.83418107999</v>
      </c>
      <c r="G12" s="2">
        <f>G13+G14+G17+G21+G24+G27</f>
        <v>261319.90985907</v>
      </c>
      <c r="H12" s="2">
        <f>H13+H14+H17+H21+H24+H27</f>
        <v>260213.91252381</v>
      </c>
      <c r="I12" s="2">
        <f>I13+I14+I17+I21+I24+I27</f>
        <v>305618.58993184002</v>
      </c>
      <c r="J12" s="2">
        <f t="shared" ref="J12:O12" si="23">J13+J14+J17+J21+J24+J27</f>
        <v>317726.00619613001</v>
      </c>
      <c r="K12" s="2">
        <f t="shared" si="23"/>
        <v>346225.74474529002</v>
      </c>
      <c r="L12" s="2">
        <f t="shared" si="23"/>
        <v>396312.06584021001</v>
      </c>
      <c r="M12" s="2">
        <f t="shared" si="23"/>
        <v>419932.50767868001</v>
      </c>
      <c r="N12" s="2">
        <f t="shared" si="23"/>
        <v>474822.05914546002</v>
      </c>
      <c r="O12" s="2">
        <f t="shared" si="23"/>
        <v>462009.57144865004</v>
      </c>
      <c r="P12" s="2">
        <f>P13+P14+P17+P21+P24+P27</f>
        <v>474555.13517222996</v>
      </c>
      <c r="Q12" s="2">
        <f>Q13+Q14+Q17+Q21+Q24+Q27</f>
        <v>496420.45558322</v>
      </c>
      <c r="R12" s="2">
        <f>R13+R14+R17+R21+R24+R27</f>
        <v>663079.01775262004</v>
      </c>
      <c r="S12" s="2">
        <f>S13+S14+S17+S21+S24+S27</f>
        <v>757641.3241517999</v>
      </c>
      <c r="T12" s="2">
        <f>T13+T14+T17+T21+T24+T27+T29</f>
        <v>792976.76960992988</v>
      </c>
      <c r="U12" s="2">
        <f>U13+U14+U17+U21+U24+U27+U29</f>
        <v>663622.71296768007</v>
      </c>
      <c r="V12" s="2">
        <f>V13+V14+V17+V21+V24+V27+V29</f>
        <v>748343.26260990999</v>
      </c>
      <c r="W12" s="2">
        <f>W13+W14+W17+W21+W24+W27+W29</f>
        <v>657928.88536113012</v>
      </c>
      <c r="X12" s="29">
        <f t="shared" si="5"/>
        <v>0.36444108957703669</v>
      </c>
      <c r="Y12" s="29">
        <f t="shared" si="6"/>
        <v>0.33364891465177915</v>
      </c>
      <c r="Z12" s="29">
        <f t="shared" si="7"/>
        <v>-8.3582326908654525E-2</v>
      </c>
      <c r="AA12" s="29">
        <f t="shared" si="8"/>
        <v>0.15059176572950617</v>
      </c>
      <c r="AB12" s="29">
        <f t="shared" si="9"/>
        <v>-4.2323500565130123E-3</v>
      </c>
      <c r="AC12" s="29">
        <f t="shared" si="10"/>
        <v>0.17448981481293946</v>
      </c>
      <c r="AD12" s="29">
        <f t="shared" si="11"/>
        <v>3.9616098834138969E-2</v>
      </c>
      <c r="AE12" s="29">
        <f t="shared" si="12"/>
        <v>8.9699105497732967E-2</v>
      </c>
      <c r="AF12" s="29">
        <f t="shared" si="13"/>
        <v>0.14466376881293819</v>
      </c>
      <c r="AG12" s="29">
        <f t="shared" si="14"/>
        <v>5.960061243251058E-2</v>
      </c>
      <c r="AH12" s="29">
        <f t="shared" si="15"/>
        <v>0.1307104128951595</v>
      </c>
      <c r="AI12" s="29">
        <f t="shared" si="16"/>
        <v>-2.6983766760686478E-2</v>
      </c>
      <c r="AJ12" s="29">
        <f t="shared" si="17"/>
        <v>2.7154337266742656E-2</v>
      </c>
      <c r="AK12" s="29">
        <f t="shared" si="18"/>
        <v>4.6075405765137134E-2</v>
      </c>
      <c r="AL12" s="29">
        <f t="shared" si="19"/>
        <v>0.33572057777836961</v>
      </c>
      <c r="AM12" s="29">
        <f t="shared" si="20"/>
        <v>0.1426109164480589</v>
      </c>
      <c r="AN12" s="29">
        <f t="shared" si="21"/>
        <v>4.663875151964425E-2</v>
      </c>
      <c r="AO12" s="29">
        <f t="shared" si="22"/>
        <v>-0.16312464828683426</v>
      </c>
      <c r="AP12" s="29">
        <f t="shared" ref="AP12:AQ29" si="24">+V12/U12-1</f>
        <v>0.12766372817977367</v>
      </c>
      <c r="AQ12" s="29">
        <f t="shared" si="24"/>
        <v>-0.12081939100173378</v>
      </c>
    </row>
    <row r="13" spans="1:43">
      <c r="B13" s="22" t="s">
        <v>23</v>
      </c>
      <c r="C13" s="2">
        <v>44538.381028219999</v>
      </c>
      <c r="D13" s="2">
        <v>72392.056721329995</v>
      </c>
      <c r="E13" s="2">
        <v>116849.98925449001</v>
      </c>
      <c r="F13" s="2">
        <v>105303.05075858001</v>
      </c>
      <c r="G13" s="38">
        <v>109775.0119085</v>
      </c>
      <c r="H13" s="38">
        <v>107194.22719312999</v>
      </c>
      <c r="I13" s="38">
        <v>132786.43845684</v>
      </c>
      <c r="J13" s="38">
        <v>145688.995372</v>
      </c>
      <c r="K13" s="38">
        <v>141607.55156779999</v>
      </c>
      <c r="L13" s="38">
        <v>188393.98749688998</v>
      </c>
      <c r="M13" s="38">
        <v>197550.81933102998</v>
      </c>
      <c r="N13" s="38">
        <v>240429.54599821998</v>
      </c>
      <c r="O13" s="38">
        <v>245869.57549340001</v>
      </c>
      <c r="P13" s="38">
        <v>254038.54790681001</v>
      </c>
      <c r="Q13" s="38">
        <v>247211.49825587001</v>
      </c>
      <c r="R13" s="38">
        <v>381908.05084817996</v>
      </c>
      <c r="S13" s="38">
        <v>445896.28847138002</v>
      </c>
      <c r="T13" s="38">
        <v>454779.95395008998</v>
      </c>
      <c r="U13" s="38">
        <v>355017.46298970003</v>
      </c>
      <c r="V13" s="38">
        <v>376539.32668256998</v>
      </c>
      <c r="W13" s="38">
        <v>348114.43661478005</v>
      </c>
      <c r="X13" s="29">
        <f t="shared" si="5"/>
        <v>0.62538590424877838</v>
      </c>
      <c r="Y13" s="29">
        <f t="shared" si="6"/>
        <v>0.61412721984538776</v>
      </c>
      <c r="Z13" s="29">
        <f t="shared" si="7"/>
        <v>-9.881848145284533E-2</v>
      </c>
      <c r="AA13" s="29">
        <f t="shared" si="8"/>
        <v>4.2467536483558277E-2</v>
      </c>
      <c r="AB13" s="29">
        <f t="shared" si="9"/>
        <v>-2.3509764840846992E-2</v>
      </c>
      <c r="AC13" s="29">
        <f t="shared" si="10"/>
        <v>0.23874617070190696</v>
      </c>
      <c r="AD13" s="29">
        <f t="shared" si="11"/>
        <v>9.7167730869999636E-2</v>
      </c>
      <c r="AE13" s="29">
        <f t="shared" si="12"/>
        <v>-2.8014770736653927E-2</v>
      </c>
      <c r="AF13" s="29">
        <f t="shared" si="13"/>
        <v>0.33039506305346444</v>
      </c>
      <c r="AG13" s="29">
        <f t="shared" si="14"/>
        <v>4.8604692515949566E-2</v>
      </c>
      <c r="AH13" s="29">
        <f t="shared" si="15"/>
        <v>0.21705162657584021</v>
      </c>
      <c r="AI13" s="29">
        <f t="shared" si="16"/>
        <v>2.2626293588809965E-2</v>
      </c>
      <c r="AJ13" s="29">
        <f t="shared" si="17"/>
        <v>3.3224820098285424E-2</v>
      </c>
      <c r="AK13" s="29">
        <f t="shared" si="18"/>
        <v>-2.6874069731513295E-2</v>
      </c>
      <c r="AL13" s="29">
        <f t="shared" si="19"/>
        <v>0.54486362302167546</v>
      </c>
      <c r="AM13" s="29">
        <f t="shared" si="20"/>
        <v>0.16754880521918425</v>
      </c>
      <c r="AN13" s="29">
        <f t="shared" si="21"/>
        <v>1.9923165337762505E-2</v>
      </c>
      <c r="AO13" s="29">
        <f t="shared" si="22"/>
        <v>-0.21936431035247084</v>
      </c>
      <c r="AP13" s="29">
        <f t="shared" si="24"/>
        <v>6.062198606127267E-2</v>
      </c>
      <c r="AQ13" s="29">
        <f t="shared" si="24"/>
        <v>-7.548983081852878E-2</v>
      </c>
    </row>
    <row r="14" spans="1:43">
      <c r="B14" s="22" t="s">
        <v>24</v>
      </c>
      <c r="C14" s="2">
        <v>8074.7191016300003</v>
      </c>
      <c r="D14" s="2">
        <v>10678.81250097</v>
      </c>
      <c r="E14" s="2">
        <v>10210.639309800001</v>
      </c>
      <c r="F14" s="2">
        <f>F15+F16</f>
        <v>9259.9097955500001</v>
      </c>
      <c r="G14" s="2">
        <f>G15+G16</f>
        <v>10693.245026549999</v>
      </c>
      <c r="H14" s="2">
        <f>H15+H16</f>
        <v>11817.19072981</v>
      </c>
      <c r="I14" s="2">
        <f>I15+I16</f>
        <v>11973.48591786</v>
      </c>
      <c r="J14" s="2">
        <f t="shared" ref="J14:O14" si="25">J15+J16</f>
        <v>10619.709951580002</v>
      </c>
      <c r="K14" s="2">
        <f t="shared" si="25"/>
        <v>14721.07309518</v>
      </c>
      <c r="L14" s="2">
        <f t="shared" si="25"/>
        <v>14049.571758339998</v>
      </c>
      <c r="M14" s="2">
        <f t="shared" si="25"/>
        <v>13548.42351486</v>
      </c>
      <c r="N14" s="2">
        <f t="shared" si="25"/>
        <v>14738.737157999998</v>
      </c>
      <c r="O14" s="2">
        <f t="shared" si="25"/>
        <v>13177.84447649</v>
      </c>
      <c r="P14" s="2">
        <f t="shared" ref="P14:W14" si="26">P15+P16</f>
        <v>13124.708758270001</v>
      </c>
      <c r="Q14" s="2">
        <f t="shared" si="26"/>
        <v>11098.434734950002</v>
      </c>
      <c r="R14" s="2">
        <f t="shared" si="26"/>
        <v>14787.321473529999</v>
      </c>
      <c r="S14" s="2">
        <f t="shared" si="26"/>
        <v>17075.799248709998</v>
      </c>
      <c r="T14" s="2">
        <f t="shared" si="26"/>
        <v>14572.855486879998</v>
      </c>
      <c r="U14" s="2">
        <f t="shared" si="26"/>
        <v>12299.01075618</v>
      </c>
      <c r="V14" s="2">
        <f t="shared" si="26"/>
        <v>15416.95669212</v>
      </c>
      <c r="W14" s="2">
        <f t="shared" si="26"/>
        <v>16120.565545770001</v>
      </c>
      <c r="X14" s="29">
        <f t="shared" si="5"/>
        <v>0.32249956519407896</v>
      </c>
      <c r="Y14" s="29">
        <f t="shared" si="6"/>
        <v>-4.3841315794941882E-2</v>
      </c>
      <c r="Z14" s="29">
        <f t="shared" si="7"/>
        <v>-9.311165397229404E-2</v>
      </c>
      <c r="AA14" s="29">
        <f t="shared" si="8"/>
        <v>0.15478932977174487</v>
      </c>
      <c r="AB14" s="29">
        <f t="shared" si="9"/>
        <v>0.10510800982016044</v>
      </c>
      <c r="AC14" s="29">
        <f t="shared" si="10"/>
        <v>1.3226086607515786E-2</v>
      </c>
      <c r="AD14" s="29">
        <f t="shared" si="11"/>
        <v>-0.11306448060047969</v>
      </c>
      <c r="AE14" s="29">
        <f t="shared" si="12"/>
        <v>0.38620293419499618</v>
      </c>
      <c r="AF14" s="29">
        <f t="shared" si="13"/>
        <v>-4.5614971985966535E-2</v>
      </c>
      <c r="AG14" s="29">
        <f t="shared" si="14"/>
        <v>-3.5670001342390401E-2</v>
      </c>
      <c r="AH14" s="29">
        <f t="shared" si="15"/>
        <v>8.7856247026412593E-2</v>
      </c>
      <c r="AI14" s="29">
        <f t="shared" si="16"/>
        <v>-0.10590409916244192</v>
      </c>
      <c r="AJ14" s="29">
        <f t="shared" si="17"/>
        <v>-4.0322010412853215E-3</v>
      </c>
      <c r="AK14" s="29">
        <f t="shared" si="18"/>
        <v>-0.15438620853534935</v>
      </c>
      <c r="AL14" s="29">
        <f t="shared" si="19"/>
        <v>0.33237900899334472</v>
      </c>
      <c r="AM14" s="29">
        <f t="shared" si="20"/>
        <v>0.15475945249966205</v>
      </c>
      <c r="AN14" s="29">
        <f t="shared" si="21"/>
        <v>-0.14657842513691333</v>
      </c>
      <c r="AO14" s="29">
        <f t="shared" si="22"/>
        <v>-0.15603288818359251</v>
      </c>
      <c r="AP14" s="29">
        <f t="shared" si="24"/>
        <v>0.25351192854053717</v>
      </c>
      <c r="AQ14" s="29">
        <f t="shared" si="24"/>
        <v>4.5638634634657338E-2</v>
      </c>
    </row>
    <row r="15" spans="1:43">
      <c r="B15" s="23" t="s">
        <v>35</v>
      </c>
      <c r="C15" s="2">
        <v>6465.3031418100009</v>
      </c>
      <c r="D15" s="2">
        <v>8407.8102010399998</v>
      </c>
      <c r="E15" s="2">
        <v>8098.9695828800004</v>
      </c>
      <c r="F15" s="2">
        <v>7682.3929459600004</v>
      </c>
      <c r="G15" s="2">
        <v>8647.2421845099998</v>
      </c>
      <c r="H15" s="2">
        <v>9624.0952318199998</v>
      </c>
      <c r="I15" s="2">
        <v>9803.0205595799998</v>
      </c>
      <c r="J15" s="2">
        <v>8852.7661714300011</v>
      </c>
      <c r="K15" s="2">
        <v>12258.69591885</v>
      </c>
      <c r="L15" s="2">
        <v>11844.371368209999</v>
      </c>
      <c r="M15" s="2">
        <v>11439.653217900001</v>
      </c>
      <c r="N15" s="2">
        <v>12350.384258979999</v>
      </c>
      <c r="O15" s="2">
        <v>11053.737495469999</v>
      </c>
      <c r="P15" s="2">
        <v>11048.528016190001</v>
      </c>
      <c r="Q15" s="2">
        <v>9467.0831295300013</v>
      </c>
      <c r="R15" s="2">
        <v>12509.632714709998</v>
      </c>
      <c r="S15" s="2">
        <v>13875.050664079999</v>
      </c>
      <c r="T15" s="2">
        <v>11483.349397129999</v>
      </c>
      <c r="U15" s="2">
        <f>-18624.91677106+28716.289</f>
        <v>10091.372228939999</v>
      </c>
      <c r="V15" s="2">
        <v>12657.56914999</v>
      </c>
      <c r="W15" s="2">
        <v>12847.216848530001</v>
      </c>
      <c r="X15" s="29">
        <f t="shared" si="5"/>
        <v>0.30045104098339026</v>
      </c>
      <c r="Y15" s="29">
        <f t="shared" si="6"/>
        <v>-3.6732586818122637E-2</v>
      </c>
      <c r="Z15" s="29">
        <f t="shared" si="7"/>
        <v>-5.1435757679665794E-2</v>
      </c>
      <c r="AA15" s="29">
        <f t="shared" si="8"/>
        <v>0.12559227903818582</v>
      </c>
      <c r="AB15" s="29">
        <f t="shared" si="9"/>
        <v>0.11296700456243247</v>
      </c>
      <c r="AC15" s="29">
        <f t="shared" si="10"/>
        <v>1.8591392068567858E-2</v>
      </c>
      <c r="AD15" s="29">
        <f t="shared" si="11"/>
        <v>-9.6934856187908647E-2</v>
      </c>
      <c r="AE15" s="29">
        <f t="shared" si="12"/>
        <v>0.38473056686075724</v>
      </c>
      <c r="AF15" s="29">
        <f t="shared" si="13"/>
        <v>-3.3798419781577382E-2</v>
      </c>
      <c r="AG15" s="29">
        <f t="shared" si="14"/>
        <v>-3.4169660653857181E-2</v>
      </c>
      <c r="AH15" s="29">
        <f t="shared" si="15"/>
        <v>7.9611770018950256E-2</v>
      </c>
      <c r="AI15" s="29">
        <f t="shared" si="16"/>
        <v>-0.10498837415258588</v>
      </c>
      <c r="AJ15" s="29">
        <f t="shared" si="17"/>
        <v>-4.7128668309093236E-4</v>
      </c>
      <c r="AK15" s="29">
        <f t="shared" si="18"/>
        <v>-0.14313625166561772</v>
      </c>
      <c r="AL15" s="29">
        <f t="shared" si="19"/>
        <v>0.32138194452836144</v>
      </c>
      <c r="AM15" s="29">
        <f t="shared" si="20"/>
        <v>0.10914932360599328</v>
      </c>
      <c r="AN15" s="29">
        <f t="shared" si="21"/>
        <v>-0.17237423666795559</v>
      </c>
      <c r="AO15" s="29">
        <f t="shared" si="22"/>
        <v>-0.12121700037603078</v>
      </c>
      <c r="AP15" s="29">
        <f t="shared" si="24"/>
        <v>0.25429613166885967</v>
      </c>
      <c r="AQ15" s="29">
        <f t="shared" si="24"/>
        <v>1.4982947854576878E-2</v>
      </c>
    </row>
    <row r="16" spans="1:43">
      <c r="B16" s="23" t="s">
        <v>36</v>
      </c>
      <c r="C16" s="2">
        <v>1609.4159598199999</v>
      </c>
      <c r="D16" s="2">
        <v>2271.0022999299999</v>
      </c>
      <c r="E16" s="2">
        <v>2111.6697269199999</v>
      </c>
      <c r="F16" s="2">
        <v>1577.51684959</v>
      </c>
      <c r="G16" s="2">
        <v>2046.0028420399999</v>
      </c>
      <c r="H16" s="2">
        <v>2193.0954979899998</v>
      </c>
      <c r="I16" s="2">
        <v>2170.4653582800001</v>
      </c>
      <c r="J16" s="2">
        <v>1766.9437801500001</v>
      </c>
      <c r="K16" s="2">
        <v>2462.3771763300001</v>
      </c>
      <c r="L16" s="2">
        <v>2205.20039013</v>
      </c>
      <c r="M16" s="2">
        <v>2108.77029696</v>
      </c>
      <c r="N16" s="2">
        <v>2388.3528990199998</v>
      </c>
      <c r="O16" s="2">
        <v>2124.1069810200001</v>
      </c>
      <c r="P16" s="2">
        <v>2076.1807420800001</v>
      </c>
      <c r="Q16" s="2">
        <v>1631.3516054200002</v>
      </c>
      <c r="R16" s="2">
        <v>2277.6887588200002</v>
      </c>
      <c r="S16" s="2">
        <v>3200.7485846300001</v>
      </c>
      <c r="T16" s="2">
        <v>3089.5060897499998</v>
      </c>
      <c r="U16" s="2">
        <v>2207.6385272399998</v>
      </c>
      <c r="V16" s="2">
        <v>2759.3875421299999</v>
      </c>
      <c r="W16" s="2">
        <v>3273.3486972399996</v>
      </c>
      <c r="X16" s="29">
        <f t="shared" si="5"/>
        <v>0.41107231233371966</v>
      </c>
      <c r="Y16" s="29">
        <f t="shared" si="6"/>
        <v>-7.0159582407693377E-2</v>
      </c>
      <c r="Z16" s="29">
        <f t="shared" si="7"/>
        <v>-0.25295285077988716</v>
      </c>
      <c r="AA16" s="29">
        <f t="shared" si="8"/>
        <v>0.29697685484105008</v>
      </c>
      <c r="AB16" s="29">
        <f t="shared" si="9"/>
        <v>7.189269385537056E-2</v>
      </c>
      <c r="AC16" s="29">
        <f t="shared" si="10"/>
        <v>-1.0318811803106787E-2</v>
      </c>
      <c r="AD16" s="29">
        <f t="shared" si="11"/>
        <v>-0.18591477472359819</v>
      </c>
      <c r="AE16" s="29">
        <f t="shared" si="12"/>
        <v>0.3935798093819165</v>
      </c>
      <c r="AF16" s="29">
        <f t="shared" si="13"/>
        <v>-0.10444248292753588</v>
      </c>
      <c r="AG16" s="29">
        <f t="shared" si="14"/>
        <v>-4.3728494517595862E-2</v>
      </c>
      <c r="AH16" s="29">
        <f t="shared" si="15"/>
        <v>0.13258087069181768</v>
      </c>
      <c r="AI16" s="29">
        <f t="shared" si="16"/>
        <v>-0.11063939424882574</v>
      </c>
      <c r="AJ16" s="29">
        <f t="shared" si="17"/>
        <v>-2.2563006180124634E-2</v>
      </c>
      <c r="AK16" s="29">
        <f t="shared" si="18"/>
        <v>-0.2142535703391375</v>
      </c>
      <c r="AL16" s="29">
        <f t="shared" si="19"/>
        <v>0.39619733186433281</v>
      </c>
      <c r="AM16" s="29">
        <f t="shared" si="20"/>
        <v>0.40526161541413086</v>
      </c>
      <c r="AN16" s="29">
        <f t="shared" si="21"/>
        <v>-3.4755149284197762E-2</v>
      </c>
      <c r="AO16" s="29">
        <f t="shared" si="22"/>
        <v>-0.28543965827928175</v>
      </c>
      <c r="AP16" s="29">
        <f t="shared" si="24"/>
        <v>0.24992724491894025</v>
      </c>
      <c r="AQ16" s="29">
        <f t="shared" si="24"/>
        <v>0.18625914166201807</v>
      </c>
    </row>
    <row r="17" spans="2:43">
      <c r="B17" s="22" t="s">
        <v>25</v>
      </c>
      <c r="C17" s="2">
        <v>223.17844674</v>
      </c>
      <c r="D17" s="2">
        <v>183.47337240000002</v>
      </c>
      <c r="E17" s="2">
        <v>309.80361018000002</v>
      </c>
      <c r="F17" s="2">
        <f>F18+F19</f>
        <v>233.01302520000002</v>
      </c>
      <c r="G17" s="2">
        <f>G18+G19</f>
        <v>351.02253454000004</v>
      </c>
      <c r="H17" s="2">
        <f>H18+H19</f>
        <v>334.95154085000001</v>
      </c>
      <c r="I17" s="2">
        <f>I18+I19</f>
        <v>296.06555714000001</v>
      </c>
      <c r="J17" s="2">
        <f>J18+J19+J20</f>
        <v>196.11373491000001</v>
      </c>
      <c r="K17" s="2">
        <f t="shared" ref="K17:W17" si="27">K19+K18+K20</f>
        <v>415.19826195999997</v>
      </c>
      <c r="L17" s="2">
        <f t="shared" si="27"/>
        <v>364.53417680000001</v>
      </c>
      <c r="M17" s="2">
        <f t="shared" si="27"/>
        <v>429.91041997000002</v>
      </c>
      <c r="N17" s="2">
        <f t="shared" si="27"/>
        <v>478.23121061000001</v>
      </c>
      <c r="O17" s="2">
        <f t="shared" si="27"/>
        <v>464.12204270999996</v>
      </c>
      <c r="P17" s="2">
        <f t="shared" si="27"/>
        <v>375.51782341000001</v>
      </c>
      <c r="Q17" s="2">
        <f t="shared" si="27"/>
        <v>436.10551997000005</v>
      </c>
      <c r="R17" s="2">
        <f t="shared" si="27"/>
        <v>562.30067024000004</v>
      </c>
      <c r="S17" s="2">
        <f t="shared" si="27"/>
        <v>587.42489388000001</v>
      </c>
      <c r="T17" s="2">
        <f t="shared" si="27"/>
        <v>449.74085919999993</v>
      </c>
      <c r="U17" s="2">
        <f t="shared" si="27"/>
        <v>371.22704553999995</v>
      </c>
      <c r="V17" s="2">
        <f t="shared" si="27"/>
        <v>360.77289616000002</v>
      </c>
      <c r="W17" s="2">
        <f t="shared" si="27"/>
        <v>433.10484876999999</v>
      </c>
      <c r="X17" s="29">
        <f t="shared" si="5"/>
        <v>-0.1779072975906848</v>
      </c>
      <c r="Y17" s="29">
        <f t="shared" si="6"/>
        <v>0.68854807718136213</v>
      </c>
      <c r="Z17" s="29">
        <f t="shared" si="7"/>
        <v>-0.24786859305927278</v>
      </c>
      <c r="AA17" s="29">
        <f t="shared" si="8"/>
        <v>0.50645026920151759</v>
      </c>
      <c r="AB17" s="29">
        <f t="shared" si="9"/>
        <v>-4.5783367472576608E-2</v>
      </c>
      <c r="AC17" s="29">
        <f t="shared" si="10"/>
        <v>-0.11609435684732128</v>
      </c>
      <c r="AD17" s="29">
        <f t="shared" si="11"/>
        <v>-0.33760030445802902</v>
      </c>
      <c r="AE17" s="29">
        <f t="shared" si="12"/>
        <v>1.1171299508957984</v>
      </c>
      <c r="AF17" s="29">
        <f t="shared" si="13"/>
        <v>-0.12202383728880084</v>
      </c>
      <c r="AG17" s="29">
        <f t="shared" si="14"/>
        <v>0.17934187610032626</v>
      </c>
      <c r="AH17" s="29">
        <f t="shared" si="15"/>
        <v>0.112397346971427</v>
      </c>
      <c r="AI17" s="29">
        <f t="shared" si="16"/>
        <v>-2.9502817020251149E-2</v>
      </c>
      <c r="AJ17" s="29">
        <f t="shared" si="17"/>
        <v>-0.19090715619245657</v>
      </c>
      <c r="AK17" s="29">
        <f t="shared" si="18"/>
        <v>0.16134439641190834</v>
      </c>
      <c r="AL17" s="29">
        <f t="shared" si="19"/>
        <v>0.28936838561153966</v>
      </c>
      <c r="AM17" s="29">
        <f t="shared" si="20"/>
        <v>4.4681119852260753E-2</v>
      </c>
      <c r="AN17" s="29">
        <f t="shared" si="21"/>
        <v>-0.23438576763504748</v>
      </c>
      <c r="AO17" s="29">
        <f t="shared" si="22"/>
        <v>-0.17457567408854191</v>
      </c>
      <c r="AP17" s="29">
        <f t="shared" si="24"/>
        <v>-2.8161066133511214E-2</v>
      </c>
      <c r="AQ17" s="29">
        <f t="shared" si="24"/>
        <v>0.20049164829145405</v>
      </c>
    </row>
    <row r="18" spans="2:43">
      <c r="B18" s="23" t="s">
        <v>37</v>
      </c>
      <c r="C18" s="2">
        <v>223.17844674</v>
      </c>
      <c r="D18" s="2">
        <v>13.05667783</v>
      </c>
      <c r="E18" s="2">
        <v>12.2152125</v>
      </c>
      <c r="F18" s="2">
        <v>9.7392253000000011</v>
      </c>
      <c r="G18" s="2">
        <v>13.5223605</v>
      </c>
      <c r="H18" s="2">
        <v>13.869711000000001</v>
      </c>
      <c r="I18" s="2">
        <v>12.1567635</v>
      </c>
      <c r="J18" s="2">
        <v>11.281686000000001</v>
      </c>
      <c r="K18" s="2">
        <v>15.036405</v>
      </c>
      <c r="L18" s="2">
        <v>12.295341000000001</v>
      </c>
      <c r="M18" s="2">
        <v>16.186197</v>
      </c>
      <c r="N18" s="2">
        <v>16.686159</v>
      </c>
      <c r="O18" s="2">
        <v>16.006588499999999</v>
      </c>
      <c r="P18" s="2">
        <v>10.9593075</v>
      </c>
      <c r="Q18" s="2">
        <v>14.7598395</v>
      </c>
      <c r="R18" s="2">
        <v>18.791784</v>
      </c>
      <c r="S18" s="2">
        <v>18.201816000000001</v>
      </c>
      <c r="T18" s="2">
        <v>15.03594</v>
      </c>
      <c r="U18" s="2">
        <v>13.829311499999999</v>
      </c>
      <c r="V18" s="2">
        <v>12.6187065</v>
      </c>
      <c r="W18" s="2">
        <v>16.250357999999999</v>
      </c>
      <c r="X18" s="29">
        <f t="shared" si="5"/>
        <v>-0.94149669011178816</v>
      </c>
      <c r="Y18" s="29">
        <f t="shared" si="6"/>
        <v>-6.4447123606480194E-2</v>
      </c>
      <c r="Z18" s="29">
        <f t="shared" si="7"/>
        <v>-0.20269702225810637</v>
      </c>
      <c r="AA18" s="29">
        <f t="shared" si="8"/>
        <v>0.38844313417823884</v>
      </c>
      <c r="AB18" s="29">
        <f t="shared" si="9"/>
        <v>2.56871202331872E-2</v>
      </c>
      <c r="AC18" s="29">
        <f t="shared" si="10"/>
        <v>-0.12350275359017937</v>
      </c>
      <c r="AD18" s="29">
        <f t="shared" si="11"/>
        <v>-7.1982769098041577E-2</v>
      </c>
      <c r="AE18" s="29">
        <f t="shared" si="12"/>
        <v>0.33281541429180006</v>
      </c>
      <c r="AF18" s="29">
        <f t="shared" si="13"/>
        <v>-0.18229516962332415</v>
      </c>
      <c r="AG18" s="29">
        <f t="shared" si="14"/>
        <v>0.3164496210393839</v>
      </c>
      <c r="AH18" s="29">
        <f t="shared" si="15"/>
        <v>3.0888169716456471E-2</v>
      </c>
      <c r="AI18" s="29">
        <f t="shared" si="16"/>
        <v>-4.072659861385719E-2</v>
      </c>
      <c r="AJ18" s="29">
        <f t="shared" si="17"/>
        <v>-0.31532521748778641</v>
      </c>
      <c r="AK18" s="29">
        <f t="shared" si="18"/>
        <v>0.34678578003217808</v>
      </c>
      <c r="AL18" s="29">
        <f t="shared" si="19"/>
        <v>0.27316994199022293</v>
      </c>
      <c r="AM18" s="29">
        <f t="shared" si="20"/>
        <v>-3.1394996877358694E-2</v>
      </c>
      <c r="AN18" s="29">
        <f t="shared" si="21"/>
        <v>-0.17393187580843583</v>
      </c>
      <c r="AO18" s="29">
        <f t="shared" si="22"/>
        <v>-8.0249621905913449E-2</v>
      </c>
      <c r="AP18" s="29">
        <f t="shared" si="24"/>
        <v>-8.7539065122656301E-2</v>
      </c>
      <c r="AQ18" s="29">
        <f t="shared" si="24"/>
        <v>0.28779903074851587</v>
      </c>
    </row>
    <row r="19" spans="2:43">
      <c r="B19" s="23" t="s">
        <v>38</v>
      </c>
      <c r="C19" s="2">
        <v>0</v>
      </c>
      <c r="D19" s="2">
        <v>170.41669457</v>
      </c>
      <c r="E19" s="2">
        <v>297.58839768000001</v>
      </c>
      <c r="F19" s="2">
        <v>223.2737999</v>
      </c>
      <c r="G19" s="2">
        <v>337.50017404000005</v>
      </c>
      <c r="H19" s="2">
        <v>321.08182985000002</v>
      </c>
      <c r="I19" s="2">
        <v>283.90879364</v>
      </c>
      <c r="J19" s="2">
        <v>184.83204891</v>
      </c>
      <c r="K19" s="2">
        <v>263.77283796</v>
      </c>
      <c r="L19" s="2">
        <v>212.77001780000001</v>
      </c>
      <c r="M19" s="2">
        <v>281.23792272000003</v>
      </c>
      <c r="N19" s="2">
        <v>302.49349761000002</v>
      </c>
      <c r="O19" s="2">
        <v>295.78284995999996</v>
      </c>
      <c r="P19" s="2">
        <v>210.69945966</v>
      </c>
      <c r="Q19" s="2">
        <v>270.85933347000002</v>
      </c>
      <c r="R19" s="2">
        <v>369.56273549000002</v>
      </c>
      <c r="S19" s="2">
        <v>378.35512162999999</v>
      </c>
      <c r="T19" s="2">
        <v>270.34687819999999</v>
      </c>
      <c r="U19" s="2">
        <v>233.32996428999999</v>
      </c>
      <c r="V19" s="2">
        <v>207.91190266000001</v>
      </c>
      <c r="W19" s="2">
        <v>259.01607402000002</v>
      </c>
      <c r="X19" s="41" t="e">
        <f t="shared" si="5"/>
        <v>#DIV/0!</v>
      </c>
      <c r="Y19" s="29">
        <f t="shared" si="6"/>
        <v>0.74623970046410704</v>
      </c>
      <c r="Z19" s="29">
        <f t="shared" si="7"/>
        <v>-0.24972276593898424</v>
      </c>
      <c r="AA19" s="29">
        <f t="shared" si="8"/>
        <v>0.51159775213733005</v>
      </c>
      <c r="AB19" s="29">
        <f t="shared" si="9"/>
        <v>-4.864692066219245E-2</v>
      </c>
      <c r="AC19" s="29">
        <f t="shared" si="10"/>
        <v>-0.11577433773616574</v>
      </c>
      <c r="AD19" s="29">
        <f t="shared" si="11"/>
        <v>-0.34897384987528979</v>
      </c>
      <c r="AE19" s="29">
        <f t="shared" si="12"/>
        <v>0.42709470308603525</v>
      </c>
      <c r="AF19" s="29">
        <f t="shared" si="13"/>
        <v>-0.19335887862621526</v>
      </c>
      <c r="AG19" s="29">
        <f t="shared" si="14"/>
        <v>0.3217930121355661</v>
      </c>
      <c r="AH19" s="29">
        <f t="shared" si="15"/>
        <v>7.5578622841564691E-2</v>
      </c>
      <c r="AI19" s="29">
        <f t="shared" si="16"/>
        <v>-2.2184436039190403E-2</v>
      </c>
      <c r="AJ19" s="29">
        <f t="shared" si="17"/>
        <v>-0.28765491410846222</v>
      </c>
      <c r="AK19" s="29">
        <f t="shared" si="18"/>
        <v>0.28552457565424416</v>
      </c>
      <c r="AL19" s="29">
        <f t="shared" si="19"/>
        <v>0.36440834715017201</v>
      </c>
      <c r="AM19" s="29">
        <f t="shared" si="20"/>
        <v>2.3791322272637139E-2</v>
      </c>
      <c r="AN19" s="29">
        <f t="shared" si="21"/>
        <v>-0.28546790371090347</v>
      </c>
      <c r="AO19" s="29">
        <f t="shared" si="22"/>
        <v>-0.13692377051461735</v>
      </c>
      <c r="AP19" s="29">
        <f t="shared" si="24"/>
        <v>-0.10893612274507747</v>
      </c>
      <c r="AQ19" s="29">
        <f t="shared" si="24"/>
        <v>0.24579723770587125</v>
      </c>
    </row>
    <row r="20" spans="2:43">
      <c r="B20" s="23" t="s">
        <v>47</v>
      </c>
      <c r="C20" s="2"/>
      <c r="D20" s="2"/>
      <c r="E20" s="2"/>
      <c r="F20" s="2"/>
      <c r="G20" s="2"/>
      <c r="H20" s="2"/>
      <c r="I20" s="2">
        <v>0</v>
      </c>
      <c r="J20" s="2">
        <v>0</v>
      </c>
      <c r="K20" s="2">
        <v>136.38901899999999</v>
      </c>
      <c r="L20" s="2">
        <v>139.468818</v>
      </c>
      <c r="M20" s="2">
        <v>132.48630025</v>
      </c>
      <c r="N20" s="2">
        <v>159.05155400000001</v>
      </c>
      <c r="O20" s="2">
        <v>152.33260425</v>
      </c>
      <c r="P20" s="2">
        <v>153.85905625000001</v>
      </c>
      <c r="Q20" s="2">
        <v>150.48634699999999</v>
      </c>
      <c r="R20" s="2">
        <v>173.94615074999999</v>
      </c>
      <c r="S20" s="2">
        <v>190.86795624999999</v>
      </c>
      <c r="T20" s="2">
        <v>164.35804099999999</v>
      </c>
      <c r="U20" s="2">
        <v>124.06776975</v>
      </c>
      <c r="V20" s="2">
        <v>140.242287</v>
      </c>
      <c r="W20" s="2">
        <v>157.83841674999999</v>
      </c>
      <c r="X20" s="41" t="e">
        <f t="shared" si="5"/>
        <v>#DIV/0!</v>
      </c>
      <c r="Y20" s="41" t="e">
        <f t="shared" si="6"/>
        <v>#DIV/0!</v>
      </c>
      <c r="Z20" s="41" t="e">
        <f t="shared" si="7"/>
        <v>#DIV/0!</v>
      </c>
      <c r="AA20" s="41" t="e">
        <f t="shared" si="8"/>
        <v>#DIV/0!</v>
      </c>
      <c r="AB20" s="41" t="e">
        <f t="shared" si="9"/>
        <v>#DIV/0!</v>
      </c>
      <c r="AC20" s="41" t="e">
        <f t="shared" si="10"/>
        <v>#DIV/0!</v>
      </c>
      <c r="AD20" s="41" t="e">
        <f t="shared" si="11"/>
        <v>#DIV/0!</v>
      </c>
      <c r="AE20" s="41" t="e">
        <f t="shared" si="12"/>
        <v>#DIV/0!</v>
      </c>
      <c r="AF20" s="29">
        <f t="shared" si="13"/>
        <v>2.2580989456343348E-2</v>
      </c>
      <c r="AG20" s="29">
        <f t="shared" si="14"/>
        <v>-5.0065081572570613E-2</v>
      </c>
      <c r="AH20" s="29">
        <f t="shared" si="15"/>
        <v>0.20051321306332581</v>
      </c>
      <c r="AI20" s="29">
        <f t="shared" si="16"/>
        <v>-4.2243848494557978E-2</v>
      </c>
      <c r="AJ20" s="29">
        <f t="shared" si="17"/>
        <v>1.0020520606966565E-2</v>
      </c>
      <c r="AK20" s="29">
        <f t="shared" si="18"/>
        <v>-2.1920771725778776E-2</v>
      </c>
      <c r="AL20" s="29">
        <f t="shared" si="19"/>
        <v>0.15589323694594026</v>
      </c>
      <c r="AM20" s="29">
        <f t="shared" si="20"/>
        <v>9.7281862386943363E-2</v>
      </c>
      <c r="AN20" s="29">
        <f t="shared" si="21"/>
        <v>-0.1388913873802744</v>
      </c>
      <c r="AO20" s="29">
        <f t="shared" si="22"/>
        <v>-0.24513720779867409</v>
      </c>
      <c r="AP20" s="29">
        <f t="shared" si="24"/>
        <v>0.13036840496602875</v>
      </c>
      <c r="AQ20" s="29">
        <f t="shared" si="24"/>
        <v>0.12546950086460007</v>
      </c>
    </row>
    <row r="21" spans="2:43">
      <c r="B21" s="22" t="s">
        <v>26</v>
      </c>
      <c r="C21" s="2">
        <v>48557.910394480001</v>
      </c>
      <c r="D21" s="2">
        <v>62508.24607488</v>
      </c>
      <c r="E21" s="2">
        <v>69608.266055449989</v>
      </c>
      <c r="F21" s="2">
        <f>F22+F23</f>
        <v>65821.518535900002</v>
      </c>
      <c r="G21" s="2">
        <f>G22+G23</f>
        <v>78276.38168346</v>
      </c>
      <c r="H21" s="2">
        <f>H22+H23</f>
        <v>83285.814859089995</v>
      </c>
      <c r="I21" s="2">
        <f>I22+I23</f>
        <v>98126</v>
      </c>
      <c r="J21" s="2">
        <f t="shared" ref="J21:O21" si="28">J22+J23</f>
        <v>89111.73587597</v>
      </c>
      <c r="K21" s="2">
        <f t="shared" si="28"/>
        <v>106489.17053932999</v>
      </c>
      <c r="L21" s="2">
        <f t="shared" si="28"/>
        <v>113375.97764716001</v>
      </c>
      <c r="M21" s="2">
        <f t="shared" si="28"/>
        <v>119366.53520781</v>
      </c>
      <c r="N21" s="2">
        <f t="shared" si="28"/>
        <v>125234.71795007001</v>
      </c>
      <c r="O21" s="2">
        <f t="shared" si="28"/>
        <v>118158.97577272</v>
      </c>
      <c r="P21" s="2">
        <f t="shared" ref="P21:W21" si="29">P22+P23</f>
        <v>123743.60117128</v>
      </c>
      <c r="Q21" s="2">
        <f t="shared" si="29"/>
        <v>146884.56394269</v>
      </c>
      <c r="R21" s="2">
        <f t="shared" si="29"/>
        <v>161663.33792194998</v>
      </c>
      <c r="S21" s="2">
        <f t="shared" si="29"/>
        <v>203582.08998006</v>
      </c>
      <c r="T21" s="2">
        <f t="shared" si="29"/>
        <v>196710.50668942998</v>
      </c>
      <c r="U21" s="2">
        <f t="shared" si="29"/>
        <v>174344.51196023001</v>
      </c>
      <c r="V21" s="2">
        <f t="shared" si="29"/>
        <v>208728.70276844001</v>
      </c>
      <c r="W21" s="2">
        <f t="shared" si="29"/>
        <v>191520.70117856</v>
      </c>
      <c r="X21" s="29">
        <f t="shared" si="5"/>
        <v>0.28729275141925914</v>
      </c>
      <c r="Y21" s="29">
        <f t="shared" si="6"/>
        <v>0.11358533355846712</v>
      </c>
      <c r="Z21" s="29">
        <f t="shared" si="7"/>
        <v>-5.4400831023911134E-2</v>
      </c>
      <c r="AA21" s="29">
        <f t="shared" si="8"/>
        <v>0.18922175338095459</v>
      </c>
      <c r="AB21" s="29">
        <f t="shared" si="9"/>
        <v>6.3996739091588539E-2</v>
      </c>
      <c r="AC21" s="29">
        <f t="shared" si="10"/>
        <v>0.17818382597346116</v>
      </c>
      <c r="AD21" s="29">
        <f t="shared" si="11"/>
        <v>-9.186417589660234E-2</v>
      </c>
      <c r="AE21" s="29">
        <f t="shared" si="12"/>
        <v>0.19500725120591</v>
      </c>
      <c r="AF21" s="29">
        <f t="shared" si="13"/>
        <v>6.4671431592064899E-2</v>
      </c>
      <c r="AG21" s="29">
        <f t="shared" si="14"/>
        <v>5.2837979305398797E-2</v>
      </c>
      <c r="AH21" s="29">
        <f t="shared" si="15"/>
        <v>4.9161037740132585E-2</v>
      </c>
      <c r="AI21" s="29">
        <f t="shared" si="16"/>
        <v>-5.6499845196050558E-2</v>
      </c>
      <c r="AJ21" s="29">
        <f t="shared" si="17"/>
        <v>4.7263657813876758E-2</v>
      </c>
      <c r="AK21" s="29">
        <f t="shared" si="18"/>
        <v>0.18700734868204938</v>
      </c>
      <c r="AL21" s="29">
        <f t="shared" si="19"/>
        <v>0.10061488819905007</v>
      </c>
      <c r="AM21" s="29">
        <f t="shared" si="20"/>
        <v>0.25929658880573236</v>
      </c>
      <c r="AN21" s="29">
        <f t="shared" si="21"/>
        <v>-3.375337826280822E-2</v>
      </c>
      <c r="AO21" s="29">
        <f t="shared" si="22"/>
        <v>-0.11370005143910178</v>
      </c>
      <c r="AP21" s="29">
        <f t="shared" si="24"/>
        <v>0.19721980589818289</v>
      </c>
      <c r="AQ21" s="29">
        <f t="shared" si="24"/>
        <v>-8.2441951498018251E-2</v>
      </c>
    </row>
    <row r="22" spans="2:43">
      <c r="B22" s="23" t="s">
        <v>27</v>
      </c>
      <c r="C22" s="2">
        <v>23147.16580363</v>
      </c>
      <c r="D22" s="2">
        <v>28794.20063557</v>
      </c>
      <c r="E22" s="2">
        <v>35232.102261169995</v>
      </c>
      <c r="F22" s="2">
        <v>35521.717431080004</v>
      </c>
      <c r="G22" s="2">
        <v>38871.999593569999</v>
      </c>
      <c r="H22" s="2">
        <v>41855.04041455</v>
      </c>
      <c r="I22" s="2">
        <v>49178.7</v>
      </c>
      <c r="J22" s="2">
        <v>49211.462322209998</v>
      </c>
      <c r="K22" s="2">
        <v>51461.371392559995</v>
      </c>
      <c r="L22" s="2">
        <v>60302.803893169999</v>
      </c>
      <c r="M22" s="2">
        <v>64321.647919839997</v>
      </c>
      <c r="N22" s="2">
        <v>61936.712085410007</v>
      </c>
      <c r="O22" s="2">
        <v>62037.727368610002</v>
      </c>
      <c r="P22" s="2">
        <v>64988.54099501</v>
      </c>
      <c r="Q22" s="2">
        <v>95823.697805399992</v>
      </c>
      <c r="R22" s="2">
        <v>94238.97991075</v>
      </c>
      <c r="S22" s="2">
        <v>116831.72324653999</v>
      </c>
      <c r="T22" s="2">
        <v>121862.00794303999</v>
      </c>
      <c r="U22" s="2">
        <v>109670.08431866001</v>
      </c>
      <c r="V22" s="2">
        <v>129626.87962151</v>
      </c>
      <c r="W22" s="2">
        <v>118901.3790842</v>
      </c>
      <c r="X22" s="29">
        <f t="shared" si="5"/>
        <v>0.24396225783523007</v>
      </c>
      <c r="Y22" s="29">
        <f t="shared" si="6"/>
        <v>0.22358327314171511</v>
      </c>
      <c r="Z22" s="29">
        <f t="shared" si="7"/>
        <v>8.2202068943584283E-3</v>
      </c>
      <c r="AA22" s="29">
        <f t="shared" si="8"/>
        <v>9.4316446522899167E-2</v>
      </c>
      <c r="AB22" s="29">
        <f t="shared" si="9"/>
        <v>7.6740091895695528E-2</v>
      </c>
      <c r="AC22" s="29">
        <f t="shared" si="10"/>
        <v>0.17497676535283158</v>
      </c>
      <c r="AD22" s="29">
        <f t="shared" si="11"/>
        <v>6.6618926913486476E-4</v>
      </c>
      <c r="AE22" s="29">
        <f t="shared" si="12"/>
        <v>4.5719207765435144E-2</v>
      </c>
      <c r="AF22" s="29">
        <f t="shared" si="13"/>
        <v>0.17180716839365551</v>
      </c>
      <c r="AG22" s="29">
        <f t="shared" si="14"/>
        <v>6.6644397394681976E-2</v>
      </c>
      <c r="AH22" s="29">
        <f t="shared" si="15"/>
        <v>-3.7078276312232927E-2</v>
      </c>
      <c r="AI22" s="29">
        <f t="shared" si="16"/>
        <v>1.6309435841652675E-3</v>
      </c>
      <c r="AJ22" s="29">
        <f t="shared" si="17"/>
        <v>4.7564824689130258E-2</v>
      </c>
      <c r="AK22" s="29">
        <f t="shared" si="18"/>
        <v>0.47447067341852778</v>
      </c>
      <c r="AL22" s="29">
        <f t="shared" si="19"/>
        <v>-1.6537849518897252E-2</v>
      </c>
      <c r="AM22" s="29">
        <f t="shared" si="20"/>
        <v>0.23973883585313294</v>
      </c>
      <c r="AN22" s="29">
        <f t="shared" si="21"/>
        <v>4.3055811869564087E-2</v>
      </c>
      <c r="AO22" s="29">
        <f t="shared" si="22"/>
        <v>-0.10004696156064208</v>
      </c>
      <c r="AP22" s="29">
        <f t="shared" si="24"/>
        <v>0.18197118591486672</v>
      </c>
      <c r="AQ22" s="29">
        <f t="shared" si="24"/>
        <v>-8.274133087695057E-2</v>
      </c>
    </row>
    <row r="23" spans="2:43">
      <c r="B23" s="23" t="s">
        <v>28</v>
      </c>
      <c r="C23" s="2">
        <v>25410.744590849998</v>
      </c>
      <c r="D23" s="2">
        <v>33714.045439310001</v>
      </c>
      <c r="E23" s="2">
        <v>34376.163794280001</v>
      </c>
      <c r="F23" s="2">
        <v>30299.801104819999</v>
      </c>
      <c r="G23" s="2">
        <v>39404.382089890001</v>
      </c>
      <c r="H23" s="2">
        <v>41430.774444540002</v>
      </c>
      <c r="I23" s="2">
        <v>48947.3</v>
      </c>
      <c r="J23" s="2">
        <v>39900.273553760002</v>
      </c>
      <c r="K23" s="2">
        <v>55027.799146769998</v>
      </c>
      <c r="L23" s="2">
        <v>53073.173753989999</v>
      </c>
      <c r="M23" s="2">
        <v>55044.887287969999</v>
      </c>
      <c r="N23" s="2">
        <v>63298.005864660001</v>
      </c>
      <c r="O23" s="2">
        <v>56121.248404110003</v>
      </c>
      <c r="P23" s="2">
        <v>58755.060176269995</v>
      </c>
      <c r="Q23" s="2">
        <v>51060.866137290002</v>
      </c>
      <c r="R23" s="2">
        <v>67424.358011199991</v>
      </c>
      <c r="S23" s="2">
        <v>86750.366733520001</v>
      </c>
      <c r="T23" s="2">
        <v>74848.498746390003</v>
      </c>
      <c r="U23" s="2">
        <v>64674.427641570001</v>
      </c>
      <c r="V23" s="2">
        <v>79101.823146929994</v>
      </c>
      <c r="W23" s="2">
        <v>72619.322094360003</v>
      </c>
      <c r="X23" s="29">
        <f t="shared" si="5"/>
        <v>0.32676338226821922</v>
      </c>
      <c r="Y23" s="29">
        <f t="shared" si="6"/>
        <v>1.9639243714074661E-2</v>
      </c>
      <c r="Z23" s="29">
        <f t="shared" si="7"/>
        <v>-0.1185810817592825</v>
      </c>
      <c r="AA23" s="29">
        <f t="shared" si="8"/>
        <v>0.30048319306035554</v>
      </c>
      <c r="AB23" s="29">
        <f t="shared" si="9"/>
        <v>5.1425558457619092E-2</v>
      </c>
      <c r="AC23" s="29">
        <f t="shared" si="10"/>
        <v>0.18142372804355267</v>
      </c>
      <c r="AD23" s="29">
        <f t="shared" si="11"/>
        <v>-0.18483198146251179</v>
      </c>
      <c r="AE23" s="29">
        <f t="shared" si="12"/>
        <v>0.3791333804423116</v>
      </c>
      <c r="AF23" s="29">
        <f t="shared" si="13"/>
        <v>-3.5520689961934138E-2</v>
      </c>
      <c r="AG23" s="29">
        <f t="shared" si="14"/>
        <v>3.7150850316950645E-2</v>
      </c>
      <c r="AH23" s="29">
        <f t="shared" si="15"/>
        <v>0.14993433510933385</v>
      </c>
      <c r="AI23" s="29">
        <f t="shared" si="16"/>
        <v>-0.11338046692805626</v>
      </c>
      <c r="AJ23" s="29">
        <f t="shared" si="17"/>
        <v>4.6930740977014773E-2</v>
      </c>
      <c r="AK23" s="29">
        <f t="shared" si="18"/>
        <v>-0.13095372578798792</v>
      </c>
      <c r="AL23" s="29">
        <f t="shared" si="19"/>
        <v>0.32047031536661796</v>
      </c>
      <c r="AM23" s="29">
        <f t="shared" si="20"/>
        <v>0.28663244697279477</v>
      </c>
      <c r="AN23" s="29">
        <f t="shared" si="21"/>
        <v>-0.13719674550414507</v>
      </c>
      <c r="AO23" s="29">
        <f t="shared" si="22"/>
        <v>-0.13592885996675663</v>
      </c>
      <c r="AP23" s="29">
        <f t="shared" si="24"/>
        <v>0.2230772815697355</v>
      </c>
      <c r="AQ23" s="29">
        <f t="shared" si="24"/>
        <v>-8.1951348207599195E-2</v>
      </c>
    </row>
    <row r="24" spans="2:43">
      <c r="B24" s="22" t="s">
        <v>29</v>
      </c>
      <c r="C24" s="2">
        <v>9906.2895626099998</v>
      </c>
      <c r="D24" s="2">
        <v>12689.28897933</v>
      </c>
      <c r="E24" s="2">
        <v>14616.106971809999</v>
      </c>
      <c r="F24" s="2">
        <f>F25+F26</f>
        <v>10322.06712225</v>
      </c>
      <c r="G24" s="2">
        <f>G25+G26</f>
        <v>13388.172354599999</v>
      </c>
      <c r="H24" s="2">
        <f>H25+H26</f>
        <v>16444.7407184</v>
      </c>
      <c r="I24" s="2">
        <f>I25+I26</f>
        <v>20557.600000000002</v>
      </c>
      <c r="J24" s="2">
        <f t="shared" ref="J24:O24" si="30">J25+J26</f>
        <v>15573.583457559998</v>
      </c>
      <c r="K24" s="2">
        <f t="shared" si="30"/>
        <v>18575.60776182</v>
      </c>
      <c r="L24" s="2">
        <f t="shared" si="30"/>
        <v>19701.789077820002</v>
      </c>
      <c r="M24" s="2">
        <f t="shared" si="30"/>
        <v>24394.72087773</v>
      </c>
      <c r="N24" s="2">
        <f t="shared" si="30"/>
        <v>25418.672094640002</v>
      </c>
      <c r="O24" s="2">
        <f t="shared" si="30"/>
        <v>21007.208573619995</v>
      </c>
      <c r="P24" s="2">
        <f t="shared" ref="P24:W24" si="31">P25+P26</f>
        <v>19263.361704110001</v>
      </c>
      <c r="Q24" s="2">
        <f t="shared" si="31"/>
        <v>14320.648397110001</v>
      </c>
      <c r="R24" s="2">
        <f t="shared" si="31"/>
        <v>20377.7713</v>
      </c>
      <c r="S24" s="2">
        <f t="shared" si="31"/>
        <v>22983.36516936</v>
      </c>
      <c r="T24" s="2">
        <f t="shared" si="31"/>
        <v>26197.151265999997</v>
      </c>
      <c r="U24" s="2">
        <f t="shared" si="31"/>
        <v>22058.131973330001</v>
      </c>
      <c r="V24" s="2">
        <f t="shared" si="31"/>
        <v>27242.633151400001</v>
      </c>
      <c r="W24" s="2">
        <f t="shared" si="31"/>
        <v>22900.529992629999</v>
      </c>
      <c r="X24" s="29">
        <f t="shared" si="5"/>
        <v>0.28093257310225095</v>
      </c>
      <c r="Y24" s="29">
        <f t="shared" si="6"/>
        <v>0.15184601718966739</v>
      </c>
      <c r="Z24" s="29">
        <f t="shared" si="7"/>
        <v>-0.29378820624684043</v>
      </c>
      <c r="AA24" s="29">
        <f t="shared" si="8"/>
        <v>0.29704372157595982</v>
      </c>
      <c r="AB24" s="29">
        <f t="shared" si="9"/>
        <v>0.22830363120846764</v>
      </c>
      <c r="AC24" s="29">
        <f t="shared" si="10"/>
        <v>0.25010180166587426</v>
      </c>
      <c r="AD24" s="29">
        <f t="shared" si="11"/>
        <v>-0.24244155652605381</v>
      </c>
      <c r="AE24" s="29">
        <f t="shared" si="12"/>
        <v>0.19276387560004427</v>
      </c>
      <c r="AF24" s="29">
        <f t="shared" si="13"/>
        <v>6.0626889329281397E-2</v>
      </c>
      <c r="AG24" s="29">
        <f t="shared" si="14"/>
        <v>0.23819825607580158</v>
      </c>
      <c r="AH24" s="29">
        <f t="shared" si="15"/>
        <v>4.1974295260117866E-2</v>
      </c>
      <c r="AI24" s="29">
        <f t="shared" si="16"/>
        <v>-0.17355208425503255</v>
      </c>
      <c r="AJ24" s="29">
        <f t="shared" si="17"/>
        <v>-8.3011832028927812E-2</v>
      </c>
      <c r="AK24" s="29">
        <f t="shared" si="18"/>
        <v>-0.2565862274156141</v>
      </c>
      <c r="AL24" s="29">
        <f t="shared" si="19"/>
        <v>0.42296429148503956</v>
      </c>
      <c r="AM24" s="29">
        <f t="shared" si="20"/>
        <v>0.12786451624177375</v>
      </c>
      <c r="AN24" s="29">
        <f t="shared" si="21"/>
        <v>0.13983096352332325</v>
      </c>
      <c r="AO24" s="29">
        <f t="shared" si="22"/>
        <v>-0.15799501444425479</v>
      </c>
      <c r="AP24" s="29">
        <f t="shared" si="24"/>
        <v>0.23503808864406417</v>
      </c>
      <c r="AQ24" s="29">
        <f t="shared" si="24"/>
        <v>-0.15938632417207665</v>
      </c>
    </row>
    <row r="25" spans="2:43">
      <c r="B25" s="23" t="s">
        <v>27</v>
      </c>
      <c r="C25" s="2">
        <v>1280.6389148800001</v>
      </c>
      <c r="D25" s="2">
        <v>1138.9752981500001</v>
      </c>
      <c r="E25" s="2">
        <v>1724.1384089999999</v>
      </c>
      <c r="F25" s="2">
        <v>1750.0488351500001</v>
      </c>
      <c r="G25" s="2">
        <v>1945.75693944</v>
      </c>
      <c r="H25" s="2">
        <v>2024.9546104999999</v>
      </c>
      <c r="I25" s="2">
        <v>2460.4</v>
      </c>
      <c r="J25" s="2">
        <v>2108.7871515100001</v>
      </c>
      <c r="K25" s="2">
        <v>1676.2178394</v>
      </c>
      <c r="L25" s="2">
        <v>1315.28968353</v>
      </c>
      <c r="M25" s="2">
        <v>1265.68830822</v>
      </c>
      <c r="N25" s="2">
        <v>1455.3710142</v>
      </c>
      <c r="O25" s="2">
        <v>1679.6429848599998</v>
      </c>
      <c r="P25" s="2">
        <v>663.66265817999999</v>
      </c>
      <c r="Q25" s="2">
        <v>829.44575899999995</v>
      </c>
      <c r="R25" s="2">
        <v>746.23553800000002</v>
      </c>
      <c r="S25" s="2">
        <v>985.76683500000001</v>
      </c>
      <c r="T25" s="2">
        <v>766.991174</v>
      </c>
      <c r="U25" s="2">
        <v>1045.5619180000001</v>
      </c>
      <c r="V25" s="2">
        <v>753.43623000000002</v>
      </c>
      <c r="W25" s="2">
        <v>625.626846</v>
      </c>
      <c r="X25" s="29">
        <f t="shared" si="5"/>
        <v>-0.11061948460567772</v>
      </c>
      <c r="Y25" s="29">
        <f t="shared" si="6"/>
        <v>0.5137627758920329</v>
      </c>
      <c r="Z25" s="29">
        <f t="shared" si="7"/>
        <v>1.5028043000925972E-2</v>
      </c>
      <c r="AA25" s="29">
        <f t="shared" si="8"/>
        <v>0.11183008174353337</v>
      </c>
      <c r="AB25" s="29">
        <f t="shared" si="9"/>
        <v>4.070275657492628E-2</v>
      </c>
      <c r="AC25" s="29">
        <f t="shared" si="10"/>
        <v>0.21503958026618708</v>
      </c>
      <c r="AD25" s="29">
        <f t="shared" si="11"/>
        <v>-0.14290881502601205</v>
      </c>
      <c r="AE25" s="29">
        <f t="shared" si="12"/>
        <v>-0.20512706168579331</v>
      </c>
      <c r="AF25" s="29">
        <f t="shared" si="13"/>
        <v>-0.21532294155704357</v>
      </c>
      <c r="AG25" s="29">
        <f t="shared" si="14"/>
        <v>-3.7711369541711059E-2</v>
      </c>
      <c r="AH25" s="29">
        <f t="shared" si="15"/>
        <v>0.14986525888570479</v>
      </c>
      <c r="AI25" s="29">
        <f t="shared" si="16"/>
        <v>0.1540995172171129</v>
      </c>
      <c r="AJ25" s="29">
        <f t="shared" si="17"/>
        <v>-0.60487873663502545</v>
      </c>
      <c r="AK25" s="29">
        <f t="shared" si="18"/>
        <v>0.24980025435608577</v>
      </c>
      <c r="AL25" s="29">
        <f t="shared" si="19"/>
        <v>-0.10032026819971951</v>
      </c>
      <c r="AM25" s="29">
        <f t="shared" si="20"/>
        <v>0.32098618305149662</v>
      </c>
      <c r="AN25" s="29">
        <f t="shared" si="21"/>
        <v>-0.22193449123290909</v>
      </c>
      <c r="AO25" s="29">
        <f t="shared" si="22"/>
        <v>0.36319941277446843</v>
      </c>
      <c r="AP25" s="29">
        <f t="shared" si="24"/>
        <v>-0.2793958760077947</v>
      </c>
      <c r="AQ25" s="29">
        <f t="shared" si="24"/>
        <v>-0.16963530410529903</v>
      </c>
    </row>
    <row r="26" spans="2:43">
      <c r="B26" s="23" t="s">
        <v>28</v>
      </c>
      <c r="C26" s="2">
        <v>8625.650647729999</v>
      </c>
      <c r="D26" s="2">
        <v>11550.31368118</v>
      </c>
      <c r="E26" s="2">
        <v>12891.96856281</v>
      </c>
      <c r="F26" s="2">
        <v>8572.0182870999997</v>
      </c>
      <c r="G26" s="2">
        <v>11442.41541516</v>
      </c>
      <c r="H26" s="2">
        <v>14419.786107899999</v>
      </c>
      <c r="I26" s="2">
        <v>18097.2</v>
      </c>
      <c r="J26" s="2">
        <v>13464.796306049999</v>
      </c>
      <c r="K26" s="2">
        <v>16899.389922419999</v>
      </c>
      <c r="L26" s="2">
        <v>18386.49939429</v>
      </c>
      <c r="M26" s="2">
        <v>23129.03256951</v>
      </c>
      <c r="N26" s="2">
        <v>23963.30108044</v>
      </c>
      <c r="O26" s="2">
        <v>19327.565588759997</v>
      </c>
      <c r="P26" s="2">
        <v>18599.69904593</v>
      </c>
      <c r="Q26" s="2">
        <v>13491.20263811</v>
      </c>
      <c r="R26" s="2">
        <v>19631.535762</v>
      </c>
      <c r="S26" s="2">
        <v>21997.598334360002</v>
      </c>
      <c r="T26" s="2">
        <v>25430.160091999998</v>
      </c>
      <c r="U26" s="2">
        <v>21012.570055330001</v>
      </c>
      <c r="V26" s="2">
        <v>26489.196921400002</v>
      </c>
      <c r="W26" s="2">
        <v>22274.90314663</v>
      </c>
      <c r="X26" s="29">
        <f t="shared" si="5"/>
        <v>0.33906578794953623</v>
      </c>
      <c r="Y26" s="29">
        <f t="shared" si="6"/>
        <v>0.11615744114517712</v>
      </c>
      <c r="Z26" s="29">
        <f t="shared" si="7"/>
        <v>-0.33508848975725403</v>
      </c>
      <c r="AA26" s="29">
        <f t="shared" si="8"/>
        <v>0.33485662675027772</v>
      </c>
      <c r="AB26" s="29">
        <f t="shared" si="9"/>
        <v>0.26020473691204193</v>
      </c>
      <c r="AC26" s="29">
        <f t="shared" si="10"/>
        <v>0.25502555062764065</v>
      </c>
      <c r="AD26" s="29">
        <f t="shared" si="11"/>
        <v>-0.25597350385418749</v>
      </c>
      <c r="AE26" s="29">
        <f t="shared" si="12"/>
        <v>0.255079507948202</v>
      </c>
      <c r="AF26" s="29">
        <f t="shared" si="13"/>
        <v>8.7997819962547297E-2</v>
      </c>
      <c r="AG26" s="29">
        <f t="shared" si="14"/>
        <v>0.25793562295456907</v>
      </c>
      <c r="AH26" s="29">
        <f t="shared" si="15"/>
        <v>3.6070186179329333E-2</v>
      </c>
      <c r="AI26" s="29">
        <f t="shared" si="16"/>
        <v>-0.19345145629639127</v>
      </c>
      <c r="AJ26" s="29">
        <f t="shared" si="17"/>
        <v>-3.7659504477547401E-2</v>
      </c>
      <c r="AK26" s="29">
        <f t="shared" si="18"/>
        <v>-0.27465478851056169</v>
      </c>
      <c r="AL26" s="29">
        <f t="shared" si="19"/>
        <v>0.45513608301640684</v>
      </c>
      <c r="AM26" s="29">
        <f t="shared" si="20"/>
        <v>0.12052355969724471</v>
      </c>
      <c r="AN26" s="29">
        <f t="shared" si="21"/>
        <v>0.15604256907802405</v>
      </c>
      <c r="AO26" s="29">
        <f t="shared" si="22"/>
        <v>-0.17371459796903577</v>
      </c>
      <c r="AP26" s="29">
        <f t="shared" si="24"/>
        <v>0.26063574572977144</v>
      </c>
      <c r="AQ26" s="29">
        <f t="shared" si="24"/>
        <v>-0.15909481088742905</v>
      </c>
    </row>
    <row r="27" spans="2:43">
      <c r="B27" s="22" t="s">
        <v>32</v>
      </c>
      <c r="C27" s="2">
        <v>24894.619525750004</v>
      </c>
      <c r="D27" s="2">
        <v>27378.31034235</v>
      </c>
      <c r="E27" s="2">
        <v>36237.423322350005</v>
      </c>
      <c r="F27" s="2">
        <v>36178.274943599987</v>
      </c>
      <c r="G27" s="2">
        <v>48836.076351419986</v>
      </c>
      <c r="H27" s="2">
        <f>39399.08748253+1737.9</f>
        <v>41136.987482529999</v>
      </c>
      <c r="I27" s="2">
        <v>41879</v>
      </c>
      <c r="J27" s="2">
        <v>56535.867804110007</v>
      </c>
      <c r="K27" s="2">
        <v>64417.143519200006</v>
      </c>
      <c r="L27" s="2">
        <v>60426.205683199994</v>
      </c>
      <c r="M27" s="2">
        <v>64642.098327279993</v>
      </c>
      <c r="N27" s="2">
        <v>68522.15473391999</v>
      </c>
      <c r="O27" s="2">
        <v>63331.845089710005</v>
      </c>
      <c r="P27" s="2">
        <v>64009.397808350011</v>
      </c>
      <c r="Q27" s="2">
        <v>76469.204732630009</v>
      </c>
      <c r="R27" s="2">
        <v>83780.235538719993</v>
      </c>
      <c r="S27" s="2">
        <v>67516.35638841</v>
      </c>
      <c r="T27" s="2">
        <v>100031.03354745</v>
      </c>
      <c r="U27" s="2">
        <v>99532.368242700046</v>
      </c>
      <c r="V27" s="2">
        <v>120054.87041921995</v>
      </c>
      <c r="W27" s="2">
        <v>78839.547180619993</v>
      </c>
      <c r="X27" s="29">
        <f t="shared" si="5"/>
        <v>9.9768177377885348E-2</v>
      </c>
      <c r="Y27" s="29">
        <f t="shared" si="6"/>
        <v>0.32358143615226442</v>
      </c>
      <c r="Z27" s="29">
        <f t="shared" si="7"/>
        <v>-1.6322457097421861E-3</v>
      </c>
      <c r="AA27" s="29">
        <f t="shared" si="8"/>
        <v>0.34987299498256452</v>
      </c>
      <c r="AB27" s="29">
        <f t="shared" si="9"/>
        <v>-0.15765166745764014</v>
      </c>
      <c r="AC27" s="29">
        <f t="shared" si="10"/>
        <v>1.8037599806867588E-2</v>
      </c>
      <c r="AD27" s="29">
        <f t="shared" si="11"/>
        <v>0.34998132247928582</v>
      </c>
      <c r="AE27" s="29">
        <f t="shared" si="12"/>
        <v>0.13940310852568283</v>
      </c>
      <c r="AF27" s="29">
        <f t="shared" si="13"/>
        <v>-6.195459186746588E-2</v>
      </c>
      <c r="AG27" s="29">
        <f t="shared" si="14"/>
        <v>6.9769276366332011E-2</v>
      </c>
      <c r="AH27" s="29">
        <f t="shared" si="15"/>
        <v>6.00236766293607E-2</v>
      </c>
      <c r="AI27" s="29">
        <f t="shared" si="16"/>
        <v>-7.5746445282764419E-2</v>
      </c>
      <c r="AJ27" s="29">
        <f t="shared" si="17"/>
        <v>1.0698452219104704E-2</v>
      </c>
      <c r="AK27" s="29">
        <f t="shared" si="18"/>
        <v>0.19465589977249587</v>
      </c>
      <c r="AL27" s="29">
        <f t="shared" si="19"/>
        <v>9.5607517191431013E-2</v>
      </c>
      <c r="AM27" s="29">
        <f t="shared" si="20"/>
        <v>-0.19412548849654943</v>
      </c>
      <c r="AN27" s="29">
        <f t="shared" si="21"/>
        <v>0.48158222537941242</v>
      </c>
      <c r="AO27" s="29">
        <f t="shared" si="22"/>
        <v>-4.9851059922659813E-3</v>
      </c>
      <c r="AP27" s="29">
        <f t="shared" si="24"/>
        <v>0.20618922807581308</v>
      </c>
      <c r="AQ27" s="29">
        <f t="shared" si="24"/>
        <v>-0.34330405001213238</v>
      </c>
    </row>
    <row r="28" spans="2:43">
      <c r="B28" s="22" t="s">
        <v>74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41" t="e">
        <f t="shared" si="24"/>
        <v>#DIV/0!</v>
      </c>
      <c r="AQ28" s="41" t="e">
        <f t="shared" si="24"/>
        <v>#DIV/0!</v>
      </c>
    </row>
    <row r="29" spans="2:43" ht="14.25">
      <c r="B29" s="22" t="s">
        <v>75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235.52781088</v>
      </c>
      <c r="U29" s="2">
        <v>0</v>
      </c>
      <c r="V29" s="2">
        <v>0</v>
      </c>
      <c r="W29" s="2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>
        <f>+U29/T29-1</f>
        <v>-1</v>
      </c>
      <c r="AP29" s="41" t="e">
        <f t="shared" si="24"/>
        <v>#DIV/0!</v>
      </c>
      <c r="AQ29" s="41" t="e">
        <f t="shared" si="24"/>
        <v>#DIV/0!</v>
      </c>
    </row>
    <row r="30" spans="2:43">
      <c r="B30" s="21" t="s">
        <v>33</v>
      </c>
      <c r="C30" s="2">
        <v>2647.9079405100001</v>
      </c>
      <c r="D30" s="2">
        <v>868.11092882000003</v>
      </c>
      <c r="E30" s="2">
        <v>3376.9376766999999</v>
      </c>
      <c r="F30" s="2">
        <v>4193.13780761</v>
      </c>
      <c r="G30" s="2">
        <v>5668.3171192600003</v>
      </c>
      <c r="H30" s="2">
        <v>5180.6412041599997</v>
      </c>
      <c r="I30" s="2">
        <v>5820.0408548000005</v>
      </c>
      <c r="J30" s="2">
        <v>4508.6448203999998</v>
      </c>
      <c r="K30" s="2">
        <v>5139.5100148399997</v>
      </c>
      <c r="L30" s="2">
        <v>5760.6649588199998</v>
      </c>
      <c r="M30" s="2">
        <v>5698.4837507700004</v>
      </c>
      <c r="N30" s="2">
        <v>6046.1108903999993</v>
      </c>
      <c r="O30" s="2">
        <v>6123.4673778000006</v>
      </c>
      <c r="P30" s="2">
        <v>6268.5568189599999</v>
      </c>
      <c r="Q30" s="2">
        <v>5759.38156299</v>
      </c>
      <c r="R30" s="2">
        <v>38338.28644702</v>
      </c>
      <c r="S30" s="2">
        <v>42286.554731839999</v>
      </c>
      <c r="T30" s="2">
        <v>45534.688848170001</v>
      </c>
      <c r="U30" s="2">
        <v>48537.838826269995</v>
      </c>
      <c r="V30" s="2">
        <v>50576.691384530001</v>
      </c>
      <c r="W30" s="2">
        <v>53251.158532100002</v>
      </c>
      <c r="X30" s="29">
        <f t="shared" ref="X30:AG32" si="32">+D30/C30-1</f>
        <v>-0.67215214866843231</v>
      </c>
      <c r="Y30" s="29">
        <f t="shared" si="32"/>
        <v>2.8899840614726289</v>
      </c>
      <c r="Z30" s="29">
        <f t="shared" si="32"/>
        <v>0.24169831043716639</v>
      </c>
      <c r="AA30" s="29">
        <f t="shared" si="32"/>
        <v>0.35180797277226183</v>
      </c>
      <c r="AB30" s="29">
        <f t="shared" si="32"/>
        <v>-8.6035397250968648E-2</v>
      </c>
      <c r="AC30" s="29">
        <f t="shared" si="32"/>
        <v>0.12342094838117146</v>
      </c>
      <c r="AD30" s="29">
        <f t="shared" si="32"/>
        <v>-0.22532419739260845</v>
      </c>
      <c r="AE30" s="29">
        <f t="shared" si="32"/>
        <v>0.13992346249710352</v>
      </c>
      <c r="AF30" s="29">
        <f t="shared" si="32"/>
        <v>0.12085878657429516</v>
      </c>
      <c r="AG30" s="29">
        <f t="shared" si="32"/>
        <v>-1.0794102502836189E-2</v>
      </c>
      <c r="AH30" s="29">
        <f t="shared" ref="AH30:AN32" si="33">+N30/M30-1</f>
        <v>6.1003444922173689E-2</v>
      </c>
      <c r="AI30" s="29">
        <f t="shared" si="33"/>
        <v>1.2794420876869328E-2</v>
      </c>
      <c r="AJ30" s="29">
        <f t="shared" si="33"/>
        <v>2.3694000834560747E-2</v>
      </c>
      <c r="AK30" s="29">
        <f t="shared" si="33"/>
        <v>-8.1226870980883215E-2</v>
      </c>
      <c r="AL30" s="29">
        <f t="shared" si="33"/>
        <v>5.6566672181234274</v>
      </c>
      <c r="AM30" s="29">
        <f t="shared" si="33"/>
        <v>0.10298499621980084</v>
      </c>
      <c r="AN30" s="29">
        <f t="shared" si="33"/>
        <v>7.6812455801330559E-2</v>
      </c>
      <c r="AO30" s="29">
        <f>+U30/T30-1</f>
        <v>6.5953014153970368E-2</v>
      </c>
      <c r="AP30" s="29">
        <f t="shared" ref="AP30:AQ32" si="34">+V30/U30-1</f>
        <v>4.2005425201513624E-2</v>
      </c>
      <c r="AQ30" s="29">
        <f t="shared" si="34"/>
        <v>5.2879440595199778E-2</v>
      </c>
    </row>
    <row r="31" spans="2:43">
      <c r="B31" s="21" t="s">
        <v>12</v>
      </c>
      <c r="C31" s="2">
        <v>745.98174804000007</v>
      </c>
      <c r="D31" s="2">
        <v>640.88247062999994</v>
      </c>
      <c r="E31" s="2">
        <v>565.54999999999995</v>
      </c>
      <c r="F31" s="2">
        <v>1019.50619513</v>
      </c>
      <c r="G31" s="2">
        <v>1735.15086191</v>
      </c>
      <c r="H31" s="2">
        <v>1717.1383602200001</v>
      </c>
      <c r="I31" s="2">
        <v>1385.56382598</v>
      </c>
      <c r="J31" s="2">
        <v>1039.7007611000001</v>
      </c>
      <c r="K31" s="2">
        <v>1974.3909018699999</v>
      </c>
      <c r="L31" s="2">
        <v>1770.72958479</v>
      </c>
      <c r="M31" s="2">
        <v>7889.10266314</v>
      </c>
      <c r="N31" s="2">
        <v>21177.43931152</v>
      </c>
      <c r="O31" s="2">
        <v>2534.6140173600002</v>
      </c>
      <c r="P31" s="2">
        <v>27727.315979499999</v>
      </c>
      <c r="Q31" s="2">
        <v>15097.918090589999</v>
      </c>
      <c r="R31" s="2">
        <v>11850.362771510001</v>
      </c>
      <c r="S31" s="2">
        <v>33714.85179293</v>
      </c>
      <c r="T31" s="2">
        <v>20714.586698179999</v>
      </c>
      <c r="U31" s="2">
        <v>18375.254194720001</v>
      </c>
      <c r="V31" s="2">
        <v>22111.813355689999</v>
      </c>
      <c r="W31" s="2">
        <v>20449.27258053</v>
      </c>
      <c r="X31" s="29">
        <f t="shared" si="32"/>
        <v>-0.14088719688670537</v>
      </c>
      <c r="Y31" s="29">
        <f t="shared" si="32"/>
        <v>-0.11754490734618894</v>
      </c>
      <c r="Z31" s="29">
        <f t="shared" si="32"/>
        <v>0.80268092145698899</v>
      </c>
      <c r="AA31" s="29">
        <f t="shared" si="32"/>
        <v>0.70195224923448962</v>
      </c>
      <c r="AB31" s="29">
        <f t="shared" si="32"/>
        <v>-1.038094270959955E-2</v>
      </c>
      <c r="AC31" s="29">
        <f t="shared" si="32"/>
        <v>-0.19309715624634849</v>
      </c>
      <c r="AD31" s="29">
        <f t="shared" si="32"/>
        <v>-0.24961900592011577</v>
      </c>
      <c r="AE31" s="29">
        <f t="shared" si="32"/>
        <v>0.89899918874840545</v>
      </c>
      <c r="AF31" s="29">
        <f t="shared" si="32"/>
        <v>-0.10315146655462537</v>
      </c>
      <c r="AG31" s="29">
        <f t="shared" si="32"/>
        <v>3.4552837039064945</v>
      </c>
      <c r="AH31" s="29">
        <f t="shared" si="33"/>
        <v>1.6843913960540364</v>
      </c>
      <c r="AI31" s="29">
        <f t="shared" si="33"/>
        <v>-0.88031536862999138</v>
      </c>
      <c r="AJ31" s="29">
        <f t="shared" si="33"/>
        <v>9.9394628884677996</v>
      </c>
      <c r="AK31" s="29">
        <f t="shared" si="33"/>
        <v>-0.45548577071965635</v>
      </c>
      <c r="AL31" s="29">
        <f t="shared" si="33"/>
        <v>-0.21509954548661148</v>
      </c>
      <c r="AM31" s="29">
        <f t="shared" si="33"/>
        <v>1.8450480751513716</v>
      </c>
      <c r="AN31" s="29">
        <f t="shared" si="33"/>
        <v>-0.38559460900481124</v>
      </c>
      <c r="AO31" s="29">
        <f>+U31/T31-1</f>
        <v>-0.1129316523445546</v>
      </c>
      <c r="AP31" s="29">
        <f t="shared" si="34"/>
        <v>0.20334734536862475</v>
      </c>
      <c r="AQ31" s="29">
        <f t="shared" si="34"/>
        <v>-7.5187898360772887E-2</v>
      </c>
    </row>
    <row r="32" spans="2:43">
      <c r="B32" s="21" t="s">
        <v>34</v>
      </c>
      <c r="C32" s="2">
        <v>887.90284430999998</v>
      </c>
      <c r="D32" s="2">
        <v>1849.29125105</v>
      </c>
      <c r="E32" s="2">
        <v>1954.5019825999998</v>
      </c>
      <c r="F32" s="2">
        <v>1952.3491773599999</v>
      </c>
      <c r="G32" s="2">
        <v>4623.2051208599996</v>
      </c>
      <c r="H32" s="2">
        <v>14387.281352510001</v>
      </c>
      <c r="I32" s="2">
        <v>17932.804727310002</v>
      </c>
      <c r="J32" s="2">
        <v>18244.007741650003</v>
      </c>
      <c r="K32" s="2">
        <v>7670.4652063399999</v>
      </c>
      <c r="L32" s="2">
        <v>17127.68902002</v>
      </c>
      <c r="M32" s="2">
        <v>13155.394115370002</v>
      </c>
      <c r="N32" s="2">
        <v>15200.942536280001</v>
      </c>
      <c r="O32" s="2">
        <v>26059.131658529997</v>
      </c>
      <c r="P32" s="2">
        <v>20676.70049838</v>
      </c>
      <c r="Q32" s="2">
        <v>21890.36269224</v>
      </c>
      <c r="R32" s="2">
        <v>112598.38360964999</v>
      </c>
      <c r="S32" s="2">
        <v>1379.67676003</v>
      </c>
      <c r="T32" s="2">
        <v>1258.1798627000001</v>
      </c>
      <c r="U32" s="2">
        <v>5888.3543865500005</v>
      </c>
      <c r="V32" s="2">
        <v>1500.9409330599999</v>
      </c>
      <c r="W32" s="2">
        <v>1407.0682471199998</v>
      </c>
      <c r="X32" s="29">
        <f t="shared" si="32"/>
        <v>1.0827630668162871</v>
      </c>
      <c r="Y32" s="29">
        <f t="shared" si="32"/>
        <v>5.6892461633754277E-2</v>
      </c>
      <c r="Z32" s="29">
        <f t="shared" si="32"/>
        <v>-1.1014597371429291E-3</v>
      </c>
      <c r="AA32" s="29">
        <f t="shared" si="32"/>
        <v>1.3680216502621612</v>
      </c>
      <c r="AB32" s="29">
        <f t="shared" si="32"/>
        <v>2.1119712356248876</v>
      </c>
      <c r="AC32" s="29">
        <f t="shared" si="32"/>
        <v>0.24643456174445699</v>
      </c>
      <c r="AD32" s="29">
        <f t="shared" si="32"/>
        <v>1.7353839461936804E-2</v>
      </c>
      <c r="AE32" s="29">
        <f t="shared" si="32"/>
        <v>-0.57956248895746865</v>
      </c>
      <c r="AF32" s="29">
        <f t="shared" si="32"/>
        <v>1.2329400576464593</v>
      </c>
      <c r="AG32" s="29">
        <f t="shared" si="32"/>
        <v>-0.23192240938091013</v>
      </c>
      <c r="AH32" s="29">
        <f t="shared" si="33"/>
        <v>0.15549123066712989</v>
      </c>
      <c r="AI32" s="29">
        <f t="shared" si="33"/>
        <v>0.71431025387635128</v>
      </c>
      <c r="AJ32" s="29">
        <f t="shared" si="33"/>
        <v>-0.20654683474029545</v>
      </c>
      <c r="AK32" s="29">
        <f t="shared" si="33"/>
        <v>5.8697092118497718E-2</v>
      </c>
      <c r="AL32" s="29">
        <f t="shared" si="33"/>
        <v>4.1437422573891585</v>
      </c>
      <c r="AM32" s="29">
        <f t="shared" si="33"/>
        <v>-0.98774692215109416</v>
      </c>
      <c r="AN32" s="29">
        <f t="shared" si="33"/>
        <v>-8.8061856842002628E-2</v>
      </c>
      <c r="AO32" s="29">
        <f>+U32/T32-1</f>
        <v>3.6800577255415963</v>
      </c>
      <c r="AP32" s="29">
        <f t="shared" si="34"/>
        <v>-0.74510010190819975</v>
      </c>
      <c r="AQ32" s="29">
        <f t="shared" si="34"/>
        <v>-6.2542558386105118E-2</v>
      </c>
    </row>
    <row r="33" spans="1:43">
      <c r="C33" s="2"/>
      <c r="D33" s="2"/>
      <c r="E33" s="2"/>
      <c r="F33" s="2"/>
      <c r="G33" s="2"/>
      <c r="H33" s="2"/>
      <c r="I33" s="2"/>
      <c r="J33" s="2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</row>
    <row r="34" spans="1:43" ht="15">
      <c r="B34" s="14" t="s">
        <v>11</v>
      </c>
      <c r="C34" s="7">
        <v>12</v>
      </c>
      <c r="D34" s="7">
        <v>40</v>
      </c>
      <c r="E34" s="7">
        <v>0</v>
      </c>
      <c r="F34" s="7">
        <v>0</v>
      </c>
      <c r="G34" s="7">
        <v>22.04488263</v>
      </c>
      <c r="H34" s="7">
        <v>15.5</v>
      </c>
      <c r="I34" s="7">
        <v>0</v>
      </c>
      <c r="J34" s="7">
        <v>0</v>
      </c>
      <c r="K34" s="7">
        <v>0</v>
      </c>
      <c r="L34" s="7">
        <v>69.30532045999999</v>
      </c>
      <c r="M34" s="7">
        <v>0</v>
      </c>
      <c r="N34" s="7">
        <v>0</v>
      </c>
      <c r="O34" s="7">
        <v>517.85512800000004</v>
      </c>
      <c r="P34" s="7">
        <v>30052.51</v>
      </c>
      <c r="Q34" s="7">
        <v>0</v>
      </c>
      <c r="R34" s="7">
        <v>0</v>
      </c>
      <c r="S34" s="7">
        <v>0</v>
      </c>
      <c r="T34" s="7">
        <v>0</v>
      </c>
      <c r="U34" s="7">
        <v>7583.4363540000004</v>
      </c>
      <c r="V34" s="7">
        <v>7541.7006650000003</v>
      </c>
      <c r="W34" s="7">
        <v>7735.5685309999999</v>
      </c>
      <c r="X34" s="30">
        <f t="shared" ref="X34:AQ34" si="35">+D34/C34-1</f>
        <v>2.3333333333333335</v>
      </c>
      <c r="Y34" s="30">
        <f t="shared" si="35"/>
        <v>-1</v>
      </c>
      <c r="Z34" s="40" t="e">
        <f t="shared" si="35"/>
        <v>#DIV/0!</v>
      </c>
      <c r="AA34" s="40" t="e">
        <f t="shared" si="35"/>
        <v>#DIV/0!</v>
      </c>
      <c r="AB34" s="30">
        <f t="shared" si="35"/>
        <v>-0.29688897599723807</v>
      </c>
      <c r="AC34" s="30">
        <f t="shared" si="35"/>
        <v>-1</v>
      </c>
      <c r="AD34" s="40" t="e">
        <f t="shared" si="35"/>
        <v>#DIV/0!</v>
      </c>
      <c r="AE34" s="40" t="e">
        <f t="shared" si="35"/>
        <v>#DIV/0!</v>
      </c>
      <c r="AF34" s="40" t="e">
        <f t="shared" si="35"/>
        <v>#DIV/0!</v>
      </c>
      <c r="AG34" s="30">
        <f t="shared" si="35"/>
        <v>-1</v>
      </c>
      <c r="AH34" s="40" t="e">
        <f t="shared" si="35"/>
        <v>#DIV/0!</v>
      </c>
      <c r="AI34" s="40" t="e">
        <f t="shared" si="35"/>
        <v>#DIV/0!</v>
      </c>
      <c r="AJ34" s="30">
        <f t="shared" si="35"/>
        <v>57.032658894516146</v>
      </c>
      <c r="AK34" s="30">
        <f t="shared" si="35"/>
        <v>-1</v>
      </c>
      <c r="AL34" s="40" t="e">
        <f t="shared" si="35"/>
        <v>#DIV/0!</v>
      </c>
      <c r="AM34" s="40" t="e">
        <f t="shared" si="35"/>
        <v>#DIV/0!</v>
      </c>
      <c r="AN34" s="40" t="e">
        <f t="shared" si="35"/>
        <v>#DIV/0!</v>
      </c>
      <c r="AO34" s="40" t="e">
        <f t="shared" si="35"/>
        <v>#DIV/0!</v>
      </c>
      <c r="AP34" s="30">
        <f t="shared" si="35"/>
        <v>-5.5035325743830743E-3</v>
      </c>
      <c r="AQ34" s="30">
        <f t="shared" si="35"/>
        <v>2.5706120490795126E-2</v>
      </c>
    </row>
    <row r="35" spans="1:43">
      <c r="B35" s="2"/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</row>
    <row r="36" spans="1:43">
      <c r="A36" s="15">
        <v>2</v>
      </c>
      <c r="B36" s="55" t="s">
        <v>56</v>
      </c>
      <c r="C36" s="20">
        <f t="shared" ref="C36:H36" si="36">+C40+C56</f>
        <v>177796.69999999998</v>
      </c>
      <c r="D36" s="20">
        <f t="shared" si="36"/>
        <v>219833.7</v>
      </c>
      <c r="E36" s="20">
        <f t="shared" si="36"/>
        <v>222002.36108857</v>
      </c>
      <c r="F36" s="20">
        <f t="shared" si="36"/>
        <v>250369.42654251002</v>
      </c>
      <c r="G36" s="20">
        <f t="shared" si="36"/>
        <v>344262.29999999993</v>
      </c>
      <c r="H36" s="20">
        <f t="shared" si="36"/>
        <v>366770.18474730005</v>
      </c>
      <c r="I36" s="20">
        <f>+I40+I56</f>
        <v>373653.90969647991</v>
      </c>
      <c r="J36" s="20">
        <f>+J40+J56</f>
        <v>392927.48254633998</v>
      </c>
      <c r="K36" s="20">
        <f t="shared" ref="K36:S36" si="37">+K40+K56+K65</f>
        <v>440793.89076407981</v>
      </c>
      <c r="L36" s="20">
        <f t="shared" si="37"/>
        <v>572999.8819109801</v>
      </c>
      <c r="M36" s="20">
        <f t="shared" si="37"/>
        <v>527039.94628634001</v>
      </c>
      <c r="N36" s="20">
        <f t="shared" si="37"/>
        <v>602678.20942901005</v>
      </c>
      <c r="O36" s="20">
        <f t="shared" si="37"/>
        <v>675728.25039561011</v>
      </c>
      <c r="P36" s="20">
        <f t="shared" si="37"/>
        <v>738258.14067928016</v>
      </c>
      <c r="Q36" s="20">
        <f t="shared" si="37"/>
        <v>735996.0322107299</v>
      </c>
      <c r="R36" s="20">
        <f t="shared" si="37"/>
        <v>770221.37214831996</v>
      </c>
      <c r="S36" s="20">
        <f t="shared" si="37"/>
        <v>734055.18184133968</v>
      </c>
      <c r="T36" s="20">
        <f>+T40+T56+T65</f>
        <v>765832.90703007998</v>
      </c>
      <c r="U36" s="20">
        <f>+U40+U56+U65</f>
        <v>702280.39874048007</v>
      </c>
      <c r="V36" s="20">
        <f>+V40+V56+V65</f>
        <v>792178.6182150899</v>
      </c>
      <c r="W36" s="20">
        <f>+W40+W56+W65</f>
        <v>829819.92410550977</v>
      </c>
      <c r="X36" s="39">
        <f t="shared" ref="X36:AQ36" si="38">+D36/C36-1</f>
        <v>0.23643295966685574</v>
      </c>
      <c r="Y36" s="39">
        <f t="shared" si="38"/>
        <v>9.8650074514052832E-3</v>
      </c>
      <c r="Z36" s="39">
        <f t="shared" si="38"/>
        <v>0.12777821512728282</v>
      </c>
      <c r="AA36" s="39">
        <f t="shared" si="38"/>
        <v>0.37501732840989632</v>
      </c>
      <c r="AB36" s="39">
        <f t="shared" si="38"/>
        <v>6.5380045236728357E-2</v>
      </c>
      <c r="AC36" s="39">
        <f t="shared" si="38"/>
        <v>1.8768496555745529E-2</v>
      </c>
      <c r="AD36" s="39">
        <f t="shared" si="38"/>
        <v>5.1581349344145933E-2</v>
      </c>
      <c r="AE36" s="39">
        <f t="shared" si="38"/>
        <v>0.12181995493810915</v>
      </c>
      <c r="AF36" s="39">
        <f t="shared" si="38"/>
        <v>0.299927004246207</v>
      </c>
      <c r="AG36" s="39">
        <f t="shared" si="38"/>
        <v>-8.0209328266110047E-2</v>
      </c>
      <c r="AH36" s="39">
        <f t="shared" si="38"/>
        <v>0.14351523765065033</v>
      </c>
      <c r="AI36" s="39">
        <f t="shared" si="38"/>
        <v>0.12120902966743929</v>
      </c>
      <c r="AJ36" s="39">
        <f t="shared" si="38"/>
        <v>9.2537037258781929E-2</v>
      </c>
      <c r="AK36" s="39">
        <f t="shared" si="38"/>
        <v>-3.0641158477018315E-3</v>
      </c>
      <c r="AL36" s="39">
        <f t="shared" si="38"/>
        <v>4.6502071260882349E-2</v>
      </c>
      <c r="AM36" s="39">
        <f t="shared" si="38"/>
        <v>-4.6955578765757511E-2</v>
      </c>
      <c r="AN36" s="39">
        <f t="shared" si="38"/>
        <v>4.3290648952341027E-2</v>
      </c>
      <c r="AO36" s="39">
        <f t="shared" si="38"/>
        <v>-8.2984823068073976E-2</v>
      </c>
      <c r="AP36" s="39">
        <f t="shared" si="38"/>
        <v>0.12800901126649666</v>
      </c>
      <c r="AQ36" s="39">
        <f t="shared" si="38"/>
        <v>4.7516185144244272E-2</v>
      </c>
    </row>
    <row r="37" spans="1:43">
      <c r="A37" s="15"/>
      <c r="B37" s="16"/>
      <c r="C37" s="19"/>
      <c r="D37" s="19"/>
      <c r="E37" s="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</row>
    <row r="38" spans="1:43">
      <c r="A38" s="15">
        <v>3</v>
      </c>
      <c r="B38" s="5" t="s">
        <v>16</v>
      </c>
      <c r="C38" s="7">
        <f t="shared" ref="C38:H38" si="39">+C36-C46</f>
        <v>96112.699999999983</v>
      </c>
      <c r="D38" s="7">
        <f t="shared" si="39"/>
        <v>114711.8</v>
      </c>
      <c r="E38" s="7">
        <f t="shared" si="39"/>
        <v>141791.86108857</v>
      </c>
      <c r="F38" s="7">
        <f t="shared" si="39"/>
        <v>175026.12654251</v>
      </c>
      <c r="G38" s="7">
        <f t="shared" si="39"/>
        <v>249450.19999999992</v>
      </c>
      <c r="H38" s="7">
        <f t="shared" si="39"/>
        <v>259576.80779939005</v>
      </c>
      <c r="I38" s="7">
        <f>+I36-I46</f>
        <v>275476.00969647989</v>
      </c>
      <c r="J38" s="7">
        <f t="shared" ref="J38:O38" si="40">+J36-J46</f>
        <v>309981.26557865995</v>
      </c>
      <c r="K38" s="7">
        <f t="shared" si="40"/>
        <v>347445.87591138983</v>
      </c>
      <c r="L38" s="7">
        <f t="shared" si="40"/>
        <v>452560.65073137009</v>
      </c>
      <c r="M38" s="7">
        <f t="shared" si="40"/>
        <v>348273.37958986004</v>
      </c>
      <c r="N38" s="7">
        <f t="shared" si="40"/>
        <v>413015.63797824003</v>
      </c>
      <c r="O38" s="7">
        <f t="shared" si="40"/>
        <v>440273.02864250011</v>
      </c>
      <c r="P38" s="7">
        <f t="shared" ref="P38:W38" si="41">+P36-P46</f>
        <v>500154.19237740012</v>
      </c>
      <c r="Q38" s="7">
        <f t="shared" si="41"/>
        <v>489116.43803023</v>
      </c>
      <c r="R38" s="7">
        <f t="shared" si="41"/>
        <v>486264.99124677002</v>
      </c>
      <c r="S38" s="7">
        <f t="shared" si="41"/>
        <v>500364.77014025982</v>
      </c>
      <c r="T38" s="7">
        <f t="shared" si="41"/>
        <v>512828.95372148009</v>
      </c>
      <c r="U38" s="7">
        <f t="shared" si="41"/>
        <v>519653.48605630005</v>
      </c>
      <c r="V38" s="7">
        <f t="shared" si="41"/>
        <v>553702.28826761991</v>
      </c>
      <c r="W38" s="7">
        <f t="shared" si="41"/>
        <v>573970.32682841981</v>
      </c>
      <c r="X38" s="30">
        <f t="shared" ref="X38:AQ38" si="42">+D38/C38-1</f>
        <v>0.193513448274786</v>
      </c>
      <c r="Y38" s="30">
        <f t="shared" si="42"/>
        <v>0.23607040503740673</v>
      </c>
      <c r="Z38" s="30">
        <f t="shared" si="42"/>
        <v>0.2343876806383145</v>
      </c>
      <c r="AA38" s="30">
        <f t="shared" si="42"/>
        <v>0.42521693719488196</v>
      </c>
      <c r="AB38" s="30">
        <f t="shared" si="42"/>
        <v>4.0595709281412207E-2</v>
      </c>
      <c r="AC38" s="30">
        <f t="shared" si="42"/>
        <v>6.1250471611382418E-2</v>
      </c>
      <c r="AD38" s="30">
        <f t="shared" si="42"/>
        <v>0.12525684512490964</v>
      </c>
      <c r="AE38" s="30">
        <f t="shared" si="42"/>
        <v>0.12086088577899234</v>
      </c>
      <c r="AF38" s="30">
        <f t="shared" si="42"/>
        <v>0.30253568140434051</v>
      </c>
      <c r="AG38" s="30">
        <f t="shared" si="42"/>
        <v>-0.23043822076217724</v>
      </c>
      <c r="AH38" s="30">
        <f t="shared" si="42"/>
        <v>0.18589493823680381</v>
      </c>
      <c r="AI38" s="30">
        <f t="shared" si="42"/>
        <v>6.5996025713912942E-2</v>
      </c>
      <c r="AJ38" s="30">
        <f t="shared" si="42"/>
        <v>0.13600915758917242</v>
      </c>
      <c r="AK38" s="30">
        <f t="shared" si="42"/>
        <v>-2.2068703042763649E-2</v>
      </c>
      <c r="AL38" s="30">
        <f t="shared" si="42"/>
        <v>-5.8297913579501426E-3</v>
      </c>
      <c r="AM38" s="30">
        <f t="shared" si="42"/>
        <v>2.8996080629490439E-2</v>
      </c>
      <c r="AN38" s="30">
        <f t="shared" si="42"/>
        <v>2.491019417239615E-2</v>
      </c>
      <c r="AO38" s="30">
        <f t="shared" si="42"/>
        <v>1.3307619012725258E-2</v>
      </c>
      <c r="AP38" s="30">
        <f t="shared" si="42"/>
        <v>6.5522127965924826E-2</v>
      </c>
      <c r="AQ38" s="30">
        <f t="shared" si="42"/>
        <v>3.6604577929798543E-2</v>
      </c>
    </row>
    <row r="39" spans="1:43">
      <c r="C39" s="2"/>
      <c r="D39" s="2"/>
      <c r="E39" s="2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</row>
    <row r="40" spans="1:43">
      <c r="B40" s="43" t="s">
        <v>1</v>
      </c>
      <c r="C40" s="19">
        <f t="shared" ref="C40:H40" si="43">+C42+C45+C46+C50</f>
        <v>171563.8</v>
      </c>
      <c r="D40" s="19">
        <f t="shared" si="43"/>
        <v>208803.1</v>
      </c>
      <c r="E40" s="19">
        <f t="shared" si="43"/>
        <v>202152.36108857</v>
      </c>
      <c r="F40" s="19">
        <f t="shared" si="43"/>
        <v>242261.22654251</v>
      </c>
      <c r="G40" s="19">
        <f t="shared" si="43"/>
        <v>316993.69999999995</v>
      </c>
      <c r="H40" s="19">
        <f t="shared" si="43"/>
        <v>334572.87925327005</v>
      </c>
      <c r="I40" s="19">
        <f>+I42+I45+I46+I50</f>
        <v>359620.80969647993</v>
      </c>
      <c r="J40" s="19">
        <f t="shared" ref="J40:O40" si="44">+J42+J45+J46+J50</f>
        <v>359674.12326199998</v>
      </c>
      <c r="K40" s="19">
        <f t="shared" si="44"/>
        <v>398271.43195853982</v>
      </c>
      <c r="L40" s="19">
        <f t="shared" si="44"/>
        <v>494239.12599050009</v>
      </c>
      <c r="M40" s="19">
        <f t="shared" si="44"/>
        <v>517528.19883697003</v>
      </c>
      <c r="N40" s="19">
        <f t="shared" si="44"/>
        <v>567894.98478363</v>
      </c>
      <c r="O40" s="19">
        <f t="shared" si="44"/>
        <v>631252.09693613008</v>
      </c>
      <c r="P40" s="19">
        <f t="shared" ref="P40:W40" si="45">+P42+P45+P46+P50</f>
        <v>664178.10529084015</v>
      </c>
      <c r="Q40" s="19">
        <f t="shared" si="45"/>
        <v>679016.10966578987</v>
      </c>
      <c r="R40" s="19">
        <f t="shared" si="45"/>
        <v>707264.30487778992</v>
      </c>
      <c r="S40" s="19">
        <f t="shared" si="45"/>
        <v>690651.71030791965</v>
      </c>
      <c r="T40" s="19">
        <f t="shared" si="45"/>
        <v>721012.25630349992</v>
      </c>
      <c r="U40" s="19">
        <f t="shared" si="45"/>
        <v>665628.95679933007</v>
      </c>
      <c r="V40" s="19">
        <f t="shared" si="45"/>
        <v>746036.9937098599</v>
      </c>
      <c r="W40" s="19">
        <f t="shared" si="45"/>
        <v>797013.97343829973</v>
      </c>
      <c r="X40" s="28">
        <f t="shared" ref="X40:AQ40" si="46">+D40/C40-1</f>
        <v>0.21705802739272517</v>
      </c>
      <c r="Y40" s="28">
        <f t="shared" si="46"/>
        <v>-3.1851724957292271E-2</v>
      </c>
      <c r="Z40" s="28">
        <f t="shared" si="46"/>
        <v>0.1984090872743598</v>
      </c>
      <c r="AA40" s="28">
        <f t="shared" si="46"/>
        <v>0.30847888671271351</v>
      </c>
      <c r="AB40" s="28">
        <f t="shared" si="46"/>
        <v>5.5455926263739963E-2</v>
      </c>
      <c r="AC40" s="28">
        <f t="shared" si="46"/>
        <v>7.4865394048418077E-2</v>
      </c>
      <c r="AD40" s="28">
        <f t="shared" si="46"/>
        <v>1.4824938958635236E-4</v>
      </c>
      <c r="AE40" s="28">
        <f t="shared" si="46"/>
        <v>0.10731188651129098</v>
      </c>
      <c r="AF40" s="28">
        <f t="shared" si="46"/>
        <v>0.24096052674435997</v>
      </c>
      <c r="AG40" s="28">
        <f t="shared" si="46"/>
        <v>4.7121062703800565E-2</v>
      </c>
      <c r="AH40" s="28">
        <f t="shared" si="46"/>
        <v>9.7321819487031114E-2</v>
      </c>
      <c r="AI40" s="28">
        <f t="shared" si="46"/>
        <v>0.11156483830657415</v>
      </c>
      <c r="AJ40" s="28">
        <f t="shared" si="46"/>
        <v>5.2159839966506194E-2</v>
      </c>
      <c r="AK40" s="28">
        <f t="shared" si="46"/>
        <v>2.2340399746318518E-2</v>
      </c>
      <c r="AL40" s="28">
        <f t="shared" si="46"/>
        <v>4.1601656882491067E-2</v>
      </c>
      <c r="AM40" s="28">
        <f t="shared" si="46"/>
        <v>-2.3488523958155705E-2</v>
      </c>
      <c r="AN40" s="28">
        <f t="shared" si="46"/>
        <v>4.3959271427916002E-2</v>
      </c>
      <c r="AO40" s="28">
        <f t="shared" si="46"/>
        <v>-7.6813256667938035E-2</v>
      </c>
      <c r="AP40" s="28">
        <f t="shared" si="46"/>
        <v>0.12080008853156121</v>
      </c>
      <c r="AQ40" s="28">
        <f t="shared" si="46"/>
        <v>6.8330364523806919E-2</v>
      </c>
    </row>
    <row r="41" spans="1:43">
      <c r="C41" s="44"/>
      <c r="D41" s="2"/>
      <c r="E41" s="2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</row>
    <row r="42" spans="1:43">
      <c r="B42" s="24" t="s">
        <v>40</v>
      </c>
      <c r="C42" s="7">
        <f t="shared" ref="C42:H42" si="47">SUM(C43:C44)</f>
        <v>47296.799999999996</v>
      </c>
      <c r="D42" s="7">
        <f t="shared" si="47"/>
        <v>47401.5</v>
      </c>
      <c r="E42" s="7">
        <f t="shared" si="47"/>
        <v>58957.399999999994</v>
      </c>
      <c r="F42" s="7">
        <f t="shared" si="47"/>
        <v>79651.8</v>
      </c>
      <c r="G42" s="7">
        <f t="shared" si="47"/>
        <v>108337.19999999997</v>
      </c>
      <c r="H42" s="7">
        <f t="shared" si="47"/>
        <v>101462.64608380003</v>
      </c>
      <c r="I42" s="7">
        <f>SUM(I43:I44)</f>
        <v>121286</v>
      </c>
      <c r="J42" s="7">
        <f t="shared" ref="J42:O42" si="48">SUM(J43:J44)</f>
        <v>125781.05491842997</v>
      </c>
      <c r="K42" s="7">
        <f t="shared" si="48"/>
        <v>135463.72122489987</v>
      </c>
      <c r="L42" s="7">
        <f t="shared" si="48"/>
        <v>175970.65450858005</v>
      </c>
      <c r="M42" s="7">
        <f t="shared" si="48"/>
        <v>157945.94696475004</v>
      </c>
      <c r="N42" s="7">
        <f t="shared" si="48"/>
        <v>165468.15196004009</v>
      </c>
      <c r="O42" s="7">
        <f t="shared" si="48"/>
        <v>166321.00615639007</v>
      </c>
      <c r="P42" s="7">
        <f t="shared" ref="P42:W42" si="49">SUM(P43:P44)</f>
        <v>180229.33469273004</v>
      </c>
      <c r="Q42" s="7">
        <f t="shared" si="49"/>
        <v>183494.96197661999</v>
      </c>
      <c r="R42" s="7">
        <f t="shared" si="49"/>
        <v>192539.63697924995</v>
      </c>
      <c r="S42" s="7">
        <f t="shared" si="49"/>
        <v>189828.33820705989</v>
      </c>
      <c r="T42" s="7">
        <f t="shared" si="49"/>
        <v>189689.38879263995</v>
      </c>
      <c r="U42" s="7">
        <f t="shared" si="49"/>
        <v>231691.07580822997</v>
      </c>
      <c r="V42" s="7">
        <f t="shared" si="49"/>
        <v>212463.40778665009</v>
      </c>
      <c r="W42" s="7">
        <f t="shared" si="49"/>
        <v>224575.35739116973</v>
      </c>
      <c r="X42" s="30">
        <f t="shared" ref="X42:AG48" si="50">+D42/C42-1</f>
        <v>2.2136804181256409E-3</v>
      </c>
      <c r="Y42" s="30">
        <f t="shared" si="50"/>
        <v>0.24378764385093277</v>
      </c>
      <c r="Z42" s="30">
        <f t="shared" si="50"/>
        <v>0.35100598058937482</v>
      </c>
      <c r="AA42" s="30">
        <f t="shared" si="50"/>
        <v>0.36013498753323803</v>
      </c>
      <c r="AB42" s="30">
        <f t="shared" si="50"/>
        <v>-6.3455155903973326E-2</v>
      </c>
      <c r="AC42" s="30">
        <f t="shared" si="50"/>
        <v>0.19537588148280172</v>
      </c>
      <c r="AD42" s="30">
        <f t="shared" si="50"/>
        <v>3.7061614023299994E-2</v>
      </c>
      <c r="AE42" s="30">
        <f t="shared" si="50"/>
        <v>7.6980323568992093E-2</v>
      </c>
      <c r="AF42" s="30">
        <f t="shared" si="50"/>
        <v>0.2990242178304674</v>
      </c>
      <c r="AG42" s="30">
        <f t="shared" si="50"/>
        <v>-0.10243018981867313</v>
      </c>
      <c r="AH42" s="30">
        <f t="shared" ref="AH42:AQ48" si="51">+N42/M42-1</f>
        <v>4.7625185323488139E-2</v>
      </c>
      <c r="AI42" s="30">
        <f t="shared" si="51"/>
        <v>5.1541894089439655E-3</v>
      </c>
      <c r="AJ42" s="30">
        <f t="shared" si="51"/>
        <v>8.3623403067091262E-2</v>
      </c>
      <c r="AK42" s="30">
        <f t="shared" si="51"/>
        <v>1.8119288347024476E-2</v>
      </c>
      <c r="AL42" s="30">
        <f t="shared" si="51"/>
        <v>4.9291135327096169E-2</v>
      </c>
      <c r="AM42" s="30">
        <f t="shared" si="51"/>
        <v>-1.4081769420196122E-2</v>
      </c>
      <c r="AN42" s="30">
        <f t="shared" si="51"/>
        <v>-7.3197403365765634E-4</v>
      </c>
      <c r="AO42" s="30">
        <f t="shared" si="51"/>
        <v>0.2214234928106833</v>
      </c>
      <c r="AP42" s="30">
        <f t="shared" si="51"/>
        <v>-8.2988384228896983E-2</v>
      </c>
      <c r="AQ42" s="30">
        <f t="shared" si="51"/>
        <v>5.7007226471120775E-2</v>
      </c>
    </row>
    <row r="43" spans="1:43">
      <c r="B43" s="24" t="s">
        <v>2</v>
      </c>
      <c r="C43" s="2">
        <v>40200.199999999997</v>
      </c>
      <c r="D43" s="2">
        <v>39631.4</v>
      </c>
      <c r="E43" s="26">
        <v>50101.7</v>
      </c>
      <c r="F43" s="26">
        <v>66339</v>
      </c>
      <c r="G43" s="26">
        <v>82803.399999999965</v>
      </c>
      <c r="H43" s="26">
        <v>84382.804550110042</v>
      </c>
      <c r="I43" s="26">
        <v>96758.9</v>
      </c>
      <c r="J43" s="26">
        <v>104542.11116416997</v>
      </c>
      <c r="K43" s="26">
        <v>112932.87466358987</v>
      </c>
      <c r="L43" s="26">
        <v>127642.34349154003</v>
      </c>
      <c r="M43" s="26">
        <v>127848.94263712002</v>
      </c>
      <c r="N43" s="26">
        <v>133606.4453839201</v>
      </c>
      <c r="O43" s="26">
        <v>140023.53158472007</v>
      </c>
      <c r="P43" s="26">
        <v>142067.60957936005</v>
      </c>
      <c r="Q43" s="26">
        <v>147254.78578431997</v>
      </c>
      <c r="R43" s="26">
        <v>154261.21414526994</v>
      </c>
      <c r="S43" s="26">
        <v>153281.83797727991</v>
      </c>
      <c r="T43" s="26">
        <v>151817.61377662991</v>
      </c>
      <c r="U43" s="26">
        <v>194496.68217300996</v>
      </c>
      <c r="V43" s="26">
        <v>170147.19358505012</v>
      </c>
      <c r="W43" s="26">
        <v>174987.56379116973</v>
      </c>
      <c r="X43" s="29">
        <f t="shared" si="50"/>
        <v>-1.4149183337396232E-2</v>
      </c>
      <c r="Y43" s="29">
        <f t="shared" si="50"/>
        <v>0.26419202955232457</v>
      </c>
      <c r="Z43" s="29">
        <f t="shared" si="50"/>
        <v>0.32408680743368001</v>
      </c>
      <c r="AA43" s="29">
        <f t="shared" si="50"/>
        <v>0.24818583337101807</v>
      </c>
      <c r="AB43" s="29">
        <f t="shared" si="50"/>
        <v>1.9074150941991164E-2</v>
      </c>
      <c r="AC43" s="29">
        <f t="shared" si="50"/>
        <v>0.14666608340257881</v>
      </c>
      <c r="AD43" s="29">
        <f t="shared" si="50"/>
        <v>8.0439227442333117E-2</v>
      </c>
      <c r="AE43" s="29">
        <f t="shared" si="50"/>
        <v>8.0262043744680822E-2</v>
      </c>
      <c r="AF43" s="29">
        <f t="shared" si="50"/>
        <v>0.13024966265817151</v>
      </c>
      <c r="AG43" s="29">
        <f t="shared" si="50"/>
        <v>1.6185784429263439E-3</v>
      </c>
      <c r="AH43" s="29">
        <f t="shared" si="51"/>
        <v>4.5033636008565914E-2</v>
      </c>
      <c r="AI43" s="29">
        <f t="shared" si="51"/>
        <v>4.8029765198530416E-2</v>
      </c>
      <c r="AJ43" s="29">
        <f t="shared" si="51"/>
        <v>1.4598103415233599E-2</v>
      </c>
      <c r="AK43" s="29">
        <f t="shared" si="51"/>
        <v>3.6512025649747537E-2</v>
      </c>
      <c r="AL43" s="29">
        <f t="shared" si="51"/>
        <v>4.7580310029530004E-2</v>
      </c>
      <c r="AM43" s="29">
        <f t="shared" si="51"/>
        <v>-6.3488166705840676E-3</v>
      </c>
      <c r="AN43" s="29">
        <f t="shared" si="51"/>
        <v>-9.5524963685980069E-3</v>
      </c>
      <c r="AO43" s="29">
        <f t="shared" si="51"/>
        <v>0.28112066403028835</v>
      </c>
      <c r="AP43" s="29">
        <f t="shared" si="51"/>
        <v>-0.12519230824873573</v>
      </c>
      <c r="AQ43" s="29">
        <f t="shared" si="51"/>
        <v>2.8448134254416058E-2</v>
      </c>
    </row>
    <row r="44" spans="1:43" ht="14.25">
      <c r="B44" s="24" t="s">
        <v>80</v>
      </c>
      <c r="C44" s="2">
        <v>7096.6</v>
      </c>
      <c r="D44" s="2">
        <v>7770.1</v>
      </c>
      <c r="E44" s="2">
        <v>8855.7000000000007</v>
      </c>
      <c r="F44" s="26">
        <v>13312.8</v>
      </c>
      <c r="G44" s="26">
        <v>25533.800000000003</v>
      </c>
      <c r="H44" s="26">
        <v>17079.841533689993</v>
      </c>
      <c r="I44" s="26">
        <v>24527.1</v>
      </c>
      <c r="J44" s="26">
        <v>21238.943754260006</v>
      </c>
      <c r="K44" s="26">
        <v>22530.846561310002</v>
      </c>
      <c r="L44" s="26">
        <v>48328.311017040003</v>
      </c>
      <c r="M44" s="26">
        <v>30097.004327630006</v>
      </c>
      <c r="N44" s="26">
        <v>31861.706576120003</v>
      </c>
      <c r="O44" s="26">
        <v>26297.474571669984</v>
      </c>
      <c r="P44" s="26">
        <v>38161.725113370005</v>
      </c>
      <c r="Q44" s="26">
        <v>36240.176192300016</v>
      </c>
      <c r="R44" s="26">
        <v>38278.422833980017</v>
      </c>
      <c r="S44" s="26">
        <v>36546.500229779995</v>
      </c>
      <c r="T44" s="26">
        <v>37871.775016010033</v>
      </c>
      <c r="U44" s="26">
        <v>37194.393635220025</v>
      </c>
      <c r="V44" s="26">
        <v>42316.214201599971</v>
      </c>
      <c r="W44" s="26">
        <v>49587.793599999997</v>
      </c>
      <c r="X44" s="29">
        <f t="shared" si="50"/>
        <v>9.4904602203872201E-2</v>
      </c>
      <c r="Y44" s="29">
        <f t="shared" si="50"/>
        <v>0.13971506158221914</v>
      </c>
      <c r="Z44" s="29">
        <f t="shared" si="50"/>
        <v>0.5033029574172565</v>
      </c>
      <c r="AA44" s="29">
        <f t="shared" si="50"/>
        <v>0.91798870260200749</v>
      </c>
      <c r="AB44" s="29">
        <f t="shared" si="50"/>
        <v>-0.33108892786463473</v>
      </c>
      <c r="AC44" s="29">
        <f t="shared" si="50"/>
        <v>0.43602620385091306</v>
      </c>
      <c r="AD44" s="29">
        <f t="shared" si="50"/>
        <v>-0.13406216983418306</v>
      </c>
      <c r="AE44" s="29">
        <f t="shared" si="50"/>
        <v>6.0827074170808126E-2</v>
      </c>
      <c r="AF44" s="29">
        <f t="shared" si="50"/>
        <v>1.1449842501714711</v>
      </c>
      <c r="AG44" s="29">
        <f t="shared" si="50"/>
        <v>-0.37723864761137316</v>
      </c>
      <c r="AH44" s="29">
        <f t="shared" si="51"/>
        <v>5.8633817149368106E-2</v>
      </c>
      <c r="AI44" s="29">
        <f t="shared" si="51"/>
        <v>-0.17463697342000972</v>
      </c>
      <c r="AJ44" s="29">
        <f t="shared" si="51"/>
        <v>0.45115550960476125</v>
      </c>
      <c r="AK44" s="29">
        <f t="shared" si="51"/>
        <v>-5.0352779266699677E-2</v>
      </c>
      <c r="AL44" s="29">
        <f t="shared" si="51"/>
        <v>5.6242735434411939E-2</v>
      </c>
      <c r="AM44" s="29">
        <f t="shared" si="51"/>
        <v>-4.5245401350825332E-2</v>
      </c>
      <c r="AN44" s="29">
        <f t="shared" si="51"/>
        <v>3.6262700337859943E-2</v>
      </c>
      <c r="AO44" s="29">
        <f t="shared" si="51"/>
        <v>-1.7886179892641629E-2</v>
      </c>
      <c r="AP44" s="29">
        <f t="shared" si="51"/>
        <v>0.13770410176898285</v>
      </c>
      <c r="AQ44" s="29">
        <f t="shared" si="51"/>
        <v>0.17183908191213115</v>
      </c>
    </row>
    <row r="45" spans="1:43" ht="14.25">
      <c r="B45" s="1" t="s">
        <v>81</v>
      </c>
      <c r="C45" s="2">
        <v>3519.3</v>
      </c>
      <c r="D45" s="2">
        <v>6146.6</v>
      </c>
      <c r="E45" s="2">
        <v>4686.4999999999991</v>
      </c>
      <c r="F45" s="26">
        <v>7846.1</v>
      </c>
      <c r="G45" s="26">
        <v>10122.100000000002</v>
      </c>
      <c r="H45" s="26">
        <v>11425.395334950004</v>
      </c>
      <c r="I45" s="26">
        <v>8610.5</v>
      </c>
      <c r="J45" s="26">
        <v>8738.0873082999988</v>
      </c>
      <c r="K45" s="26">
        <v>14710.500725689995</v>
      </c>
      <c r="L45" s="26">
        <v>19958.980463200005</v>
      </c>
      <c r="M45" s="26">
        <v>13493.805818870005</v>
      </c>
      <c r="N45" s="26">
        <v>17977.86507878</v>
      </c>
      <c r="O45" s="26">
        <v>14361.037225970003</v>
      </c>
      <c r="P45" s="26">
        <v>13904.486108539997</v>
      </c>
      <c r="Q45" s="26">
        <v>18344.833152459996</v>
      </c>
      <c r="R45" s="26">
        <v>29909.69500740002</v>
      </c>
      <c r="S45" s="26">
        <v>29826.525128360001</v>
      </c>
      <c r="T45" s="26">
        <v>29648.187099099996</v>
      </c>
      <c r="U45" s="26">
        <v>20878.590465609985</v>
      </c>
      <c r="V45" s="26">
        <v>27969.244093140012</v>
      </c>
      <c r="W45" s="26">
        <v>34596.500513439998</v>
      </c>
      <c r="X45" s="29">
        <f t="shared" si="50"/>
        <v>0.7465405052141052</v>
      </c>
      <c r="Y45" s="29">
        <f t="shared" si="50"/>
        <v>-0.23754596036833386</v>
      </c>
      <c r="Z45" s="29">
        <f t="shared" si="50"/>
        <v>0.67419182758988616</v>
      </c>
      <c r="AA45" s="29">
        <f t="shared" si="50"/>
        <v>0.29008042212054419</v>
      </c>
      <c r="AB45" s="29">
        <f t="shared" si="50"/>
        <v>0.12875740557295434</v>
      </c>
      <c r="AC45" s="29">
        <f t="shared" si="50"/>
        <v>-0.24637181055252488</v>
      </c>
      <c r="AD45" s="29">
        <f t="shared" si="50"/>
        <v>1.4817642215898985E-2</v>
      </c>
      <c r="AE45" s="29">
        <f t="shared" si="50"/>
        <v>0.68349207402826173</v>
      </c>
      <c r="AF45" s="29">
        <f t="shared" si="50"/>
        <v>0.35678457418816589</v>
      </c>
      <c r="AG45" s="29">
        <f t="shared" si="50"/>
        <v>-0.32392309097402883</v>
      </c>
      <c r="AH45" s="29">
        <f t="shared" si="51"/>
        <v>0.33230500869068358</v>
      </c>
      <c r="AI45" s="29">
        <f t="shared" si="51"/>
        <v>-0.20118227814931622</v>
      </c>
      <c r="AJ45" s="29">
        <f t="shared" si="51"/>
        <v>-3.1790957035080614E-2</v>
      </c>
      <c r="AK45" s="29">
        <f t="shared" si="51"/>
        <v>0.31934636125766502</v>
      </c>
      <c r="AL45" s="29">
        <f t="shared" si="51"/>
        <v>0.63041521058419692</v>
      </c>
      <c r="AM45" s="29">
        <f t="shared" si="51"/>
        <v>-2.7806996701049691E-3</v>
      </c>
      <c r="AN45" s="29">
        <f t="shared" si="51"/>
        <v>-5.9791755322659013E-3</v>
      </c>
      <c r="AO45" s="29">
        <f t="shared" si="51"/>
        <v>-0.29578862964461738</v>
      </c>
      <c r="AP45" s="29">
        <f t="shared" si="51"/>
        <v>0.33961361707866944</v>
      </c>
      <c r="AQ45" s="29">
        <f t="shared" si="51"/>
        <v>0.2369479989602381</v>
      </c>
    </row>
    <row r="46" spans="1:43">
      <c r="B46" s="15" t="s">
        <v>17</v>
      </c>
      <c r="C46" s="7">
        <f t="shared" ref="C46:H46" si="52">+C47+C48</f>
        <v>81684</v>
      </c>
      <c r="D46" s="7">
        <f t="shared" si="52"/>
        <v>105121.90000000001</v>
      </c>
      <c r="E46" s="7">
        <f t="shared" si="52"/>
        <v>80210.5</v>
      </c>
      <c r="F46" s="7">
        <f t="shared" si="52"/>
        <v>75343.3</v>
      </c>
      <c r="G46" s="7">
        <f t="shared" si="52"/>
        <v>94812.1</v>
      </c>
      <c r="H46" s="7">
        <f t="shared" si="52"/>
        <v>107193.37694791</v>
      </c>
      <c r="I46" s="7">
        <f>+I47+I48</f>
        <v>98177.9</v>
      </c>
      <c r="J46" s="7">
        <f t="shared" ref="J46:O46" si="53">+J47+J48</f>
        <v>82946.216967680011</v>
      </c>
      <c r="K46" s="7">
        <f t="shared" si="53"/>
        <v>93348.014852689987</v>
      </c>
      <c r="L46" s="7">
        <f t="shared" si="53"/>
        <v>120439.23117961001</v>
      </c>
      <c r="M46" s="7">
        <f t="shared" si="53"/>
        <v>178766.56669647997</v>
      </c>
      <c r="N46" s="7">
        <f t="shared" si="53"/>
        <v>189662.57145077002</v>
      </c>
      <c r="O46" s="7">
        <f t="shared" si="53"/>
        <v>235455.22175311</v>
      </c>
      <c r="P46" s="7">
        <f t="shared" ref="P46:W46" si="54">+P47+P48</f>
        <v>238103.94830188004</v>
      </c>
      <c r="Q46" s="7">
        <f t="shared" si="54"/>
        <v>246879.5941804999</v>
      </c>
      <c r="R46" s="7">
        <f t="shared" si="54"/>
        <v>283956.38090154994</v>
      </c>
      <c r="S46" s="7">
        <f t="shared" si="54"/>
        <v>233690.41170107987</v>
      </c>
      <c r="T46" s="7">
        <f t="shared" si="54"/>
        <v>253003.95330859991</v>
      </c>
      <c r="U46" s="7">
        <f t="shared" si="54"/>
        <v>182626.91268418002</v>
      </c>
      <c r="V46" s="7">
        <f t="shared" si="54"/>
        <v>238476.32994746993</v>
      </c>
      <c r="W46" s="7">
        <f t="shared" si="54"/>
        <v>255849.59727708995</v>
      </c>
      <c r="X46" s="29">
        <f t="shared" si="50"/>
        <v>0.28693379364379812</v>
      </c>
      <c r="Y46" s="29">
        <f t="shared" si="50"/>
        <v>-0.23697631035968725</v>
      </c>
      <c r="Z46" s="29">
        <f t="shared" si="50"/>
        <v>-6.0680334868876251E-2</v>
      </c>
      <c r="AA46" s="29">
        <f t="shared" si="50"/>
        <v>0.25840121152113071</v>
      </c>
      <c r="AB46" s="29">
        <f t="shared" si="50"/>
        <v>0.13058751939794599</v>
      </c>
      <c r="AC46" s="29">
        <f t="shared" si="50"/>
        <v>-8.4104794574118347E-2</v>
      </c>
      <c r="AD46" s="29">
        <f t="shared" si="50"/>
        <v>-0.15514370374921427</v>
      </c>
      <c r="AE46" s="29">
        <f t="shared" si="50"/>
        <v>0.12540412649636612</v>
      </c>
      <c r="AF46" s="29">
        <f t="shared" si="50"/>
        <v>0.29021738030178734</v>
      </c>
      <c r="AG46" s="29">
        <f t="shared" si="50"/>
        <v>0.48428850753694119</v>
      </c>
      <c r="AH46" s="29">
        <f t="shared" si="51"/>
        <v>6.0951020963499802E-2</v>
      </c>
      <c r="AI46" s="29">
        <f t="shared" si="51"/>
        <v>0.24144273670899907</v>
      </c>
      <c r="AJ46" s="29">
        <f t="shared" si="51"/>
        <v>1.124938546297094E-2</v>
      </c>
      <c r="AK46" s="29">
        <f t="shared" si="51"/>
        <v>3.6856364378694328E-2</v>
      </c>
      <c r="AL46" s="29">
        <f t="shared" si="51"/>
        <v>0.15018165775962133</v>
      </c>
      <c r="AM46" s="29">
        <f t="shared" si="51"/>
        <v>-0.17702003751730344</v>
      </c>
      <c r="AN46" s="29">
        <f t="shared" si="51"/>
        <v>8.2645845274236462E-2</v>
      </c>
      <c r="AO46" s="29">
        <f t="shared" si="51"/>
        <v>-0.2781657745030488</v>
      </c>
      <c r="AP46" s="29">
        <f t="shared" si="51"/>
        <v>0.30581153917808002</v>
      </c>
      <c r="AQ46" s="29">
        <f t="shared" si="51"/>
        <v>7.2851118320409025E-2</v>
      </c>
    </row>
    <row r="47" spans="1:43">
      <c r="B47" s="1" t="s">
        <v>3</v>
      </c>
      <c r="C47" s="2">
        <v>76523.8</v>
      </c>
      <c r="D47" s="27">
        <v>99847.8</v>
      </c>
      <c r="E47" s="2">
        <v>75262.7</v>
      </c>
      <c r="F47" s="26">
        <v>69861.7</v>
      </c>
      <c r="G47" s="26">
        <v>89748.6</v>
      </c>
      <c r="H47" s="26">
        <v>102666.26491350001</v>
      </c>
      <c r="I47" s="26">
        <v>93644.2</v>
      </c>
      <c r="J47" s="26">
        <v>78674.274607260013</v>
      </c>
      <c r="K47" s="26">
        <v>88784.082741049991</v>
      </c>
      <c r="L47" s="26">
        <v>101446.84213321</v>
      </c>
      <c r="M47" s="26">
        <v>132373.32902412998</v>
      </c>
      <c r="N47" s="26">
        <v>139831.53958842001</v>
      </c>
      <c r="O47" s="26">
        <v>183943.95180898998</v>
      </c>
      <c r="P47" s="26">
        <v>209799.08219500002</v>
      </c>
      <c r="Q47" s="26">
        <v>215660.19962124989</v>
      </c>
      <c r="R47" s="26">
        <v>222220.91748879993</v>
      </c>
      <c r="S47" s="26">
        <v>166614.69872325988</v>
      </c>
      <c r="T47" s="26">
        <v>182682.82094185991</v>
      </c>
      <c r="U47" s="26">
        <v>113099.20868461003</v>
      </c>
      <c r="V47" s="26">
        <v>151238.23673824995</v>
      </c>
      <c r="W47" s="26">
        <v>174981.06704416993</v>
      </c>
      <c r="X47" s="29">
        <f t="shared" si="50"/>
        <v>0.30479406406895637</v>
      </c>
      <c r="Y47" s="29">
        <f t="shared" si="50"/>
        <v>-0.24622575560002324</v>
      </c>
      <c r="Z47" s="29">
        <f t="shared" si="50"/>
        <v>-7.176197505537274E-2</v>
      </c>
      <c r="AA47" s="29">
        <f t="shared" si="50"/>
        <v>0.28466098019372565</v>
      </c>
      <c r="AB47" s="29">
        <f t="shared" si="50"/>
        <v>0.14393165925150919</v>
      </c>
      <c r="AC47" s="29">
        <f t="shared" si="50"/>
        <v>-8.7877599531856254E-2</v>
      </c>
      <c r="AD47" s="29">
        <f t="shared" si="50"/>
        <v>-0.15985961108899416</v>
      </c>
      <c r="AE47" s="29">
        <f t="shared" si="50"/>
        <v>0.12850208259634921</v>
      </c>
      <c r="AF47" s="29">
        <f t="shared" si="50"/>
        <v>0.14262420696615785</v>
      </c>
      <c r="AG47" s="29">
        <f t="shared" si="50"/>
        <v>0.30485411118377015</v>
      </c>
      <c r="AH47" s="29">
        <f t="shared" si="51"/>
        <v>5.6342245218676146E-2</v>
      </c>
      <c r="AI47" s="29">
        <f t="shared" si="51"/>
        <v>0.31546825809406376</v>
      </c>
      <c r="AJ47" s="29">
        <f t="shared" si="51"/>
        <v>0.1405598288594907</v>
      </c>
      <c r="AK47" s="29">
        <f t="shared" si="51"/>
        <v>2.7936811567184083E-2</v>
      </c>
      <c r="AL47" s="29">
        <f t="shared" si="51"/>
        <v>3.0421551491986998E-2</v>
      </c>
      <c r="AM47" s="29">
        <f t="shared" si="51"/>
        <v>-0.25022945361722138</v>
      </c>
      <c r="AN47" s="29">
        <f t="shared" si="51"/>
        <v>9.6438803669347983E-2</v>
      </c>
      <c r="AO47" s="29">
        <f t="shared" si="51"/>
        <v>-0.38089849882160165</v>
      </c>
      <c r="AP47" s="29">
        <f t="shared" si="51"/>
        <v>0.33721746152968168</v>
      </c>
      <c r="AQ47" s="29">
        <f t="shared" si="51"/>
        <v>0.15698960010365637</v>
      </c>
    </row>
    <row r="48" spans="1:43">
      <c r="B48" s="1" t="s">
        <v>4</v>
      </c>
      <c r="C48" s="2">
        <v>5160.2</v>
      </c>
      <c r="D48" s="27">
        <v>5274.1</v>
      </c>
      <c r="E48" s="2">
        <v>4947.8</v>
      </c>
      <c r="F48" s="26">
        <v>5481.6</v>
      </c>
      <c r="G48" s="26">
        <v>5063.5</v>
      </c>
      <c r="H48" s="26">
        <v>4527.1120344099982</v>
      </c>
      <c r="I48" s="26">
        <v>4533.7</v>
      </c>
      <c r="J48" s="26">
        <v>4271.9423604200019</v>
      </c>
      <c r="K48" s="26">
        <v>4563.9321116400024</v>
      </c>
      <c r="L48" s="26">
        <v>18992.389046400011</v>
      </c>
      <c r="M48" s="26">
        <v>46393.237672350006</v>
      </c>
      <c r="N48" s="26">
        <v>49831.031862349992</v>
      </c>
      <c r="O48" s="26">
        <v>51511.269944120009</v>
      </c>
      <c r="P48" s="26">
        <v>28304.866106879999</v>
      </c>
      <c r="Q48" s="26">
        <v>31219.394559250002</v>
      </c>
      <c r="R48" s="26">
        <v>61735.463412749988</v>
      </c>
      <c r="S48" s="26">
        <v>67075.712977819989</v>
      </c>
      <c r="T48" s="26">
        <v>70321.132366739999</v>
      </c>
      <c r="U48" s="26">
        <v>69527.703999570003</v>
      </c>
      <c r="V48" s="26">
        <v>87238.093209219995</v>
      </c>
      <c r="W48" s="26">
        <v>80868.530232920006</v>
      </c>
      <c r="X48" s="29">
        <f t="shared" si="50"/>
        <v>2.2072787876439071E-2</v>
      </c>
      <c r="Y48" s="29">
        <f t="shared" si="50"/>
        <v>-6.186837564702985E-2</v>
      </c>
      <c r="Z48" s="29">
        <f t="shared" si="50"/>
        <v>0.10788633331985942</v>
      </c>
      <c r="AA48" s="29">
        <f t="shared" si="50"/>
        <v>-7.6273350846468246E-2</v>
      </c>
      <c r="AB48" s="29">
        <f t="shared" si="50"/>
        <v>-0.1059322534985685</v>
      </c>
      <c r="AC48" s="29">
        <f t="shared" si="50"/>
        <v>1.4552247746306701E-3</v>
      </c>
      <c r="AD48" s="29">
        <f t="shared" si="50"/>
        <v>-5.7735985967310999E-2</v>
      </c>
      <c r="AE48" s="29">
        <f t="shared" si="50"/>
        <v>6.8350583080267313E-2</v>
      </c>
      <c r="AF48" s="29">
        <f t="shared" si="50"/>
        <v>3.1614091931738422</v>
      </c>
      <c r="AG48" s="29">
        <f t="shared" si="50"/>
        <v>1.4427278505620018</v>
      </c>
      <c r="AH48" s="29">
        <f t="shared" si="51"/>
        <v>7.41011915201788E-2</v>
      </c>
      <c r="AI48" s="29">
        <f t="shared" si="51"/>
        <v>3.371870938597854E-2</v>
      </c>
      <c r="AJ48" s="29">
        <f t="shared" si="51"/>
        <v>-0.45051119614046731</v>
      </c>
      <c r="AK48" s="29">
        <f t="shared" si="51"/>
        <v>0.10296916584465232</v>
      </c>
      <c r="AL48" s="29">
        <f t="shared" si="51"/>
        <v>0.97747151359981688</v>
      </c>
      <c r="AM48" s="29">
        <f t="shared" si="51"/>
        <v>8.6502137829050474E-2</v>
      </c>
      <c r="AN48" s="29">
        <f t="shared" si="51"/>
        <v>4.8384418813306906E-2</v>
      </c>
      <c r="AO48" s="29">
        <f t="shared" si="51"/>
        <v>-1.1282929333846559E-2</v>
      </c>
      <c r="AP48" s="29">
        <f t="shared" si="51"/>
        <v>0.25472420619210334</v>
      </c>
      <c r="AQ48" s="29">
        <f t="shared" si="51"/>
        <v>-7.3013551098877083E-2</v>
      </c>
    </row>
    <row r="49" spans="1:43">
      <c r="C49" s="2"/>
      <c r="D49" s="2"/>
      <c r="E49" s="2"/>
      <c r="F49" s="26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</row>
    <row r="50" spans="1:43" ht="14.25">
      <c r="B50" s="15" t="s">
        <v>54</v>
      </c>
      <c r="C50" s="7">
        <f t="shared" ref="C50:H50" si="55">+C51+C52+C53+C54</f>
        <v>39063.699999999997</v>
      </c>
      <c r="D50" s="7">
        <f t="shared" si="55"/>
        <v>50133.1</v>
      </c>
      <c r="E50" s="7">
        <f t="shared" si="55"/>
        <v>58297.961088570002</v>
      </c>
      <c r="F50" s="7">
        <f t="shared" si="55"/>
        <v>79420.026542509993</v>
      </c>
      <c r="G50" s="7">
        <f t="shared" si="55"/>
        <v>103722.30000000002</v>
      </c>
      <c r="H50" s="7">
        <f t="shared" si="55"/>
        <v>114491.46088661002</v>
      </c>
      <c r="I50" s="7">
        <f>+I51+I52+I53+I54</f>
        <v>131546.40969647997</v>
      </c>
      <c r="J50" s="7">
        <f t="shared" ref="J50:O50" si="56">+J51+J52+J53+J54</f>
        <v>142208.76406759</v>
      </c>
      <c r="K50" s="7">
        <f t="shared" si="56"/>
        <v>154749.19515525998</v>
      </c>
      <c r="L50" s="7">
        <f t="shared" si="56"/>
        <v>177870.25983911002</v>
      </c>
      <c r="M50" s="7">
        <f t="shared" si="56"/>
        <v>167321.87935686999</v>
      </c>
      <c r="N50" s="7">
        <f t="shared" si="56"/>
        <v>194786.39629403994</v>
      </c>
      <c r="O50" s="7">
        <f t="shared" si="56"/>
        <v>215114.83180066003</v>
      </c>
      <c r="P50" s="7">
        <f t="shared" ref="P50:W50" si="57">+P51+P52+P53+P54</f>
        <v>231940.33618769</v>
      </c>
      <c r="Q50" s="7">
        <f t="shared" si="57"/>
        <v>230296.72035621002</v>
      </c>
      <c r="R50" s="7">
        <f t="shared" si="57"/>
        <v>200858.59198959003</v>
      </c>
      <c r="S50" s="7">
        <f t="shared" si="57"/>
        <v>237306.4352714199</v>
      </c>
      <c r="T50" s="7">
        <f t="shared" si="57"/>
        <v>248670.72710316011</v>
      </c>
      <c r="U50" s="7">
        <f t="shared" si="57"/>
        <v>230432.37784131011</v>
      </c>
      <c r="V50" s="7">
        <f t="shared" si="57"/>
        <v>267128.01188259991</v>
      </c>
      <c r="W50" s="7">
        <f t="shared" si="57"/>
        <v>281992.51825660001</v>
      </c>
      <c r="X50" s="29">
        <f t="shared" ref="X50:AG54" si="58">+D50/C50-1</f>
        <v>0.28336793493703882</v>
      </c>
      <c r="Y50" s="29">
        <f t="shared" si="58"/>
        <v>0.16286367865881024</v>
      </c>
      <c r="Z50" s="29">
        <f t="shared" si="58"/>
        <v>0.36231225002620571</v>
      </c>
      <c r="AA50" s="29">
        <f t="shared" si="58"/>
        <v>0.30599679344707975</v>
      </c>
      <c r="AB50" s="29">
        <f t="shared" si="58"/>
        <v>0.10382686159687937</v>
      </c>
      <c r="AC50" s="29">
        <f t="shared" si="58"/>
        <v>0.14896262723698506</v>
      </c>
      <c r="AD50" s="29">
        <f t="shared" si="58"/>
        <v>8.1053936749102773E-2</v>
      </c>
      <c r="AE50" s="29">
        <f t="shared" si="58"/>
        <v>8.8183250658937284E-2</v>
      </c>
      <c r="AF50" s="29">
        <f t="shared" si="58"/>
        <v>0.14940991880864174</v>
      </c>
      <c r="AG50" s="29">
        <f t="shared" si="58"/>
        <v>-5.9303789693574527E-2</v>
      </c>
      <c r="AH50" s="29">
        <f t="shared" ref="AH50:AQ54" si="59">+N50/M50-1</f>
        <v>0.16414181482263102</v>
      </c>
      <c r="AI50" s="29">
        <f t="shared" si="59"/>
        <v>0.10436270649996149</v>
      </c>
      <c r="AJ50" s="29">
        <f t="shared" si="59"/>
        <v>7.8216384459355304E-2</v>
      </c>
      <c r="AK50" s="29">
        <f t="shared" si="59"/>
        <v>-7.0863734117809773E-3</v>
      </c>
      <c r="AL50" s="29">
        <f t="shared" si="59"/>
        <v>-0.12782695437905822</v>
      </c>
      <c r="AM50" s="29">
        <f t="shared" si="59"/>
        <v>0.18146021497411913</v>
      </c>
      <c r="AN50" s="29">
        <f t="shared" si="59"/>
        <v>4.78886795410427E-2</v>
      </c>
      <c r="AO50" s="29">
        <f t="shared" si="59"/>
        <v>-7.3343370465490665E-2</v>
      </c>
      <c r="AP50" s="29">
        <f t="shared" si="59"/>
        <v>0.1592468661958637</v>
      </c>
      <c r="AQ50" s="29">
        <f t="shared" si="59"/>
        <v>5.5645629483937809E-2</v>
      </c>
    </row>
    <row r="51" spans="1:43">
      <c r="B51" s="1" t="s">
        <v>6</v>
      </c>
      <c r="C51" s="2">
        <v>20665.199999999997</v>
      </c>
      <c r="D51" s="2">
        <v>23893.7</v>
      </c>
      <c r="E51" s="2">
        <v>27562.179650370002</v>
      </c>
      <c r="F51" s="26">
        <v>32288.100000000006</v>
      </c>
      <c r="G51" s="26">
        <v>37713.200000000004</v>
      </c>
      <c r="H51" s="26">
        <v>38654.72012789001</v>
      </c>
      <c r="I51" s="26">
        <v>42022.956783189991</v>
      </c>
      <c r="J51" s="26">
        <v>48006.702001270001</v>
      </c>
      <c r="K51" s="26">
        <v>50296.867747259981</v>
      </c>
      <c r="L51" s="26">
        <v>53590.390247950003</v>
      </c>
      <c r="M51" s="26">
        <v>55334.474986069996</v>
      </c>
      <c r="N51" s="26">
        <v>63483.11681494004</v>
      </c>
      <c r="O51" s="26">
        <v>61687.779738510013</v>
      </c>
      <c r="P51" s="26">
        <v>65419.486496229976</v>
      </c>
      <c r="Q51" s="26">
        <v>69136.694348570003</v>
      </c>
      <c r="R51" s="26">
        <v>74516.964757279973</v>
      </c>
      <c r="S51" s="26">
        <v>79577.289137</v>
      </c>
      <c r="T51" s="2">
        <v>78581.183844309984</v>
      </c>
      <c r="U51" s="2">
        <v>76652.795369140047</v>
      </c>
      <c r="V51" s="2">
        <v>79027.30124311996</v>
      </c>
      <c r="W51" s="2">
        <v>79158.780030240028</v>
      </c>
      <c r="X51" s="29">
        <f t="shared" si="58"/>
        <v>0.15622882914271363</v>
      </c>
      <c r="Y51" s="29">
        <f t="shared" si="58"/>
        <v>0.15353334353281411</v>
      </c>
      <c r="Z51" s="29">
        <f t="shared" si="58"/>
        <v>0.1714639556660229</v>
      </c>
      <c r="AA51" s="29">
        <f t="shared" si="58"/>
        <v>0.16802165503699507</v>
      </c>
      <c r="AB51" s="29">
        <f t="shared" si="58"/>
        <v>2.4965267542664149E-2</v>
      </c>
      <c r="AC51" s="29">
        <f t="shared" si="58"/>
        <v>8.7136490554222013E-2</v>
      </c>
      <c r="AD51" s="29">
        <f t="shared" si="58"/>
        <v>0.14239229402519404</v>
      </c>
      <c r="AE51" s="29">
        <f t="shared" si="58"/>
        <v>4.7705125545374871E-2</v>
      </c>
      <c r="AF51" s="29">
        <f t="shared" si="58"/>
        <v>6.5481662143254349E-2</v>
      </c>
      <c r="AG51" s="29">
        <f t="shared" si="58"/>
        <v>3.2544729195860045E-2</v>
      </c>
      <c r="AH51" s="29">
        <f t="shared" si="59"/>
        <v>0.14726157302335285</v>
      </c>
      <c r="AI51" s="29">
        <f t="shared" si="59"/>
        <v>-2.8280543969881333E-2</v>
      </c>
      <c r="AJ51" s="29">
        <f t="shared" si="59"/>
        <v>6.0493452245135027E-2</v>
      </c>
      <c r="AK51" s="29">
        <f t="shared" si="59"/>
        <v>5.6821110213915338E-2</v>
      </c>
      <c r="AL51" s="29">
        <f t="shared" si="59"/>
        <v>7.782076449278863E-2</v>
      </c>
      <c r="AM51" s="29">
        <f t="shared" si="59"/>
        <v>6.7908353436063162E-2</v>
      </c>
      <c r="AN51" s="29">
        <f t="shared" si="59"/>
        <v>-1.2517456971613106E-2</v>
      </c>
      <c r="AO51" s="29">
        <f t="shared" si="59"/>
        <v>-2.4540079200010334E-2</v>
      </c>
      <c r="AP51" s="29">
        <f t="shared" si="59"/>
        <v>3.0977420491254293E-2</v>
      </c>
      <c r="AQ51" s="29">
        <f t="shared" si="59"/>
        <v>1.6637134895394201E-3</v>
      </c>
    </row>
    <row r="52" spans="1:43">
      <c r="B52" s="1" t="s">
        <v>7</v>
      </c>
      <c r="C52" s="2">
        <v>17645.299999999996</v>
      </c>
      <c r="D52" s="2">
        <v>26050.299999999996</v>
      </c>
      <c r="E52" s="2">
        <v>30191.2814382</v>
      </c>
      <c r="F52" s="26">
        <v>46375.526542510001</v>
      </c>
      <c r="G52" s="26">
        <v>65502.399999999994</v>
      </c>
      <c r="H52" s="26">
        <v>75631.915863860006</v>
      </c>
      <c r="I52" s="26">
        <v>88655.552913289997</v>
      </c>
      <c r="J52" s="26">
        <v>93706.005353889996</v>
      </c>
      <c r="K52" s="26">
        <f>103718.4124178+311.625</f>
        <v>104030.03741780001</v>
      </c>
      <c r="L52" s="26">
        <v>120433.64684077002</v>
      </c>
      <c r="M52" s="26">
        <v>111882.34800945</v>
      </c>
      <c r="N52" s="26">
        <v>131071.65960537991</v>
      </c>
      <c r="O52" s="26">
        <v>145342.28410799999</v>
      </c>
      <c r="P52" s="26">
        <v>166164.31727121002</v>
      </c>
      <c r="Q52" s="26">
        <v>160805.42031714</v>
      </c>
      <c r="R52" s="26">
        <v>126058.50163821004</v>
      </c>
      <c r="S52" s="26">
        <v>157134.91835495993</v>
      </c>
      <c r="T52" s="26">
        <v>167909.5518024601</v>
      </c>
      <c r="U52" s="26">
        <v>153349.71210327005</v>
      </c>
      <c r="V52" s="26">
        <v>183541.89052965993</v>
      </c>
      <c r="W52" s="26">
        <v>202360.26556690002</v>
      </c>
      <c r="X52" s="29">
        <f t="shared" si="58"/>
        <v>0.47633080763716129</v>
      </c>
      <c r="Y52" s="29">
        <f t="shared" si="58"/>
        <v>0.15896098847997919</v>
      </c>
      <c r="Z52" s="29">
        <f t="shared" si="58"/>
        <v>0.53605691223932705</v>
      </c>
      <c r="AA52" s="29">
        <f t="shared" si="58"/>
        <v>0.41243463704843109</v>
      </c>
      <c r="AB52" s="29">
        <f t="shared" si="58"/>
        <v>0.1546434308339848</v>
      </c>
      <c r="AC52" s="29">
        <f t="shared" si="58"/>
        <v>0.17219763509459396</v>
      </c>
      <c r="AD52" s="29">
        <f t="shared" si="58"/>
        <v>5.6967130367340024E-2</v>
      </c>
      <c r="AE52" s="29">
        <f t="shared" si="58"/>
        <v>0.11017471105421994</v>
      </c>
      <c r="AF52" s="29">
        <f t="shared" si="58"/>
        <v>0.15768147191075865</v>
      </c>
      <c r="AG52" s="29">
        <f t="shared" si="58"/>
        <v>-7.1004233913351644E-2</v>
      </c>
      <c r="AH52" s="29">
        <f t="shared" si="59"/>
        <v>0.17151330783931273</v>
      </c>
      <c r="AI52" s="29">
        <f t="shared" si="59"/>
        <v>0.1088765072906297</v>
      </c>
      <c r="AJ52" s="29">
        <f t="shared" si="59"/>
        <v>0.14326204718055568</v>
      </c>
      <c r="AK52" s="29">
        <f t="shared" si="59"/>
        <v>-3.2250588105046218E-2</v>
      </c>
      <c r="AL52" s="29">
        <f t="shared" si="59"/>
        <v>-0.21608051899247038</v>
      </c>
      <c r="AM52" s="29">
        <f t="shared" si="59"/>
        <v>0.24652376724213099</v>
      </c>
      <c r="AN52" s="29">
        <f t="shared" si="59"/>
        <v>6.8569313302857537E-2</v>
      </c>
      <c r="AO52" s="29">
        <f t="shared" si="59"/>
        <v>-8.671239689996435E-2</v>
      </c>
      <c r="AP52" s="29">
        <f t="shared" si="59"/>
        <v>0.19688448065724184</v>
      </c>
      <c r="AQ52" s="29">
        <f t="shared" si="59"/>
        <v>0.10252904654591144</v>
      </c>
    </row>
    <row r="53" spans="1:43">
      <c r="B53" s="1" t="s">
        <v>8</v>
      </c>
      <c r="C53" s="2">
        <f>575.4</f>
        <v>575.4</v>
      </c>
      <c r="D53" s="2">
        <v>189.1</v>
      </c>
      <c r="E53" s="2">
        <v>178.1</v>
      </c>
      <c r="F53" s="26">
        <v>451.5</v>
      </c>
      <c r="G53" s="26">
        <v>211.60000000000014</v>
      </c>
      <c r="H53" s="26">
        <v>204.82489485999986</v>
      </c>
      <c r="I53" s="26">
        <v>156.4</v>
      </c>
      <c r="J53" s="26">
        <v>213.34415695999996</v>
      </c>
      <c r="K53" s="26">
        <v>308.56131461999973</v>
      </c>
      <c r="L53" s="26">
        <v>604.5032802500001</v>
      </c>
      <c r="M53" s="26">
        <v>105.05636134999997</v>
      </c>
      <c r="N53" s="26">
        <v>231.61987371999999</v>
      </c>
      <c r="O53" s="26">
        <v>182.94995415000074</v>
      </c>
      <c r="P53" s="26">
        <v>356.53242025000009</v>
      </c>
      <c r="Q53" s="26">
        <v>354.60569049999924</v>
      </c>
      <c r="R53" s="26">
        <v>283.12559410000028</v>
      </c>
      <c r="S53" s="26">
        <v>594.22777946000019</v>
      </c>
      <c r="T53" s="26">
        <v>2178.3046272900006</v>
      </c>
      <c r="U53" s="26">
        <v>428.9508809000003</v>
      </c>
      <c r="V53" s="26">
        <v>4528.1264374299999</v>
      </c>
      <c r="W53" s="26">
        <v>473.47265945999982</v>
      </c>
      <c r="X53" s="29">
        <f t="shared" si="58"/>
        <v>-0.67135905457073342</v>
      </c>
      <c r="Y53" s="29">
        <f t="shared" si="58"/>
        <v>-5.817028027498683E-2</v>
      </c>
      <c r="Z53" s="29">
        <f t="shared" si="58"/>
        <v>1.5350926445816957</v>
      </c>
      <c r="AA53" s="29">
        <f t="shared" si="58"/>
        <v>-0.53133997785160547</v>
      </c>
      <c r="AB53" s="29">
        <f t="shared" si="58"/>
        <v>-3.2018455293006953E-2</v>
      </c>
      <c r="AC53" s="29">
        <f t="shared" si="58"/>
        <v>-0.2364209433286848</v>
      </c>
      <c r="AD53" s="29">
        <f t="shared" si="58"/>
        <v>0.36409307519181566</v>
      </c>
      <c r="AE53" s="29">
        <f t="shared" si="58"/>
        <v>0.44630778277115923</v>
      </c>
      <c r="AF53" s="29">
        <f t="shared" si="58"/>
        <v>0.95910262112559264</v>
      </c>
      <c r="AG53" s="29">
        <f t="shared" si="58"/>
        <v>-0.82621043626669399</v>
      </c>
      <c r="AH53" s="29">
        <f t="shared" si="59"/>
        <v>1.2047201211200149</v>
      </c>
      <c r="AI53" s="29">
        <f t="shared" si="59"/>
        <v>-0.21012842632336126</v>
      </c>
      <c r="AJ53" s="29">
        <f t="shared" si="59"/>
        <v>0.94879753813810219</v>
      </c>
      <c r="AK53" s="29">
        <f t="shared" si="59"/>
        <v>-5.4040800795894794E-3</v>
      </c>
      <c r="AL53" s="29">
        <f t="shared" si="59"/>
        <v>-0.20157628124695626</v>
      </c>
      <c r="AM53" s="29">
        <f t="shared" si="59"/>
        <v>1.0988133600175978</v>
      </c>
      <c r="AN53" s="29">
        <f t="shared" si="59"/>
        <v>2.6657738035564709</v>
      </c>
      <c r="AO53" s="29">
        <f t="shared" si="59"/>
        <v>-0.80308039769733575</v>
      </c>
      <c r="AP53" s="29">
        <f t="shared" si="59"/>
        <v>9.556281940555392</v>
      </c>
      <c r="AQ53" s="29">
        <f t="shared" si="59"/>
        <v>-0.89543740308437025</v>
      </c>
    </row>
    <row r="54" spans="1:43">
      <c r="B54" s="18" t="s">
        <v>14</v>
      </c>
      <c r="C54" s="2">
        <v>177.8</v>
      </c>
      <c r="D54" s="2"/>
      <c r="E54" s="2">
        <v>366.4</v>
      </c>
      <c r="F54" s="26">
        <v>304.89999999999998</v>
      </c>
      <c r="G54" s="26">
        <v>295.10000000000002</v>
      </c>
      <c r="H54" s="26">
        <v>0</v>
      </c>
      <c r="I54" s="26">
        <v>711.5</v>
      </c>
      <c r="J54" s="26">
        <v>282.7125554700001</v>
      </c>
      <c r="K54" s="26">
        <f>425.35367558-311.625</f>
        <v>113.72867558000002</v>
      </c>
      <c r="L54" s="26">
        <v>3241.7194701399999</v>
      </c>
      <c r="M54" s="26">
        <v>0</v>
      </c>
      <c r="N54" s="26">
        <v>0</v>
      </c>
      <c r="O54" s="26">
        <v>7901.8180000000011</v>
      </c>
      <c r="P54" s="26">
        <v>0</v>
      </c>
      <c r="Q54" s="26">
        <v>0</v>
      </c>
      <c r="R54" s="26">
        <v>0</v>
      </c>
      <c r="S54" s="26">
        <v>0</v>
      </c>
      <c r="T54" s="26">
        <v>1.6868291000000002</v>
      </c>
      <c r="U54" s="26">
        <v>0.91948799999999997</v>
      </c>
      <c r="V54" s="26">
        <v>30.693672389999989</v>
      </c>
      <c r="W54" s="26">
        <v>0</v>
      </c>
      <c r="X54" s="41">
        <f t="shared" si="58"/>
        <v>-1</v>
      </c>
      <c r="Y54" s="41" t="e">
        <f t="shared" si="58"/>
        <v>#DIV/0!</v>
      </c>
      <c r="Z54" s="41">
        <f t="shared" si="58"/>
        <v>-0.16784934497816595</v>
      </c>
      <c r="AA54" s="41">
        <f t="shared" si="58"/>
        <v>-3.214168579862231E-2</v>
      </c>
      <c r="AB54" s="41">
        <f t="shared" si="58"/>
        <v>-1</v>
      </c>
      <c r="AC54" s="41" t="e">
        <f t="shared" si="58"/>
        <v>#DIV/0!</v>
      </c>
      <c r="AD54" s="41">
        <f t="shared" si="58"/>
        <v>-0.60265276813773705</v>
      </c>
      <c r="AE54" s="41">
        <f t="shared" si="58"/>
        <v>-0.59772329392682999</v>
      </c>
      <c r="AF54" s="41">
        <f t="shared" si="58"/>
        <v>27.503976271663177</v>
      </c>
      <c r="AG54" s="41">
        <f t="shared" si="58"/>
        <v>-1</v>
      </c>
      <c r="AH54" s="41" t="e">
        <f t="shared" si="59"/>
        <v>#DIV/0!</v>
      </c>
      <c r="AI54" s="41" t="e">
        <f t="shared" si="59"/>
        <v>#DIV/0!</v>
      </c>
      <c r="AJ54" s="41">
        <f t="shared" si="59"/>
        <v>-1</v>
      </c>
      <c r="AK54" s="41" t="e">
        <f t="shared" si="59"/>
        <v>#DIV/0!</v>
      </c>
      <c r="AL54" s="41" t="e">
        <f t="shared" si="59"/>
        <v>#DIV/0!</v>
      </c>
      <c r="AM54" s="41" t="e">
        <f t="shared" si="59"/>
        <v>#DIV/0!</v>
      </c>
      <c r="AN54" s="41" t="e">
        <f t="shared" si="59"/>
        <v>#DIV/0!</v>
      </c>
      <c r="AO54" s="41">
        <f t="shared" si="59"/>
        <v>-0.45490150721255651</v>
      </c>
      <c r="AP54" s="41">
        <f t="shared" si="59"/>
        <v>32.381264779964489</v>
      </c>
      <c r="AQ54" s="41">
        <f t="shared" si="59"/>
        <v>-1</v>
      </c>
    </row>
    <row r="55" spans="1:43">
      <c r="C55" s="2"/>
      <c r="D55" s="2"/>
      <c r="E55" s="2"/>
      <c r="F55" s="26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</row>
    <row r="56" spans="1:43">
      <c r="A56" s="15"/>
      <c r="B56" s="42" t="s">
        <v>9</v>
      </c>
      <c r="C56" s="19">
        <f t="shared" ref="C56:H56" si="60">+C58+C59</f>
        <v>6232.9</v>
      </c>
      <c r="D56" s="19">
        <f t="shared" si="60"/>
        <v>11030.599999999999</v>
      </c>
      <c r="E56" s="19">
        <f t="shared" si="60"/>
        <v>19850</v>
      </c>
      <c r="F56" s="19">
        <f t="shared" si="60"/>
        <v>8108.2000000000007</v>
      </c>
      <c r="G56" s="19">
        <f t="shared" si="60"/>
        <v>27268.6</v>
      </c>
      <c r="H56" s="19">
        <f t="shared" si="60"/>
        <v>32197.305494029999</v>
      </c>
      <c r="I56" s="19">
        <f>+I58+I59</f>
        <v>14033.099999999999</v>
      </c>
      <c r="J56" s="19">
        <f t="shared" ref="J56:O56" si="61">+J58+J59</f>
        <v>33253.359284340004</v>
      </c>
      <c r="K56" s="19">
        <f t="shared" si="61"/>
        <v>42522.458805539995</v>
      </c>
      <c r="L56" s="19">
        <f t="shared" si="61"/>
        <v>77862.438192609989</v>
      </c>
      <c r="M56" s="19">
        <f t="shared" si="61"/>
        <v>9511.7474493699992</v>
      </c>
      <c r="N56" s="19">
        <f t="shared" si="61"/>
        <v>34783.224645380003</v>
      </c>
      <c r="O56" s="19">
        <f t="shared" si="61"/>
        <v>43803.013408989995</v>
      </c>
      <c r="P56" s="19">
        <f t="shared" ref="P56:W56" si="62">+P58+P59</f>
        <v>43236.135388439994</v>
      </c>
      <c r="Q56" s="19">
        <f t="shared" si="62"/>
        <v>56979.922544939996</v>
      </c>
      <c r="R56" s="19">
        <f t="shared" si="62"/>
        <v>62957.067270530009</v>
      </c>
      <c r="S56" s="19">
        <f t="shared" si="62"/>
        <v>39364.845665500005</v>
      </c>
      <c r="T56" s="19">
        <f t="shared" si="62"/>
        <v>44820.650726580003</v>
      </c>
      <c r="U56" s="19">
        <f t="shared" si="62"/>
        <v>36651.441941150006</v>
      </c>
      <c r="V56" s="19">
        <f t="shared" si="62"/>
        <v>46141.624505229993</v>
      </c>
      <c r="W56" s="19">
        <f t="shared" si="62"/>
        <v>32805.950667210011</v>
      </c>
      <c r="X56" s="28">
        <f t="shared" ref="X56:AQ56" si="63">+D56/C56-1</f>
        <v>0.76973800317669139</v>
      </c>
      <c r="Y56" s="28">
        <f t="shared" si="63"/>
        <v>0.79953946294852529</v>
      </c>
      <c r="Z56" s="28">
        <f t="shared" si="63"/>
        <v>-0.59152644836272039</v>
      </c>
      <c r="AA56" s="28">
        <f t="shared" si="63"/>
        <v>2.3630892183221919</v>
      </c>
      <c r="AB56" s="28">
        <f t="shared" si="63"/>
        <v>0.18074655442633647</v>
      </c>
      <c r="AC56" s="28">
        <f t="shared" si="63"/>
        <v>-0.56415296917929969</v>
      </c>
      <c r="AD56" s="28">
        <f t="shared" si="63"/>
        <v>1.3696374489129277</v>
      </c>
      <c r="AE56" s="28">
        <f t="shared" si="63"/>
        <v>0.27874174882430847</v>
      </c>
      <c r="AF56" s="28">
        <f t="shared" si="63"/>
        <v>0.8310897436266258</v>
      </c>
      <c r="AG56" s="28">
        <f t="shared" si="63"/>
        <v>-0.8778390752953229</v>
      </c>
      <c r="AH56" s="28">
        <f t="shared" si="63"/>
        <v>2.6568700788711368</v>
      </c>
      <c r="AI56" s="28">
        <f t="shared" si="63"/>
        <v>0.25931433487171018</v>
      </c>
      <c r="AJ56" s="28">
        <f t="shared" si="63"/>
        <v>-1.2941530192387529E-2</v>
      </c>
      <c r="AK56" s="28">
        <f t="shared" si="63"/>
        <v>0.31787732721770201</v>
      </c>
      <c r="AL56" s="28">
        <f t="shared" si="63"/>
        <v>0.10489913742644785</v>
      </c>
      <c r="AM56" s="28">
        <f t="shared" si="63"/>
        <v>-0.37473507944156481</v>
      </c>
      <c r="AN56" s="28">
        <f t="shared" si="63"/>
        <v>0.13859587072791579</v>
      </c>
      <c r="AO56" s="28">
        <f t="shared" si="63"/>
        <v>-0.18226439493850122</v>
      </c>
      <c r="AP56" s="28">
        <f t="shared" si="63"/>
        <v>0.25893067397779479</v>
      </c>
      <c r="AQ56" s="28">
        <f t="shared" si="63"/>
        <v>-0.28901613198530607</v>
      </c>
    </row>
    <row r="57" spans="1:43">
      <c r="C57" s="2"/>
      <c r="D57" s="2"/>
      <c r="E57" s="2"/>
      <c r="F57" s="26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</row>
    <row r="58" spans="1:43">
      <c r="B58" s="1" t="s">
        <v>50</v>
      </c>
      <c r="C58" s="2">
        <v>1348.1</v>
      </c>
      <c r="D58" s="2">
        <v>2359.5</v>
      </c>
      <c r="E58" s="2">
        <v>2673.1999999999989</v>
      </c>
      <c r="F58" s="26">
        <v>3756.8</v>
      </c>
      <c r="G58" s="26">
        <v>3643.6999999999989</v>
      </c>
      <c r="H58" s="26">
        <v>4170.39414253</v>
      </c>
      <c r="I58" s="26">
        <v>2539.8000000000002</v>
      </c>
      <c r="J58" s="26">
        <v>2589.10633796</v>
      </c>
      <c r="K58" s="26">
        <v>3809.9452456900003</v>
      </c>
      <c r="L58" s="26">
        <v>5595.7499322900003</v>
      </c>
      <c r="M58" s="26">
        <v>3174.6619260099988</v>
      </c>
      <c r="N58" s="26">
        <v>4993.0851697399976</v>
      </c>
      <c r="O58" s="26">
        <v>2947.4378633199995</v>
      </c>
      <c r="P58" s="26">
        <v>2882.5042490900005</v>
      </c>
      <c r="Q58" s="26">
        <v>4235.5738049600004</v>
      </c>
      <c r="R58" s="26">
        <v>22591.50453337</v>
      </c>
      <c r="S58" s="26">
        <v>12770.412325829995</v>
      </c>
      <c r="T58" s="26">
        <v>20144.592872659996</v>
      </c>
      <c r="U58" s="26">
        <v>15219.027291470005</v>
      </c>
      <c r="V58" s="26">
        <v>16839.635159850004</v>
      </c>
      <c r="W58" s="26">
        <v>17570.711172019997</v>
      </c>
      <c r="X58" s="29">
        <f t="shared" ref="X58:AG63" si="64">+D58/C58-1</f>
        <v>0.75024108003857282</v>
      </c>
      <c r="Y58" s="29">
        <f t="shared" si="64"/>
        <v>0.13295189658825968</v>
      </c>
      <c r="Z58" s="29">
        <f t="shared" si="64"/>
        <v>0.40535687565464684</v>
      </c>
      <c r="AA58" s="29">
        <f t="shared" si="64"/>
        <v>-3.0105408858603355E-2</v>
      </c>
      <c r="AB58" s="29">
        <f t="shared" si="64"/>
        <v>0.14454926106155863</v>
      </c>
      <c r="AC58" s="29">
        <f t="shared" si="64"/>
        <v>-0.39099281430046995</v>
      </c>
      <c r="AD58" s="29">
        <f t="shared" si="64"/>
        <v>1.941347269863769E-2</v>
      </c>
      <c r="AE58" s="29">
        <f t="shared" si="64"/>
        <v>0.47152907156834645</v>
      </c>
      <c r="AF58" s="29">
        <f t="shared" si="64"/>
        <v>0.46872187694040779</v>
      </c>
      <c r="AG58" s="29">
        <f t="shared" si="64"/>
        <v>-0.43266551142845611</v>
      </c>
      <c r="AH58" s="29">
        <f t="shared" ref="AH58:AQ63" si="65">+N58/M58-1</f>
        <v>0.57279272127581859</v>
      </c>
      <c r="AI58" s="29">
        <f t="shared" si="65"/>
        <v>-0.40969605702250023</v>
      </c>
      <c r="AJ58" s="29">
        <f t="shared" si="65"/>
        <v>-2.2030528628975921E-2</v>
      </c>
      <c r="AK58" s="29">
        <f t="shared" si="65"/>
        <v>0.46940765353499847</v>
      </c>
      <c r="AL58" s="29">
        <f t="shared" si="65"/>
        <v>4.3337530104928366</v>
      </c>
      <c r="AM58" s="29">
        <f t="shared" si="65"/>
        <v>-0.43472501767349014</v>
      </c>
      <c r="AN58" s="29">
        <f t="shared" si="65"/>
        <v>0.57744263526359751</v>
      </c>
      <c r="AO58" s="29">
        <f t="shared" si="65"/>
        <v>-0.24451055488318707</v>
      </c>
      <c r="AP58" s="29">
        <f t="shared" si="65"/>
        <v>0.10648564046457287</v>
      </c>
      <c r="AQ58" s="29">
        <f t="shared" si="65"/>
        <v>4.3414005424123658E-2</v>
      </c>
    </row>
    <row r="59" spans="1:43">
      <c r="B59" s="15" t="s">
        <v>5</v>
      </c>
      <c r="C59" s="7">
        <f t="shared" ref="C59:H59" si="66">+C60+C61+C62+C63</f>
        <v>4884.8</v>
      </c>
      <c r="D59" s="7">
        <f t="shared" si="66"/>
        <v>8671.0999999999985</v>
      </c>
      <c r="E59" s="7">
        <f t="shared" si="66"/>
        <v>17176.8</v>
      </c>
      <c r="F59" s="7">
        <f t="shared" si="66"/>
        <v>4351.4000000000005</v>
      </c>
      <c r="G59" s="7">
        <f t="shared" si="66"/>
        <v>23624.899999999998</v>
      </c>
      <c r="H59" s="7">
        <f t="shared" si="66"/>
        <v>28026.911351499999</v>
      </c>
      <c r="I59" s="7">
        <f>+I60+I61+I62+I63</f>
        <v>11493.3</v>
      </c>
      <c r="J59" s="7">
        <f t="shared" ref="J59:O59" si="67">+J60+J61+J62+J63</f>
        <v>30664.252946380002</v>
      </c>
      <c r="K59" s="7">
        <f t="shared" si="67"/>
        <v>38712.513559849991</v>
      </c>
      <c r="L59" s="7">
        <f t="shared" si="67"/>
        <v>72266.688260319992</v>
      </c>
      <c r="M59" s="7">
        <f t="shared" si="67"/>
        <v>6337.0855233599996</v>
      </c>
      <c r="N59" s="7">
        <f t="shared" si="67"/>
        <v>29790.139475640004</v>
      </c>
      <c r="O59" s="7">
        <f t="shared" si="67"/>
        <v>40855.575545669999</v>
      </c>
      <c r="P59" s="7">
        <f t="shared" ref="P59:W59" si="68">+P60+P61+P62+P63</f>
        <v>40353.631139349993</v>
      </c>
      <c r="Q59" s="7">
        <f t="shared" si="68"/>
        <v>52744.34873998</v>
      </c>
      <c r="R59" s="7">
        <f t="shared" si="68"/>
        <v>40365.562737160013</v>
      </c>
      <c r="S59" s="7">
        <f t="shared" si="68"/>
        <v>26594.433339670009</v>
      </c>
      <c r="T59" s="7">
        <f t="shared" si="68"/>
        <v>24676.057853920007</v>
      </c>
      <c r="U59" s="7">
        <f t="shared" si="68"/>
        <v>21432.414649679999</v>
      </c>
      <c r="V59" s="7">
        <f t="shared" si="68"/>
        <v>29301.989345379989</v>
      </c>
      <c r="W59" s="7">
        <f t="shared" si="68"/>
        <v>15235.239495190011</v>
      </c>
      <c r="X59" s="29">
        <f t="shared" si="64"/>
        <v>0.77511873566983258</v>
      </c>
      <c r="Y59" s="29">
        <f t="shared" si="64"/>
        <v>0.9809251421388292</v>
      </c>
      <c r="Z59" s="29">
        <f t="shared" si="64"/>
        <v>-0.74666992687811462</v>
      </c>
      <c r="AA59" s="29">
        <f t="shared" si="64"/>
        <v>4.4292641448729135</v>
      </c>
      <c r="AB59" s="29">
        <f t="shared" si="64"/>
        <v>0.18632931151031329</v>
      </c>
      <c r="AC59" s="29">
        <f t="shared" si="64"/>
        <v>-0.58991913679475494</v>
      </c>
      <c r="AD59" s="29">
        <f t="shared" si="64"/>
        <v>1.6680111844622521</v>
      </c>
      <c r="AE59" s="29">
        <f t="shared" si="64"/>
        <v>0.26246393895665099</v>
      </c>
      <c r="AF59" s="29">
        <f t="shared" si="64"/>
        <v>0.86675267542612189</v>
      </c>
      <c r="AG59" s="29">
        <f t="shared" si="64"/>
        <v>-0.91230972836983382</v>
      </c>
      <c r="AH59" s="29">
        <f t="shared" si="65"/>
        <v>3.700921167282103</v>
      </c>
      <c r="AI59" s="29">
        <f t="shared" si="65"/>
        <v>0.37144626593905095</v>
      </c>
      <c r="AJ59" s="29">
        <f t="shared" si="65"/>
        <v>-1.2285823895906489E-2</v>
      </c>
      <c r="AK59" s="29">
        <f t="shared" si="65"/>
        <v>0.30705334937126527</v>
      </c>
      <c r="AL59" s="29">
        <f t="shared" si="65"/>
        <v>-0.23469407241797868</v>
      </c>
      <c r="AM59" s="29">
        <f t="shared" si="65"/>
        <v>-0.34116034717911858</v>
      </c>
      <c r="AN59" s="29">
        <f t="shared" si="65"/>
        <v>-7.2134474957525341E-2</v>
      </c>
      <c r="AO59" s="29">
        <f t="shared" si="65"/>
        <v>-0.13144900305559659</v>
      </c>
      <c r="AP59" s="29">
        <f t="shared" si="65"/>
        <v>0.36718096510966336</v>
      </c>
      <c r="AQ59" s="29">
        <f t="shared" si="65"/>
        <v>-0.48006125742475791</v>
      </c>
    </row>
    <row r="60" spans="1:43">
      <c r="B60" s="1" t="s">
        <v>6</v>
      </c>
      <c r="C60" s="2">
        <v>0</v>
      </c>
      <c r="D60" s="2">
        <v>19.8</v>
      </c>
      <c r="E60" s="2">
        <v>149</v>
      </c>
      <c r="F60" s="26">
        <v>747.6</v>
      </c>
      <c r="G60" s="26">
        <v>443</v>
      </c>
      <c r="H60" s="26">
        <v>298.68490800000006</v>
      </c>
      <c r="I60" s="26">
        <v>122.1</v>
      </c>
      <c r="J60" s="26">
        <v>237.205648</v>
      </c>
      <c r="K60" s="26">
        <v>700.26310799999976</v>
      </c>
      <c r="L60" s="26">
        <v>25</v>
      </c>
      <c r="M60" s="26">
        <v>223.8109166700001</v>
      </c>
      <c r="N60" s="26">
        <v>2052.27821309</v>
      </c>
      <c r="O60" s="26">
        <v>1014.3416370000002</v>
      </c>
      <c r="P60" s="26">
        <v>1238.3885712800002</v>
      </c>
      <c r="Q60" s="26">
        <v>1106.6134740199998</v>
      </c>
      <c r="R60" s="26">
        <v>1216.6793506699998</v>
      </c>
      <c r="S60" s="26">
        <v>89.723999999999748</v>
      </c>
      <c r="T60" s="26">
        <v>114.79386822000002</v>
      </c>
      <c r="U60" s="26">
        <v>809.87396681999985</v>
      </c>
      <c r="V60" s="26">
        <v>190.43157993</v>
      </c>
      <c r="W60" s="26">
        <v>279.55135367000003</v>
      </c>
      <c r="X60" s="41" t="e">
        <f t="shared" si="64"/>
        <v>#DIV/0!</v>
      </c>
      <c r="Y60" s="29">
        <f t="shared" si="64"/>
        <v>6.5252525252525251</v>
      </c>
      <c r="Z60" s="29">
        <f t="shared" si="64"/>
        <v>4.0174496644295301</v>
      </c>
      <c r="AA60" s="29">
        <f t="shared" si="64"/>
        <v>-0.40743713215623334</v>
      </c>
      <c r="AB60" s="29">
        <f t="shared" si="64"/>
        <v>-0.32576770203160255</v>
      </c>
      <c r="AC60" s="29">
        <f t="shared" si="64"/>
        <v>-0.59120800305049237</v>
      </c>
      <c r="AD60" s="29">
        <f t="shared" si="64"/>
        <v>0.94271619983619992</v>
      </c>
      <c r="AE60" s="29">
        <f t="shared" si="64"/>
        <v>1.952135052028777</v>
      </c>
      <c r="AF60" s="29">
        <f t="shared" si="64"/>
        <v>-0.9642991331195474</v>
      </c>
      <c r="AG60" s="29">
        <f t="shared" si="64"/>
        <v>7.9524366668000042</v>
      </c>
      <c r="AH60" s="29">
        <f t="shared" si="65"/>
        <v>8.1696966511959683</v>
      </c>
      <c r="AI60" s="29">
        <f t="shared" si="65"/>
        <v>-0.50574847477781137</v>
      </c>
      <c r="AJ60" s="29">
        <f t="shared" si="65"/>
        <v>0.22087916546799491</v>
      </c>
      <c r="AK60" s="29">
        <f t="shared" si="65"/>
        <v>-0.10640852178068594</v>
      </c>
      <c r="AL60" s="29">
        <f t="shared" si="65"/>
        <v>9.9461898155065231E-2</v>
      </c>
      <c r="AM60" s="29">
        <f t="shared" si="65"/>
        <v>-0.92625501538216248</v>
      </c>
      <c r="AN60" s="29">
        <f t="shared" si="65"/>
        <v>0.27941095158486418</v>
      </c>
      <c r="AO60" s="29">
        <f t="shared" si="65"/>
        <v>6.0550281071450049</v>
      </c>
      <c r="AP60" s="29">
        <f t="shared" si="65"/>
        <v>-0.7648626974913928</v>
      </c>
      <c r="AQ60" s="29">
        <f t="shared" si="65"/>
        <v>0.46798841753431453</v>
      </c>
    </row>
    <row r="61" spans="1:43">
      <c r="B61" s="1" t="s">
        <v>7</v>
      </c>
      <c r="C61" s="2">
        <f>4651</f>
        <v>4651</v>
      </c>
      <c r="D61" s="2">
        <f>8986.3-375</f>
        <v>8611.2999999999993</v>
      </c>
      <c r="E61" s="2">
        <v>16827.599999999999</v>
      </c>
      <c r="F61" s="26">
        <v>3511</v>
      </c>
      <c r="G61" s="26">
        <v>20991.1</v>
      </c>
      <c r="H61" s="26">
        <f>27757.80921008-1125</f>
        <v>26632.809210079999</v>
      </c>
      <c r="I61" s="26">
        <v>10448.9</v>
      </c>
      <c r="J61" s="26">
        <v>5697.0980777999994</v>
      </c>
      <c r="K61" s="26">
        <v>35519.486063359996</v>
      </c>
      <c r="L61" s="26">
        <v>41296.88000605</v>
      </c>
      <c r="M61" s="26">
        <f>2334.49167981+311.625</f>
        <v>2646.1166798099998</v>
      </c>
      <c r="N61" s="26">
        <v>26762.684142170005</v>
      </c>
      <c r="O61" s="26">
        <v>38420.351211220004</v>
      </c>
      <c r="P61" s="26">
        <v>37713.891289530002</v>
      </c>
      <c r="Q61" s="26">
        <v>50138.342457159997</v>
      </c>
      <c r="R61" s="26">
        <v>20723.43271898001</v>
      </c>
      <c r="S61" s="26">
        <v>25918.078007590011</v>
      </c>
      <c r="T61" s="26">
        <v>24119.367389540006</v>
      </c>
      <c r="U61" s="26">
        <v>20580.554724599999</v>
      </c>
      <c r="V61" s="26">
        <v>29105.840632729989</v>
      </c>
      <c r="W61" s="26">
        <v>14955.688141520011</v>
      </c>
      <c r="X61" s="29">
        <f t="shared" si="64"/>
        <v>0.85149430230058032</v>
      </c>
      <c r="Y61" s="29">
        <f t="shared" si="64"/>
        <v>0.95413003843786659</v>
      </c>
      <c r="Z61" s="29">
        <f t="shared" si="64"/>
        <v>-0.79135467921747604</v>
      </c>
      <c r="AA61" s="29">
        <f t="shared" si="64"/>
        <v>4.9786670464255192</v>
      </c>
      <c r="AB61" s="29">
        <f t="shared" si="64"/>
        <v>0.26876672542553748</v>
      </c>
      <c r="AC61" s="29">
        <f t="shared" si="64"/>
        <v>-0.60766812402030446</v>
      </c>
      <c r="AD61" s="29">
        <f t="shared" si="64"/>
        <v>-0.45476575737158942</v>
      </c>
      <c r="AE61" s="29">
        <f t="shared" si="64"/>
        <v>5.2346629070279684</v>
      </c>
      <c r="AF61" s="29">
        <f t="shared" si="64"/>
        <v>0.16265420992815693</v>
      </c>
      <c r="AG61" s="29">
        <f t="shared" si="64"/>
        <v>-0.93592453765460382</v>
      </c>
      <c r="AH61" s="29">
        <f t="shared" si="65"/>
        <v>9.1139471083684995</v>
      </c>
      <c r="AI61" s="29">
        <f t="shared" si="65"/>
        <v>0.43559409090364731</v>
      </c>
      <c r="AJ61" s="29">
        <f t="shared" si="65"/>
        <v>-1.8387648717893335E-2</v>
      </c>
      <c r="AK61" s="29">
        <f t="shared" si="65"/>
        <v>0.32943965055865831</v>
      </c>
      <c r="AL61" s="29">
        <f t="shared" si="65"/>
        <v>-0.58667495367069911</v>
      </c>
      <c r="AM61" s="29">
        <f t="shared" si="65"/>
        <v>0.25066529078709876</v>
      </c>
      <c r="AN61" s="29">
        <f t="shared" si="65"/>
        <v>-6.9399845834373197E-2</v>
      </c>
      <c r="AO61" s="29">
        <f t="shared" si="65"/>
        <v>-0.14672079112965064</v>
      </c>
      <c r="AP61" s="29">
        <f t="shared" si="65"/>
        <v>0.41423985029614818</v>
      </c>
      <c r="AQ61" s="29">
        <f t="shared" si="65"/>
        <v>-0.48616195868597945</v>
      </c>
    </row>
    <row r="62" spans="1:43">
      <c r="B62" s="1" t="s">
        <v>8</v>
      </c>
      <c r="C62" s="2">
        <v>7.5</v>
      </c>
      <c r="D62" s="2">
        <v>0</v>
      </c>
      <c r="E62" s="2">
        <v>21.3</v>
      </c>
      <c r="F62" s="26">
        <v>8.3000000000000007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41">
        <f t="shared" si="64"/>
        <v>-1</v>
      </c>
      <c r="Y62" s="41" t="e">
        <f t="shared" si="64"/>
        <v>#DIV/0!</v>
      </c>
      <c r="Z62" s="41">
        <f t="shared" si="64"/>
        <v>-0.61032863849765251</v>
      </c>
      <c r="AA62" s="41">
        <f t="shared" si="64"/>
        <v>-1</v>
      </c>
      <c r="AB62" s="41" t="e">
        <f t="shared" si="64"/>
        <v>#DIV/0!</v>
      </c>
      <c r="AC62" s="41" t="e">
        <f t="shared" si="64"/>
        <v>#DIV/0!</v>
      </c>
      <c r="AD62" s="41" t="e">
        <f t="shared" si="64"/>
        <v>#DIV/0!</v>
      </c>
      <c r="AE62" s="41" t="e">
        <f t="shared" si="64"/>
        <v>#DIV/0!</v>
      </c>
      <c r="AF62" s="41" t="e">
        <f t="shared" si="64"/>
        <v>#DIV/0!</v>
      </c>
      <c r="AG62" s="41" t="e">
        <f t="shared" si="64"/>
        <v>#DIV/0!</v>
      </c>
      <c r="AH62" s="41" t="e">
        <f t="shared" si="65"/>
        <v>#DIV/0!</v>
      </c>
      <c r="AI62" s="41" t="e">
        <f t="shared" si="65"/>
        <v>#DIV/0!</v>
      </c>
      <c r="AJ62" s="41" t="e">
        <f t="shared" si="65"/>
        <v>#DIV/0!</v>
      </c>
      <c r="AK62" s="41" t="e">
        <f t="shared" si="65"/>
        <v>#DIV/0!</v>
      </c>
      <c r="AL62" s="41" t="e">
        <f t="shared" si="65"/>
        <v>#DIV/0!</v>
      </c>
      <c r="AM62" s="41" t="e">
        <f t="shared" si="65"/>
        <v>#DIV/0!</v>
      </c>
      <c r="AN62" s="41" t="e">
        <f t="shared" si="65"/>
        <v>#DIV/0!</v>
      </c>
      <c r="AO62" s="41" t="e">
        <f t="shared" si="65"/>
        <v>#DIV/0!</v>
      </c>
      <c r="AP62" s="41" t="e">
        <f t="shared" si="65"/>
        <v>#DIV/0!</v>
      </c>
      <c r="AQ62" s="41" t="e">
        <f t="shared" si="65"/>
        <v>#DIV/0!</v>
      </c>
    </row>
    <row r="63" spans="1:43">
      <c r="B63" s="18" t="s">
        <v>15</v>
      </c>
      <c r="C63" s="2">
        <v>226.3</v>
      </c>
      <c r="D63" s="2">
        <v>40</v>
      </c>
      <c r="E63" s="2">
        <v>178.9</v>
      </c>
      <c r="F63" s="26">
        <v>84.5</v>
      </c>
      <c r="G63" s="26">
        <v>2190.8000000000002</v>
      </c>
      <c r="H63" s="26">
        <v>1095.41723342</v>
      </c>
      <c r="I63" s="26">
        <v>922.3</v>
      </c>
      <c r="J63" s="26">
        <v>24729.949220580002</v>
      </c>
      <c r="K63" s="26">
        <v>2492.764388489999</v>
      </c>
      <c r="L63" s="26">
        <v>30944.808254269996</v>
      </c>
      <c r="M63" s="26">
        <f>3778.78292688-311.625</f>
        <v>3467.1579268800001</v>
      </c>
      <c r="N63" s="26">
        <v>975.17712037999991</v>
      </c>
      <c r="O63" s="26">
        <v>1420.88269745</v>
      </c>
      <c r="P63" s="26">
        <v>1401.3512785399944</v>
      </c>
      <c r="Q63" s="26">
        <v>1499.3928087999998</v>
      </c>
      <c r="R63" s="26">
        <v>18425.450667509998</v>
      </c>
      <c r="S63" s="26">
        <v>586.63133208000113</v>
      </c>
      <c r="T63" s="26">
        <v>441.89659616</v>
      </c>
      <c r="U63" s="26">
        <v>41.985958259999997</v>
      </c>
      <c r="V63" s="26">
        <v>5.7171327199994266</v>
      </c>
      <c r="W63" s="26">
        <v>0</v>
      </c>
      <c r="X63" s="29">
        <f t="shared" si="64"/>
        <v>-0.82324348210340259</v>
      </c>
      <c r="Y63" s="29">
        <f t="shared" si="64"/>
        <v>3.4725000000000001</v>
      </c>
      <c r="Z63" s="29">
        <f t="shared" si="64"/>
        <v>-0.52766908887646724</v>
      </c>
      <c r="AA63" s="29">
        <f t="shared" si="64"/>
        <v>24.926627218934915</v>
      </c>
      <c r="AB63" s="29">
        <f t="shared" si="64"/>
        <v>-0.49999213373197005</v>
      </c>
      <c r="AC63" s="29">
        <f t="shared" si="64"/>
        <v>-0.15803771215056661</v>
      </c>
      <c r="AD63" s="29">
        <f t="shared" si="64"/>
        <v>25.813346222031878</v>
      </c>
      <c r="AE63" s="29">
        <f t="shared" si="64"/>
        <v>-0.89920058604829056</v>
      </c>
      <c r="AF63" s="29">
        <f t="shared" si="64"/>
        <v>11.413852025948961</v>
      </c>
      <c r="AG63" s="29">
        <f t="shared" si="64"/>
        <v>-0.88795671640972029</v>
      </c>
      <c r="AH63" s="29">
        <f t="shared" si="65"/>
        <v>-0.71873876502143208</v>
      </c>
      <c r="AI63" s="29">
        <f t="shared" si="65"/>
        <v>0.45705089645286257</v>
      </c>
      <c r="AJ63" s="29">
        <f t="shared" si="65"/>
        <v>-1.3745975614354311E-2</v>
      </c>
      <c r="AK63" s="29">
        <f t="shared" si="65"/>
        <v>6.9962137089674359E-2</v>
      </c>
      <c r="AL63" s="29">
        <f t="shared" si="65"/>
        <v>11.288608134819809</v>
      </c>
      <c r="AM63" s="29">
        <f t="shared" si="65"/>
        <v>-0.96816190047853645</v>
      </c>
      <c r="AN63" s="29">
        <f t="shared" si="65"/>
        <v>-0.24672179613526524</v>
      </c>
      <c r="AO63" s="29">
        <f t="shared" si="65"/>
        <v>-0.90498691634004369</v>
      </c>
      <c r="AP63" s="29">
        <f t="shared" si="65"/>
        <v>-0.86383226781211431</v>
      </c>
      <c r="AQ63" s="29">
        <f t="shared" si="65"/>
        <v>-1</v>
      </c>
    </row>
    <row r="64" spans="1:43">
      <c r="B64" s="18"/>
      <c r="C64" s="2"/>
      <c r="D64" s="2"/>
      <c r="E64" s="2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</row>
    <row r="65" spans="1:43">
      <c r="B65" s="3" t="s">
        <v>51</v>
      </c>
      <c r="C65" s="8"/>
      <c r="D65" s="8"/>
      <c r="F65" s="26"/>
      <c r="G65" s="26">
        <v>0</v>
      </c>
      <c r="H65" s="26">
        <f t="shared" ref="H65:W65" si="69">+H66-H67</f>
        <v>0</v>
      </c>
      <c r="I65" s="26">
        <f t="shared" si="69"/>
        <v>0</v>
      </c>
      <c r="J65" s="26">
        <f t="shared" si="69"/>
        <v>0</v>
      </c>
      <c r="K65" s="26">
        <f t="shared" si="69"/>
        <v>0</v>
      </c>
      <c r="L65" s="26">
        <f t="shared" si="69"/>
        <v>898.31772787</v>
      </c>
      <c r="M65" s="26">
        <f t="shared" si="69"/>
        <v>0</v>
      </c>
      <c r="N65" s="26">
        <f t="shared" si="69"/>
        <v>0</v>
      </c>
      <c r="O65" s="26">
        <f t="shared" si="69"/>
        <v>673.14005049000002</v>
      </c>
      <c r="P65" s="26">
        <f t="shared" si="69"/>
        <v>30843.9</v>
      </c>
      <c r="Q65" s="26">
        <f t="shared" si="69"/>
        <v>0</v>
      </c>
      <c r="R65" s="26">
        <f t="shared" si="69"/>
        <v>0</v>
      </c>
      <c r="S65" s="26">
        <f t="shared" si="69"/>
        <v>4038.62586792</v>
      </c>
      <c r="T65" s="26">
        <f t="shared" si="69"/>
        <v>0</v>
      </c>
      <c r="U65" s="26">
        <f t="shared" si="69"/>
        <v>0</v>
      </c>
      <c r="V65" s="26">
        <f t="shared" si="69"/>
        <v>0</v>
      </c>
      <c r="W65" s="26">
        <f t="shared" si="69"/>
        <v>0</v>
      </c>
      <c r="X65" s="41" t="e">
        <f t="shared" ref="X65:AG67" si="70">+D65/C65-1</f>
        <v>#DIV/0!</v>
      </c>
      <c r="Y65" s="41" t="e">
        <f t="shared" si="70"/>
        <v>#DIV/0!</v>
      </c>
      <c r="Z65" s="41" t="e">
        <f t="shared" si="70"/>
        <v>#DIV/0!</v>
      </c>
      <c r="AA65" s="41" t="e">
        <f t="shared" si="70"/>
        <v>#DIV/0!</v>
      </c>
      <c r="AB65" s="41" t="e">
        <f t="shared" si="70"/>
        <v>#DIV/0!</v>
      </c>
      <c r="AC65" s="41" t="e">
        <f t="shared" si="70"/>
        <v>#DIV/0!</v>
      </c>
      <c r="AD65" s="41" t="e">
        <f t="shared" si="70"/>
        <v>#DIV/0!</v>
      </c>
      <c r="AE65" s="41" t="e">
        <f t="shared" si="70"/>
        <v>#DIV/0!</v>
      </c>
      <c r="AF65" s="41" t="e">
        <f t="shared" si="70"/>
        <v>#DIV/0!</v>
      </c>
      <c r="AG65" s="29">
        <f t="shared" si="70"/>
        <v>-1</v>
      </c>
      <c r="AH65" s="41" t="e">
        <f t="shared" ref="AH65:AQ67" si="71">+N65/M65-1</f>
        <v>#DIV/0!</v>
      </c>
      <c r="AI65" s="41" t="e">
        <f t="shared" si="71"/>
        <v>#DIV/0!</v>
      </c>
      <c r="AJ65" s="29">
        <f t="shared" si="71"/>
        <v>44.820925344655613</v>
      </c>
      <c r="AK65" s="29">
        <f t="shared" si="71"/>
        <v>-1</v>
      </c>
      <c r="AL65" s="41" t="e">
        <f t="shared" si="71"/>
        <v>#DIV/0!</v>
      </c>
      <c r="AM65" s="41" t="e">
        <f t="shared" si="71"/>
        <v>#DIV/0!</v>
      </c>
      <c r="AN65" s="41">
        <f t="shared" si="71"/>
        <v>-1</v>
      </c>
      <c r="AO65" s="41" t="e">
        <f t="shared" si="71"/>
        <v>#DIV/0!</v>
      </c>
      <c r="AP65" s="41" t="e">
        <f t="shared" si="71"/>
        <v>#DIV/0!</v>
      </c>
      <c r="AQ65" s="41" t="e">
        <f t="shared" si="71"/>
        <v>#DIV/0!</v>
      </c>
    </row>
    <row r="66" spans="1:43">
      <c r="B66" s="49" t="s">
        <v>52</v>
      </c>
      <c r="C66" s="8"/>
      <c r="D66" s="8"/>
      <c r="F66" s="26"/>
      <c r="G66" s="3"/>
      <c r="H66" s="26">
        <v>0</v>
      </c>
      <c r="I66" s="26">
        <v>0</v>
      </c>
      <c r="J66" s="26">
        <v>0</v>
      </c>
      <c r="K66" s="26">
        <v>0</v>
      </c>
      <c r="L66" s="26">
        <v>898.31772787</v>
      </c>
      <c r="M66" s="26">
        <v>0</v>
      </c>
      <c r="N66" s="26">
        <v>0</v>
      </c>
      <c r="O66" s="26">
        <v>673.14005049000002</v>
      </c>
      <c r="P66" s="26">
        <v>30843.9</v>
      </c>
      <c r="Q66" s="26">
        <v>0</v>
      </c>
      <c r="R66" s="26">
        <v>0</v>
      </c>
      <c r="S66" s="26">
        <v>4038.62586792</v>
      </c>
      <c r="T66" s="26">
        <v>0</v>
      </c>
      <c r="U66" s="26">
        <v>0</v>
      </c>
      <c r="V66" s="26">
        <v>0</v>
      </c>
      <c r="W66" s="26">
        <v>0</v>
      </c>
      <c r="X66" s="41" t="e">
        <f t="shared" si="70"/>
        <v>#DIV/0!</v>
      </c>
      <c r="Y66" s="41" t="e">
        <f t="shared" si="70"/>
        <v>#DIV/0!</v>
      </c>
      <c r="Z66" s="41" t="e">
        <f t="shared" si="70"/>
        <v>#DIV/0!</v>
      </c>
      <c r="AA66" s="41" t="e">
        <f t="shared" si="70"/>
        <v>#DIV/0!</v>
      </c>
      <c r="AB66" s="41" t="e">
        <f t="shared" si="70"/>
        <v>#DIV/0!</v>
      </c>
      <c r="AC66" s="41" t="e">
        <f t="shared" si="70"/>
        <v>#DIV/0!</v>
      </c>
      <c r="AD66" s="41" t="e">
        <f t="shared" si="70"/>
        <v>#DIV/0!</v>
      </c>
      <c r="AE66" s="41" t="e">
        <f t="shared" si="70"/>
        <v>#DIV/0!</v>
      </c>
      <c r="AF66" s="41" t="e">
        <f t="shared" si="70"/>
        <v>#DIV/0!</v>
      </c>
      <c r="AG66" s="29">
        <f t="shared" si="70"/>
        <v>-1</v>
      </c>
      <c r="AH66" s="41" t="e">
        <f t="shared" si="71"/>
        <v>#DIV/0!</v>
      </c>
      <c r="AI66" s="41" t="e">
        <f t="shared" si="71"/>
        <v>#DIV/0!</v>
      </c>
      <c r="AJ66" s="29">
        <f t="shared" si="71"/>
        <v>44.820925344655613</v>
      </c>
      <c r="AK66" s="29">
        <f t="shared" si="71"/>
        <v>-1</v>
      </c>
      <c r="AL66" s="41" t="e">
        <f t="shared" si="71"/>
        <v>#DIV/0!</v>
      </c>
      <c r="AM66" s="41" t="e">
        <f t="shared" si="71"/>
        <v>#DIV/0!</v>
      </c>
      <c r="AN66" s="41">
        <f t="shared" si="71"/>
        <v>-1</v>
      </c>
      <c r="AO66" s="41" t="e">
        <f t="shared" si="71"/>
        <v>#DIV/0!</v>
      </c>
      <c r="AP66" s="41" t="e">
        <f t="shared" si="71"/>
        <v>#DIV/0!</v>
      </c>
      <c r="AQ66" s="41" t="e">
        <f t="shared" si="71"/>
        <v>#DIV/0!</v>
      </c>
    </row>
    <row r="67" spans="1:43">
      <c r="B67" s="49" t="s">
        <v>53</v>
      </c>
      <c r="C67" s="8"/>
      <c r="D67" s="8"/>
      <c r="F67" s="26"/>
      <c r="G67" s="3"/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41" t="e">
        <f t="shared" si="70"/>
        <v>#DIV/0!</v>
      </c>
      <c r="Y67" s="41" t="e">
        <f t="shared" si="70"/>
        <v>#DIV/0!</v>
      </c>
      <c r="Z67" s="41" t="e">
        <f t="shared" si="70"/>
        <v>#DIV/0!</v>
      </c>
      <c r="AA67" s="41" t="e">
        <f t="shared" si="70"/>
        <v>#DIV/0!</v>
      </c>
      <c r="AB67" s="41" t="e">
        <f t="shared" si="70"/>
        <v>#DIV/0!</v>
      </c>
      <c r="AC67" s="41" t="e">
        <f t="shared" si="70"/>
        <v>#DIV/0!</v>
      </c>
      <c r="AD67" s="41" t="e">
        <f t="shared" si="70"/>
        <v>#DIV/0!</v>
      </c>
      <c r="AE67" s="41" t="e">
        <f t="shared" si="70"/>
        <v>#DIV/0!</v>
      </c>
      <c r="AF67" s="41" t="e">
        <f t="shared" si="70"/>
        <v>#DIV/0!</v>
      </c>
      <c r="AG67" s="41" t="e">
        <f t="shared" si="70"/>
        <v>#DIV/0!</v>
      </c>
      <c r="AH67" s="41" t="e">
        <f t="shared" si="71"/>
        <v>#DIV/0!</v>
      </c>
      <c r="AI67" s="41" t="e">
        <f t="shared" si="71"/>
        <v>#DIV/0!</v>
      </c>
      <c r="AJ67" s="41" t="e">
        <f t="shared" si="71"/>
        <v>#DIV/0!</v>
      </c>
      <c r="AK67" s="41" t="e">
        <f t="shared" si="71"/>
        <v>#DIV/0!</v>
      </c>
      <c r="AL67" s="41" t="e">
        <f t="shared" si="71"/>
        <v>#DIV/0!</v>
      </c>
      <c r="AM67" s="41" t="e">
        <f t="shared" si="71"/>
        <v>#DIV/0!</v>
      </c>
      <c r="AN67" s="41" t="e">
        <f t="shared" si="71"/>
        <v>#DIV/0!</v>
      </c>
      <c r="AO67" s="41" t="e">
        <f t="shared" si="71"/>
        <v>#DIV/0!</v>
      </c>
      <c r="AP67" s="41" t="e">
        <f t="shared" si="71"/>
        <v>#DIV/0!</v>
      </c>
      <c r="AQ67" s="41" t="e">
        <f t="shared" si="71"/>
        <v>#DIV/0!</v>
      </c>
    </row>
    <row r="68" spans="1:43">
      <c r="B68" s="49"/>
      <c r="C68" s="8"/>
      <c r="D68" s="8"/>
      <c r="F68" s="26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</row>
    <row r="69" spans="1:43">
      <c r="A69" s="6" t="s">
        <v>18</v>
      </c>
      <c r="B69" s="5" t="s">
        <v>22</v>
      </c>
      <c r="C69" s="20">
        <f t="shared" ref="C69:I69" si="72">+C9-C38</f>
        <v>44376.190592290019</v>
      </c>
      <c r="D69" s="20">
        <f t="shared" si="72"/>
        <v>74516.672641760015</v>
      </c>
      <c r="E69" s="20">
        <f t="shared" si="72"/>
        <v>111937.35709481</v>
      </c>
      <c r="F69" s="20">
        <f t="shared" si="72"/>
        <v>59256.700818670011</v>
      </c>
      <c r="G69" s="20">
        <f t="shared" si="72"/>
        <v>23918.427843730111</v>
      </c>
      <c r="H69" s="20">
        <f t="shared" si="72"/>
        <v>21937.665641309926</v>
      </c>
      <c r="I69" s="20">
        <f t="shared" si="72"/>
        <v>55280.989643450186</v>
      </c>
      <c r="J69" s="20">
        <f t="shared" ref="J69:O69" si="73">+J9-J38</f>
        <v>31537.09394062002</v>
      </c>
      <c r="K69" s="20">
        <f t="shared" si="73"/>
        <v>13564.234956950182</v>
      </c>
      <c r="L69" s="20">
        <f t="shared" si="73"/>
        <v>-31520.196007070073</v>
      </c>
      <c r="M69" s="20">
        <f t="shared" si="73"/>
        <v>98402.108618099941</v>
      </c>
      <c r="N69" s="20">
        <f t="shared" si="73"/>
        <v>104230.91390542005</v>
      </c>
      <c r="O69" s="20">
        <f t="shared" si="73"/>
        <v>56971.610987839988</v>
      </c>
      <c r="P69" s="20">
        <f t="shared" ref="P69:U69" si="74">+P9-P38</f>
        <v>59126.026091669919</v>
      </c>
      <c r="Q69" s="20">
        <f t="shared" si="74"/>
        <v>50051.679898809991</v>
      </c>
      <c r="R69" s="20">
        <f t="shared" si="74"/>
        <v>339601.05933403003</v>
      </c>
      <c r="S69" s="20">
        <f t="shared" si="74"/>
        <v>334657.63729634014</v>
      </c>
      <c r="T69" s="20">
        <f t="shared" si="74"/>
        <v>347655.27129749977</v>
      </c>
      <c r="U69" s="20">
        <f t="shared" si="74"/>
        <v>224354.11067291995</v>
      </c>
      <c r="V69" s="20">
        <f>+V9-V38</f>
        <v>276372.12068057014</v>
      </c>
      <c r="W69" s="20">
        <f>+W9-W38</f>
        <v>166801.62642346043</v>
      </c>
      <c r="X69" s="39">
        <f t="shared" ref="X69:AQ69" si="75">+D69/C69-1</f>
        <v>0.67920390748246517</v>
      </c>
      <c r="Y69" s="39">
        <f t="shared" si="75"/>
        <v>0.5021786819837013</v>
      </c>
      <c r="Z69" s="39">
        <f t="shared" si="75"/>
        <v>-0.47062622919996144</v>
      </c>
      <c r="AA69" s="39">
        <f t="shared" si="75"/>
        <v>-0.59635910347215737</v>
      </c>
      <c r="AB69" s="39">
        <f t="shared" si="75"/>
        <v>-8.2813227330884698E-2</v>
      </c>
      <c r="AC69" s="39">
        <f t="shared" si="75"/>
        <v>1.5199121249871181</v>
      </c>
      <c r="AD69" s="39">
        <f t="shared" si="75"/>
        <v>-0.42951285525047389</v>
      </c>
      <c r="AE69" s="39">
        <f t="shared" si="75"/>
        <v>-0.56989585081968053</v>
      </c>
      <c r="AF69" s="39">
        <f t="shared" si="75"/>
        <v>-3.3237724875091041</v>
      </c>
      <c r="AG69" s="39">
        <f t="shared" si="75"/>
        <v>-4.121874895575778</v>
      </c>
      <c r="AH69" s="39">
        <f t="shared" si="75"/>
        <v>5.9234556750626055E-2</v>
      </c>
      <c r="AI69" s="39">
        <f t="shared" si="75"/>
        <v>-0.45340965695132951</v>
      </c>
      <c r="AJ69" s="39">
        <f t="shared" si="75"/>
        <v>3.7815590369908447E-2</v>
      </c>
      <c r="AK69" s="39">
        <f t="shared" si="75"/>
        <v>-0.15347465055051934</v>
      </c>
      <c r="AL69" s="39">
        <f t="shared" si="75"/>
        <v>5.7850082159201266</v>
      </c>
      <c r="AM69" s="39">
        <f t="shared" si="75"/>
        <v>-1.4556556588439684E-2</v>
      </c>
      <c r="AN69" s="39">
        <f t="shared" si="75"/>
        <v>3.8838599669100526E-2</v>
      </c>
      <c r="AO69" s="39">
        <f t="shared" si="75"/>
        <v>-0.35466501101623471</v>
      </c>
      <c r="AP69" s="39">
        <f t="shared" si="75"/>
        <v>0.23185672797181733</v>
      </c>
      <c r="AQ69" s="39">
        <f t="shared" si="75"/>
        <v>-0.39646001191180524</v>
      </c>
    </row>
    <row r="70" spans="1:43" ht="18.75">
      <c r="A70" s="6"/>
      <c r="B70" s="46" t="s">
        <v>48</v>
      </c>
      <c r="C70" s="48">
        <f t="shared" ref="C70:I70" si="76">+C69/C77</f>
        <v>3.8211459420983852E-3</v>
      </c>
      <c r="D70" s="48">
        <f t="shared" si="76"/>
        <v>5.3651370743760373E-3</v>
      </c>
      <c r="E70" s="48">
        <f t="shared" si="76"/>
        <v>6.9058875818228038E-3</v>
      </c>
      <c r="F70" s="48">
        <f t="shared" si="76"/>
        <v>3.3618633990381242E-3</v>
      </c>
      <c r="G70" s="48">
        <f t="shared" si="76"/>
        <v>1.207878751652123E-3</v>
      </c>
      <c r="H70" s="48">
        <f t="shared" si="76"/>
        <v>1.0145277445338364E-3</v>
      </c>
      <c r="I70" s="48">
        <f t="shared" si="76"/>
        <v>2.3273395131504322E-3</v>
      </c>
      <c r="J70" s="48">
        <f t="shared" ref="J70:O70" si="77">+J69/J77</f>
        <v>1.2385480960885827E-3</v>
      </c>
      <c r="K70" s="48">
        <f>+K69/K77</f>
        <v>4.8441399460467656E-4</v>
      </c>
      <c r="L70" s="48">
        <f>+L69/L77</f>
        <v>-1.0367836447512297E-3</v>
      </c>
      <c r="M70" s="48">
        <f t="shared" si="77"/>
        <v>3.0696663320521288E-3</v>
      </c>
      <c r="N70" s="48">
        <f t="shared" si="77"/>
        <v>3.0349401270036926E-3</v>
      </c>
      <c r="O70" s="48">
        <f t="shared" si="77"/>
        <v>1.5818979862763716E-3</v>
      </c>
      <c r="P70" s="48">
        <f t="shared" ref="P70:U70" si="78">+P69/P77</f>
        <v>1.5628513421584603E-3</v>
      </c>
      <c r="Q70" s="48">
        <f t="shared" si="78"/>
        <v>1.3714575252257305E-3</v>
      </c>
      <c r="R70" s="48">
        <f t="shared" si="78"/>
        <v>8.4212614309998601E-3</v>
      </c>
      <c r="S70" s="48">
        <f t="shared" si="78"/>
        <v>7.4683644000086919E-3</v>
      </c>
      <c r="T70" s="48">
        <f t="shared" si="78"/>
        <v>7.3876040798076716E-3</v>
      </c>
      <c r="U70" s="48">
        <f t="shared" si="78"/>
        <v>4.5678477268787463E-3</v>
      </c>
      <c r="V70" s="48">
        <f>+V69/V77</f>
        <v>5.3341023491621101E-3</v>
      </c>
      <c r="W70" s="48">
        <f>+W69/W77</f>
        <v>3.110095436558157E-3</v>
      </c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</row>
    <row r="71" spans="1:43">
      <c r="A71" s="6" t="s">
        <v>19</v>
      </c>
      <c r="B71" s="5" t="s">
        <v>21</v>
      </c>
      <c r="C71" s="20">
        <f t="shared" ref="C71:H71" si="79">+C9-C36</f>
        <v>-37307.809407709981</v>
      </c>
      <c r="D71" s="20">
        <f t="shared" si="79"/>
        <v>-30605.227358239994</v>
      </c>
      <c r="E71" s="20">
        <f t="shared" si="79"/>
        <v>31726.857094809995</v>
      </c>
      <c r="F71" s="20">
        <f t="shared" si="79"/>
        <v>-16086.599181330006</v>
      </c>
      <c r="G71" s="20">
        <f t="shared" si="79"/>
        <v>-70893.672156269895</v>
      </c>
      <c r="H71" s="20">
        <f t="shared" si="79"/>
        <v>-85255.711306600075</v>
      </c>
      <c r="I71" s="20">
        <f>+I9-I36</f>
        <v>-42896.910356549837</v>
      </c>
      <c r="J71" s="20">
        <f t="shared" ref="J71:O71" si="80">+J9-J36</f>
        <v>-51409.123027060006</v>
      </c>
      <c r="K71" s="20">
        <f t="shared" si="80"/>
        <v>-79783.779895739804</v>
      </c>
      <c r="L71" s="20">
        <f t="shared" si="80"/>
        <v>-151959.42718668008</v>
      </c>
      <c r="M71" s="20">
        <f t="shared" si="80"/>
        <v>-80364.458078380034</v>
      </c>
      <c r="N71" s="20">
        <f t="shared" si="80"/>
        <v>-85431.657545349968</v>
      </c>
      <c r="O71" s="20">
        <f t="shared" si="80"/>
        <v>-178483.61076527002</v>
      </c>
      <c r="P71" s="20">
        <f t="shared" ref="P71:U71" si="81">+P9-P36</f>
        <v>-178977.92221021012</v>
      </c>
      <c r="Q71" s="20">
        <f t="shared" si="81"/>
        <v>-196827.91428168991</v>
      </c>
      <c r="R71" s="20">
        <f t="shared" si="81"/>
        <v>55644.678432480083</v>
      </c>
      <c r="S71" s="20">
        <f t="shared" si="81"/>
        <v>100967.22559526027</v>
      </c>
      <c r="T71" s="20">
        <f t="shared" si="81"/>
        <v>94651.317988899886</v>
      </c>
      <c r="U71" s="20">
        <f t="shared" si="81"/>
        <v>41727.197988739936</v>
      </c>
      <c r="V71" s="20">
        <f>+V9-V36</f>
        <v>37895.790733100148</v>
      </c>
      <c r="W71" s="20">
        <f>+W9-W36</f>
        <v>-89047.970853629522</v>
      </c>
      <c r="X71" s="39">
        <f t="shared" ref="X71:AQ71" si="82">+D71/C71-1</f>
        <v>-0.17965627454086974</v>
      </c>
      <c r="Y71" s="39">
        <f t="shared" si="82"/>
        <v>-2.0366483059720846</v>
      </c>
      <c r="Z71" s="39">
        <f t="shared" si="82"/>
        <v>-1.5070341235899321</v>
      </c>
      <c r="AA71" s="39">
        <f t="shared" si="82"/>
        <v>3.4070018378122207</v>
      </c>
      <c r="AB71" s="39">
        <f t="shared" si="82"/>
        <v>0.20258562878040998</v>
      </c>
      <c r="AC71" s="39">
        <f t="shared" si="82"/>
        <v>-0.49684414452561176</v>
      </c>
      <c r="AD71" s="39">
        <f t="shared" si="82"/>
        <v>0.19843416693086979</v>
      </c>
      <c r="AE71" s="39">
        <f t="shared" si="82"/>
        <v>0.5519381619045387</v>
      </c>
      <c r="AF71" s="39">
        <f t="shared" si="82"/>
        <v>0.90464060972365923</v>
      </c>
      <c r="AG71" s="39">
        <f t="shared" si="82"/>
        <v>-0.47114529472624689</v>
      </c>
      <c r="AH71" s="39">
        <f t="shared" si="82"/>
        <v>6.3052742320838684E-2</v>
      </c>
      <c r="AI71" s="39">
        <f t="shared" si="82"/>
        <v>1.0891975632162465</v>
      </c>
      <c r="AJ71" s="39">
        <f t="shared" si="82"/>
        <v>2.7695060785730696E-3</v>
      </c>
      <c r="AK71" s="39">
        <f t="shared" si="82"/>
        <v>9.9732927117764492E-2</v>
      </c>
      <c r="AL71" s="39">
        <f t="shared" si="82"/>
        <v>-1.2827072503183887</v>
      </c>
      <c r="AM71" s="39">
        <f t="shared" si="82"/>
        <v>0.81449921968324634</v>
      </c>
      <c r="AN71" s="39">
        <f t="shared" si="82"/>
        <v>-6.2554037402973606E-2</v>
      </c>
      <c r="AO71" s="39">
        <f t="shared" si="82"/>
        <v>-0.55914826253519845</v>
      </c>
      <c r="AP71" s="39">
        <f t="shared" si="82"/>
        <v>-9.182038191669839E-2</v>
      </c>
      <c r="AQ71" s="39">
        <f t="shared" si="82"/>
        <v>-3.3498116579963697</v>
      </c>
    </row>
    <row r="72" spans="1:43" ht="18.75">
      <c r="A72" s="6"/>
      <c r="B72" s="46" t="s">
        <v>48</v>
      </c>
      <c r="C72" s="48">
        <f t="shared" ref="C72:R72" si="83">+C71/C77</f>
        <v>-3.2125016281054843E-3</v>
      </c>
      <c r="D72" s="48">
        <f t="shared" si="83"/>
        <v>-2.2035503485079242E-3</v>
      </c>
      <c r="E72" s="48">
        <f t="shared" si="83"/>
        <v>1.9573636014627127E-3</v>
      </c>
      <c r="F72" s="48">
        <f t="shared" si="83"/>
        <v>-9.1265541711817188E-4</v>
      </c>
      <c r="G72" s="48">
        <f t="shared" si="83"/>
        <v>-3.5801249473257977E-3</v>
      </c>
      <c r="H72" s="48">
        <f t="shared" si="83"/>
        <v>-3.9427296374523546E-3</v>
      </c>
      <c r="I72" s="48">
        <f t="shared" si="83"/>
        <v>-1.8059675687571409E-3</v>
      </c>
      <c r="J72" s="48">
        <f t="shared" si="83"/>
        <v>-2.0189771310773182E-3</v>
      </c>
      <c r="K72" s="48">
        <f t="shared" si="83"/>
        <v>-2.8492856137199651E-3</v>
      </c>
      <c r="L72" s="48">
        <f t="shared" si="83"/>
        <v>-4.9983524448127346E-3</v>
      </c>
      <c r="M72" s="48">
        <f t="shared" si="83"/>
        <v>-2.5069795223010265E-3</v>
      </c>
      <c r="N72" s="48">
        <f t="shared" si="83"/>
        <v>-2.487553412762869E-3</v>
      </c>
      <c r="O72" s="48">
        <f t="shared" si="83"/>
        <v>-4.9558518630126074E-3</v>
      </c>
      <c r="P72" s="48">
        <f t="shared" si="83"/>
        <v>-4.7308419731994754E-3</v>
      </c>
      <c r="Q72" s="48">
        <f t="shared" si="83"/>
        <v>-5.3932480340690156E-3</v>
      </c>
      <c r="R72" s="48">
        <f t="shared" si="83"/>
        <v>1.3798495954128432E-3</v>
      </c>
      <c r="S72" s="48">
        <f>+S71/S77</f>
        <v>2.2532282224163504E-3</v>
      </c>
      <c r="T72" s="48">
        <f>+T71/T77</f>
        <v>2.0113213308237238E-3</v>
      </c>
      <c r="U72" s="48">
        <f>+U71/U77</f>
        <v>8.4956538531964321E-4</v>
      </c>
      <c r="V72" s="48">
        <f>+V71/V77</f>
        <v>7.3140527298850774E-4</v>
      </c>
      <c r="W72" s="48">
        <f>+W71/W77</f>
        <v>-1.6603416508874317E-3</v>
      </c>
      <c r="X72" s="20"/>
      <c r="Y72" s="20"/>
      <c r="Z72" s="20"/>
      <c r="AA72" s="20"/>
      <c r="AB72" s="20"/>
      <c r="AC72" s="39"/>
      <c r="AD72" s="39"/>
      <c r="AE72" s="39"/>
      <c r="AF72" s="39"/>
      <c r="AG72" s="39"/>
      <c r="AH72" s="39"/>
      <c r="AI72" s="39"/>
      <c r="AJ72" s="39"/>
    </row>
    <row r="73" spans="1:43" ht="18.75">
      <c r="A73" s="6"/>
      <c r="B73" s="46"/>
      <c r="C73" s="46"/>
      <c r="D73" s="20"/>
      <c r="E73" s="20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20"/>
      <c r="Y73" s="20"/>
      <c r="Z73" s="20"/>
      <c r="AA73" s="20"/>
      <c r="AB73" s="20"/>
      <c r="AC73" s="39"/>
      <c r="AD73" s="39"/>
      <c r="AE73" s="39"/>
      <c r="AF73" s="39"/>
      <c r="AG73" s="39"/>
      <c r="AH73" s="39"/>
      <c r="AI73" s="39"/>
      <c r="AJ73" s="39"/>
    </row>
    <row r="74" spans="1:43">
      <c r="A74" s="6"/>
      <c r="B74" s="25" t="s">
        <v>39</v>
      </c>
      <c r="C74" s="25"/>
      <c r="D74" s="7">
        <v>0</v>
      </c>
      <c r="E74" s="7">
        <v>0</v>
      </c>
      <c r="F74" s="20">
        <v>112036</v>
      </c>
      <c r="G74" s="20">
        <f>SUM(G75:G76)</f>
        <v>72277.583550866737</v>
      </c>
      <c r="H74" s="20">
        <f>SUM(H75:H76)</f>
        <v>96043.638319948615</v>
      </c>
      <c r="I74" s="20">
        <f>SUM(I75:I76)</f>
        <v>49734</v>
      </c>
      <c r="J74" s="20">
        <f t="shared" ref="J74:O74" si="84">SUM(J75:J76)</f>
        <v>51409.107199319064</v>
      </c>
      <c r="K74" s="20">
        <f t="shared" si="84"/>
        <v>79783.787270539819</v>
      </c>
      <c r="L74" s="20">
        <f t="shared" si="84"/>
        <v>152028.67941392615</v>
      </c>
      <c r="M74" s="20">
        <f t="shared" si="84"/>
        <v>80364.508379532504</v>
      </c>
      <c r="N74" s="20">
        <f t="shared" si="84"/>
        <v>85431.692461809493</v>
      </c>
      <c r="O74" s="20">
        <f t="shared" si="84"/>
        <v>178483.56233146373</v>
      </c>
      <c r="P74" s="20">
        <f t="shared" ref="P74:W74" si="85">SUM(P75:P76)</f>
        <v>178977.90594649737</v>
      </c>
      <c r="Q74" s="20">
        <f t="shared" si="85"/>
        <v>196827.85940013206</v>
      </c>
      <c r="R74" s="20">
        <f t="shared" si="85"/>
        <v>-55644.665762349498</v>
      </c>
      <c r="S74" s="20">
        <f t="shared" si="85"/>
        <v>-100967.19002937269</v>
      </c>
      <c r="T74" s="20">
        <f t="shared" si="85"/>
        <v>-94651.288153735397</v>
      </c>
      <c r="U74" s="20">
        <f t="shared" si="85"/>
        <v>-41727.197525521711</v>
      </c>
      <c r="V74" s="20">
        <f t="shared" si="85"/>
        <v>-37895.752517536792</v>
      </c>
      <c r="W74" s="20">
        <f t="shared" si="85"/>
        <v>89048.028255876095</v>
      </c>
      <c r="X74" s="7"/>
      <c r="Y74" s="7"/>
      <c r="Z74" s="7"/>
      <c r="AA74" s="7"/>
      <c r="AB74" s="7"/>
      <c r="AC74" s="7"/>
      <c r="AD74" s="7"/>
      <c r="AE74" s="34"/>
      <c r="AF74" s="34"/>
      <c r="AG74" s="2"/>
      <c r="AH74" s="34"/>
    </row>
    <row r="75" spans="1:43">
      <c r="B75" s="33" t="s">
        <v>41</v>
      </c>
      <c r="C75" s="33"/>
      <c r="D75" s="34">
        <v>0</v>
      </c>
      <c r="E75" s="34">
        <v>0</v>
      </c>
      <c r="F75" s="34">
        <v>120905</v>
      </c>
      <c r="G75" s="34">
        <v>67523.577494063691</v>
      </c>
      <c r="H75" s="34">
        <v>98611.340570028609</v>
      </c>
      <c r="I75" s="34">
        <v>53239</v>
      </c>
      <c r="J75" s="34">
        <f>40463.0099941521+12645.1</f>
        <v>53108.109994152095</v>
      </c>
      <c r="K75" s="34">
        <f>208411.012711683--4897.2-537.6</f>
        <v>212770.612711683</v>
      </c>
      <c r="L75" s="34">
        <f>-382598.971356854-185.1-0.1</f>
        <v>-382784.17135685397</v>
      </c>
      <c r="M75" s="34">
        <v>87155.146663842504</v>
      </c>
      <c r="N75" s="34">
        <v>92341.488430875892</v>
      </c>
      <c r="O75" s="34">
        <f>172685.31465104+16725.3</f>
        <v>189410.61465104</v>
      </c>
      <c r="P75" s="34">
        <v>181658.46896053699</v>
      </c>
      <c r="Q75" s="34">
        <v>202050.31277094799</v>
      </c>
      <c r="R75" s="34">
        <v>-63843.6767930395</v>
      </c>
      <c r="S75" s="34">
        <v>-442449.093992215</v>
      </c>
      <c r="T75" s="34">
        <v>-65186.956525126399</v>
      </c>
      <c r="U75" s="2">
        <f>30411.6219761802-28716.289</f>
        <v>1695.3329761801979</v>
      </c>
      <c r="V75" s="2">
        <v>15519.815831645199</v>
      </c>
      <c r="W75" s="2">
        <v>109101.788628743</v>
      </c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43" ht="13.5" thickBot="1">
      <c r="B76" s="56" t="s">
        <v>42</v>
      </c>
      <c r="C76" s="56"/>
      <c r="D76" s="57">
        <v>0</v>
      </c>
      <c r="E76" s="57">
        <v>0</v>
      </c>
      <c r="F76" s="57">
        <v>-8869</v>
      </c>
      <c r="G76" s="57">
        <v>4754.0060568030494</v>
      </c>
      <c r="H76" s="57">
        <v>-2567.7022500799999</v>
      </c>
      <c r="I76" s="57">
        <v>-3505</v>
      </c>
      <c r="J76" s="57">
        <v>-1699.0027948330303</v>
      </c>
      <c r="K76" s="57">
        <v>-132986.82544114318</v>
      </c>
      <c r="L76" s="57">
        <v>534812.85077078012</v>
      </c>
      <c r="M76" s="57">
        <v>-6790.63828431</v>
      </c>
      <c r="N76" s="57">
        <v>-6909.7959690663993</v>
      </c>
      <c r="O76" s="57">
        <v>-10927.052319576258</v>
      </c>
      <c r="P76" s="57">
        <v>-2680.5630140396224</v>
      </c>
      <c r="Q76" s="57">
        <v>-5222.4533708159242</v>
      </c>
      <c r="R76" s="57">
        <v>8199.0110306899987</v>
      </c>
      <c r="S76" s="57">
        <v>341481.90396284231</v>
      </c>
      <c r="T76" s="57">
        <v>-29464.331628609001</v>
      </c>
      <c r="U76" s="57">
        <v>-43422.530501701905</v>
      </c>
      <c r="V76" s="57">
        <v>-53415.568349181987</v>
      </c>
      <c r="W76" s="36">
        <v>-20053.760372866898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9"/>
      <c r="AJ76" s="9"/>
      <c r="AK76" s="9"/>
      <c r="AL76" s="9"/>
      <c r="AM76" s="9"/>
      <c r="AN76" s="9"/>
      <c r="AO76" s="9"/>
      <c r="AP76" s="9"/>
      <c r="AQ76" s="9"/>
    </row>
    <row r="77" spans="1:43" ht="15" thickTop="1">
      <c r="B77" s="15" t="s">
        <v>84</v>
      </c>
      <c r="C77" s="47">
        <v>11613320</v>
      </c>
      <c r="D77" s="47">
        <v>13889052.9</v>
      </c>
      <c r="E77" s="47">
        <v>16208974.699999999</v>
      </c>
      <c r="F77" s="47">
        <v>17626147.699999999</v>
      </c>
      <c r="G77" s="47">
        <v>19802010.600000001</v>
      </c>
      <c r="H77" s="47">
        <v>21623524.600000001</v>
      </c>
      <c r="I77" s="47">
        <v>23752868.600000001</v>
      </c>
      <c r="J77" s="47">
        <v>25462954.600000001</v>
      </c>
      <c r="K77" s="47">
        <v>28001327.600000001</v>
      </c>
      <c r="L77" s="47">
        <v>30401903.199999999</v>
      </c>
      <c r="M77" s="47">
        <v>32056288.199999999</v>
      </c>
      <c r="N77" s="47">
        <v>34343647.5</v>
      </c>
      <c r="O77" s="47">
        <v>36014718.700000003</v>
      </c>
      <c r="P77" s="47">
        <v>37832149.799999997</v>
      </c>
      <c r="Q77" s="47">
        <v>36495246.100000001</v>
      </c>
      <c r="R77" s="47">
        <v>40326625.899999999</v>
      </c>
      <c r="S77" s="47">
        <v>44810030.600000001</v>
      </c>
      <c r="T77" s="47">
        <v>47059272.200000003</v>
      </c>
      <c r="U77" s="47">
        <v>49115934.700000003</v>
      </c>
      <c r="V77" s="47">
        <v>51812301.787569404</v>
      </c>
      <c r="W77" s="47">
        <v>53632317.665484391</v>
      </c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2"/>
    </row>
    <row r="79" spans="1:43" ht="12.75" customHeight="1">
      <c r="A79" s="53"/>
      <c r="B79" s="193" t="s">
        <v>141</v>
      </c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X79" s="54"/>
      <c r="Y79" s="54"/>
      <c r="Z79" s="54"/>
      <c r="AA79" s="54"/>
      <c r="AB79" s="54"/>
      <c r="AC79" s="54"/>
      <c r="AD79" s="1"/>
      <c r="AE79" s="1"/>
      <c r="AF79" s="1"/>
      <c r="AG79" s="1"/>
    </row>
    <row r="80" spans="1:43" ht="12.75" customHeight="1">
      <c r="A80" s="53"/>
      <c r="B80" s="1" t="s">
        <v>85</v>
      </c>
      <c r="P80" s="59"/>
      <c r="X80" s="54"/>
      <c r="Y80" s="54"/>
      <c r="Z80" s="54"/>
      <c r="AA80" s="54"/>
      <c r="AB80" s="54"/>
      <c r="AC80" s="54"/>
      <c r="AD80" s="1"/>
      <c r="AE80" s="1"/>
      <c r="AF80" s="1"/>
      <c r="AG80" s="1"/>
    </row>
    <row r="81" spans="1:35" ht="12.75" customHeight="1">
      <c r="A81" s="53"/>
      <c r="B81" s="1" t="s">
        <v>83</v>
      </c>
      <c r="P81" s="59"/>
      <c r="X81" s="54"/>
      <c r="Y81" s="54"/>
      <c r="Z81" s="54"/>
      <c r="AA81" s="54"/>
      <c r="AB81" s="54"/>
      <c r="AC81" s="54"/>
      <c r="AD81" s="1"/>
      <c r="AE81" s="1"/>
      <c r="AF81" s="1"/>
      <c r="AG81" s="1"/>
    </row>
    <row r="82" spans="1:35" ht="12.75" customHeight="1">
      <c r="A82" s="53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X82" s="54"/>
      <c r="Y82" s="54"/>
      <c r="Z82" s="54"/>
      <c r="AA82" s="54"/>
      <c r="AB82" s="54"/>
      <c r="AC82" s="54"/>
      <c r="AD82" s="1"/>
      <c r="AE82" s="1"/>
      <c r="AF82" s="1"/>
      <c r="AG82" s="1"/>
    </row>
    <row r="83" spans="1:35" ht="12.75" customHeight="1">
      <c r="A83" s="53"/>
      <c r="U83" s="2"/>
      <c r="V83" s="2"/>
      <c r="W83" s="2"/>
      <c r="X83" s="54"/>
      <c r="Y83" s="54"/>
      <c r="Z83" s="54"/>
      <c r="AA83" s="54"/>
      <c r="AB83" s="54"/>
      <c r="AC83" s="54"/>
      <c r="AD83" s="1"/>
      <c r="AE83" s="1"/>
      <c r="AF83" s="1"/>
      <c r="AG83" s="1"/>
    </row>
    <row r="84" spans="1:35" ht="12.75" customHeight="1">
      <c r="A84" s="53"/>
      <c r="W84" s="2"/>
      <c r="X84" s="54"/>
      <c r="Y84" s="54"/>
      <c r="Z84" s="54"/>
      <c r="AA84" s="54"/>
      <c r="AB84" s="54"/>
      <c r="AC84" s="54"/>
      <c r="AD84" s="1"/>
      <c r="AE84" s="1"/>
      <c r="AF84" s="1"/>
      <c r="AG84" s="1"/>
    </row>
    <row r="85" spans="1:35">
      <c r="B85" s="195" t="s">
        <v>55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52"/>
    </row>
    <row r="86" spans="1:35">
      <c r="V86" s="2"/>
      <c r="W86" s="2"/>
    </row>
    <row r="87" spans="1:35">
      <c r="P87" s="2"/>
      <c r="R87" s="2"/>
      <c r="S87" s="2"/>
      <c r="T87" s="2"/>
      <c r="U87" s="2"/>
      <c r="V87" s="2"/>
      <c r="W87" s="2"/>
    </row>
    <row r="88" spans="1:35"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35">
      <c r="T89" s="2"/>
      <c r="U89" s="2"/>
      <c r="V89" s="2"/>
      <c r="W89" s="2"/>
    </row>
  </sheetData>
  <mergeCells count="6">
    <mergeCell ref="A4:AP4"/>
    <mergeCell ref="B85:AH85"/>
    <mergeCell ref="A2:AP2"/>
    <mergeCell ref="A3:AP3"/>
    <mergeCell ref="X6:AQ6"/>
    <mergeCell ref="C6:W6"/>
  </mergeCells>
  <phoneticPr fontId="0" type="noConversion"/>
  <pageMargins left="0.23622047244094491" right="0.27559055118110237" top="0.78740157480314965" bottom="0.19685039370078741" header="0" footer="0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8BA7-4FF2-4470-B03B-AE76BA59E8E4}">
  <dimension ref="A1:AQ92"/>
  <sheetViews>
    <sheetView tabSelected="1" zoomScale="87" zoomScaleNormal="87" workbookViewId="0">
      <pane xSplit="2" ySplit="7" topLeftCell="Q8" activePane="bottomRight" state="frozen"/>
      <selection activeCell="C32" sqref="C32"/>
      <selection pane="topRight" activeCell="C32" sqref="C32"/>
      <selection pane="bottomLeft" activeCell="C32" sqref="C32"/>
      <selection pane="bottomRight" activeCell="Q1" sqref="Q1:Q1048576"/>
    </sheetView>
  </sheetViews>
  <sheetFormatPr baseColWidth="10" defaultRowHeight="12.75"/>
  <cols>
    <col min="1" max="1" width="3.85546875" style="1" customWidth="1"/>
    <col min="2" max="2" width="39.140625" style="1" customWidth="1"/>
    <col min="3" max="5" width="10" style="1" hidden="1" customWidth="1"/>
    <col min="6" max="8" width="9.7109375" style="1" hidden="1" customWidth="1"/>
    <col min="9" max="15" width="10.7109375" style="1" hidden="1" customWidth="1"/>
    <col min="16" max="16" width="11.28515625" style="1" bestFit="1" customWidth="1"/>
    <col min="17" max="17" width="10.7109375" style="1" bestFit="1" customWidth="1"/>
    <col min="18" max="19" width="11.28515625" style="1" bestFit="1" customWidth="1"/>
    <col min="20" max="20" width="10.7109375" style="1" bestFit="1" customWidth="1"/>
    <col min="21" max="21" width="10.7109375" style="1" customWidth="1"/>
    <col min="22" max="22" width="11.28515625" style="1" customWidth="1"/>
    <col min="23" max="23" width="10.7109375" style="1" bestFit="1" customWidth="1"/>
    <col min="24" max="25" width="7.42578125" style="8" hidden="1" customWidth="1"/>
    <col min="26" max="26" width="6.85546875" style="8" hidden="1" customWidth="1"/>
    <col min="27" max="27" width="7.42578125" style="8" hidden="1" customWidth="1"/>
    <col min="28" max="29" width="6.28515625" style="8" hidden="1" customWidth="1"/>
    <col min="30" max="30" width="7.140625" style="8" hidden="1" customWidth="1"/>
    <col min="31" max="31" width="6" style="8" hidden="1" customWidth="1"/>
    <col min="32" max="32" width="6.28515625" style="8" hidden="1" customWidth="1"/>
    <col min="33" max="33" width="7.42578125" style="8" hidden="1" customWidth="1"/>
    <col min="34" max="37" width="7.42578125" style="1" hidden="1" customWidth="1"/>
    <col min="38" max="41" width="7.42578125" style="1" bestFit="1" customWidth="1"/>
    <col min="42" max="42" width="8" style="1" bestFit="1" customWidth="1"/>
    <col min="43" max="43" width="7.42578125" style="1" bestFit="1" customWidth="1"/>
    <col min="44" max="16384" width="11.42578125" style="1"/>
  </cols>
  <sheetData>
    <row r="1" spans="1:43">
      <c r="X1" s="1"/>
      <c r="Y1" s="1"/>
      <c r="Z1" s="1"/>
      <c r="AA1" s="1"/>
      <c r="AB1" s="1"/>
      <c r="AC1" s="1"/>
      <c r="AD1" s="1"/>
    </row>
    <row r="2" spans="1:43">
      <c r="A2" s="196" t="s">
        <v>44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</row>
    <row r="3" spans="1:43">
      <c r="A3" s="196" t="s">
        <v>138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</row>
    <row r="4" spans="1:43">
      <c r="A4" s="194" t="s">
        <v>43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</row>
    <row r="5" spans="1:43" ht="13.5" thickBo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1"/>
      <c r="AI5" s="9"/>
      <c r="AJ5" s="9"/>
      <c r="AK5" s="9"/>
      <c r="AL5" s="9"/>
      <c r="AM5" s="9"/>
      <c r="AN5" s="9"/>
      <c r="AO5" s="9"/>
      <c r="AP5" s="9"/>
      <c r="AQ5" s="9"/>
    </row>
    <row r="6" spans="1:43" ht="13.5" thickTop="1">
      <c r="C6" s="197" t="s">
        <v>46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 t="s">
        <v>20</v>
      </c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</row>
    <row r="7" spans="1:43">
      <c r="B7" s="12" t="s">
        <v>0</v>
      </c>
      <c r="C7" s="31">
        <v>2006</v>
      </c>
      <c r="D7" s="31">
        <v>2007</v>
      </c>
      <c r="E7" s="31">
        <v>2008</v>
      </c>
      <c r="F7" s="31">
        <v>2009</v>
      </c>
      <c r="G7" s="31">
        <v>2010</v>
      </c>
      <c r="H7" s="31">
        <v>2011</v>
      </c>
      <c r="I7" s="31">
        <v>2012</v>
      </c>
      <c r="J7" s="31" t="s">
        <v>49</v>
      </c>
      <c r="K7" s="31">
        <v>2014</v>
      </c>
      <c r="L7" s="31">
        <v>2015</v>
      </c>
      <c r="M7" s="31">
        <v>2016</v>
      </c>
      <c r="N7" s="31">
        <v>2017</v>
      </c>
      <c r="O7" s="31">
        <v>2018</v>
      </c>
      <c r="P7" s="31">
        <v>2019</v>
      </c>
      <c r="Q7" s="31">
        <v>2020</v>
      </c>
      <c r="R7" s="31">
        <v>2021</v>
      </c>
      <c r="S7" s="31">
        <v>2022</v>
      </c>
      <c r="T7" s="31">
        <v>2023</v>
      </c>
      <c r="U7" s="31">
        <v>2024</v>
      </c>
      <c r="V7" s="31">
        <v>2025</v>
      </c>
      <c r="W7" s="31">
        <v>2026</v>
      </c>
      <c r="X7" s="13" t="s">
        <v>57</v>
      </c>
      <c r="Y7" s="13" t="s">
        <v>58</v>
      </c>
      <c r="Z7" s="13" t="s">
        <v>59</v>
      </c>
      <c r="AA7" s="13" t="s">
        <v>60</v>
      </c>
      <c r="AB7" s="13" t="s">
        <v>61</v>
      </c>
      <c r="AC7" s="13" t="s">
        <v>62</v>
      </c>
      <c r="AD7" s="13" t="s">
        <v>63</v>
      </c>
      <c r="AE7" s="13" t="s">
        <v>64</v>
      </c>
      <c r="AF7" s="13" t="s">
        <v>65</v>
      </c>
      <c r="AG7" s="13" t="s">
        <v>66</v>
      </c>
      <c r="AH7" s="13" t="s">
        <v>67</v>
      </c>
      <c r="AI7" s="13" t="s">
        <v>68</v>
      </c>
      <c r="AJ7" s="13" t="s">
        <v>69</v>
      </c>
      <c r="AK7" s="13" t="s">
        <v>70</v>
      </c>
      <c r="AL7" s="13" t="s">
        <v>71</v>
      </c>
      <c r="AM7" s="13" t="s">
        <v>72</v>
      </c>
      <c r="AN7" s="13" t="s">
        <v>73</v>
      </c>
      <c r="AO7" s="13" t="s">
        <v>76</v>
      </c>
      <c r="AP7" s="13" t="s">
        <v>77</v>
      </c>
      <c r="AQ7" s="13" t="s">
        <v>139</v>
      </c>
    </row>
    <row r="8" spans="1:43">
      <c r="C8" s="8"/>
      <c r="D8" s="8"/>
    </row>
    <row r="9" spans="1:43">
      <c r="A9" s="1">
        <v>1</v>
      </c>
      <c r="B9" s="5" t="s">
        <v>10</v>
      </c>
      <c r="C9" s="20">
        <f>+C11+C34</f>
        <v>371761.68118324009</v>
      </c>
      <c r="D9" s="20">
        <f>+D11+D34</f>
        <v>495716.53556381993</v>
      </c>
      <c r="E9" s="20">
        <f>+E11+E34</f>
        <v>623034.3225471701</v>
      </c>
      <c r="F9" s="20">
        <f t="shared" ref="F9:W9" si="0">F11+F34</f>
        <v>598262.88796305005</v>
      </c>
      <c r="G9" s="20">
        <f t="shared" si="0"/>
        <v>643733.4769894901</v>
      </c>
      <c r="H9" s="20">
        <f t="shared" si="0"/>
        <v>671467.16353224998</v>
      </c>
      <c r="I9" s="20">
        <f t="shared" si="0"/>
        <v>756791.2</v>
      </c>
      <c r="J9" s="20">
        <f t="shared" si="0"/>
        <v>838016.39068769012</v>
      </c>
      <c r="K9" s="20">
        <f t="shared" si="0"/>
        <v>886764.8035275701</v>
      </c>
      <c r="L9" s="20">
        <f t="shared" si="0"/>
        <v>1003344.66585973</v>
      </c>
      <c r="M9" s="20">
        <f t="shared" si="0"/>
        <v>1076806.3510244</v>
      </c>
      <c r="N9" s="20">
        <f t="shared" si="0"/>
        <v>1195994.5781255802</v>
      </c>
      <c r="O9" s="20">
        <f t="shared" si="0"/>
        <v>1180127.6951917401</v>
      </c>
      <c r="P9" s="20">
        <f t="shared" si="0"/>
        <v>1357042.46026492</v>
      </c>
      <c r="Q9" s="20">
        <f t="shared" si="0"/>
        <v>1366572.2124774801</v>
      </c>
      <c r="R9" s="20">
        <f t="shared" si="0"/>
        <v>1738258.5837188901</v>
      </c>
      <c r="S9" s="20">
        <f t="shared" si="0"/>
        <v>1937252.6968220801</v>
      </c>
      <c r="T9" s="20">
        <f t="shared" si="0"/>
        <v>2014094.5636290698</v>
      </c>
      <c r="U9" s="20">
        <f t="shared" si="0"/>
        <v>1941381.80246643</v>
      </c>
      <c r="V9" s="20">
        <f t="shared" si="0"/>
        <v>2030018.0904758296</v>
      </c>
      <c r="W9" s="20">
        <f t="shared" si="0"/>
        <v>1959162.7423709601</v>
      </c>
      <c r="X9" s="39">
        <f t="shared" ref="X9:AQ9" si="1">+D9/C9-1</f>
        <v>0.33342558056563898</v>
      </c>
      <c r="Y9" s="39">
        <f t="shared" si="1"/>
        <v>0.25683586858473673</v>
      </c>
      <c r="Z9" s="39">
        <f t="shared" si="1"/>
        <v>-3.975934180134133E-2</v>
      </c>
      <c r="AA9" s="39">
        <f t="shared" si="1"/>
        <v>7.6004361863823977E-2</v>
      </c>
      <c r="AB9" s="39">
        <f t="shared" si="1"/>
        <v>4.3082560615707477E-2</v>
      </c>
      <c r="AC9" s="39">
        <f t="shared" si="1"/>
        <v>0.12707104844696082</v>
      </c>
      <c r="AD9" s="39">
        <f t="shared" si="1"/>
        <v>0.10732840271886102</v>
      </c>
      <c r="AE9" s="39">
        <f t="shared" si="1"/>
        <v>5.8171192570441566E-2</v>
      </c>
      <c r="AF9" s="39">
        <f t="shared" si="1"/>
        <v>0.13146649694304813</v>
      </c>
      <c r="AG9" s="39">
        <f t="shared" si="1"/>
        <v>7.3216799435240176E-2</v>
      </c>
      <c r="AH9" s="39">
        <f t="shared" si="1"/>
        <v>0.11068677946391436</v>
      </c>
      <c r="AI9" s="39">
        <f t="shared" si="1"/>
        <v>-1.3266684669012041E-2</v>
      </c>
      <c r="AJ9" s="39">
        <f t="shared" si="1"/>
        <v>0.14991154414390384</v>
      </c>
      <c r="AK9" s="39">
        <f t="shared" si="1"/>
        <v>7.0224421796645231E-3</v>
      </c>
      <c r="AL9" s="39">
        <f t="shared" si="1"/>
        <v>0.27198443510538972</v>
      </c>
      <c r="AM9" s="39">
        <f t="shared" si="1"/>
        <v>0.1144790050036486</v>
      </c>
      <c r="AN9" s="39">
        <f t="shared" si="1"/>
        <v>3.9665381255136856E-2</v>
      </c>
      <c r="AO9" s="39">
        <f t="shared" si="1"/>
        <v>-3.6101959895876612E-2</v>
      </c>
      <c r="AP9" s="39">
        <f t="shared" si="1"/>
        <v>4.5656288678914914E-2</v>
      </c>
      <c r="AQ9" s="39">
        <f t="shared" si="1"/>
        <v>-3.4903801319455807E-2</v>
      </c>
    </row>
    <row r="10" spans="1:43">
      <c r="B10" s="5"/>
      <c r="C10" s="2"/>
      <c r="D10" s="2"/>
      <c r="E10" s="2"/>
      <c r="F10" s="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>
      <c r="B11" s="5" t="s">
        <v>31</v>
      </c>
      <c r="C11" s="19">
        <f>+C12+C30+C31+C32</f>
        <v>371749.68118324009</v>
      </c>
      <c r="D11" s="19">
        <f>+D12+D30+D31+D32</f>
        <v>495676.53556381993</v>
      </c>
      <c r="E11" s="19">
        <f>+E12+E30+E31+E32</f>
        <v>622994.3225471701</v>
      </c>
      <c r="F11" s="19">
        <f t="shared" ref="F11:S11" si="2">F12+F30+F31+F32</f>
        <v>598262.88796305005</v>
      </c>
      <c r="G11" s="19">
        <f t="shared" si="2"/>
        <v>643711.4321068601</v>
      </c>
      <c r="H11" s="19">
        <f t="shared" si="2"/>
        <v>671451.66353224998</v>
      </c>
      <c r="I11" s="19">
        <f t="shared" si="2"/>
        <v>756761.2</v>
      </c>
      <c r="J11" s="19">
        <f t="shared" si="2"/>
        <v>838016.39068769012</v>
      </c>
      <c r="K11" s="19">
        <f t="shared" si="2"/>
        <v>886764.8035275701</v>
      </c>
      <c r="L11" s="19">
        <f t="shared" si="2"/>
        <v>1003275.36053927</v>
      </c>
      <c r="M11" s="19">
        <f t="shared" si="2"/>
        <v>1072326.86362641</v>
      </c>
      <c r="N11" s="19">
        <f t="shared" si="2"/>
        <v>1190109.7973877501</v>
      </c>
      <c r="O11" s="19">
        <f t="shared" si="2"/>
        <v>1179609.84006374</v>
      </c>
      <c r="P11" s="19">
        <f t="shared" si="2"/>
        <v>1326989.95026492</v>
      </c>
      <c r="Q11" s="19">
        <f t="shared" si="2"/>
        <v>1366572.2124774801</v>
      </c>
      <c r="R11" s="19">
        <f t="shared" si="2"/>
        <v>1731723.63477389</v>
      </c>
      <c r="S11" s="19">
        <f t="shared" si="2"/>
        <v>1937252.6968220801</v>
      </c>
      <c r="T11" s="19">
        <f>T12+T30+T31+T32</f>
        <v>2014094.5636290698</v>
      </c>
      <c r="U11" s="19">
        <f>U12+U30+U31+U32</f>
        <v>1933798.3661124301</v>
      </c>
      <c r="V11" s="19">
        <f>V12+V30+V31+V32</f>
        <v>2022476.3898108297</v>
      </c>
      <c r="W11" s="19">
        <f>W12+W30+W31+W32</f>
        <v>1947909.0210839601</v>
      </c>
      <c r="X11" s="28">
        <f t="shared" ref="X11:X27" si="3">+D11/C11-1</f>
        <v>0.33336102397218936</v>
      </c>
      <c r="Y11" s="28">
        <f t="shared" ref="Y11:Y27" si="4">+E11/D11-1</f>
        <v>0.25685659467121913</v>
      </c>
      <c r="Z11" s="28">
        <f t="shared" ref="Z11:Z27" si="5">+F11/E11-1</f>
        <v>-3.9697688548754773E-2</v>
      </c>
      <c r="AA11" s="28">
        <f t="shared" ref="AA11:AA27" si="6">+G11/F11-1</f>
        <v>7.5967513710489598E-2</v>
      </c>
      <c r="AB11" s="28">
        <f t="shared" ref="AB11:AB27" si="7">+H11/G11-1</f>
        <v>4.3094203461008007E-2</v>
      </c>
      <c r="AC11" s="28">
        <f t="shared" ref="AC11:AC27" si="8">+I11/H11-1</f>
        <v>0.12705238679277242</v>
      </c>
      <c r="AD11" s="28">
        <f t="shared" ref="AD11:AD27" si="9">+J11/I11-1</f>
        <v>0.10737230012279997</v>
      </c>
      <c r="AE11" s="28">
        <f t="shared" ref="AE11:AE27" si="10">+K11/J11-1</f>
        <v>5.8171192570441566E-2</v>
      </c>
      <c r="AF11" s="28">
        <f t="shared" ref="AF11:AF27" si="11">+L11/K11-1</f>
        <v>0.13138834169806723</v>
      </c>
      <c r="AG11" s="28">
        <f t="shared" ref="AG11:AG27" si="12">+M11/L11-1</f>
        <v>6.8826072883943157E-2</v>
      </c>
      <c r="AH11" s="28">
        <f t="shared" ref="AH11:AH27" si="13">+N11/M11-1</f>
        <v>0.10983864878943739</v>
      </c>
      <c r="AI11" s="28">
        <f t="shared" ref="AI11:AI27" si="14">+O11/N11-1</f>
        <v>-8.8226795099554112E-3</v>
      </c>
      <c r="AJ11" s="28">
        <f t="shared" ref="AJ11:AJ27" si="15">+P11/O11-1</f>
        <v>0.12493970904245444</v>
      </c>
      <c r="AK11" s="28">
        <f t="shared" ref="AK11:AK27" si="16">+Q11/P11-1</f>
        <v>2.9828607371636728E-2</v>
      </c>
      <c r="AL11" s="28">
        <f t="shared" ref="AL11:AL27" si="17">+R11/Q11-1</f>
        <v>0.26720243464809035</v>
      </c>
      <c r="AM11" s="28">
        <f t="shared" ref="AM11:AM27" si="18">+S11/R11-1</f>
        <v>0.11868467804045757</v>
      </c>
      <c r="AN11" s="28">
        <f t="shared" ref="AN11:AN27" si="19">+T11/S11-1</f>
        <v>3.9665381255136856E-2</v>
      </c>
      <c r="AO11" s="28">
        <f t="shared" ref="AO11:AO27" si="20">+U11/T11-1</f>
        <v>-3.9867143761094792E-2</v>
      </c>
      <c r="AP11" s="28">
        <f t="shared" ref="AP11:AP27" si="21">+V11/U11-1</f>
        <v>4.585691313653939E-2</v>
      </c>
      <c r="AQ11" s="28">
        <f t="shared" ref="AQ11:AQ27" si="22">+W11/V11-1</f>
        <v>-3.6869339539654211E-2</v>
      </c>
    </row>
    <row r="12" spans="1:43">
      <c r="B12" s="21" t="s">
        <v>30</v>
      </c>
      <c r="C12" s="2">
        <v>359311.13328953006</v>
      </c>
      <c r="D12" s="2">
        <v>482880.35700289998</v>
      </c>
      <c r="E12" s="2">
        <v>607142.20521643001</v>
      </c>
      <c r="F12" s="2">
        <f t="shared" ref="F12:S12" si="23">F13+F14+F17+F21+F24+F27</f>
        <v>578706.42648478004</v>
      </c>
      <c r="G12" s="2">
        <f t="shared" si="23"/>
        <v>618745.63908216008</v>
      </c>
      <c r="H12" s="2">
        <f t="shared" si="23"/>
        <v>635879.47521409998</v>
      </c>
      <c r="I12" s="2">
        <f t="shared" si="23"/>
        <v>718188.79999999993</v>
      </c>
      <c r="J12" s="2">
        <f t="shared" si="23"/>
        <v>798129.12602993008</v>
      </c>
      <c r="K12" s="2">
        <f t="shared" si="23"/>
        <v>851040.91351438011</v>
      </c>
      <c r="L12" s="2">
        <f t="shared" si="23"/>
        <v>947056.77711927996</v>
      </c>
      <c r="M12" s="2">
        <f t="shared" si="23"/>
        <v>1013261.0999575601</v>
      </c>
      <c r="N12" s="2">
        <f t="shared" si="23"/>
        <v>1099050.3539633001</v>
      </c>
      <c r="O12" s="2">
        <f t="shared" si="23"/>
        <v>1114473.9802393601</v>
      </c>
      <c r="P12" s="2">
        <f t="shared" si="23"/>
        <v>1233481.56506923</v>
      </c>
      <c r="Q12" s="2">
        <f t="shared" si="23"/>
        <v>1291680.0698369201</v>
      </c>
      <c r="R12" s="2">
        <f t="shared" si="23"/>
        <v>1462678.6117350301</v>
      </c>
      <c r="S12" s="2">
        <f t="shared" si="23"/>
        <v>1737019.1029849201</v>
      </c>
      <c r="T12" s="2">
        <f>T13+T14+T17+T21+T24+T27+T28+T29</f>
        <v>1814682.9587705098</v>
      </c>
      <c r="U12" s="2">
        <f>U13+U14+U17+U21+U24+U27+U28+U29</f>
        <v>1721998.3639152602</v>
      </c>
      <c r="V12" s="2">
        <f>V13+V14+V17+V21+V24+V27+V28+V29</f>
        <v>1803185.2045727896</v>
      </c>
      <c r="W12" s="2">
        <f>W13+W14+W17+W21+W24+W27+W28+W29</f>
        <v>1723400.8739968801</v>
      </c>
      <c r="X12" s="29">
        <f t="shared" si="3"/>
        <v>0.34390591402521009</v>
      </c>
      <c r="Y12" s="29">
        <f t="shared" si="4"/>
        <v>0.25733465114378995</v>
      </c>
      <c r="Z12" s="29">
        <f t="shared" si="5"/>
        <v>-4.6835450553982416E-2</v>
      </c>
      <c r="AA12" s="29">
        <f t="shared" si="6"/>
        <v>6.9187433843769686E-2</v>
      </c>
      <c r="AB12" s="29">
        <f t="shared" si="7"/>
        <v>2.7691243460489012E-2</v>
      </c>
      <c r="AC12" s="29">
        <f t="shared" si="8"/>
        <v>0.12944170710681679</v>
      </c>
      <c r="AD12" s="29">
        <f t="shared" si="9"/>
        <v>0.11130823264012224</v>
      </c>
      <c r="AE12" s="29">
        <f t="shared" si="10"/>
        <v>6.6294770806880399E-2</v>
      </c>
      <c r="AF12" s="29">
        <f t="shared" si="11"/>
        <v>0.11282167764226703</v>
      </c>
      <c r="AG12" s="29">
        <f t="shared" si="12"/>
        <v>6.9905336657489325E-2</v>
      </c>
      <c r="AH12" s="29">
        <f t="shared" si="13"/>
        <v>8.4666483307543672E-2</v>
      </c>
      <c r="AI12" s="29">
        <f t="shared" si="14"/>
        <v>1.4033593838936209E-2</v>
      </c>
      <c r="AJ12" s="29">
        <f t="shared" si="15"/>
        <v>0.10678363689057169</v>
      </c>
      <c r="AK12" s="29">
        <f t="shared" si="16"/>
        <v>4.7182306096665183E-2</v>
      </c>
      <c r="AL12" s="29">
        <f t="shared" si="17"/>
        <v>0.13238459421279081</v>
      </c>
      <c r="AM12" s="29">
        <f t="shared" si="18"/>
        <v>0.18756033557123475</v>
      </c>
      <c r="AN12" s="29">
        <f t="shared" si="19"/>
        <v>4.471099693269398E-2</v>
      </c>
      <c r="AO12" s="29">
        <f t="shared" si="20"/>
        <v>-5.1074814147175074E-2</v>
      </c>
      <c r="AP12" s="29">
        <f t="shared" si="21"/>
        <v>4.7146874444721876E-2</v>
      </c>
      <c r="AQ12" s="29">
        <f t="shared" si="22"/>
        <v>-4.4246331643349901E-2</v>
      </c>
    </row>
    <row r="13" spans="1:43">
      <c r="B13" s="22" t="s">
        <v>23</v>
      </c>
      <c r="C13" s="2">
        <v>83713.719331030006</v>
      </c>
      <c r="D13" s="2">
        <v>127678.02388768</v>
      </c>
      <c r="E13" s="2">
        <v>180736.18366492999</v>
      </c>
      <c r="F13" s="2">
        <v>176975.5601767</v>
      </c>
      <c r="G13" s="2">
        <v>175158.76177273001</v>
      </c>
      <c r="H13" s="2">
        <v>181791.90394036</v>
      </c>
      <c r="I13" s="2">
        <v>213637</v>
      </c>
      <c r="J13" s="2">
        <v>231562.63282335002</v>
      </c>
      <c r="K13" s="2">
        <v>247086.55345851998</v>
      </c>
      <c r="L13" s="2">
        <v>300501.35715957999</v>
      </c>
      <c r="M13" s="2">
        <v>348884.60531024</v>
      </c>
      <c r="N13" s="2">
        <v>401944.92255757994</v>
      </c>
      <c r="O13" s="2">
        <v>416444.06046036002</v>
      </c>
      <c r="P13" s="2">
        <v>520323.57492658001</v>
      </c>
      <c r="Q13" s="2">
        <v>479242.53329942003</v>
      </c>
      <c r="R13" s="2">
        <v>625150.46816894994</v>
      </c>
      <c r="S13" s="2">
        <v>732316.14367477002</v>
      </c>
      <c r="T13" s="2">
        <v>762425.8693585</v>
      </c>
      <c r="U13" s="2">
        <v>664302.43487107998</v>
      </c>
      <c r="V13" s="2">
        <v>676434.41951393988</v>
      </c>
      <c r="W13" s="2">
        <v>670890.92498689005</v>
      </c>
      <c r="X13" s="29">
        <f t="shared" si="3"/>
        <v>0.52517442670061643</v>
      </c>
      <c r="Y13" s="29">
        <f t="shared" si="4"/>
        <v>0.41556219435167585</v>
      </c>
      <c r="Z13" s="29">
        <f t="shared" si="5"/>
        <v>-2.080725293614627E-2</v>
      </c>
      <c r="AA13" s="29">
        <f t="shared" si="6"/>
        <v>-1.0265815246783383E-2</v>
      </c>
      <c r="AB13" s="29">
        <f t="shared" si="7"/>
        <v>3.7869314103947227E-2</v>
      </c>
      <c r="AC13" s="29">
        <f t="shared" si="8"/>
        <v>0.17517334583880784</v>
      </c>
      <c r="AD13" s="29">
        <f t="shared" si="9"/>
        <v>8.3906967535352095E-2</v>
      </c>
      <c r="AE13" s="29">
        <f t="shared" si="10"/>
        <v>6.7039834734529569E-2</v>
      </c>
      <c r="AF13" s="29">
        <f t="shared" si="11"/>
        <v>0.21617851296803603</v>
      </c>
      <c r="AG13" s="29">
        <f t="shared" si="12"/>
        <v>0.16100841809165711</v>
      </c>
      <c r="AH13" s="29">
        <f t="shared" si="13"/>
        <v>0.15208557912768006</v>
      </c>
      <c r="AI13" s="29">
        <f t="shared" si="14"/>
        <v>3.6072449455318178E-2</v>
      </c>
      <c r="AJ13" s="29">
        <f t="shared" si="15"/>
        <v>0.249444101451191</v>
      </c>
      <c r="AK13" s="29">
        <f t="shared" si="16"/>
        <v>-7.8952873955320357E-2</v>
      </c>
      <c r="AL13" s="29">
        <f t="shared" si="17"/>
        <v>0.30445531172912377</v>
      </c>
      <c r="AM13" s="29">
        <f t="shared" si="18"/>
        <v>0.17142381068625867</v>
      </c>
      <c r="AN13" s="29">
        <f t="shared" si="19"/>
        <v>4.1115747541272452E-2</v>
      </c>
      <c r="AO13" s="29">
        <f t="shared" si="20"/>
        <v>-0.12869898364018051</v>
      </c>
      <c r="AP13" s="29">
        <f t="shared" si="21"/>
        <v>1.8262743000805548E-2</v>
      </c>
      <c r="AQ13" s="29">
        <f t="shared" si="22"/>
        <v>-8.1951692095046935E-3</v>
      </c>
    </row>
    <row r="14" spans="1:43">
      <c r="B14" s="22" t="s">
        <v>24</v>
      </c>
      <c r="C14" s="2">
        <v>21802.928611540003</v>
      </c>
      <c r="D14" s="2">
        <v>29678.952089509999</v>
      </c>
      <c r="E14" s="2">
        <v>33117.43934746</v>
      </c>
      <c r="F14" s="2">
        <f t="shared" ref="F14:W14" si="24">F15+F16</f>
        <v>27774.293157109998</v>
      </c>
      <c r="G14" s="2">
        <f t="shared" si="24"/>
        <v>28113.097976330002</v>
      </c>
      <c r="H14" s="2">
        <f t="shared" si="24"/>
        <v>31920.037718</v>
      </c>
      <c r="I14" s="2">
        <f t="shared" si="24"/>
        <v>35167.9</v>
      </c>
      <c r="J14" s="2">
        <f t="shared" si="24"/>
        <v>34305.380499830004</v>
      </c>
      <c r="K14" s="2">
        <f t="shared" si="24"/>
        <v>38937.716532129998</v>
      </c>
      <c r="L14" s="2">
        <f t="shared" si="24"/>
        <v>38844.949972629998</v>
      </c>
      <c r="M14" s="2">
        <f t="shared" si="24"/>
        <v>40863.833781470006</v>
      </c>
      <c r="N14" s="2">
        <f t="shared" si="24"/>
        <v>42489.042567439996</v>
      </c>
      <c r="O14" s="2">
        <f t="shared" si="24"/>
        <v>41428.278656129994</v>
      </c>
      <c r="P14" s="2">
        <f t="shared" si="24"/>
        <v>40803.286557019994</v>
      </c>
      <c r="Q14" s="2">
        <f t="shared" si="24"/>
        <v>35143.357955150001</v>
      </c>
      <c r="R14" s="2">
        <f t="shared" si="24"/>
        <v>40475.386255819998</v>
      </c>
      <c r="S14" s="2">
        <f t="shared" si="24"/>
        <v>49173.187243909997</v>
      </c>
      <c r="T14" s="2">
        <f t="shared" si="24"/>
        <v>40137.986816939992</v>
      </c>
      <c r="U14" s="2">
        <f t="shared" si="24"/>
        <v>40887.143261869998</v>
      </c>
      <c r="V14" s="2">
        <f t="shared" si="24"/>
        <v>48175.209293250002</v>
      </c>
      <c r="W14" s="2">
        <f t="shared" si="24"/>
        <v>46849.727862209998</v>
      </c>
      <c r="X14" s="29">
        <f t="shared" si="3"/>
        <v>0.36123695207630591</v>
      </c>
      <c r="Y14" s="29">
        <f t="shared" si="4"/>
        <v>0.11585608708756712</v>
      </c>
      <c r="Z14" s="29">
        <f t="shared" si="5"/>
        <v>-0.1613393515812328</v>
      </c>
      <c r="AA14" s="29">
        <f t="shared" si="6"/>
        <v>1.2198503749618395E-2</v>
      </c>
      <c r="AB14" s="29">
        <f t="shared" si="7"/>
        <v>0.13541516288511768</v>
      </c>
      <c r="AC14" s="29">
        <f t="shared" si="8"/>
        <v>0.10174995125925257</v>
      </c>
      <c r="AD14" s="29">
        <f t="shared" si="9"/>
        <v>-2.4525760712752143E-2</v>
      </c>
      <c r="AE14" s="29">
        <f t="shared" si="10"/>
        <v>0.13503234667002006</v>
      </c>
      <c r="AF14" s="29">
        <f t="shared" si="11"/>
        <v>-2.3824345072586128E-3</v>
      </c>
      <c r="AG14" s="29">
        <f t="shared" si="12"/>
        <v>5.197287704740261E-2</v>
      </c>
      <c r="AH14" s="29">
        <f t="shared" si="13"/>
        <v>3.9771324312378953E-2</v>
      </c>
      <c r="AI14" s="29">
        <f t="shared" si="14"/>
        <v>-2.4965587530627942E-2</v>
      </c>
      <c r="AJ14" s="29">
        <f t="shared" si="15"/>
        <v>-1.508612279785182E-2</v>
      </c>
      <c r="AK14" s="29">
        <f t="shared" si="16"/>
        <v>-0.13871256654682962</v>
      </c>
      <c r="AL14" s="29">
        <f t="shared" si="17"/>
        <v>0.15172222038300198</v>
      </c>
      <c r="AM14" s="29">
        <f t="shared" si="18"/>
        <v>0.21489111760704538</v>
      </c>
      <c r="AN14" s="29">
        <f t="shared" si="19"/>
        <v>-0.18374242007444808</v>
      </c>
      <c r="AO14" s="29">
        <f t="shared" si="20"/>
        <v>1.8664524664546267E-2</v>
      </c>
      <c r="AP14" s="29">
        <f t="shared" si="21"/>
        <v>0.17824835510522474</v>
      </c>
      <c r="AQ14" s="29">
        <f t="shared" si="22"/>
        <v>-2.7513765907514642E-2</v>
      </c>
    </row>
    <row r="15" spans="1:43">
      <c r="B15" s="23" t="s">
        <v>35</v>
      </c>
      <c r="C15" s="2">
        <v>17290.421765030002</v>
      </c>
      <c r="D15" s="2">
        <v>23502.824152770001</v>
      </c>
      <c r="E15" s="2">
        <v>25949.99305565</v>
      </c>
      <c r="F15" s="2">
        <v>22994.8966693</v>
      </c>
      <c r="G15" s="2">
        <v>22650.455967720001</v>
      </c>
      <c r="H15" s="2">
        <v>26304.68129941</v>
      </c>
      <c r="I15" s="2">
        <v>29146.85</v>
      </c>
      <c r="J15" s="2">
        <v>28477.936691540002</v>
      </c>
      <c r="K15" s="2">
        <v>32313.992087219998</v>
      </c>
      <c r="L15" s="2">
        <v>32757.182004379996</v>
      </c>
      <c r="M15" s="2">
        <v>34747.438608750002</v>
      </c>
      <c r="N15" s="2">
        <v>36119.278040509998</v>
      </c>
      <c r="O15" s="2">
        <v>35201.880330889995</v>
      </c>
      <c r="P15" s="2">
        <v>34767.548724349996</v>
      </c>
      <c r="Q15" s="2">
        <v>29905.704896890002</v>
      </c>
      <c r="R15" s="2">
        <v>34569.920775139995</v>
      </c>
      <c r="S15" s="2">
        <v>40144.579635080001</v>
      </c>
      <c r="T15" s="2">
        <v>32361.198562519996</v>
      </c>
      <c r="U15" s="2">
        <f>4597.55517097+28716.289</f>
        <v>33313.844170969998</v>
      </c>
      <c r="V15" s="2">
        <v>39721.500898190003</v>
      </c>
      <c r="W15" s="2">
        <v>38018.697788420002</v>
      </c>
      <c r="X15" s="29">
        <f t="shared" si="3"/>
        <v>0.35929733075133119</v>
      </c>
      <c r="Y15" s="29">
        <f t="shared" si="4"/>
        <v>0.10412233385116743</v>
      </c>
      <c r="Z15" s="29">
        <f t="shared" si="5"/>
        <v>-0.11387657715409671</v>
      </c>
      <c r="AA15" s="29">
        <f t="shared" si="6"/>
        <v>-1.4979006278373674E-2</v>
      </c>
      <c r="AB15" s="29">
        <f t="shared" si="7"/>
        <v>0.16133120396771572</v>
      </c>
      <c r="AC15" s="29">
        <f t="shared" si="8"/>
        <v>0.10804801883890325</v>
      </c>
      <c r="AD15" s="29">
        <f t="shared" si="9"/>
        <v>-2.2949763300665338E-2</v>
      </c>
      <c r="AE15" s="29">
        <f t="shared" si="10"/>
        <v>0.13470271520125898</v>
      </c>
      <c r="AF15" s="29">
        <f t="shared" si="11"/>
        <v>1.3715108797568654E-2</v>
      </c>
      <c r="AG15" s="29">
        <f t="shared" si="12"/>
        <v>6.0757869956697963E-2</v>
      </c>
      <c r="AH15" s="29">
        <f t="shared" si="13"/>
        <v>3.9480303777399639E-2</v>
      </c>
      <c r="AI15" s="29">
        <f t="shared" si="14"/>
        <v>-2.539911535859285E-2</v>
      </c>
      <c r="AJ15" s="29">
        <f t="shared" si="15"/>
        <v>-1.2338307001142468E-2</v>
      </c>
      <c r="AK15" s="29">
        <f t="shared" si="16"/>
        <v>-0.13983855652310984</v>
      </c>
      <c r="AL15" s="29">
        <f t="shared" si="17"/>
        <v>0.15596408425520991</v>
      </c>
      <c r="AM15" s="29">
        <f t="shared" si="18"/>
        <v>0.16125749596594008</v>
      </c>
      <c r="AN15" s="29">
        <f t="shared" si="19"/>
        <v>-0.19388373581968121</v>
      </c>
      <c r="AO15" s="29">
        <f t="shared" si="20"/>
        <v>2.943789633160665E-2</v>
      </c>
      <c r="AP15" s="29">
        <f t="shared" si="21"/>
        <v>0.1923421594438417</v>
      </c>
      <c r="AQ15" s="29">
        <f t="shared" si="22"/>
        <v>-4.2868549054439042E-2</v>
      </c>
    </row>
    <row r="16" spans="1:43">
      <c r="B16" s="23" t="s">
        <v>36</v>
      </c>
      <c r="C16" s="2">
        <v>4512.5068465099994</v>
      </c>
      <c r="D16" s="2">
        <v>6176.1279367400002</v>
      </c>
      <c r="E16" s="2">
        <v>7167.4462918099998</v>
      </c>
      <c r="F16" s="2">
        <v>4779.3964878099996</v>
      </c>
      <c r="G16" s="2">
        <v>5462.6420086099997</v>
      </c>
      <c r="H16" s="2">
        <v>5615.3564185900004</v>
      </c>
      <c r="I16" s="2">
        <v>6021.05</v>
      </c>
      <c r="J16" s="2">
        <v>5827.4438082899997</v>
      </c>
      <c r="K16" s="2">
        <v>6623.7244449099999</v>
      </c>
      <c r="L16" s="2">
        <v>6087.7679682500002</v>
      </c>
      <c r="M16" s="2">
        <v>6116.3951727200001</v>
      </c>
      <c r="N16" s="2">
        <v>6369.7645269299992</v>
      </c>
      <c r="O16" s="2">
        <v>6226.3983252399994</v>
      </c>
      <c r="P16" s="2">
        <v>6035.73783267</v>
      </c>
      <c r="Q16" s="2">
        <v>5237.6530582599999</v>
      </c>
      <c r="R16" s="2">
        <v>5905.4654806800008</v>
      </c>
      <c r="S16" s="2">
        <v>9028.6076088299997</v>
      </c>
      <c r="T16" s="2">
        <v>7776.7882544199992</v>
      </c>
      <c r="U16" s="2">
        <v>7573.2990909</v>
      </c>
      <c r="V16" s="2">
        <v>8453.708395059999</v>
      </c>
      <c r="W16" s="2">
        <v>8831.0300737899997</v>
      </c>
      <c r="X16" s="29">
        <f t="shared" si="3"/>
        <v>0.36866893432342507</v>
      </c>
      <c r="Y16" s="29">
        <f t="shared" si="4"/>
        <v>0.16050806674080254</v>
      </c>
      <c r="Z16" s="29">
        <f t="shared" si="5"/>
        <v>-0.33318000676597248</v>
      </c>
      <c r="AA16" s="29">
        <f t="shared" si="6"/>
        <v>0.14295644283596043</v>
      </c>
      <c r="AB16" s="29">
        <f t="shared" si="7"/>
        <v>2.7956144616340994E-2</v>
      </c>
      <c r="AC16" s="29">
        <f t="shared" si="8"/>
        <v>7.2247164946988018E-2</v>
      </c>
      <c r="AD16" s="29">
        <f t="shared" si="9"/>
        <v>-3.2154888551000349E-2</v>
      </c>
      <c r="AE16" s="29">
        <f t="shared" si="10"/>
        <v>0.1366432114690197</v>
      </c>
      <c r="AF16" s="29">
        <f t="shared" si="11"/>
        <v>-8.0914669853431986E-2</v>
      </c>
      <c r="AG16" s="29">
        <f t="shared" si="12"/>
        <v>4.702413859940302E-3</v>
      </c>
      <c r="AH16" s="29">
        <f t="shared" si="13"/>
        <v>4.1424621375032E-2</v>
      </c>
      <c r="AI16" s="29">
        <f t="shared" si="14"/>
        <v>-2.2507300086820781E-2</v>
      </c>
      <c r="AJ16" s="29">
        <f t="shared" si="15"/>
        <v>-3.0621313094781888E-2</v>
      </c>
      <c r="AK16" s="29">
        <f t="shared" si="16"/>
        <v>-0.13222654736429384</v>
      </c>
      <c r="AL16" s="29">
        <f t="shared" si="17"/>
        <v>0.12750222570905745</v>
      </c>
      <c r="AM16" s="29">
        <f t="shared" si="18"/>
        <v>0.52885621605400979</v>
      </c>
      <c r="AN16" s="29">
        <f t="shared" si="19"/>
        <v>-0.13865032224744356</v>
      </c>
      <c r="AO16" s="29">
        <f t="shared" si="20"/>
        <v>-2.6166221435223513E-2</v>
      </c>
      <c r="AP16" s="29">
        <f t="shared" si="21"/>
        <v>0.11625175416852218</v>
      </c>
      <c r="AQ16" s="29">
        <f t="shared" si="22"/>
        <v>4.46338649379594E-2</v>
      </c>
    </row>
    <row r="17" spans="2:43">
      <c r="B17" s="22" t="s">
        <v>25</v>
      </c>
      <c r="C17" s="2">
        <v>599.47551602999999</v>
      </c>
      <c r="D17" s="2">
        <v>1655.7885196199998</v>
      </c>
      <c r="E17" s="2">
        <v>1834.82845284</v>
      </c>
      <c r="F17" s="2">
        <f>F18+F19</f>
        <v>1061.5728660299999</v>
      </c>
      <c r="G17" s="2">
        <f>G18+G19</f>
        <v>1056.3357945099999</v>
      </c>
      <c r="H17" s="2">
        <v>932.29168332000006</v>
      </c>
      <c r="I17" s="2">
        <f>+I18+I19</f>
        <v>861.69999999999993</v>
      </c>
      <c r="J17" s="2">
        <f>+J18+J19+J20</f>
        <v>779.45360227999993</v>
      </c>
      <c r="K17" s="2">
        <f t="shared" ref="K17:W17" si="25">+K19+K18+K20</f>
        <v>1108.3117125199999</v>
      </c>
      <c r="L17" s="2">
        <f t="shared" si="25"/>
        <v>1017.05443607</v>
      </c>
      <c r="M17" s="2">
        <f t="shared" si="25"/>
        <v>1153.59351935</v>
      </c>
      <c r="N17" s="2">
        <f t="shared" si="25"/>
        <v>1395.27230824</v>
      </c>
      <c r="O17" s="2">
        <f t="shared" si="25"/>
        <v>1362.65742249</v>
      </c>
      <c r="P17" s="2">
        <f t="shared" si="25"/>
        <v>1203.89691902</v>
      </c>
      <c r="Q17" s="2">
        <f t="shared" si="25"/>
        <v>1337.60539509</v>
      </c>
      <c r="R17" s="2">
        <f t="shared" si="25"/>
        <v>1572.6128966699998</v>
      </c>
      <c r="S17" s="2">
        <f t="shared" si="25"/>
        <v>1555.7365164900002</v>
      </c>
      <c r="T17" s="2">
        <f t="shared" si="25"/>
        <v>1325.12774565</v>
      </c>
      <c r="U17" s="2">
        <f t="shared" si="25"/>
        <v>1214.05498139</v>
      </c>
      <c r="V17" s="2">
        <f t="shared" si="25"/>
        <v>1209.4080574</v>
      </c>
      <c r="W17" s="2">
        <f t="shared" si="25"/>
        <v>1224.7502567299998</v>
      </c>
      <c r="X17" s="29">
        <f t="shared" si="3"/>
        <v>1.762061961404839</v>
      </c>
      <c r="Y17" s="29">
        <f t="shared" si="4"/>
        <v>0.1081297104663399</v>
      </c>
      <c r="Z17" s="29">
        <f t="shared" si="5"/>
        <v>-0.42143208844027513</v>
      </c>
      <c r="AA17" s="29">
        <f t="shared" si="6"/>
        <v>-4.9333132821915981E-3</v>
      </c>
      <c r="AB17" s="29">
        <f t="shared" si="7"/>
        <v>-0.11742867356638231</v>
      </c>
      <c r="AC17" s="29">
        <f t="shared" si="8"/>
        <v>-7.5718452264440295E-2</v>
      </c>
      <c r="AD17" s="29">
        <f t="shared" si="9"/>
        <v>-9.5446672531043331E-2</v>
      </c>
      <c r="AE17" s="29">
        <f t="shared" si="10"/>
        <v>0.42190851293527754</v>
      </c>
      <c r="AF17" s="29">
        <f t="shared" si="11"/>
        <v>-8.2338998513789674E-2</v>
      </c>
      <c r="AG17" s="29">
        <f t="shared" si="12"/>
        <v>0.13424953319863642</v>
      </c>
      <c r="AH17" s="29">
        <f t="shared" si="13"/>
        <v>0.20950082055434538</v>
      </c>
      <c r="AI17" s="29">
        <f t="shared" si="14"/>
        <v>-2.3375283489386001E-2</v>
      </c>
      <c r="AJ17" s="29">
        <f t="shared" si="15"/>
        <v>-0.1165080091663061</v>
      </c>
      <c r="AK17" s="29">
        <f t="shared" si="16"/>
        <v>0.11106306026502821</v>
      </c>
      <c r="AL17" s="29">
        <f t="shared" si="17"/>
        <v>0.17569269864090775</v>
      </c>
      <c r="AM17" s="29">
        <f t="shared" si="18"/>
        <v>-1.0731426796597776E-2</v>
      </c>
      <c r="AN17" s="29">
        <f t="shared" si="19"/>
        <v>-0.14823125149770988</v>
      </c>
      <c r="AO17" s="29">
        <f t="shared" si="20"/>
        <v>-8.3820420049779187E-2</v>
      </c>
      <c r="AP17" s="29">
        <f t="shared" si="21"/>
        <v>-3.8276058837793947E-3</v>
      </c>
      <c r="AQ17" s="29">
        <f t="shared" si="22"/>
        <v>1.268570953874959E-2</v>
      </c>
    </row>
    <row r="18" spans="2:43">
      <c r="B18" s="23" t="s">
        <v>37</v>
      </c>
      <c r="C18" s="2">
        <v>599.47551602999999</v>
      </c>
      <c r="D18" s="2">
        <v>43.016337159999999</v>
      </c>
      <c r="E18" s="2">
        <v>40.3839915</v>
      </c>
      <c r="F18" s="2">
        <v>32.421934499999999</v>
      </c>
      <c r="G18" s="2">
        <v>39.831772200000003</v>
      </c>
      <c r="H18" s="2">
        <v>38.413668000000001</v>
      </c>
      <c r="I18" s="2">
        <v>35.4</v>
      </c>
      <c r="J18" s="2">
        <v>37.798115160000002</v>
      </c>
      <c r="K18" s="2">
        <v>41.295520500000002</v>
      </c>
      <c r="L18" s="2">
        <v>34.140745500000001</v>
      </c>
      <c r="M18" s="2">
        <v>41.400732929999997</v>
      </c>
      <c r="N18" s="2">
        <v>50.358393000000007</v>
      </c>
      <c r="O18" s="2">
        <v>47.170172999999998</v>
      </c>
      <c r="P18" s="2">
        <v>36.896103000000004</v>
      </c>
      <c r="Q18" s="2">
        <v>46.642257000000001</v>
      </c>
      <c r="R18" s="2">
        <v>51.804521999999999</v>
      </c>
      <c r="S18" s="2">
        <v>47.927475000000001</v>
      </c>
      <c r="T18" s="2">
        <v>44.714757000000006</v>
      </c>
      <c r="U18" s="2">
        <v>45.946564499999994</v>
      </c>
      <c r="V18" s="2">
        <v>45.471177000000004</v>
      </c>
      <c r="W18" s="2">
        <v>45.606064500000002</v>
      </c>
      <c r="X18" s="29">
        <f t="shared" si="3"/>
        <v>-0.92824337940459389</v>
      </c>
      <c r="Y18" s="29">
        <f t="shared" si="4"/>
        <v>-6.1194091217226187E-2</v>
      </c>
      <c r="Z18" s="29">
        <f t="shared" si="5"/>
        <v>-0.19715874296378066</v>
      </c>
      <c r="AA18" s="29">
        <f t="shared" si="6"/>
        <v>0.22854397229135115</v>
      </c>
      <c r="AB18" s="29">
        <f t="shared" si="7"/>
        <v>-3.5602337573119591E-2</v>
      </c>
      <c r="AC18" s="29">
        <f t="shared" si="8"/>
        <v>-7.8453013130638904E-2</v>
      </c>
      <c r="AD18" s="29">
        <f t="shared" si="9"/>
        <v>6.7743366101695068E-2</v>
      </c>
      <c r="AE18" s="29">
        <f t="shared" si="10"/>
        <v>9.2528564590997009E-2</v>
      </c>
      <c r="AF18" s="29">
        <f t="shared" si="11"/>
        <v>-0.1732578960955341</v>
      </c>
      <c r="AG18" s="29">
        <f t="shared" si="12"/>
        <v>0.21264876685249878</v>
      </c>
      <c r="AH18" s="29">
        <f t="shared" si="13"/>
        <v>0.21636477028427348</v>
      </c>
      <c r="AI18" s="29">
        <f t="shared" si="14"/>
        <v>-6.3310598493482639E-2</v>
      </c>
      <c r="AJ18" s="29">
        <f t="shared" si="15"/>
        <v>-0.21780861393067175</v>
      </c>
      <c r="AK18" s="29">
        <f t="shared" si="16"/>
        <v>0.26415131158973604</v>
      </c>
      <c r="AL18" s="29">
        <f t="shared" si="17"/>
        <v>0.11067785591936508</v>
      </c>
      <c r="AM18" s="29">
        <f t="shared" si="18"/>
        <v>-7.483993385751142E-2</v>
      </c>
      <c r="AN18" s="29">
        <f t="shared" si="19"/>
        <v>-6.7032907533726593E-2</v>
      </c>
      <c r="AO18" s="29">
        <f t="shared" si="20"/>
        <v>2.7548120187704139E-2</v>
      </c>
      <c r="AP18" s="29">
        <f t="shared" si="21"/>
        <v>-1.034652982596751E-2</v>
      </c>
      <c r="AQ18" s="29">
        <f t="shared" si="22"/>
        <v>2.9664395975499414E-3</v>
      </c>
    </row>
    <row r="19" spans="2:43">
      <c r="B19" s="23" t="s">
        <v>38</v>
      </c>
      <c r="C19" s="2">
        <v>0</v>
      </c>
      <c r="D19" s="2">
        <v>1612.7721824599998</v>
      </c>
      <c r="E19" s="2">
        <v>1794.4444613399999</v>
      </c>
      <c r="F19" s="2">
        <v>1029.15093153</v>
      </c>
      <c r="G19" s="2">
        <v>1016.50402231</v>
      </c>
      <c r="H19" s="2">
        <v>893.87801532000003</v>
      </c>
      <c r="I19" s="2">
        <v>826.3</v>
      </c>
      <c r="J19" s="2">
        <v>741.65548711999998</v>
      </c>
      <c r="K19" s="2">
        <v>695.67410285999995</v>
      </c>
      <c r="L19" s="2">
        <v>591.32913707</v>
      </c>
      <c r="M19" s="2">
        <v>721.98232916999996</v>
      </c>
      <c r="N19" s="2">
        <v>912.50838274000012</v>
      </c>
      <c r="O19" s="2">
        <v>872.01287699</v>
      </c>
      <c r="P19" s="2">
        <v>719.25232951999999</v>
      </c>
      <c r="Q19" s="2">
        <v>861.85334334000004</v>
      </c>
      <c r="R19" s="2">
        <v>1024.56457292</v>
      </c>
      <c r="S19" s="2">
        <v>993.77241323999999</v>
      </c>
      <c r="T19" s="2">
        <v>828.22010965000004</v>
      </c>
      <c r="U19" s="2">
        <v>779.05954213999996</v>
      </c>
      <c r="V19" s="2">
        <v>753.94298939999999</v>
      </c>
      <c r="W19" s="2">
        <v>740.19394173000001</v>
      </c>
      <c r="X19" s="41" t="e">
        <f t="shared" si="3"/>
        <v>#DIV/0!</v>
      </c>
      <c r="Y19" s="29">
        <f t="shared" si="4"/>
        <v>0.11264596503821811</v>
      </c>
      <c r="Z19" s="29">
        <f t="shared" si="5"/>
        <v>-0.42647936244207729</v>
      </c>
      <c r="AA19" s="29">
        <f t="shared" si="6"/>
        <v>-1.2288682672811024E-2</v>
      </c>
      <c r="AB19" s="29">
        <f t="shared" si="7"/>
        <v>-0.12063504354004717</v>
      </c>
      <c r="AC19" s="29">
        <f t="shared" si="8"/>
        <v>-7.5600936774138927E-2</v>
      </c>
      <c r="AD19" s="29">
        <f t="shared" si="9"/>
        <v>-0.1024379921094033</v>
      </c>
      <c r="AE19" s="29">
        <f t="shared" si="10"/>
        <v>-6.1998306570285266E-2</v>
      </c>
      <c r="AF19" s="29">
        <f t="shared" si="11"/>
        <v>-0.14999116017259406</v>
      </c>
      <c r="AG19" s="29">
        <f t="shared" si="12"/>
        <v>0.22094834147253195</v>
      </c>
      <c r="AH19" s="29">
        <f t="shared" si="13"/>
        <v>0.26389295952579794</v>
      </c>
      <c r="AI19" s="29">
        <f t="shared" si="14"/>
        <v>-4.4378228754900606E-2</v>
      </c>
      <c r="AJ19" s="29">
        <f t="shared" si="15"/>
        <v>-0.17518152713214097</v>
      </c>
      <c r="AK19" s="29">
        <f t="shared" si="16"/>
        <v>0.19826284596834909</v>
      </c>
      <c r="AL19" s="29">
        <f t="shared" si="17"/>
        <v>0.18879224735548839</v>
      </c>
      <c r="AM19" s="29">
        <f t="shared" si="18"/>
        <v>-3.0053898498796139E-2</v>
      </c>
      <c r="AN19" s="29">
        <f t="shared" si="19"/>
        <v>-0.16658975574724311</v>
      </c>
      <c r="AO19" s="29">
        <f t="shared" si="20"/>
        <v>-5.9356887060826091E-2</v>
      </c>
      <c r="AP19" s="29">
        <f t="shared" si="21"/>
        <v>-3.2239580393312761E-2</v>
      </c>
      <c r="AQ19" s="29">
        <f t="shared" si="22"/>
        <v>-1.823619008771693E-2</v>
      </c>
    </row>
    <row r="20" spans="2:43">
      <c r="B20" s="23" t="s">
        <v>47</v>
      </c>
      <c r="C20" s="2"/>
      <c r="D20" s="2"/>
      <c r="E20" s="2"/>
      <c r="F20" s="2"/>
      <c r="G20" s="2"/>
      <c r="H20" s="2"/>
      <c r="I20" s="2"/>
      <c r="J20" s="2"/>
      <c r="K20" s="2">
        <v>371.34208916</v>
      </c>
      <c r="L20" s="2">
        <v>391.58455349999997</v>
      </c>
      <c r="M20" s="2">
        <v>390.21045724999999</v>
      </c>
      <c r="N20" s="2">
        <v>432.40553249999999</v>
      </c>
      <c r="O20" s="2">
        <v>443.47437250000007</v>
      </c>
      <c r="P20" s="2">
        <v>447.74848650000001</v>
      </c>
      <c r="Q20" s="2">
        <v>429.10979474999999</v>
      </c>
      <c r="R20" s="2">
        <v>496.24380174999999</v>
      </c>
      <c r="S20" s="2">
        <v>514.03662825000004</v>
      </c>
      <c r="T20" s="2">
        <v>452.19287899999995</v>
      </c>
      <c r="U20" s="2">
        <v>389.04887474999998</v>
      </c>
      <c r="V20" s="2">
        <v>409.99389099999996</v>
      </c>
      <c r="W20" s="2">
        <v>438.95025049999992</v>
      </c>
      <c r="X20" s="41" t="e">
        <f t="shared" si="3"/>
        <v>#DIV/0!</v>
      </c>
      <c r="Y20" s="41" t="e">
        <f t="shared" si="4"/>
        <v>#DIV/0!</v>
      </c>
      <c r="Z20" s="41" t="e">
        <f t="shared" si="5"/>
        <v>#DIV/0!</v>
      </c>
      <c r="AA20" s="41" t="e">
        <f t="shared" si="6"/>
        <v>#DIV/0!</v>
      </c>
      <c r="AB20" s="41" t="e">
        <f t="shared" si="7"/>
        <v>#DIV/0!</v>
      </c>
      <c r="AC20" s="41" t="e">
        <f t="shared" si="8"/>
        <v>#DIV/0!</v>
      </c>
      <c r="AD20" s="41" t="e">
        <f t="shared" si="9"/>
        <v>#DIV/0!</v>
      </c>
      <c r="AE20" s="41" t="e">
        <f t="shared" si="10"/>
        <v>#DIV/0!</v>
      </c>
      <c r="AF20" s="29">
        <f t="shared" si="11"/>
        <v>5.4511634772642426E-2</v>
      </c>
      <c r="AG20" s="29">
        <f t="shared" si="12"/>
        <v>-3.5090665291014345E-3</v>
      </c>
      <c r="AH20" s="29">
        <f t="shared" si="13"/>
        <v>0.10813414778109465</v>
      </c>
      <c r="AI20" s="29">
        <f t="shared" si="14"/>
        <v>2.5598284869308596E-2</v>
      </c>
      <c r="AJ20" s="29">
        <f t="shared" si="15"/>
        <v>9.6377925423412059E-3</v>
      </c>
      <c r="AK20" s="29">
        <f t="shared" si="16"/>
        <v>-4.1627592972332761E-2</v>
      </c>
      <c r="AL20" s="29">
        <f t="shared" si="17"/>
        <v>0.15644948640501766</v>
      </c>
      <c r="AM20" s="29">
        <f t="shared" si="18"/>
        <v>3.5855010052022296E-2</v>
      </c>
      <c r="AN20" s="29">
        <f t="shared" si="19"/>
        <v>-0.1203100048736655</v>
      </c>
      <c r="AO20" s="29">
        <f t="shared" si="20"/>
        <v>-0.13963953698174003</v>
      </c>
      <c r="AP20" s="29">
        <f t="shared" si="21"/>
        <v>5.3836465311611903E-2</v>
      </c>
      <c r="AQ20" s="29">
        <f t="shared" si="22"/>
        <v>7.0626319405329818E-2</v>
      </c>
    </row>
    <row r="21" spans="2:43">
      <c r="B21" s="22" t="s">
        <v>26</v>
      </c>
      <c r="C21" s="2">
        <v>141339.57906283002</v>
      </c>
      <c r="D21" s="2">
        <v>186969.67711002001</v>
      </c>
      <c r="E21" s="2">
        <v>225435.69991054002</v>
      </c>
      <c r="F21" s="2">
        <f>F22+F23</f>
        <v>206359.74218849</v>
      </c>
      <c r="G21" s="2">
        <f>G22+G23</f>
        <v>234199.65861821003</v>
      </c>
      <c r="H21" s="2">
        <v>249052.59988162998</v>
      </c>
      <c r="I21" s="2">
        <f t="shared" ref="I21:O21" si="26">+I22+I23</f>
        <v>293428.69999999995</v>
      </c>
      <c r="J21" s="2">
        <f t="shared" si="26"/>
        <v>293273.80907252</v>
      </c>
      <c r="K21" s="2">
        <f t="shared" si="26"/>
        <v>321331.76474230003</v>
      </c>
      <c r="L21" s="2">
        <f t="shared" si="26"/>
        <v>334002.73400135001</v>
      </c>
      <c r="M21" s="2">
        <f t="shared" si="26"/>
        <v>354809.65838021005</v>
      </c>
      <c r="N21" s="2">
        <f t="shared" si="26"/>
        <v>375087.19431932003</v>
      </c>
      <c r="O21" s="2">
        <f t="shared" si="26"/>
        <v>374102.62945561</v>
      </c>
      <c r="P21" s="2">
        <f t="shared" ref="P21:W21" si="27">+P22+P23</f>
        <v>391785.63115963002</v>
      </c>
      <c r="Q21" s="2">
        <f t="shared" si="27"/>
        <v>475652.15471569996</v>
      </c>
      <c r="R21" s="2">
        <f t="shared" si="27"/>
        <v>488059.28438086994</v>
      </c>
      <c r="S21" s="2">
        <f t="shared" si="27"/>
        <v>600412.09374852991</v>
      </c>
      <c r="T21" s="2">
        <f t="shared" si="27"/>
        <v>606025.91413681</v>
      </c>
      <c r="U21" s="2">
        <f t="shared" si="27"/>
        <v>597042.05393562</v>
      </c>
      <c r="V21" s="2">
        <f t="shared" si="27"/>
        <v>644670.01753757999</v>
      </c>
      <c r="W21" s="2">
        <f t="shared" si="27"/>
        <v>618269.71900742</v>
      </c>
      <c r="X21" s="29">
        <f t="shared" si="3"/>
        <v>0.3228402005280202</v>
      </c>
      <c r="Y21" s="29">
        <f t="shared" si="4"/>
        <v>0.20573401738232211</v>
      </c>
      <c r="Z21" s="29">
        <f t="shared" si="5"/>
        <v>-8.4618175957135278E-2</v>
      </c>
      <c r="AA21" s="29">
        <f t="shared" si="6"/>
        <v>0.13490962982639765</v>
      </c>
      <c r="AB21" s="29">
        <f t="shared" si="7"/>
        <v>6.3419995362303583E-2</v>
      </c>
      <c r="AC21" s="29">
        <f t="shared" si="8"/>
        <v>0.17817963008401083</v>
      </c>
      <c r="AD21" s="29">
        <f t="shared" si="9"/>
        <v>-5.2786563645601525E-4</v>
      </c>
      <c r="AE21" s="29">
        <f t="shared" si="10"/>
        <v>9.5671535615517334E-2</v>
      </c>
      <c r="AF21" s="29">
        <f t="shared" si="11"/>
        <v>3.9432669438117296E-2</v>
      </c>
      <c r="AG21" s="29">
        <f t="shared" si="12"/>
        <v>6.2295670845544437E-2</v>
      </c>
      <c r="AH21" s="29">
        <f t="shared" si="13"/>
        <v>5.7150462114480494E-2</v>
      </c>
      <c r="AI21" s="29">
        <f t="shared" si="14"/>
        <v>-2.6248959671809624E-3</v>
      </c>
      <c r="AJ21" s="29">
        <f t="shared" si="15"/>
        <v>4.7267782452510732E-2</v>
      </c>
      <c r="AK21" s="29">
        <f t="shared" si="16"/>
        <v>0.21406227509629927</v>
      </c>
      <c r="AL21" s="29">
        <f t="shared" si="17"/>
        <v>2.6084460129452758E-2</v>
      </c>
      <c r="AM21" s="29">
        <f t="shared" si="18"/>
        <v>0.23020320064228605</v>
      </c>
      <c r="AN21" s="29">
        <f t="shared" si="19"/>
        <v>9.3499455569450163E-3</v>
      </c>
      <c r="AO21" s="29">
        <f t="shared" si="20"/>
        <v>-1.4824217895015424E-2</v>
      </c>
      <c r="AP21" s="29">
        <f t="shared" si="21"/>
        <v>7.9773214111138246E-2</v>
      </c>
      <c r="AQ21" s="29">
        <f t="shared" si="22"/>
        <v>-4.095164628719683E-2</v>
      </c>
    </row>
    <row r="22" spans="2:43">
      <c r="B22" s="23" t="s">
        <v>27</v>
      </c>
      <c r="C22" s="2">
        <v>72198.16766254</v>
      </c>
      <c r="D22" s="2">
        <v>95966.807494230001</v>
      </c>
      <c r="E22" s="2">
        <v>114473.06815952</v>
      </c>
      <c r="F22" s="2">
        <v>118622.1983164</v>
      </c>
      <c r="G22" s="2">
        <v>130003.91290367002</v>
      </c>
      <c r="H22" s="2">
        <v>140663.24675560999</v>
      </c>
      <c r="I22" s="2">
        <v>158509.79999999999</v>
      </c>
      <c r="J22" s="2">
        <v>167125.85597773999</v>
      </c>
      <c r="K22" s="2">
        <v>172350.02188217</v>
      </c>
      <c r="L22" s="2">
        <v>188636.10257441999</v>
      </c>
      <c r="M22" s="2">
        <v>201671.67379330003</v>
      </c>
      <c r="N22" s="2">
        <v>206600.15725774004</v>
      </c>
      <c r="O22" s="2">
        <v>209252.81233847002</v>
      </c>
      <c r="P22" s="2">
        <v>221972.21278197001</v>
      </c>
      <c r="Q22" s="2">
        <v>315443.78666541999</v>
      </c>
      <c r="R22" s="2">
        <v>308844.37026891997</v>
      </c>
      <c r="S22" s="2">
        <v>358386.93474276998</v>
      </c>
      <c r="T22" s="2">
        <v>389791.46368615003</v>
      </c>
      <c r="U22" s="2">
        <v>385538.91159862</v>
      </c>
      <c r="V22" s="2">
        <v>414807.31370485999</v>
      </c>
      <c r="W22" s="2">
        <v>400833.91591623001</v>
      </c>
      <c r="X22" s="29">
        <f t="shared" si="3"/>
        <v>0.32921389283432401</v>
      </c>
      <c r="Y22" s="29">
        <f t="shared" si="4"/>
        <v>0.19284022412022717</v>
      </c>
      <c r="Z22" s="29">
        <f t="shared" si="5"/>
        <v>3.6245469992104429E-2</v>
      </c>
      <c r="AA22" s="29">
        <f t="shared" si="6"/>
        <v>9.5949280563083716E-2</v>
      </c>
      <c r="AB22" s="29">
        <f t="shared" si="7"/>
        <v>8.1992407873433093E-2</v>
      </c>
      <c r="AC22" s="29">
        <f t="shared" si="8"/>
        <v>0.12687431618436062</v>
      </c>
      <c r="AD22" s="29">
        <f t="shared" si="9"/>
        <v>5.4356613772397644E-2</v>
      </c>
      <c r="AE22" s="29">
        <f t="shared" si="10"/>
        <v>3.1258872984476049E-2</v>
      </c>
      <c r="AF22" s="29">
        <f t="shared" si="11"/>
        <v>9.4494218883153014E-2</v>
      </c>
      <c r="AG22" s="29">
        <f t="shared" si="12"/>
        <v>6.9104328603997178E-2</v>
      </c>
      <c r="AH22" s="29">
        <f t="shared" si="13"/>
        <v>2.4438154212432339E-2</v>
      </c>
      <c r="AI22" s="29">
        <f t="shared" si="14"/>
        <v>1.2839559833542236E-2</v>
      </c>
      <c r="AJ22" s="29">
        <f t="shared" si="15"/>
        <v>6.0784848248185863E-2</v>
      </c>
      <c r="AK22" s="29">
        <f t="shared" si="16"/>
        <v>0.42109583317647736</v>
      </c>
      <c r="AL22" s="29">
        <f t="shared" si="17"/>
        <v>-2.0921053688401803E-2</v>
      </c>
      <c r="AM22" s="29">
        <f t="shared" si="18"/>
        <v>0.16041271670489521</v>
      </c>
      <c r="AN22" s="29">
        <f t="shared" si="19"/>
        <v>8.7627438109373124E-2</v>
      </c>
      <c r="AO22" s="29">
        <f t="shared" si="20"/>
        <v>-1.0909813281478331E-2</v>
      </c>
      <c r="AP22" s="29">
        <f t="shared" si="21"/>
        <v>7.5915559300823388E-2</v>
      </c>
      <c r="AQ22" s="29">
        <f t="shared" si="22"/>
        <v>-3.3686478822724464E-2</v>
      </c>
    </row>
    <row r="23" spans="2:43">
      <c r="B23" s="23" t="s">
        <v>28</v>
      </c>
      <c r="C23" s="2">
        <v>69141.411400290002</v>
      </c>
      <c r="D23" s="2">
        <v>91002.869615789998</v>
      </c>
      <c r="E23" s="2">
        <v>110962.63175102</v>
      </c>
      <c r="F23" s="2">
        <v>87737.543872089998</v>
      </c>
      <c r="G23" s="2">
        <v>104195.74571454001</v>
      </c>
      <c r="H23" s="2">
        <v>108389.35312602</v>
      </c>
      <c r="I23" s="2">
        <v>134918.9</v>
      </c>
      <c r="J23" s="2">
        <v>126147.95309478001</v>
      </c>
      <c r="K23" s="2">
        <v>148981.74286013001</v>
      </c>
      <c r="L23" s="2">
        <v>145366.63142693002</v>
      </c>
      <c r="M23" s="2">
        <v>153137.98458691</v>
      </c>
      <c r="N23" s="2">
        <v>168487.03706157999</v>
      </c>
      <c r="O23" s="2">
        <v>164849.81711713999</v>
      </c>
      <c r="P23" s="2">
        <v>169813.41837765998</v>
      </c>
      <c r="Q23" s="2">
        <v>160208.36805028</v>
      </c>
      <c r="R23" s="2">
        <v>179214.91411194997</v>
      </c>
      <c r="S23" s="2">
        <v>242025.15900575998</v>
      </c>
      <c r="T23" s="2">
        <v>216234.45045065996</v>
      </c>
      <c r="U23" s="2">
        <v>211503.142337</v>
      </c>
      <c r="V23" s="2">
        <v>229862.70383271997</v>
      </c>
      <c r="W23" s="2">
        <v>217435.80309119</v>
      </c>
      <c r="X23" s="29">
        <f t="shared" si="3"/>
        <v>0.31618472595149116</v>
      </c>
      <c r="Y23" s="29">
        <f t="shared" si="4"/>
        <v>0.219331129001747</v>
      </c>
      <c r="Z23" s="29">
        <f t="shared" si="5"/>
        <v>-0.20930548881575628</v>
      </c>
      <c r="AA23" s="29">
        <f t="shared" si="6"/>
        <v>0.18758448340477751</v>
      </c>
      <c r="AB23" s="29">
        <f t="shared" si="7"/>
        <v>4.0247395733113756E-2</v>
      </c>
      <c r="AC23" s="29">
        <f t="shared" si="8"/>
        <v>0.24476155737487559</v>
      </c>
      <c r="AD23" s="29">
        <f t="shared" si="9"/>
        <v>-6.5009030648930488E-2</v>
      </c>
      <c r="AE23" s="29">
        <f t="shared" si="10"/>
        <v>0.18100800849454979</v>
      </c>
      <c r="AF23" s="29">
        <f t="shared" si="11"/>
        <v>-2.4265466115495737E-2</v>
      </c>
      <c r="AG23" s="29">
        <f t="shared" si="12"/>
        <v>5.3460364897334189E-2</v>
      </c>
      <c r="AH23" s="29">
        <f t="shared" si="13"/>
        <v>0.10023021078718064</v>
      </c>
      <c r="AI23" s="29">
        <f t="shared" si="14"/>
        <v>-2.1587535800220881E-2</v>
      </c>
      <c r="AJ23" s="29">
        <f t="shared" si="15"/>
        <v>3.0109837834960684E-2</v>
      </c>
      <c r="AK23" s="29">
        <f t="shared" si="16"/>
        <v>-5.6562375453856339E-2</v>
      </c>
      <c r="AL23" s="29">
        <f t="shared" si="17"/>
        <v>0.11863641264796443</v>
      </c>
      <c r="AM23" s="29">
        <f t="shared" si="18"/>
        <v>0.35047443012792123</v>
      </c>
      <c r="AN23" s="29">
        <f t="shared" si="19"/>
        <v>-0.10656209734991318</v>
      </c>
      <c r="AO23" s="29">
        <f t="shared" si="20"/>
        <v>-2.1880454773970159E-2</v>
      </c>
      <c r="AP23" s="29">
        <f t="shared" si="21"/>
        <v>8.6805147634481106E-2</v>
      </c>
      <c r="AQ23" s="29">
        <f t="shared" si="22"/>
        <v>-5.4062275150881023E-2</v>
      </c>
    </row>
    <row r="24" spans="2:43">
      <c r="B24" s="22" t="s">
        <v>29</v>
      </c>
      <c r="C24" s="2">
        <v>25386.230454799996</v>
      </c>
      <c r="D24" s="2">
        <v>35141.707828729996</v>
      </c>
      <c r="E24" s="2">
        <v>44117.922790260003</v>
      </c>
      <c r="F24" s="2">
        <f>F25+F26</f>
        <v>27617.42304595</v>
      </c>
      <c r="G24" s="2">
        <f>G25+G26</f>
        <v>34065.957821939999</v>
      </c>
      <c r="H24" s="2">
        <v>40611.185731860001</v>
      </c>
      <c r="I24" s="2">
        <f t="shared" ref="I24:O24" si="28">+I25+I26</f>
        <v>50517.3</v>
      </c>
      <c r="J24" s="2">
        <f t="shared" si="28"/>
        <v>44820.867114430002</v>
      </c>
      <c r="K24" s="2">
        <f t="shared" si="28"/>
        <v>47184.172281530002</v>
      </c>
      <c r="L24" s="2">
        <f t="shared" si="28"/>
        <v>50901.816344590006</v>
      </c>
      <c r="M24" s="2">
        <f t="shared" si="28"/>
        <v>61465.474152759998</v>
      </c>
      <c r="N24" s="2">
        <f t="shared" si="28"/>
        <v>61666.625757579997</v>
      </c>
      <c r="O24" s="2">
        <f t="shared" si="28"/>
        <v>55724.019514049993</v>
      </c>
      <c r="P24" s="2">
        <f t="shared" ref="P24:W24" si="29">+P25+P26</f>
        <v>52425.457781670004</v>
      </c>
      <c r="Q24" s="2">
        <f t="shared" si="29"/>
        <v>48498.361671210005</v>
      </c>
      <c r="R24" s="2">
        <f t="shared" si="29"/>
        <v>48713.175828209998</v>
      </c>
      <c r="S24" s="2">
        <f t="shared" si="29"/>
        <v>57820.596822510008</v>
      </c>
      <c r="T24" s="2">
        <f t="shared" si="29"/>
        <v>70298.790674129996</v>
      </c>
      <c r="U24" s="2">
        <f t="shared" si="29"/>
        <v>73263.565999640006</v>
      </c>
      <c r="V24" s="2">
        <f t="shared" si="29"/>
        <v>74729.059025059993</v>
      </c>
      <c r="W24" s="2">
        <f t="shared" si="29"/>
        <v>65405.376428249998</v>
      </c>
      <c r="X24" s="29">
        <f t="shared" si="3"/>
        <v>0.38428223486348467</v>
      </c>
      <c r="Y24" s="29">
        <f t="shared" si="4"/>
        <v>0.25542910450674028</v>
      </c>
      <c r="Z24" s="29">
        <f t="shared" si="5"/>
        <v>-0.37400899001420918</v>
      </c>
      <c r="AA24" s="29">
        <f t="shared" si="6"/>
        <v>0.23349516590526553</v>
      </c>
      <c r="AB24" s="29">
        <f t="shared" si="7"/>
        <v>0.19213397562843748</v>
      </c>
      <c r="AC24" s="29">
        <f t="shared" si="8"/>
        <v>0.24392575812846862</v>
      </c>
      <c r="AD24" s="29">
        <f t="shared" si="9"/>
        <v>-0.11276202183351047</v>
      </c>
      <c r="AE24" s="29">
        <f t="shared" si="10"/>
        <v>5.2727787730352471E-2</v>
      </c>
      <c r="AF24" s="29">
        <f t="shared" si="11"/>
        <v>7.8790066314573304E-2</v>
      </c>
      <c r="AG24" s="29">
        <f t="shared" si="12"/>
        <v>0.20753007587503758</v>
      </c>
      <c r="AH24" s="29">
        <f t="shared" si="13"/>
        <v>3.2725950233472023E-3</v>
      </c>
      <c r="AI24" s="29">
        <f t="shared" si="14"/>
        <v>-9.6366651661649372E-2</v>
      </c>
      <c r="AJ24" s="29">
        <f t="shared" si="15"/>
        <v>-5.9194612325988216E-2</v>
      </c>
      <c r="AK24" s="29">
        <f t="shared" si="16"/>
        <v>-7.4908189201031039E-2</v>
      </c>
      <c r="AL24" s="29">
        <f t="shared" si="17"/>
        <v>4.4293074981853753E-3</v>
      </c>
      <c r="AM24" s="29">
        <f t="shared" si="18"/>
        <v>0.18696011580969163</v>
      </c>
      <c r="AN24" s="29">
        <f t="shared" si="19"/>
        <v>0.21580880408280612</v>
      </c>
      <c r="AO24" s="29">
        <f t="shared" si="20"/>
        <v>4.217391646540869E-2</v>
      </c>
      <c r="AP24" s="29">
        <f t="shared" si="21"/>
        <v>2.0003026134807422E-2</v>
      </c>
      <c r="AQ24" s="29">
        <f t="shared" si="22"/>
        <v>-0.12476649269306794</v>
      </c>
    </row>
    <row r="25" spans="2:43">
      <c r="B25" s="23" t="s">
        <v>27</v>
      </c>
      <c r="C25" s="2">
        <v>4139.3446444199999</v>
      </c>
      <c r="D25" s="2">
        <v>4883.5901041500001</v>
      </c>
      <c r="E25" s="2">
        <v>5793.7098616200001</v>
      </c>
      <c r="F25" s="2">
        <v>5925.6323765699999</v>
      </c>
      <c r="G25" s="2">
        <v>6377.1676522800008</v>
      </c>
      <c r="H25" s="2">
        <v>6751.2975788899994</v>
      </c>
      <c r="I25" s="2">
        <v>7514.4</v>
      </c>
      <c r="J25" s="2">
        <v>5946.1155057100004</v>
      </c>
      <c r="K25" s="2">
        <v>5421.0483562999998</v>
      </c>
      <c r="L25" s="2">
        <v>5370.0321248600003</v>
      </c>
      <c r="M25" s="2">
        <v>5573.4420870100003</v>
      </c>
      <c r="N25" s="2">
        <v>5289.5376222300001</v>
      </c>
      <c r="O25" s="2">
        <v>5251.06462646</v>
      </c>
      <c r="P25" s="2">
        <v>2400.5129320700003</v>
      </c>
      <c r="Q25" s="2">
        <v>2816.2113849999996</v>
      </c>
      <c r="R25" s="2">
        <v>2759.4644480000002</v>
      </c>
      <c r="S25" s="2">
        <v>3334.5177599999997</v>
      </c>
      <c r="T25" s="2">
        <v>2981.3724519999996</v>
      </c>
      <c r="U25" s="2">
        <v>3776.8222100000003</v>
      </c>
      <c r="V25" s="2">
        <v>3235.7206720000004</v>
      </c>
      <c r="W25" s="2">
        <v>2512.9976959999999</v>
      </c>
      <c r="X25" s="29">
        <f t="shared" si="3"/>
        <v>0.17979789644558175</v>
      </c>
      <c r="Y25" s="29">
        <f t="shared" si="4"/>
        <v>0.18636284742583009</v>
      </c>
      <c r="Z25" s="29">
        <f t="shared" si="5"/>
        <v>2.2769955365544048E-2</v>
      </c>
      <c r="AA25" s="29">
        <f t="shared" si="6"/>
        <v>7.6200352471303301E-2</v>
      </c>
      <c r="AB25" s="29">
        <f t="shared" si="7"/>
        <v>5.8667099096295194E-2</v>
      </c>
      <c r="AC25" s="29">
        <f t="shared" si="8"/>
        <v>0.11303048224330592</v>
      </c>
      <c r="AD25" s="29">
        <f t="shared" si="9"/>
        <v>-0.20870388777414017</v>
      </c>
      <c r="AE25" s="29">
        <f t="shared" si="10"/>
        <v>-8.8304229695131742E-2</v>
      </c>
      <c r="AF25" s="29">
        <f t="shared" si="11"/>
        <v>-9.4107685611606318E-3</v>
      </c>
      <c r="AG25" s="29">
        <f t="shared" si="12"/>
        <v>3.7878723519797042E-2</v>
      </c>
      <c r="AH25" s="29">
        <f t="shared" si="13"/>
        <v>-5.0938802332170074E-2</v>
      </c>
      <c r="AI25" s="29">
        <f t="shared" si="14"/>
        <v>-7.2734137684005162E-3</v>
      </c>
      <c r="AJ25" s="29">
        <f t="shared" si="15"/>
        <v>-0.54285214469197962</v>
      </c>
      <c r="AK25" s="29">
        <f t="shared" si="16"/>
        <v>0.17317067838977906</v>
      </c>
      <c r="AL25" s="29">
        <f t="shared" si="17"/>
        <v>-2.0150098569393982E-2</v>
      </c>
      <c r="AM25" s="29">
        <f t="shared" si="18"/>
        <v>0.20839308599057538</v>
      </c>
      <c r="AN25" s="29">
        <f t="shared" si="19"/>
        <v>-0.10590596104667327</v>
      </c>
      <c r="AO25" s="29">
        <f t="shared" si="20"/>
        <v>0.26680657006352471</v>
      </c>
      <c r="AP25" s="29">
        <f t="shared" si="21"/>
        <v>-0.14326899915153801</v>
      </c>
      <c r="AQ25" s="29">
        <f t="shared" si="22"/>
        <v>-0.22335765329004287</v>
      </c>
    </row>
    <row r="26" spans="2:43">
      <c r="B26" s="23" t="s">
        <v>28</v>
      </c>
      <c r="C26" s="2">
        <v>21246.885810379998</v>
      </c>
      <c r="D26" s="2">
        <v>30258.117724579999</v>
      </c>
      <c r="E26" s="2">
        <v>38324.212928640001</v>
      </c>
      <c r="F26" s="2">
        <v>21691.79066938</v>
      </c>
      <c r="G26" s="2">
        <v>27688.790169659998</v>
      </c>
      <c r="H26" s="2">
        <v>33859.888152970001</v>
      </c>
      <c r="I26" s="2">
        <v>43002.9</v>
      </c>
      <c r="J26" s="2">
        <v>38874.751608719998</v>
      </c>
      <c r="K26" s="2">
        <v>41763.12392523</v>
      </c>
      <c r="L26" s="2">
        <v>45531.784219730005</v>
      </c>
      <c r="M26" s="2">
        <v>55892.032065749998</v>
      </c>
      <c r="N26" s="2">
        <v>56377.088135350001</v>
      </c>
      <c r="O26" s="2">
        <v>50472.954887589993</v>
      </c>
      <c r="P26" s="2">
        <v>50024.944849600004</v>
      </c>
      <c r="Q26" s="2">
        <v>45682.150286210002</v>
      </c>
      <c r="R26" s="2">
        <v>45953.711380209999</v>
      </c>
      <c r="S26" s="2">
        <v>54486.079062510005</v>
      </c>
      <c r="T26" s="2">
        <v>67317.41822213</v>
      </c>
      <c r="U26" s="2">
        <v>69486.743789640008</v>
      </c>
      <c r="V26" s="2">
        <v>71493.338353059997</v>
      </c>
      <c r="W26" s="2">
        <v>62892.378732249999</v>
      </c>
      <c r="X26" s="29">
        <f t="shared" si="3"/>
        <v>0.42412012727990644</v>
      </c>
      <c r="Y26" s="29">
        <f t="shared" si="4"/>
        <v>0.26657623839924316</v>
      </c>
      <c r="Z26" s="29">
        <f t="shared" si="5"/>
        <v>-0.43399253339474209</v>
      </c>
      <c r="AA26" s="29">
        <f t="shared" si="6"/>
        <v>0.27646401312296121</v>
      </c>
      <c r="AB26" s="29">
        <f t="shared" si="7"/>
        <v>0.22287351471470163</v>
      </c>
      <c r="AC26" s="29">
        <f t="shared" si="8"/>
        <v>0.27002486853247398</v>
      </c>
      <c r="AD26" s="29">
        <f t="shared" si="9"/>
        <v>-9.5996976745289286E-2</v>
      </c>
      <c r="AE26" s="29">
        <f t="shared" si="10"/>
        <v>7.4299441076354222E-2</v>
      </c>
      <c r="AF26" s="29">
        <f t="shared" si="11"/>
        <v>9.0238946235132511E-2</v>
      </c>
      <c r="AG26" s="29">
        <f t="shared" si="12"/>
        <v>0.22753880665038051</v>
      </c>
      <c r="AH26" s="29">
        <f t="shared" si="13"/>
        <v>8.6784475652879056E-3</v>
      </c>
      <c r="AI26" s="29">
        <f t="shared" si="14"/>
        <v>-0.10472575727191469</v>
      </c>
      <c r="AJ26" s="29">
        <f t="shared" si="15"/>
        <v>-8.8762395423007678E-3</v>
      </c>
      <c r="AK26" s="29">
        <f t="shared" si="16"/>
        <v>-8.6812580732404832E-2</v>
      </c>
      <c r="AL26" s="29">
        <f t="shared" si="17"/>
        <v>5.9445777464195437E-3</v>
      </c>
      <c r="AM26" s="29">
        <f t="shared" si="18"/>
        <v>0.18567309203178906</v>
      </c>
      <c r="AN26" s="29">
        <f t="shared" si="19"/>
        <v>0.23549756892763463</v>
      </c>
      <c r="AO26" s="29">
        <f t="shared" si="20"/>
        <v>3.2225323323479271E-2</v>
      </c>
      <c r="AP26" s="29">
        <f t="shared" si="21"/>
        <v>2.8877372200583062E-2</v>
      </c>
      <c r="AQ26" s="29">
        <f t="shared" si="22"/>
        <v>-0.12030435029254538</v>
      </c>
    </row>
    <row r="27" spans="2:43">
      <c r="B27" s="22" t="s">
        <v>32</v>
      </c>
      <c r="C27" s="2">
        <v>86469.200313300011</v>
      </c>
      <c r="D27" s="2">
        <v>101756.20756734</v>
      </c>
      <c r="E27" s="2">
        <v>121900.13105040001</v>
      </c>
      <c r="F27" s="2">
        <v>138917.8350505</v>
      </c>
      <c r="G27" s="2">
        <v>146151.82709844003</v>
      </c>
      <c r="H27" s="2">
        <v>131571.45625893</v>
      </c>
      <c r="I27" s="2">
        <v>124576.2</v>
      </c>
      <c r="J27" s="2">
        <v>193386.98291752001</v>
      </c>
      <c r="K27" s="2">
        <v>195392.39478738001</v>
      </c>
      <c r="L27" s="2">
        <v>221788.86520505999</v>
      </c>
      <c r="M27" s="2">
        <v>206083.93481352998</v>
      </c>
      <c r="N27" s="2">
        <v>216467.29645314004</v>
      </c>
      <c r="O27" s="2">
        <v>225412.33473072</v>
      </c>
      <c r="P27" s="2">
        <v>226939.71772531001</v>
      </c>
      <c r="Q27" s="2">
        <v>251806.05680034996</v>
      </c>
      <c r="R27" s="2">
        <v>258707.68420451001</v>
      </c>
      <c r="S27" s="2">
        <v>295741.34497871005</v>
      </c>
      <c r="T27" s="2">
        <v>333927.10226147994</v>
      </c>
      <c r="U27" s="2">
        <v>345289.11086566019</v>
      </c>
      <c r="V27" s="2">
        <v>357967.09114555997</v>
      </c>
      <c r="W27" s="2">
        <v>320760.37545537995</v>
      </c>
      <c r="X27" s="29">
        <f t="shared" si="3"/>
        <v>0.17679135690686687</v>
      </c>
      <c r="Y27" s="29">
        <f t="shared" si="4"/>
        <v>0.19796260065735272</v>
      </c>
      <c r="Z27" s="29">
        <f t="shared" si="5"/>
        <v>0.13960365631652971</v>
      </c>
      <c r="AA27" s="29">
        <f t="shared" si="6"/>
        <v>5.2073889902691795E-2</v>
      </c>
      <c r="AB27" s="29">
        <f t="shared" si="7"/>
        <v>-9.9761810228273573E-2</v>
      </c>
      <c r="AC27" s="29">
        <f t="shared" si="8"/>
        <v>-5.3166974493035091E-2</v>
      </c>
      <c r="AD27" s="29">
        <f t="shared" si="9"/>
        <v>0.55235898123012284</v>
      </c>
      <c r="AE27" s="29">
        <f t="shared" si="10"/>
        <v>1.0369942379810038E-2</v>
      </c>
      <c r="AF27" s="29">
        <f t="shared" si="11"/>
        <v>0.1350946665370667</v>
      </c>
      <c r="AG27" s="29">
        <f t="shared" si="12"/>
        <v>-7.0810274343617974E-2</v>
      </c>
      <c r="AH27" s="29">
        <f t="shared" si="13"/>
        <v>5.038413910819961E-2</v>
      </c>
      <c r="AI27" s="29">
        <f t="shared" si="14"/>
        <v>4.13228160749739E-2</v>
      </c>
      <c r="AJ27" s="29">
        <f t="shared" si="15"/>
        <v>6.7759512646663467E-3</v>
      </c>
      <c r="AK27" s="29">
        <f t="shared" si="16"/>
        <v>0.10957244207529326</v>
      </c>
      <c r="AL27" s="29">
        <f t="shared" si="17"/>
        <v>2.7408504353936713E-2</v>
      </c>
      <c r="AM27" s="29">
        <f t="shared" si="18"/>
        <v>0.14314866946481852</v>
      </c>
      <c r="AN27" s="29">
        <f t="shared" si="19"/>
        <v>0.12911876520179755</v>
      </c>
      <c r="AO27" s="29">
        <f t="shared" si="20"/>
        <v>3.4025416107984263E-2</v>
      </c>
      <c r="AP27" s="29">
        <f t="shared" si="21"/>
        <v>3.6716999989126142E-2</v>
      </c>
      <c r="AQ27" s="29">
        <f t="shared" si="22"/>
        <v>-0.10393892793639703</v>
      </c>
    </row>
    <row r="28" spans="2:43">
      <c r="B28" s="22" t="s">
        <v>74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</row>
    <row r="29" spans="2:43" ht="14.25">
      <c r="B29" s="22" t="s">
        <v>75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542.16777700000011</v>
      </c>
      <c r="U29" s="2">
        <v>0</v>
      </c>
      <c r="V29" s="2">
        <v>0</v>
      </c>
      <c r="W29" s="2">
        <v>0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2:43">
      <c r="B30" s="21" t="s">
        <v>33</v>
      </c>
      <c r="C30" s="2">
        <v>7672.4017828799988</v>
      </c>
      <c r="D30" s="2">
        <v>7104.8732529099998</v>
      </c>
      <c r="E30" s="2">
        <v>10200.886196810001</v>
      </c>
      <c r="F30" s="2">
        <v>12728.932516830002</v>
      </c>
      <c r="G30" s="2">
        <v>15333.857300219999</v>
      </c>
      <c r="H30" s="2">
        <v>16034.926976270001</v>
      </c>
      <c r="I30" s="2">
        <v>17066.2</v>
      </c>
      <c r="J30" s="2">
        <v>14526.42253168</v>
      </c>
      <c r="K30" s="2">
        <v>15979.47693484</v>
      </c>
      <c r="L30" s="2">
        <v>16867.374046270001</v>
      </c>
      <c r="M30" s="2">
        <v>17347.190036709999</v>
      </c>
      <c r="N30" s="2">
        <v>17752.10598126</v>
      </c>
      <c r="O30" s="2">
        <v>19769.667725759999</v>
      </c>
      <c r="P30" s="2">
        <v>19202.79037472</v>
      </c>
      <c r="Q30" s="2">
        <v>18592.967902509998</v>
      </c>
      <c r="R30" s="2">
        <v>113362.42001057</v>
      </c>
      <c r="S30" s="2">
        <v>122352.18623248002</v>
      </c>
      <c r="T30" s="2">
        <v>134789.58266885002</v>
      </c>
      <c r="U30" s="2">
        <v>141009.72545852998</v>
      </c>
      <c r="V30" s="2">
        <v>147848.54941492999</v>
      </c>
      <c r="W30" s="2">
        <v>154923.31500176</v>
      </c>
      <c r="X30" s="29">
        <f t="shared" ref="X30:AG32" si="30">+D30/C30-1</f>
        <v>-7.3970126438942185E-2</v>
      </c>
      <c r="Y30" s="29">
        <f t="shared" si="30"/>
        <v>0.43575906757125371</v>
      </c>
      <c r="Z30" s="29">
        <f t="shared" si="30"/>
        <v>0.24782614679208614</v>
      </c>
      <c r="AA30" s="29">
        <f t="shared" si="30"/>
        <v>0.20464597325390832</v>
      </c>
      <c r="AB30" s="29">
        <f t="shared" si="30"/>
        <v>4.5720373049248586E-2</v>
      </c>
      <c r="AC30" s="29">
        <f t="shared" si="30"/>
        <v>6.4314170264459181E-2</v>
      </c>
      <c r="AD30" s="29">
        <f t="shared" si="30"/>
        <v>-0.14881915530815293</v>
      </c>
      <c r="AE30" s="29">
        <f t="shared" si="30"/>
        <v>0.10002837243589058</v>
      </c>
      <c r="AF30" s="29">
        <f t="shared" si="30"/>
        <v>5.5564842018960059E-2</v>
      </c>
      <c r="AG30" s="29">
        <f t="shared" si="30"/>
        <v>2.8446395338348696E-2</v>
      </c>
      <c r="AH30" s="29">
        <f t="shared" ref="AH30:AQ32" si="31">+N30/M30-1</f>
        <v>2.3341875179387683E-2</v>
      </c>
      <c r="AI30" s="29">
        <f t="shared" si="31"/>
        <v>0.11365196594870697</v>
      </c>
      <c r="AJ30" s="29">
        <f t="shared" si="31"/>
        <v>-2.8674096039629116E-2</v>
      </c>
      <c r="AK30" s="29">
        <f t="shared" si="31"/>
        <v>-3.175697178951753E-2</v>
      </c>
      <c r="AL30" s="29">
        <f t="shared" si="31"/>
        <v>5.0970588775806149</v>
      </c>
      <c r="AM30" s="29">
        <f t="shared" si="31"/>
        <v>7.9301114258780059E-2</v>
      </c>
      <c r="AN30" s="29">
        <f t="shared" si="31"/>
        <v>0.10165242501460381</v>
      </c>
      <c r="AO30" s="29">
        <f t="shared" si="31"/>
        <v>4.6147058745344971E-2</v>
      </c>
      <c r="AP30" s="29">
        <f t="shared" si="31"/>
        <v>4.8498952353547065E-2</v>
      </c>
      <c r="AQ30" s="29">
        <f t="shared" si="31"/>
        <v>4.7851437263513485E-2</v>
      </c>
    </row>
    <row r="31" spans="2:43">
      <c r="B31" s="21" t="s">
        <v>12</v>
      </c>
      <c r="C31" s="2">
        <v>2821.7177087800005</v>
      </c>
      <c r="D31" s="2">
        <v>3606.12194834</v>
      </c>
      <c r="E31" s="2">
        <v>3005.8</v>
      </c>
      <c r="F31" s="2">
        <v>4099.3322912500007</v>
      </c>
      <c r="G31" s="2">
        <v>3731.9055937500002</v>
      </c>
      <c r="H31" s="2">
        <v>4470.2964902300009</v>
      </c>
      <c r="I31" s="2">
        <v>3480.4</v>
      </c>
      <c r="J31" s="2">
        <v>2875.5891759400001</v>
      </c>
      <c r="K31" s="2">
        <v>5317.8527955799991</v>
      </c>
      <c r="L31" s="2">
        <v>5033.9000613000007</v>
      </c>
      <c r="M31" s="2">
        <v>14467.123459189999</v>
      </c>
      <c r="N31" s="2">
        <v>41699.154127839996</v>
      </c>
      <c r="O31" s="2">
        <v>6885.5855805699994</v>
      </c>
      <c r="P31" s="2">
        <v>40527.488212719996</v>
      </c>
      <c r="Q31" s="2">
        <v>20398.12778332</v>
      </c>
      <c r="R31" s="2">
        <v>40987.710810680001</v>
      </c>
      <c r="S31" s="2">
        <v>74396.125604180008</v>
      </c>
      <c r="T31" s="2">
        <v>61615.996562139997</v>
      </c>
      <c r="U31" s="2">
        <v>63062.294322000002</v>
      </c>
      <c r="V31" s="2">
        <v>67240.172757330001</v>
      </c>
      <c r="W31" s="2">
        <v>65372.66884292</v>
      </c>
      <c r="X31" s="29">
        <f t="shared" si="30"/>
        <v>0.27798820453203477</v>
      </c>
      <c r="Y31" s="29">
        <f t="shared" si="30"/>
        <v>-0.16647300256064412</v>
      </c>
      <c r="Z31" s="29">
        <f t="shared" si="30"/>
        <v>0.36380740277130896</v>
      </c>
      <c r="AA31" s="29">
        <f t="shared" si="30"/>
        <v>-8.9630864588428394E-2</v>
      </c>
      <c r="AB31" s="29">
        <f t="shared" si="30"/>
        <v>0.19785894308704344</v>
      </c>
      <c r="AC31" s="29">
        <f t="shared" si="30"/>
        <v>-0.22143866573357185</v>
      </c>
      <c r="AD31" s="29">
        <f t="shared" si="30"/>
        <v>-0.17377623952993904</v>
      </c>
      <c r="AE31" s="29">
        <f t="shared" si="30"/>
        <v>0.84930894860586204</v>
      </c>
      <c r="AF31" s="29">
        <f t="shared" si="30"/>
        <v>-5.3396125315091303E-2</v>
      </c>
      <c r="AG31" s="29">
        <f t="shared" si="30"/>
        <v>1.8739393478252477</v>
      </c>
      <c r="AH31" s="29">
        <f t="shared" si="31"/>
        <v>1.8823389974840716</v>
      </c>
      <c r="AI31" s="29">
        <f t="shared" si="31"/>
        <v>-0.83487469411344939</v>
      </c>
      <c r="AJ31" s="29">
        <f t="shared" si="31"/>
        <v>4.8858448186428713</v>
      </c>
      <c r="AK31" s="29">
        <f t="shared" si="31"/>
        <v>-0.4966841350676694</v>
      </c>
      <c r="AL31" s="29">
        <f t="shared" si="31"/>
        <v>1.0093859223784527</v>
      </c>
      <c r="AM31" s="29">
        <f t="shared" si="31"/>
        <v>0.815083695398644</v>
      </c>
      <c r="AN31" s="29">
        <f t="shared" si="31"/>
        <v>-0.17178487371823503</v>
      </c>
      <c r="AO31" s="29">
        <f t="shared" si="31"/>
        <v>2.3472764226111442E-2</v>
      </c>
      <c r="AP31" s="29">
        <f t="shared" si="31"/>
        <v>6.6250022779023698E-2</v>
      </c>
      <c r="AQ31" s="29">
        <f t="shared" si="31"/>
        <v>-2.7773633496597783E-2</v>
      </c>
    </row>
    <row r="32" spans="2:43">
      <c r="B32" s="21" t="s">
        <v>34</v>
      </c>
      <c r="C32" s="2">
        <v>1944.4284020499999</v>
      </c>
      <c r="D32" s="2">
        <v>2085.1833596699998</v>
      </c>
      <c r="E32" s="2">
        <v>2645.4311339299998</v>
      </c>
      <c r="F32" s="2">
        <v>2728.1966701900001</v>
      </c>
      <c r="G32" s="2">
        <v>5900.0301307299997</v>
      </c>
      <c r="H32" s="2">
        <v>15066.96485165</v>
      </c>
      <c r="I32" s="2">
        <v>18025.8</v>
      </c>
      <c r="J32" s="2">
        <v>22485.252950140002</v>
      </c>
      <c r="K32" s="2">
        <v>14426.56028277</v>
      </c>
      <c r="L32" s="2">
        <v>34317.309312419995</v>
      </c>
      <c r="M32" s="2">
        <v>27251.450172950004</v>
      </c>
      <c r="N32" s="2">
        <v>31608.183315350005</v>
      </c>
      <c r="O32" s="2">
        <v>38480.606518050001</v>
      </c>
      <c r="P32" s="2">
        <v>33778.106608250004</v>
      </c>
      <c r="Q32" s="2">
        <v>35901.046954730002</v>
      </c>
      <c r="R32" s="2">
        <v>114694.89221760999</v>
      </c>
      <c r="S32" s="2">
        <v>3485.2820004999999</v>
      </c>
      <c r="T32" s="2">
        <v>3006.0256275700003</v>
      </c>
      <c r="U32" s="2">
        <v>7727.9824166400003</v>
      </c>
      <c r="V32" s="2">
        <v>4202.4630657799999</v>
      </c>
      <c r="W32" s="2">
        <v>4212.1632423999999</v>
      </c>
      <c r="X32" s="29">
        <f t="shared" si="30"/>
        <v>7.2388861154055739E-2</v>
      </c>
      <c r="Y32" s="29">
        <f t="shared" si="30"/>
        <v>0.26868034010623632</v>
      </c>
      <c r="Z32" s="29">
        <f t="shared" si="30"/>
        <v>3.1286218415765621E-2</v>
      </c>
      <c r="AA32" s="29">
        <f t="shared" si="30"/>
        <v>1.1626117336764814</v>
      </c>
      <c r="AB32" s="29">
        <f t="shared" si="30"/>
        <v>1.5537098146625556</v>
      </c>
      <c r="AC32" s="29">
        <f t="shared" si="30"/>
        <v>0.19637897728459719</v>
      </c>
      <c r="AD32" s="29">
        <f t="shared" si="30"/>
        <v>0.2473927897868613</v>
      </c>
      <c r="AE32" s="29">
        <f t="shared" si="30"/>
        <v>-0.35839902202744955</v>
      </c>
      <c r="AF32" s="29">
        <f t="shared" si="30"/>
        <v>1.3787589445979034</v>
      </c>
      <c r="AG32" s="29">
        <f t="shared" si="30"/>
        <v>-0.20589781894446901</v>
      </c>
      <c r="AH32" s="29">
        <f t="shared" si="31"/>
        <v>0.15987160737319317</v>
      </c>
      <c r="AI32" s="29">
        <f t="shared" si="31"/>
        <v>0.21742544119460727</v>
      </c>
      <c r="AJ32" s="29">
        <f t="shared" si="31"/>
        <v>-0.12220441243809932</v>
      </c>
      <c r="AK32" s="29">
        <f t="shared" si="31"/>
        <v>6.2849595778156742E-2</v>
      </c>
      <c r="AL32" s="29">
        <f t="shared" si="31"/>
        <v>2.1947506255802609</v>
      </c>
      <c r="AM32" s="29">
        <f t="shared" si="31"/>
        <v>-0.96961257878958207</v>
      </c>
      <c r="AN32" s="29">
        <f t="shared" si="31"/>
        <v>-0.13750863570329319</v>
      </c>
      <c r="AO32" s="29">
        <f t="shared" si="31"/>
        <v>1.5708305164673919</v>
      </c>
      <c r="AP32" s="29">
        <f t="shared" si="31"/>
        <v>-0.45620178214546692</v>
      </c>
      <c r="AQ32" s="29">
        <f t="shared" si="31"/>
        <v>2.3082122241566694E-3</v>
      </c>
    </row>
    <row r="33" spans="1:43">
      <c r="C33" s="2"/>
      <c r="D33" s="2"/>
      <c r="E33" s="2"/>
      <c r="G33" s="2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</row>
    <row r="34" spans="1:43" ht="15">
      <c r="B34" s="14" t="s">
        <v>11</v>
      </c>
      <c r="C34" s="7">
        <v>12</v>
      </c>
      <c r="D34" s="7">
        <v>40</v>
      </c>
      <c r="E34" s="7">
        <v>40</v>
      </c>
      <c r="F34" s="7">
        <v>0</v>
      </c>
      <c r="G34" s="7">
        <v>22.04488263</v>
      </c>
      <c r="H34" s="7">
        <v>15.5</v>
      </c>
      <c r="I34" s="7">
        <v>30</v>
      </c>
      <c r="J34" s="7">
        <v>0</v>
      </c>
      <c r="K34" s="7">
        <v>0</v>
      </c>
      <c r="L34" s="7">
        <v>69.30532045999999</v>
      </c>
      <c r="M34" s="7">
        <v>4479.4873979900003</v>
      </c>
      <c r="N34" s="7">
        <v>5884.7807378300004</v>
      </c>
      <c r="O34" s="7">
        <v>517.85512800000004</v>
      </c>
      <c r="P34" s="7">
        <v>30052.51</v>
      </c>
      <c r="Q34" s="7">
        <v>0</v>
      </c>
      <c r="R34" s="7">
        <v>6534.9489450000001</v>
      </c>
      <c r="S34" s="7">
        <v>0</v>
      </c>
      <c r="T34" s="7">
        <v>0</v>
      </c>
      <c r="U34" s="7">
        <v>7583.4363540000004</v>
      </c>
      <c r="V34" s="7">
        <v>7541.7006650000003</v>
      </c>
      <c r="W34" s="7">
        <v>11253.721287</v>
      </c>
      <c r="X34" s="29">
        <f t="shared" ref="X34:AQ34" si="32">+D34/C34-1</f>
        <v>2.3333333333333335</v>
      </c>
      <c r="Y34" s="29">
        <f t="shared" si="32"/>
        <v>0</v>
      </c>
      <c r="Z34" s="29">
        <f t="shared" si="32"/>
        <v>-1</v>
      </c>
      <c r="AA34" s="41" t="e">
        <f t="shared" si="32"/>
        <v>#DIV/0!</v>
      </c>
      <c r="AB34" s="29">
        <f t="shared" si="32"/>
        <v>-0.29688897599723807</v>
      </c>
      <c r="AC34" s="29">
        <f t="shared" si="32"/>
        <v>0.93548387096774199</v>
      </c>
      <c r="AD34" s="29">
        <f t="shared" si="32"/>
        <v>-1</v>
      </c>
      <c r="AE34" s="41" t="e">
        <f t="shared" si="32"/>
        <v>#DIV/0!</v>
      </c>
      <c r="AF34" s="41" t="e">
        <f t="shared" si="32"/>
        <v>#DIV/0!</v>
      </c>
      <c r="AG34" s="29">
        <f t="shared" si="32"/>
        <v>63.634105552911564</v>
      </c>
      <c r="AH34" s="29">
        <f t="shared" si="32"/>
        <v>0.31371744465015627</v>
      </c>
      <c r="AI34" s="29">
        <f t="shared" si="32"/>
        <v>-0.9120009476868024</v>
      </c>
      <c r="AJ34" s="29">
        <f t="shared" si="32"/>
        <v>57.032658894516146</v>
      </c>
      <c r="AK34" s="29">
        <f t="shared" si="32"/>
        <v>-1</v>
      </c>
      <c r="AL34" s="41" t="e">
        <f t="shared" si="32"/>
        <v>#DIV/0!</v>
      </c>
      <c r="AM34" s="29">
        <f t="shared" si="32"/>
        <v>-1</v>
      </c>
      <c r="AN34" s="41" t="e">
        <f t="shared" si="32"/>
        <v>#DIV/0!</v>
      </c>
      <c r="AO34" s="41" t="e">
        <f t="shared" si="32"/>
        <v>#DIV/0!</v>
      </c>
      <c r="AP34" s="29">
        <f t="shared" si="32"/>
        <v>-5.5035325743830743E-3</v>
      </c>
      <c r="AQ34" s="29">
        <f t="shared" si="32"/>
        <v>0.49219941056888916</v>
      </c>
    </row>
    <row r="35" spans="1:43">
      <c r="C35" s="2"/>
      <c r="D35" s="2"/>
      <c r="E35" s="2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</row>
    <row r="36" spans="1:43">
      <c r="A36" s="15">
        <v>2</v>
      </c>
      <c r="B36" s="55" t="s">
        <v>56</v>
      </c>
      <c r="C36" s="20">
        <f>+C40+C56</f>
        <v>458565.91000000003</v>
      </c>
      <c r="D36" s="20">
        <f>+D40+D56</f>
        <v>539207.79999999993</v>
      </c>
      <c r="E36" s="20">
        <f t="shared" ref="E36:K36" si="33">+E40+E56</f>
        <v>577856.98143819999</v>
      </c>
      <c r="F36" s="20">
        <f t="shared" si="33"/>
        <v>704417.7067143399</v>
      </c>
      <c r="G36" s="20">
        <f t="shared" si="33"/>
        <v>905141.89999999991</v>
      </c>
      <c r="H36" s="20">
        <f t="shared" si="33"/>
        <v>987650.00766949984</v>
      </c>
      <c r="I36" s="20">
        <f t="shared" si="33"/>
        <v>1072226.9042420802</v>
      </c>
      <c r="J36" s="20">
        <f t="shared" si="33"/>
        <v>1191109.9229024099</v>
      </c>
      <c r="K36" s="20">
        <f t="shared" si="33"/>
        <v>1292373.6541719798</v>
      </c>
      <c r="L36" s="20">
        <f t="shared" ref="L36:W36" si="34">+L40+L56+L65</f>
        <v>1444244.08990339</v>
      </c>
      <c r="M36" s="20">
        <f t="shared" si="34"/>
        <v>1466489.6186892402</v>
      </c>
      <c r="N36" s="20">
        <f t="shared" si="34"/>
        <v>1605764.7592056</v>
      </c>
      <c r="O36" s="20">
        <f t="shared" si="34"/>
        <v>1706513.1364571</v>
      </c>
      <c r="P36" s="20">
        <f t="shared" si="34"/>
        <v>1923042.6273725103</v>
      </c>
      <c r="Q36" s="20">
        <f t="shared" si="34"/>
        <v>1924855.4696839799</v>
      </c>
      <c r="R36" s="20">
        <f t="shared" si="34"/>
        <v>2133788.40867496</v>
      </c>
      <c r="S36" s="20">
        <f t="shared" si="34"/>
        <v>2268357.25713298</v>
      </c>
      <c r="T36" s="20">
        <f t="shared" si="34"/>
        <v>2266074.7371758502</v>
      </c>
      <c r="U36" s="20">
        <f t="shared" si="34"/>
        <v>2289516.26585154</v>
      </c>
      <c r="V36" s="20">
        <f t="shared" si="34"/>
        <v>2387118.9574274803</v>
      </c>
      <c r="W36" s="20">
        <f t="shared" si="34"/>
        <v>2376558.8240056103</v>
      </c>
      <c r="X36" s="39">
        <f t="shared" ref="X36:AQ36" si="35">+D36/C36-1</f>
        <v>0.17585670509174989</v>
      </c>
      <c r="Y36" s="39">
        <f t="shared" si="35"/>
        <v>7.16777120772365E-2</v>
      </c>
      <c r="Z36" s="39">
        <f t="shared" si="35"/>
        <v>0.21901738551492289</v>
      </c>
      <c r="AA36" s="39">
        <f t="shared" si="35"/>
        <v>0.28495052207291982</v>
      </c>
      <c r="AB36" s="39">
        <f t="shared" si="35"/>
        <v>9.1154887061906997E-2</v>
      </c>
      <c r="AC36" s="39">
        <f t="shared" si="35"/>
        <v>8.5634481765612058E-2</v>
      </c>
      <c r="AD36" s="39">
        <f t="shared" si="35"/>
        <v>0.11087487003915841</v>
      </c>
      <c r="AE36" s="39">
        <f t="shared" si="35"/>
        <v>8.5016277106329419E-2</v>
      </c>
      <c r="AF36" s="39">
        <f t="shared" si="35"/>
        <v>0.1175127914757077</v>
      </c>
      <c r="AG36" s="39">
        <f t="shared" si="35"/>
        <v>1.5402887186014569E-2</v>
      </c>
      <c r="AH36" s="39">
        <f t="shared" si="35"/>
        <v>9.4971787554040121E-2</v>
      </c>
      <c r="AI36" s="39">
        <f t="shared" si="35"/>
        <v>6.2741679112040094E-2</v>
      </c>
      <c r="AJ36" s="39">
        <f t="shared" si="35"/>
        <v>0.12688416296926275</v>
      </c>
      <c r="AK36" s="39">
        <f t="shared" si="35"/>
        <v>9.4269481376318964E-4</v>
      </c>
      <c r="AL36" s="39">
        <f t="shared" si="35"/>
        <v>0.10854474129700886</v>
      </c>
      <c r="AM36" s="39">
        <f t="shared" si="35"/>
        <v>6.3065694757234336E-2</v>
      </c>
      <c r="AN36" s="39">
        <f t="shared" si="35"/>
        <v>-1.0062435932225444E-3</v>
      </c>
      <c r="AO36" s="39">
        <f t="shared" si="35"/>
        <v>1.0344552318210187E-2</v>
      </c>
      <c r="AP36" s="39">
        <f t="shared" si="35"/>
        <v>4.2630267813205114E-2</v>
      </c>
      <c r="AQ36" s="39">
        <f t="shared" si="35"/>
        <v>-4.4237985664736801E-3</v>
      </c>
    </row>
    <row r="37" spans="1:43">
      <c r="A37" s="15"/>
      <c r="B37" s="16"/>
      <c r="C37" s="19"/>
      <c r="D37" s="19"/>
      <c r="E37" s="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</row>
    <row r="38" spans="1:43">
      <c r="A38" s="15">
        <v>3</v>
      </c>
      <c r="B38" s="5" t="s">
        <v>16</v>
      </c>
      <c r="C38" s="7">
        <f t="shared" ref="C38:W38" si="36">+C36-C46</f>
        <v>292668.91000000003</v>
      </c>
      <c r="D38" s="7">
        <f t="shared" si="36"/>
        <v>356406.39999999991</v>
      </c>
      <c r="E38" s="7">
        <f t="shared" si="36"/>
        <v>432072.1814382</v>
      </c>
      <c r="F38" s="7">
        <f t="shared" si="36"/>
        <v>573504.2067143399</v>
      </c>
      <c r="G38" s="7">
        <f t="shared" si="36"/>
        <v>746160.29999999993</v>
      </c>
      <c r="H38" s="7">
        <f t="shared" si="36"/>
        <v>821893.05668040982</v>
      </c>
      <c r="I38" s="7">
        <f t="shared" si="36"/>
        <v>916248.50424208015</v>
      </c>
      <c r="J38" s="7">
        <f t="shared" si="36"/>
        <v>1033015.8634171799</v>
      </c>
      <c r="K38" s="7">
        <f t="shared" si="36"/>
        <v>1131349.5907587998</v>
      </c>
      <c r="L38" s="7">
        <f t="shared" si="36"/>
        <v>1251785.1780072001</v>
      </c>
      <c r="M38" s="7">
        <f t="shared" si="36"/>
        <v>1228366.7077745402</v>
      </c>
      <c r="N38" s="7">
        <f t="shared" si="36"/>
        <v>1352458.83130301</v>
      </c>
      <c r="O38" s="7">
        <f t="shared" si="36"/>
        <v>1383882.4794801902</v>
      </c>
      <c r="P38" s="7">
        <f t="shared" si="36"/>
        <v>1562467.7253369603</v>
      </c>
      <c r="Q38" s="7">
        <f t="shared" si="36"/>
        <v>1413276.5557893899</v>
      </c>
      <c r="R38" s="7">
        <f t="shared" si="36"/>
        <v>1509245.9601038801</v>
      </c>
      <c r="S38" s="7">
        <f t="shared" si="36"/>
        <v>1575504.4648120601</v>
      </c>
      <c r="T38" s="7">
        <f t="shared" si="36"/>
        <v>1547595.1231383202</v>
      </c>
      <c r="U38" s="7">
        <f t="shared" si="36"/>
        <v>1589527.28007968</v>
      </c>
      <c r="V38" s="7">
        <f t="shared" si="36"/>
        <v>1700705.2609992404</v>
      </c>
      <c r="W38" s="7">
        <f t="shared" si="36"/>
        <v>1705755.1052716803</v>
      </c>
      <c r="X38" s="30">
        <f t="shared" ref="X38:AQ38" si="37">+D38/C38-1</f>
        <v>0.21778018717464676</v>
      </c>
      <c r="Y38" s="30">
        <f t="shared" si="37"/>
        <v>0.21230197167671538</v>
      </c>
      <c r="Z38" s="30">
        <f t="shared" si="37"/>
        <v>0.32733425421041407</v>
      </c>
      <c r="AA38" s="30">
        <f t="shared" si="37"/>
        <v>0.30105462394918292</v>
      </c>
      <c r="AB38" s="30">
        <f t="shared" si="37"/>
        <v>0.10149663105958595</v>
      </c>
      <c r="AC38" s="30">
        <f t="shared" si="37"/>
        <v>0.11480258507447161</v>
      </c>
      <c r="AD38" s="30">
        <f t="shared" si="37"/>
        <v>0.12744070919023165</v>
      </c>
      <c r="AE38" s="30">
        <f t="shared" si="37"/>
        <v>9.5190917026516386E-2</v>
      </c>
      <c r="AF38" s="30">
        <f t="shared" si="37"/>
        <v>0.1064530258658809</v>
      </c>
      <c r="AG38" s="30">
        <f t="shared" si="37"/>
        <v>-1.8708058414576678E-2</v>
      </c>
      <c r="AH38" s="30">
        <f t="shared" si="37"/>
        <v>0.10102205045372026</v>
      </c>
      <c r="AI38" s="30">
        <f t="shared" si="37"/>
        <v>2.3234458195600327E-2</v>
      </c>
      <c r="AJ38" s="30">
        <f t="shared" si="37"/>
        <v>0.12904654008182082</v>
      </c>
      <c r="AK38" s="30">
        <f t="shared" si="37"/>
        <v>-9.5484320813984169E-2</v>
      </c>
      <c r="AL38" s="30">
        <f t="shared" si="37"/>
        <v>6.7905608368976411E-2</v>
      </c>
      <c r="AM38" s="30">
        <f t="shared" si="37"/>
        <v>4.390172739214715E-2</v>
      </c>
      <c r="AN38" s="30">
        <f t="shared" si="37"/>
        <v>-1.7714543054036525E-2</v>
      </c>
      <c r="AO38" s="30">
        <f t="shared" si="37"/>
        <v>2.7095043344622871E-2</v>
      </c>
      <c r="AP38" s="30">
        <f t="shared" si="37"/>
        <v>6.99440533754081E-2</v>
      </c>
      <c r="AQ38" s="30">
        <f t="shared" si="37"/>
        <v>2.9692648033985414E-3</v>
      </c>
    </row>
    <row r="39" spans="1:43">
      <c r="C39" s="2"/>
      <c r="D39" s="2"/>
      <c r="E39" s="2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3">
      <c r="B40" s="42" t="s">
        <v>1</v>
      </c>
      <c r="C40" s="19">
        <f>+C42+C45+C46+C50</f>
        <v>446621.91000000003</v>
      </c>
      <c r="D40" s="19">
        <f>+D42+D45+D46+D50</f>
        <v>518914.6</v>
      </c>
      <c r="E40" s="19">
        <f t="shared" ref="E40:O40" si="38">+E42+E45+E46+E50</f>
        <v>546614.88143820001</v>
      </c>
      <c r="F40" s="19">
        <f t="shared" si="38"/>
        <v>659914.10671433993</v>
      </c>
      <c r="G40" s="19">
        <f t="shared" si="38"/>
        <v>851923.7</v>
      </c>
      <c r="H40" s="19">
        <f t="shared" si="38"/>
        <v>934509.38909846987</v>
      </c>
      <c r="I40" s="19">
        <f t="shared" si="38"/>
        <v>1019182.3042420801</v>
      </c>
      <c r="J40" s="19">
        <f t="shared" si="38"/>
        <v>1097182.88476119</v>
      </c>
      <c r="K40" s="19">
        <f t="shared" si="38"/>
        <v>1200704.9599771998</v>
      </c>
      <c r="L40" s="19">
        <f t="shared" si="38"/>
        <v>1337602.7850567</v>
      </c>
      <c r="M40" s="19">
        <f t="shared" si="38"/>
        <v>1395403.80042004</v>
      </c>
      <c r="N40" s="19">
        <f t="shared" si="38"/>
        <v>1497921.8909772199</v>
      </c>
      <c r="O40" s="19">
        <f t="shared" si="38"/>
        <v>1633658.8452874601</v>
      </c>
      <c r="P40" s="19">
        <f t="shared" ref="P40:W40" si="39">+P42+P45+P46+P50</f>
        <v>1750962.9626779603</v>
      </c>
      <c r="Q40" s="19">
        <f t="shared" si="39"/>
        <v>1842718.5897065499</v>
      </c>
      <c r="R40" s="19">
        <f t="shared" si="39"/>
        <v>2010236.4679475999</v>
      </c>
      <c r="S40" s="19">
        <f t="shared" si="39"/>
        <v>2157873.51874041</v>
      </c>
      <c r="T40" s="19">
        <f t="shared" si="39"/>
        <v>2151234.6111802501</v>
      </c>
      <c r="U40" s="19">
        <f t="shared" si="39"/>
        <v>2182265.28819555</v>
      </c>
      <c r="V40" s="19">
        <f t="shared" si="39"/>
        <v>2278503.1978456602</v>
      </c>
      <c r="W40" s="19">
        <f t="shared" si="39"/>
        <v>2259057.49951156</v>
      </c>
      <c r="X40" s="28">
        <f t="shared" ref="X40:AQ40" si="40">+D40/C40-1</f>
        <v>0.16186552513735819</v>
      </c>
      <c r="Y40" s="28">
        <f t="shared" si="40"/>
        <v>5.3381194975435253E-2</v>
      </c>
      <c r="Z40" s="28">
        <f t="shared" si="40"/>
        <v>0.20727431528764462</v>
      </c>
      <c r="AA40" s="28">
        <f t="shared" si="40"/>
        <v>0.29096149230944701</v>
      </c>
      <c r="AB40" s="28">
        <f t="shared" si="40"/>
        <v>9.6940241360194523E-2</v>
      </c>
      <c r="AC40" s="28">
        <f t="shared" si="40"/>
        <v>9.0606810516152159E-2</v>
      </c>
      <c r="AD40" s="28">
        <f t="shared" si="40"/>
        <v>7.6532510616062366E-2</v>
      </c>
      <c r="AE40" s="28">
        <f t="shared" si="40"/>
        <v>9.4352615825338937E-2</v>
      </c>
      <c r="AF40" s="28">
        <f t="shared" si="40"/>
        <v>0.11401454115930343</v>
      </c>
      <c r="AG40" s="28">
        <f t="shared" si="40"/>
        <v>4.32123916076399E-2</v>
      </c>
      <c r="AH40" s="28">
        <f t="shared" si="40"/>
        <v>7.3468404290084388E-2</v>
      </c>
      <c r="AI40" s="28">
        <f t="shared" si="40"/>
        <v>9.0616843994240304E-2</v>
      </c>
      <c r="AJ40" s="28">
        <f t="shared" si="40"/>
        <v>7.1804537237919686E-2</v>
      </c>
      <c r="AK40" s="28">
        <f t="shared" si="40"/>
        <v>5.2402951395531749E-2</v>
      </c>
      <c r="AL40" s="28">
        <f t="shared" si="40"/>
        <v>9.0908009056188455E-2</v>
      </c>
      <c r="AM40" s="28">
        <f t="shared" si="40"/>
        <v>7.3442628838359392E-2</v>
      </c>
      <c r="AN40" s="28">
        <f t="shared" si="40"/>
        <v>-3.0765971696223859E-3</v>
      </c>
      <c r="AO40" s="28">
        <f t="shared" si="40"/>
        <v>1.4424589886212091E-2</v>
      </c>
      <c r="AP40" s="28">
        <f t="shared" si="40"/>
        <v>4.410000478433429E-2</v>
      </c>
      <c r="AQ40" s="28">
        <f t="shared" si="40"/>
        <v>-8.5344178373267798E-3</v>
      </c>
    </row>
    <row r="41" spans="1:43">
      <c r="C41" s="44"/>
      <c r="D41" s="2"/>
      <c r="E41" s="2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3">
      <c r="B42" s="24" t="s">
        <v>40</v>
      </c>
      <c r="C42" s="7">
        <f>SUM(C43:C44)</f>
        <v>158827.00999999998</v>
      </c>
      <c r="D42" s="7">
        <f>SUM(D43:D44)</f>
        <v>177533.1</v>
      </c>
      <c r="E42" s="7">
        <f t="shared" ref="E42:O42" si="41">SUM(E43:E44)</f>
        <v>205918.30000000002</v>
      </c>
      <c r="F42" s="7">
        <f t="shared" si="41"/>
        <v>273656.59999999998</v>
      </c>
      <c r="G42" s="7">
        <f t="shared" si="41"/>
        <v>346466.39999999997</v>
      </c>
      <c r="H42" s="7">
        <f t="shared" si="41"/>
        <v>391579.17086477997</v>
      </c>
      <c r="I42" s="7">
        <f t="shared" si="41"/>
        <v>439292</v>
      </c>
      <c r="J42" s="7">
        <f t="shared" si="41"/>
        <v>473857.93257137999</v>
      </c>
      <c r="K42" s="7">
        <f t="shared" si="41"/>
        <v>515183.92896638997</v>
      </c>
      <c r="L42" s="7">
        <f t="shared" si="41"/>
        <v>571512.39302595006</v>
      </c>
      <c r="M42" s="7">
        <f t="shared" si="41"/>
        <v>590963.43372194003</v>
      </c>
      <c r="N42" s="7">
        <f t="shared" si="41"/>
        <v>609811.41484861006</v>
      </c>
      <c r="O42" s="7">
        <f t="shared" si="41"/>
        <v>644798.33400979009</v>
      </c>
      <c r="P42" s="7">
        <f t="shared" ref="P42:W42" si="42">SUM(P43:P44)</f>
        <v>676546.65381268004</v>
      </c>
      <c r="Q42" s="7">
        <f t="shared" si="42"/>
        <v>692053.22088216001</v>
      </c>
      <c r="R42" s="7">
        <f t="shared" si="42"/>
        <v>730476.00657330989</v>
      </c>
      <c r="S42" s="7">
        <f t="shared" si="42"/>
        <v>745920.26406776998</v>
      </c>
      <c r="T42" s="7">
        <f t="shared" si="42"/>
        <v>724175.2804004699</v>
      </c>
      <c r="U42" s="7">
        <f t="shared" si="42"/>
        <v>778713.19498773001</v>
      </c>
      <c r="V42" s="7">
        <f t="shared" si="42"/>
        <v>808541.54886421002</v>
      </c>
      <c r="W42" s="7">
        <f t="shared" si="42"/>
        <v>824988.85670459992</v>
      </c>
      <c r="X42" s="30">
        <f t="shared" ref="X42:AG48" si="43">+D42/C42-1</f>
        <v>0.1177765041349077</v>
      </c>
      <c r="Y42" s="30">
        <f t="shared" si="43"/>
        <v>0.15988680420721546</v>
      </c>
      <c r="Z42" s="30">
        <f t="shared" si="43"/>
        <v>0.32895716407915154</v>
      </c>
      <c r="AA42" s="30">
        <f t="shared" si="43"/>
        <v>0.26606264932035262</v>
      </c>
      <c r="AB42" s="30">
        <f t="shared" si="43"/>
        <v>0.13020821316231523</v>
      </c>
      <c r="AC42" s="30">
        <f t="shared" si="43"/>
        <v>0.12184720916040814</v>
      </c>
      <c r="AD42" s="30">
        <f t="shared" si="43"/>
        <v>7.8685549865192161E-2</v>
      </c>
      <c r="AE42" s="30">
        <f t="shared" si="43"/>
        <v>8.7211785546683407E-2</v>
      </c>
      <c r="AF42" s="30">
        <f t="shared" si="43"/>
        <v>0.10933660949512047</v>
      </c>
      <c r="AG42" s="30">
        <f t="shared" si="43"/>
        <v>3.4034328797322821E-2</v>
      </c>
      <c r="AH42" s="30">
        <f t="shared" ref="AH42:AQ48" si="44">+N42/M42-1</f>
        <v>3.1893650353226999E-2</v>
      </c>
      <c r="AI42" s="30">
        <f t="shared" si="44"/>
        <v>5.7373342494524859E-2</v>
      </c>
      <c r="AJ42" s="30">
        <f t="shared" si="44"/>
        <v>4.92375958936766E-2</v>
      </c>
      <c r="AK42" s="30">
        <f t="shared" si="44"/>
        <v>2.2920174066478172E-2</v>
      </c>
      <c r="AL42" s="30">
        <f t="shared" si="44"/>
        <v>5.5519986804154042E-2</v>
      </c>
      <c r="AM42" s="30">
        <f t="shared" si="44"/>
        <v>2.1142730706392054E-2</v>
      </c>
      <c r="AN42" s="30">
        <f t="shared" si="44"/>
        <v>-2.9151887560631362E-2</v>
      </c>
      <c r="AO42" s="30">
        <f t="shared" si="44"/>
        <v>7.5310378665646383E-2</v>
      </c>
      <c r="AP42" s="30">
        <f t="shared" si="44"/>
        <v>3.8304672462818656E-2</v>
      </c>
      <c r="AQ42" s="30">
        <f t="shared" si="44"/>
        <v>2.0341945152347662E-2</v>
      </c>
    </row>
    <row r="43" spans="1:43">
      <c r="B43" s="24" t="s">
        <v>2</v>
      </c>
      <c r="C43" s="2">
        <v>132796.21</v>
      </c>
      <c r="D43" s="2">
        <v>148571.9</v>
      </c>
      <c r="E43" s="26">
        <v>179161.2</v>
      </c>
      <c r="F43" s="2">
        <v>228854.9</v>
      </c>
      <c r="G43" s="2">
        <v>291123.59999999998</v>
      </c>
      <c r="H43" s="2">
        <v>326492.95004251</v>
      </c>
      <c r="I43" s="2">
        <v>363413.1</v>
      </c>
      <c r="J43" s="2">
        <v>396954.28592711</v>
      </c>
      <c r="K43" s="2">
        <v>433334.77866445994</v>
      </c>
      <c r="L43" s="2">
        <v>473954.53919723001</v>
      </c>
      <c r="M43" s="2">
        <v>493427.02227936999</v>
      </c>
      <c r="N43" s="2">
        <v>509272.6240680801</v>
      </c>
      <c r="O43" s="2">
        <v>540906.47724241007</v>
      </c>
      <c r="P43" s="2">
        <v>556722.80650032009</v>
      </c>
      <c r="Q43" s="2">
        <v>570354.55945142999</v>
      </c>
      <c r="R43" s="2">
        <v>602609.02653508994</v>
      </c>
      <c r="S43" s="2">
        <v>601606.63377699</v>
      </c>
      <c r="T43" s="2">
        <v>595478.14658513991</v>
      </c>
      <c r="U43" s="2">
        <v>648988.07290572999</v>
      </c>
      <c r="V43" s="2">
        <v>652066.42693802004</v>
      </c>
      <c r="W43" s="2">
        <v>673334.98038165993</v>
      </c>
      <c r="X43" s="29">
        <f t="shared" si="43"/>
        <v>0.11879623672994888</v>
      </c>
      <c r="Y43" s="29">
        <f t="shared" si="43"/>
        <v>0.20588886592956013</v>
      </c>
      <c r="Z43" s="29">
        <f t="shared" si="43"/>
        <v>0.27736864901552338</v>
      </c>
      <c r="AA43" s="29">
        <f t="shared" si="43"/>
        <v>0.27208812221193424</v>
      </c>
      <c r="AB43" s="29">
        <f t="shared" si="43"/>
        <v>0.12149255519823887</v>
      </c>
      <c r="AC43" s="29">
        <f t="shared" si="43"/>
        <v>0.1130810020635451</v>
      </c>
      <c r="AD43" s="29">
        <f t="shared" si="43"/>
        <v>9.2294928078019201E-2</v>
      </c>
      <c r="AE43" s="29">
        <f t="shared" si="43"/>
        <v>9.1649074029723998E-2</v>
      </c>
      <c r="AF43" s="29">
        <f t="shared" si="43"/>
        <v>9.3737596271318058E-2</v>
      </c>
      <c r="AG43" s="29">
        <f t="shared" si="43"/>
        <v>4.1085128365099921E-2</v>
      </c>
      <c r="AH43" s="29">
        <f t="shared" si="44"/>
        <v>3.2113364435356395E-2</v>
      </c>
      <c r="AI43" s="29">
        <f t="shared" si="44"/>
        <v>6.2115754272511481E-2</v>
      </c>
      <c r="AJ43" s="29">
        <f t="shared" si="44"/>
        <v>2.9240413867001713E-2</v>
      </c>
      <c r="AK43" s="29">
        <f t="shared" si="44"/>
        <v>2.4485709570265302E-2</v>
      </c>
      <c r="AL43" s="29">
        <f t="shared" si="44"/>
        <v>5.6551607327698816E-2</v>
      </c>
      <c r="AM43" s="29">
        <f t="shared" si="44"/>
        <v>-1.6634214124928715E-3</v>
      </c>
      <c r="AN43" s="29">
        <f t="shared" si="44"/>
        <v>-1.0186867710175296E-2</v>
      </c>
      <c r="AO43" s="29">
        <f t="shared" si="44"/>
        <v>8.9860436738864236E-2</v>
      </c>
      <c r="AP43" s="29">
        <f t="shared" si="44"/>
        <v>4.7433137230199485E-3</v>
      </c>
      <c r="AQ43" s="29">
        <f t="shared" si="44"/>
        <v>3.2617157646825934E-2</v>
      </c>
    </row>
    <row r="44" spans="1:43" ht="14.25">
      <c r="B44" s="24" t="s">
        <v>80</v>
      </c>
      <c r="C44" s="2">
        <v>26030.799999999999</v>
      </c>
      <c r="D44" s="2">
        <v>28961.200000000001</v>
      </c>
      <c r="E44" s="2">
        <v>26757.1</v>
      </c>
      <c r="F44" s="2">
        <v>44801.7</v>
      </c>
      <c r="G44" s="2">
        <v>55342.799999999996</v>
      </c>
      <c r="H44" s="2">
        <v>65086.220822269999</v>
      </c>
      <c r="I44" s="2">
        <v>75878.899999999994</v>
      </c>
      <c r="J44" s="2">
        <v>76903.646644270004</v>
      </c>
      <c r="K44" s="2">
        <v>81849.15030193</v>
      </c>
      <c r="L44" s="2">
        <v>97557.853828719992</v>
      </c>
      <c r="M44" s="2">
        <v>97536.411442569995</v>
      </c>
      <c r="N44" s="2">
        <v>100538.79078052999</v>
      </c>
      <c r="O44" s="2">
        <v>103891.85676737998</v>
      </c>
      <c r="P44" s="2">
        <v>119823.84731235998</v>
      </c>
      <c r="Q44" s="2">
        <v>121698.66143073</v>
      </c>
      <c r="R44" s="2">
        <v>127866.98003822</v>
      </c>
      <c r="S44" s="2">
        <v>144313.63029077998</v>
      </c>
      <c r="T44" s="2">
        <v>128697.13381533</v>
      </c>
      <c r="U44" s="2">
        <v>129725.12208200002</v>
      </c>
      <c r="V44" s="2">
        <v>156475.12192618998</v>
      </c>
      <c r="W44" s="2">
        <v>151653.87632293999</v>
      </c>
      <c r="X44" s="29">
        <f t="shared" si="43"/>
        <v>0.11257433501851666</v>
      </c>
      <c r="Y44" s="29">
        <f t="shared" si="43"/>
        <v>-7.610527188099947E-2</v>
      </c>
      <c r="Z44" s="29">
        <f t="shared" si="43"/>
        <v>0.67438549020633776</v>
      </c>
      <c r="AA44" s="29">
        <f t="shared" si="43"/>
        <v>0.23528348254642117</v>
      </c>
      <c r="AB44" s="29">
        <f t="shared" si="43"/>
        <v>0.1760557980852071</v>
      </c>
      <c r="AC44" s="29">
        <f t="shared" si="43"/>
        <v>0.16582126049692469</v>
      </c>
      <c r="AD44" s="29">
        <f t="shared" si="43"/>
        <v>1.3505027672646941E-2</v>
      </c>
      <c r="AE44" s="29">
        <f t="shared" si="43"/>
        <v>6.4307791287664173E-2</v>
      </c>
      <c r="AF44" s="29">
        <f t="shared" si="43"/>
        <v>0.19192262190679799</v>
      </c>
      <c r="AG44" s="29">
        <f t="shared" si="43"/>
        <v>-2.1979149098172446E-4</v>
      </c>
      <c r="AH44" s="29">
        <f t="shared" si="44"/>
        <v>3.0782138624485089E-2</v>
      </c>
      <c r="AI44" s="29">
        <f t="shared" si="44"/>
        <v>3.3350967928085895E-2</v>
      </c>
      <c r="AJ44" s="29">
        <f t="shared" si="44"/>
        <v>0.15335167779947056</v>
      </c>
      <c r="AK44" s="29">
        <f t="shared" si="44"/>
        <v>1.5646418976038357E-2</v>
      </c>
      <c r="AL44" s="29">
        <f t="shared" si="44"/>
        <v>5.0685180387139761E-2</v>
      </c>
      <c r="AM44" s="29">
        <f t="shared" si="44"/>
        <v>0.12862312262042952</v>
      </c>
      <c r="AN44" s="29">
        <f t="shared" si="44"/>
        <v>-0.10821220728758629</v>
      </c>
      <c r="AO44" s="29">
        <f t="shared" si="44"/>
        <v>7.987654706786973E-3</v>
      </c>
      <c r="AP44" s="29">
        <f t="shared" si="44"/>
        <v>0.20620523931579826</v>
      </c>
      <c r="AQ44" s="29">
        <f t="shared" si="44"/>
        <v>-3.0811579143706913E-2</v>
      </c>
    </row>
    <row r="45" spans="1:43" ht="14.25">
      <c r="B45" s="1" t="s">
        <v>81</v>
      </c>
      <c r="C45" s="2">
        <v>5747.5</v>
      </c>
      <c r="D45" s="2">
        <v>8962.2999999999993</v>
      </c>
      <c r="E45" s="2">
        <v>9619.0999999999985</v>
      </c>
      <c r="F45" s="2">
        <v>14144.4</v>
      </c>
      <c r="G45" s="2">
        <v>20820.100000000002</v>
      </c>
      <c r="H45" s="2">
        <v>20712.831147890003</v>
      </c>
      <c r="I45" s="2">
        <v>18811.599999999999</v>
      </c>
      <c r="J45" s="2">
        <v>18671.854700209999</v>
      </c>
      <c r="K45" s="2">
        <v>27619.796841229996</v>
      </c>
      <c r="L45" s="2">
        <v>33907.623988080006</v>
      </c>
      <c r="M45" s="2">
        <v>24244.186876200005</v>
      </c>
      <c r="N45" s="2">
        <v>31467.950223240001</v>
      </c>
      <c r="O45" s="2">
        <v>28834.215255580002</v>
      </c>
      <c r="P45" s="2">
        <v>27429.563833659995</v>
      </c>
      <c r="Q45" s="2">
        <v>30588.092438489999</v>
      </c>
      <c r="R45" s="2">
        <v>51634.33052618002</v>
      </c>
      <c r="S45" s="2">
        <v>65613.711852890003</v>
      </c>
      <c r="T45" s="2">
        <v>50640.021528820005</v>
      </c>
      <c r="U45" s="2">
        <v>45309.764054399988</v>
      </c>
      <c r="V45" s="2">
        <v>54454.342704870003</v>
      </c>
      <c r="W45" s="2">
        <v>59547.552618309994</v>
      </c>
      <c r="X45" s="29">
        <f t="shared" si="43"/>
        <v>0.55933884297520642</v>
      </c>
      <c r="Y45" s="29">
        <f t="shared" si="43"/>
        <v>7.3284759492540985E-2</v>
      </c>
      <c r="Z45" s="29">
        <f t="shared" si="43"/>
        <v>0.47044941834475185</v>
      </c>
      <c r="AA45" s="29">
        <f t="shared" si="43"/>
        <v>0.4719677045332431</v>
      </c>
      <c r="AB45" s="29">
        <f t="shared" si="43"/>
        <v>-5.1521775644689516E-3</v>
      </c>
      <c r="AC45" s="29">
        <f t="shared" si="43"/>
        <v>-9.1790018192837941E-2</v>
      </c>
      <c r="AD45" s="29">
        <f t="shared" si="43"/>
        <v>-7.4286769753768578E-3</v>
      </c>
      <c r="AE45" s="29">
        <f t="shared" si="43"/>
        <v>0.47922085324064567</v>
      </c>
      <c r="AF45" s="29">
        <f t="shared" si="43"/>
        <v>0.22765653140010533</v>
      </c>
      <c r="AG45" s="29">
        <f t="shared" si="43"/>
        <v>-0.28499304803182657</v>
      </c>
      <c r="AH45" s="29">
        <f t="shared" si="44"/>
        <v>0.29795857390174674</v>
      </c>
      <c r="AI45" s="29">
        <f t="shared" si="44"/>
        <v>-8.3695790446335128E-2</v>
      </c>
      <c r="AJ45" s="29">
        <f t="shared" si="44"/>
        <v>-4.8714744253293918E-2</v>
      </c>
      <c r="AK45" s="29">
        <f t="shared" si="44"/>
        <v>0.11515052240655899</v>
      </c>
      <c r="AL45" s="29">
        <f t="shared" si="44"/>
        <v>0.68805330473000836</v>
      </c>
      <c r="AM45" s="29">
        <f t="shared" si="44"/>
        <v>0.27073811520848623</v>
      </c>
      <c r="AN45" s="29">
        <f t="shared" si="44"/>
        <v>-0.22820977355528882</v>
      </c>
      <c r="AO45" s="29">
        <f t="shared" si="44"/>
        <v>-0.10525780427218989</v>
      </c>
      <c r="AP45" s="29">
        <f t="shared" si="44"/>
        <v>0.20182357691138741</v>
      </c>
      <c r="AQ45" s="29">
        <f t="shared" si="44"/>
        <v>9.3531748992803365E-2</v>
      </c>
    </row>
    <row r="46" spans="1:43">
      <c r="B46" s="1" t="s">
        <v>17</v>
      </c>
      <c r="C46" s="7">
        <f>+C47+C48</f>
        <v>165897</v>
      </c>
      <c r="D46" s="7">
        <f>+D47+D48</f>
        <v>182801.40000000002</v>
      </c>
      <c r="E46" s="7">
        <f t="shared" ref="E46:O46" si="45">+E47+E48</f>
        <v>145784.79999999999</v>
      </c>
      <c r="F46" s="7">
        <f t="shared" si="45"/>
        <v>130913.5</v>
      </c>
      <c r="G46" s="7">
        <f t="shared" si="45"/>
        <v>158981.6</v>
      </c>
      <c r="H46" s="7">
        <f t="shared" si="45"/>
        <v>165756.95098909002</v>
      </c>
      <c r="I46" s="7">
        <f t="shared" si="45"/>
        <v>155978.40000000002</v>
      </c>
      <c r="J46" s="7">
        <f t="shared" si="45"/>
        <v>158094.05948523001</v>
      </c>
      <c r="K46" s="7">
        <f t="shared" si="45"/>
        <v>161024.06341318</v>
      </c>
      <c r="L46" s="7">
        <f t="shared" si="45"/>
        <v>192458.91189618999</v>
      </c>
      <c r="M46" s="7">
        <f t="shared" si="45"/>
        <v>238122.91091470001</v>
      </c>
      <c r="N46" s="7">
        <f t="shared" si="45"/>
        <v>253305.92790259002</v>
      </c>
      <c r="O46" s="7">
        <f t="shared" si="45"/>
        <v>322630.65697690996</v>
      </c>
      <c r="P46" s="7">
        <f t="shared" ref="P46:W46" si="46">+P47+P48</f>
        <v>360574.90203555004</v>
      </c>
      <c r="Q46" s="7">
        <f t="shared" si="46"/>
        <v>511578.91389458993</v>
      </c>
      <c r="R46" s="7">
        <f t="shared" si="46"/>
        <v>624542.44857107999</v>
      </c>
      <c r="S46" s="7">
        <f t="shared" si="46"/>
        <v>692852.79232091992</v>
      </c>
      <c r="T46" s="7">
        <f t="shared" si="46"/>
        <v>718479.61403752991</v>
      </c>
      <c r="U46" s="7">
        <f t="shared" si="46"/>
        <v>699988.98577186011</v>
      </c>
      <c r="V46" s="7">
        <f t="shared" si="46"/>
        <v>686413.69642823993</v>
      </c>
      <c r="W46" s="7">
        <f t="shared" si="46"/>
        <v>670803.71873392991</v>
      </c>
      <c r="X46" s="29">
        <f t="shared" si="43"/>
        <v>0.10189696016202832</v>
      </c>
      <c r="Y46" s="29">
        <f t="shared" si="43"/>
        <v>-0.20249626096955509</v>
      </c>
      <c r="Z46" s="29">
        <f t="shared" si="43"/>
        <v>-0.10200857702586275</v>
      </c>
      <c r="AA46" s="29">
        <f t="shared" si="43"/>
        <v>0.21440187604792471</v>
      </c>
      <c r="AB46" s="29">
        <f t="shared" si="43"/>
        <v>4.261720217364795E-2</v>
      </c>
      <c r="AC46" s="29">
        <f t="shared" si="43"/>
        <v>-5.8993308761655538E-2</v>
      </c>
      <c r="AD46" s="29">
        <f t="shared" si="43"/>
        <v>1.3563797841431802E-2</v>
      </c>
      <c r="AE46" s="29">
        <f t="shared" si="43"/>
        <v>1.8533295542478845E-2</v>
      </c>
      <c r="AF46" s="29">
        <f t="shared" si="43"/>
        <v>0.19521832834605402</v>
      </c>
      <c r="AG46" s="29">
        <f t="shared" si="43"/>
        <v>0.23726622253346541</v>
      </c>
      <c r="AH46" s="29">
        <f t="shared" si="44"/>
        <v>6.3761260642949402E-2</v>
      </c>
      <c r="AI46" s="29">
        <f t="shared" si="44"/>
        <v>0.27367985284963048</v>
      </c>
      <c r="AJ46" s="29">
        <f t="shared" si="44"/>
        <v>0.11760892599042649</v>
      </c>
      <c r="AK46" s="29">
        <f t="shared" si="44"/>
        <v>0.41878680686475511</v>
      </c>
      <c r="AL46" s="29">
        <f t="shared" si="44"/>
        <v>0.22081350815754308</v>
      </c>
      <c r="AM46" s="29">
        <f t="shared" si="44"/>
        <v>0.10937662268774595</v>
      </c>
      <c r="AN46" s="29">
        <f t="shared" si="44"/>
        <v>3.6987397612651796E-2</v>
      </c>
      <c r="AO46" s="29">
        <f t="shared" si="44"/>
        <v>-2.5735773019029518E-2</v>
      </c>
      <c r="AP46" s="29">
        <f t="shared" si="44"/>
        <v>-1.9393575641266758E-2</v>
      </c>
      <c r="AQ46" s="29">
        <f t="shared" si="44"/>
        <v>-2.2741355214117465E-2</v>
      </c>
    </row>
    <row r="47" spans="1:43">
      <c r="B47" s="1" t="s">
        <v>3</v>
      </c>
      <c r="C47" s="2">
        <v>133006.1</v>
      </c>
      <c r="D47" s="2">
        <v>148925.20000000001</v>
      </c>
      <c r="E47" s="2">
        <v>113464.4</v>
      </c>
      <c r="F47" s="2">
        <v>98431.4</v>
      </c>
      <c r="G47" s="2">
        <v>127421.70000000001</v>
      </c>
      <c r="H47" s="2">
        <v>137639.50613551002</v>
      </c>
      <c r="I47" s="2">
        <v>133638.70000000001</v>
      </c>
      <c r="J47" s="2">
        <v>141450.28785371</v>
      </c>
      <c r="K47" s="2">
        <v>138203.24485143999</v>
      </c>
      <c r="L47" s="2">
        <v>154050.79330798998</v>
      </c>
      <c r="M47" s="2">
        <v>169832.36417771</v>
      </c>
      <c r="N47" s="2">
        <v>180887.89040805001</v>
      </c>
      <c r="O47" s="2">
        <v>247166.53568018999</v>
      </c>
      <c r="P47" s="2">
        <v>303437.87743113004</v>
      </c>
      <c r="Q47" s="2">
        <v>445057.73688130995</v>
      </c>
      <c r="R47" s="2">
        <v>523520.41756873997</v>
      </c>
      <c r="S47" s="2">
        <v>584494.0143881999</v>
      </c>
      <c r="T47" s="2">
        <v>595603.17666690995</v>
      </c>
      <c r="U47" s="2">
        <v>579522.01875569008</v>
      </c>
      <c r="V47" s="2">
        <v>551189.38085524994</v>
      </c>
      <c r="W47" s="2">
        <v>545643.42657837993</v>
      </c>
      <c r="X47" s="29">
        <f t="shared" si="43"/>
        <v>0.11968699179962417</v>
      </c>
      <c r="Y47" s="29">
        <f t="shared" si="43"/>
        <v>-0.23811148146854944</v>
      </c>
      <c r="Z47" s="29">
        <f t="shared" si="43"/>
        <v>-0.1324908958228308</v>
      </c>
      <c r="AA47" s="29">
        <f t="shared" si="43"/>
        <v>0.29452288598963361</v>
      </c>
      <c r="AB47" s="29">
        <f t="shared" si="43"/>
        <v>8.0188901384222744E-2</v>
      </c>
      <c r="AC47" s="29">
        <f t="shared" si="43"/>
        <v>-2.9067280520253425E-2</v>
      </c>
      <c r="AD47" s="29">
        <f t="shared" si="43"/>
        <v>5.845303683521319E-2</v>
      </c>
      <c r="AE47" s="29">
        <f t="shared" si="43"/>
        <v>-2.2955365107691805E-2</v>
      </c>
      <c r="AF47" s="29">
        <f t="shared" si="43"/>
        <v>0.11466842528614385</v>
      </c>
      <c r="AG47" s="29">
        <f t="shared" si="43"/>
        <v>0.10244394417475222</v>
      </c>
      <c r="AH47" s="29">
        <f t="shared" si="44"/>
        <v>6.5096698640853212E-2</v>
      </c>
      <c r="AI47" s="29">
        <f t="shared" si="44"/>
        <v>0.36640730964702772</v>
      </c>
      <c r="AJ47" s="29">
        <f t="shared" si="44"/>
        <v>0.22766569752690891</v>
      </c>
      <c r="AK47" s="29">
        <f t="shared" si="44"/>
        <v>0.46671780283040887</v>
      </c>
      <c r="AL47" s="29">
        <f t="shared" si="44"/>
        <v>0.17629775686464422</v>
      </c>
      <c r="AM47" s="29">
        <f t="shared" si="44"/>
        <v>0.11646842180984063</v>
      </c>
      <c r="AN47" s="29">
        <f t="shared" si="44"/>
        <v>1.9006460297695593E-2</v>
      </c>
      <c r="AO47" s="29">
        <f t="shared" si="44"/>
        <v>-2.6999785328904014E-2</v>
      </c>
      <c r="AP47" s="29">
        <f t="shared" si="44"/>
        <v>-4.8889665937584259E-2</v>
      </c>
      <c r="AQ47" s="29">
        <f t="shared" si="44"/>
        <v>-1.0061794492964737E-2</v>
      </c>
    </row>
    <row r="48" spans="1:43">
      <c r="B48" s="1" t="s">
        <v>4</v>
      </c>
      <c r="C48" s="2">
        <v>32890.9</v>
      </c>
      <c r="D48" s="2">
        <v>33876.199999999997</v>
      </c>
      <c r="E48" s="2">
        <v>32320.400000000001</v>
      </c>
      <c r="F48" s="2">
        <v>32482.1</v>
      </c>
      <c r="G48" s="2">
        <v>31559.9</v>
      </c>
      <c r="H48" s="2">
        <v>28117.444853579997</v>
      </c>
      <c r="I48" s="2">
        <v>22339.7</v>
      </c>
      <c r="J48" s="2">
        <v>16643.771631520001</v>
      </c>
      <c r="K48" s="2">
        <v>22820.818561740001</v>
      </c>
      <c r="L48" s="2">
        <v>38408.118588200006</v>
      </c>
      <c r="M48" s="2">
        <v>68290.54673699</v>
      </c>
      <c r="N48" s="2">
        <v>72418.037494539996</v>
      </c>
      <c r="O48" s="2">
        <v>75464.121296719997</v>
      </c>
      <c r="P48" s="2">
        <v>57137.024604420003</v>
      </c>
      <c r="Q48" s="2">
        <v>66521.177013280001</v>
      </c>
      <c r="R48" s="2">
        <v>101022.03100233999</v>
      </c>
      <c r="S48" s="2">
        <v>108358.77793272</v>
      </c>
      <c r="T48" s="2">
        <v>122876.43737062</v>
      </c>
      <c r="U48" s="2">
        <v>120466.96701617001</v>
      </c>
      <c r="V48" s="2">
        <v>135224.31557298999</v>
      </c>
      <c r="W48" s="2">
        <v>125160.29215555001</v>
      </c>
      <c r="X48" s="29">
        <f t="shared" si="43"/>
        <v>2.9956614139473148E-2</v>
      </c>
      <c r="Y48" s="29">
        <f t="shared" si="43"/>
        <v>-4.5926048376146E-2</v>
      </c>
      <c r="Z48" s="29">
        <f t="shared" si="43"/>
        <v>5.0030321406913103E-3</v>
      </c>
      <c r="AA48" s="29">
        <f t="shared" si="43"/>
        <v>-2.8391021516465886E-2</v>
      </c>
      <c r="AB48" s="29">
        <f t="shared" si="43"/>
        <v>-0.10907687116942721</v>
      </c>
      <c r="AC48" s="29">
        <f t="shared" si="43"/>
        <v>-0.20548612733721983</v>
      </c>
      <c r="AD48" s="29">
        <f t="shared" si="43"/>
        <v>-0.25496888357856184</v>
      </c>
      <c r="AE48" s="29">
        <f t="shared" si="43"/>
        <v>0.37113264150548053</v>
      </c>
      <c r="AF48" s="29">
        <f t="shared" si="43"/>
        <v>0.68302983892929792</v>
      </c>
      <c r="AG48" s="29">
        <f t="shared" si="43"/>
        <v>0.77802374204214919</v>
      </c>
      <c r="AH48" s="29">
        <f t="shared" si="44"/>
        <v>6.044014808442455E-2</v>
      </c>
      <c r="AI48" s="29">
        <f t="shared" si="44"/>
        <v>4.2062501381781692E-2</v>
      </c>
      <c r="AJ48" s="29">
        <f t="shared" si="44"/>
        <v>-0.24285841241348383</v>
      </c>
      <c r="AK48" s="29">
        <f t="shared" si="44"/>
        <v>0.16423943097894633</v>
      </c>
      <c r="AL48" s="29">
        <f t="shared" si="44"/>
        <v>0.51864467133785674</v>
      </c>
      <c r="AM48" s="29">
        <f t="shared" si="44"/>
        <v>7.2625217069829606E-2</v>
      </c>
      <c r="AN48" s="29">
        <f t="shared" si="44"/>
        <v>0.13397769626853884</v>
      </c>
      <c r="AO48" s="29">
        <f t="shared" si="44"/>
        <v>-1.9608888457455453E-2</v>
      </c>
      <c r="AP48" s="29">
        <f t="shared" si="44"/>
        <v>0.12250120445747692</v>
      </c>
      <c r="AQ48" s="29">
        <f t="shared" si="44"/>
        <v>-7.4424657834616492E-2</v>
      </c>
    </row>
    <row r="49" spans="1:43">
      <c r="C49" s="2"/>
      <c r="D49" s="2"/>
      <c r="E49" s="2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ht="14.25">
      <c r="B50" s="1" t="s">
        <v>79</v>
      </c>
      <c r="C50" s="7">
        <f>+C51+C52+C53+C54</f>
        <v>116150.40000000001</v>
      </c>
      <c r="D50" s="7">
        <f>+D51+D52+D53+D54</f>
        <v>149617.79999999996</v>
      </c>
      <c r="E50" s="7">
        <f t="shared" ref="E50:O50" si="47">+E51+E52+E53+E54</f>
        <v>185292.68143820003</v>
      </c>
      <c r="F50" s="7">
        <f t="shared" si="47"/>
        <v>241199.60671433993</v>
      </c>
      <c r="G50" s="7">
        <f t="shared" si="47"/>
        <v>325655.60000000003</v>
      </c>
      <c r="H50" s="7">
        <f t="shared" si="47"/>
        <v>356460.43609670992</v>
      </c>
      <c r="I50" s="7">
        <f t="shared" si="47"/>
        <v>405100.30424208002</v>
      </c>
      <c r="J50" s="7">
        <f t="shared" si="47"/>
        <v>446559.03800437</v>
      </c>
      <c r="K50" s="7">
        <f t="shared" si="47"/>
        <v>496877.17075639986</v>
      </c>
      <c r="L50" s="7">
        <f t="shared" si="47"/>
        <v>539723.85614647996</v>
      </c>
      <c r="M50" s="7">
        <f t="shared" si="47"/>
        <v>542073.26890719996</v>
      </c>
      <c r="N50" s="7">
        <f t="shared" si="47"/>
        <v>603336.59800277988</v>
      </c>
      <c r="O50" s="7">
        <f t="shared" si="47"/>
        <v>637395.63904518005</v>
      </c>
      <c r="P50" s="7">
        <f t="shared" ref="P50:W50" si="48">+P51+P52+P53+P54</f>
        <v>686411.84299607016</v>
      </c>
      <c r="Q50" s="7">
        <f t="shared" si="48"/>
        <v>608498.36249130999</v>
      </c>
      <c r="R50" s="7">
        <f t="shared" si="48"/>
        <v>603583.68227702996</v>
      </c>
      <c r="S50" s="7">
        <f t="shared" si="48"/>
        <v>653486.75049882988</v>
      </c>
      <c r="T50" s="7">
        <f t="shared" si="48"/>
        <v>657939.6952134301</v>
      </c>
      <c r="U50" s="7">
        <f t="shared" si="48"/>
        <v>658253.34338156006</v>
      </c>
      <c r="V50" s="7">
        <f t="shared" si="48"/>
        <v>729093.60984833981</v>
      </c>
      <c r="W50" s="7">
        <f t="shared" si="48"/>
        <v>703717.37145472004</v>
      </c>
      <c r="X50" s="30">
        <f t="shared" ref="X50:AG54" si="49">+D50/C50-1</f>
        <v>0.28813848251921592</v>
      </c>
      <c r="Y50" s="30">
        <f t="shared" si="49"/>
        <v>0.23844008826623631</v>
      </c>
      <c r="Z50" s="30">
        <f t="shared" si="49"/>
        <v>0.30172225282835208</v>
      </c>
      <c r="AA50" s="30">
        <f t="shared" si="49"/>
        <v>0.35014979682650949</v>
      </c>
      <c r="AB50" s="30">
        <f t="shared" si="49"/>
        <v>9.4593294562445251E-2</v>
      </c>
      <c r="AC50" s="30">
        <f t="shared" si="49"/>
        <v>0.13645236110347403</v>
      </c>
      <c r="AD50" s="30">
        <f t="shared" si="49"/>
        <v>0.10234189737244703</v>
      </c>
      <c r="AE50" s="30">
        <f t="shared" si="49"/>
        <v>0.11267968727471467</v>
      </c>
      <c r="AF50" s="30">
        <f t="shared" si="49"/>
        <v>8.623194606597484E-2</v>
      </c>
      <c r="AG50" s="30">
        <f t="shared" si="49"/>
        <v>4.3529903930767944E-3</v>
      </c>
      <c r="AH50" s="30">
        <f t="shared" ref="AH50:AQ54" si="50">+N50/M50-1</f>
        <v>0.11301669462337549</v>
      </c>
      <c r="AI50" s="30">
        <f t="shared" si="50"/>
        <v>5.6451143781341084E-2</v>
      </c>
      <c r="AJ50" s="30">
        <f t="shared" si="50"/>
        <v>7.6900751979283255E-2</v>
      </c>
      <c r="AK50" s="30">
        <f t="shared" si="50"/>
        <v>-0.11350835697222406</v>
      </c>
      <c r="AL50" s="30">
        <f t="shared" si="50"/>
        <v>-8.0767353163587741E-3</v>
      </c>
      <c r="AM50" s="30">
        <f t="shared" si="50"/>
        <v>8.267796112966419E-2</v>
      </c>
      <c r="AN50" s="30">
        <f t="shared" si="50"/>
        <v>6.8141315967020777E-3</v>
      </c>
      <c r="AO50" s="30">
        <f t="shared" si="50"/>
        <v>4.7671263857740342E-4</v>
      </c>
      <c r="AP50" s="30">
        <f t="shared" si="50"/>
        <v>0.10761854410470773</v>
      </c>
      <c r="AQ50" s="30">
        <f t="shared" si="50"/>
        <v>-3.4805185576785358E-2</v>
      </c>
    </row>
    <row r="51" spans="1:43">
      <c r="B51" s="1" t="s">
        <v>6</v>
      </c>
      <c r="C51" s="2">
        <v>58812.500000000007</v>
      </c>
      <c r="D51" s="2">
        <v>71955.39999999998</v>
      </c>
      <c r="E51" s="2">
        <v>81565.3</v>
      </c>
      <c r="F51" s="2">
        <v>93353.999999999971</v>
      </c>
      <c r="G51" s="2">
        <v>106782.60000000002</v>
      </c>
      <c r="H51" s="2">
        <v>115397.35712789999</v>
      </c>
      <c r="I51" s="2">
        <v>122529.21510960998</v>
      </c>
      <c r="J51" s="2">
        <v>134528.06139439999</v>
      </c>
      <c r="K51" s="2">
        <v>150081.02904110993</v>
      </c>
      <c r="L51" s="2">
        <v>156992.87918099997</v>
      </c>
      <c r="M51" s="2">
        <v>161657.41512547</v>
      </c>
      <c r="N51" s="2">
        <v>178845.51766198003</v>
      </c>
      <c r="O51" s="2">
        <v>179585.91114474999</v>
      </c>
      <c r="P51" s="2">
        <v>190488.61347945</v>
      </c>
      <c r="Q51" s="2">
        <v>201132.68470923998</v>
      </c>
      <c r="R51" s="2">
        <v>214665.55520080999</v>
      </c>
      <c r="S51" s="2">
        <v>228281.25241093995</v>
      </c>
      <c r="T51" s="2">
        <v>223770.79818016</v>
      </c>
      <c r="U51" s="2">
        <v>222637.75739867004</v>
      </c>
      <c r="V51" s="2">
        <v>229451.50528585998</v>
      </c>
      <c r="W51" s="2">
        <v>227719.26742593001</v>
      </c>
      <c r="X51" s="29">
        <f t="shared" si="49"/>
        <v>0.22347120085015892</v>
      </c>
      <c r="Y51" s="29">
        <f t="shared" si="49"/>
        <v>0.13355356234556437</v>
      </c>
      <c r="Z51" s="29">
        <f t="shared" si="49"/>
        <v>0.14453082376942117</v>
      </c>
      <c r="AA51" s="29">
        <f t="shared" si="49"/>
        <v>0.14384600552734805</v>
      </c>
      <c r="AB51" s="29">
        <f t="shared" si="49"/>
        <v>8.0675663712065138E-2</v>
      </c>
      <c r="AC51" s="29">
        <f t="shared" si="49"/>
        <v>6.1802611075446379E-2</v>
      </c>
      <c r="AD51" s="29">
        <f t="shared" si="49"/>
        <v>9.792641105271338E-2</v>
      </c>
      <c r="AE51" s="29">
        <f t="shared" si="49"/>
        <v>0.1156113266295633</v>
      </c>
      <c r="AF51" s="29">
        <f t="shared" si="49"/>
        <v>4.6054122789874752E-2</v>
      </c>
      <c r="AG51" s="29">
        <f t="shared" si="49"/>
        <v>2.971176762158878E-2</v>
      </c>
      <c r="AH51" s="29">
        <f t="shared" si="50"/>
        <v>0.10632424453384659</v>
      </c>
      <c r="AI51" s="29">
        <f t="shared" si="50"/>
        <v>4.1398492534172604E-3</v>
      </c>
      <c r="AJ51" s="29">
        <f t="shared" si="50"/>
        <v>6.071023202879311E-2</v>
      </c>
      <c r="AK51" s="29">
        <f t="shared" si="50"/>
        <v>5.5877729568010404E-2</v>
      </c>
      <c r="AL51" s="29">
        <f t="shared" si="50"/>
        <v>6.7283298640065992E-2</v>
      </c>
      <c r="AM51" s="29">
        <f t="shared" si="50"/>
        <v>6.3427489321205233E-2</v>
      </c>
      <c r="AN51" s="29">
        <f t="shared" si="50"/>
        <v>-1.9758320857029776E-2</v>
      </c>
      <c r="AO51" s="29">
        <f t="shared" si="50"/>
        <v>-5.0633987575882111E-3</v>
      </c>
      <c r="AP51" s="29">
        <f t="shared" si="50"/>
        <v>3.0604637626621356E-2</v>
      </c>
      <c r="AQ51" s="29">
        <f t="shared" si="50"/>
        <v>-7.5494726337570484E-3</v>
      </c>
    </row>
    <row r="52" spans="1:43">
      <c r="B52" s="1" t="s">
        <v>7</v>
      </c>
      <c r="C52" s="2">
        <v>56409.4</v>
      </c>
      <c r="D52" s="2">
        <v>75470.89999999998</v>
      </c>
      <c r="E52" s="2">
        <v>101552.88143820003</v>
      </c>
      <c r="F52" s="2">
        <v>145446.70671433996</v>
      </c>
      <c r="G52" s="2">
        <v>215740.1</v>
      </c>
      <c r="H52" s="2">
        <v>238402.87933986992</v>
      </c>
      <c r="I52" s="2">
        <v>280780.48913246999</v>
      </c>
      <c r="J52" s="2">
        <v>309161.65750663</v>
      </c>
      <c r="K52" s="2">
        <v>339337.11206082994</v>
      </c>
      <c r="L52" s="2">
        <v>377623.46840611001</v>
      </c>
      <c r="M52" s="2">
        <v>377970.03190870001</v>
      </c>
      <c r="N52" s="2">
        <v>406724.62016665988</v>
      </c>
      <c r="O52" s="2">
        <v>444615.21113314002</v>
      </c>
      <c r="P52" s="2">
        <v>490658.03028966003</v>
      </c>
      <c r="Q52" s="2">
        <v>405490.18466502998</v>
      </c>
      <c r="R52" s="2">
        <v>387100.08247309003</v>
      </c>
      <c r="S52" s="2">
        <v>423208.90075788996</v>
      </c>
      <c r="T52" s="2">
        <v>430415.24271343008</v>
      </c>
      <c r="U52" s="2">
        <v>433633.00429967005</v>
      </c>
      <c r="V52" s="2">
        <v>493443.28405944991</v>
      </c>
      <c r="W52" s="2">
        <v>473574.07501641999</v>
      </c>
      <c r="X52" s="29">
        <f t="shared" si="49"/>
        <v>0.33791353923282252</v>
      </c>
      <c r="Y52" s="29">
        <f t="shared" si="49"/>
        <v>0.34558990866943495</v>
      </c>
      <c r="Z52" s="29">
        <f t="shared" si="49"/>
        <v>0.43222629091870246</v>
      </c>
      <c r="AA52" s="29">
        <f t="shared" si="49"/>
        <v>0.48329312415246073</v>
      </c>
      <c r="AB52" s="29">
        <f t="shared" si="49"/>
        <v>0.10504667115603405</v>
      </c>
      <c r="AC52" s="29">
        <f t="shared" si="49"/>
        <v>0.17775628343895145</v>
      </c>
      <c r="AD52" s="29">
        <f t="shared" si="49"/>
        <v>0.10107956027090625</v>
      </c>
      <c r="AE52" s="29">
        <f t="shared" si="49"/>
        <v>9.7604129818565255E-2</v>
      </c>
      <c r="AF52" s="29">
        <f t="shared" si="49"/>
        <v>0.11282690570672638</v>
      </c>
      <c r="AG52" s="29">
        <f t="shared" si="49"/>
        <v>9.1774884662965128E-4</v>
      </c>
      <c r="AH52" s="29">
        <f t="shared" si="50"/>
        <v>7.6076370692017337E-2</v>
      </c>
      <c r="AI52" s="29">
        <f t="shared" si="50"/>
        <v>9.3160308198097397E-2</v>
      </c>
      <c r="AJ52" s="29">
        <f t="shared" si="50"/>
        <v>0.10355655408004583</v>
      </c>
      <c r="AK52" s="29">
        <f t="shared" si="50"/>
        <v>-0.17357882754787723</v>
      </c>
      <c r="AL52" s="29">
        <f t="shared" si="50"/>
        <v>-4.5352767804063499E-2</v>
      </c>
      <c r="AM52" s="29">
        <f t="shared" si="50"/>
        <v>9.328031669254444E-2</v>
      </c>
      <c r="AN52" s="29">
        <f t="shared" si="50"/>
        <v>1.7027860100850667E-2</v>
      </c>
      <c r="AO52" s="29">
        <f t="shared" si="50"/>
        <v>7.4759471015815038E-3</v>
      </c>
      <c r="AP52" s="29">
        <f t="shared" si="50"/>
        <v>0.13792833840305851</v>
      </c>
      <c r="AQ52" s="29">
        <f t="shared" si="50"/>
        <v>-4.026644942772406E-2</v>
      </c>
    </row>
    <row r="53" spans="1:43">
      <c r="B53" s="1" t="s">
        <v>8</v>
      </c>
      <c r="C53" s="2">
        <v>687.8</v>
      </c>
      <c r="D53" s="2">
        <v>1153.0999999999999</v>
      </c>
      <c r="E53" s="2">
        <v>1296.0999999999999</v>
      </c>
      <c r="F53" s="2">
        <v>1319.3</v>
      </c>
      <c r="G53" s="2">
        <v>2074.2000000000003</v>
      </c>
      <c r="H53" s="2">
        <v>1918.44558403</v>
      </c>
      <c r="I53" s="2">
        <v>1002.1999999999999</v>
      </c>
      <c r="J53" s="2">
        <v>1219.54480926</v>
      </c>
      <c r="K53" s="2">
        <v>2594.44397888</v>
      </c>
      <c r="L53" s="2">
        <v>1865.7890892300002</v>
      </c>
      <c r="M53" s="2">
        <v>931.47813002999999</v>
      </c>
      <c r="N53" s="2">
        <v>1413.2208634300007</v>
      </c>
      <c r="O53" s="2">
        <v>1428.9312672899998</v>
      </c>
      <c r="P53" s="2">
        <v>1581.0492269600002</v>
      </c>
      <c r="Q53" s="2">
        <v>1875.4931170399993</v>
      </c>
      <c r="R53" s="2">
        <v>1818.04460313</v>
      </c>
      <c r="S53" s="2">
        <v>1996.5973300000001</v>
      </c>
      <c r="T53" s="2">
        <v>3751.0480027399999</v>
      </c>
      <c r="U53" s="2">
        <v>1980.7427072200001</v>
      </c>
      <c r="V53" s="2">
        <v>6068.9831390899999</v>
      </c>
      <c r="W53" s="2">
        <v>2424.0290123700006</v>
      </c>
      <c r="X53" s="29">
        <f t="shared" si="49"/>
        <v>0.67650479790636808</v>
      </c>
      <c r="Y53" s="29">
        <f t="shared" si="49"/>
        <v>0.12401352874859084</v>
      </c>
      <c r="Z53" s="29">
        <f t="shared" si="49"/>
        <v>1.7899853406373012E-2</v>
      </c>
      <c r="AA53" s="29">
        <f t="shared" si="49"/>
        <v>0.57219737739710475</v>
      </c>
      <c r="AB53" s="29">
        <f t="shared" si="49"/>
        <v>-7.5091320012535046E-2</v>
      </c>
      <c r="AC53" s="29">
        <f t="shared" si="49"/>
        <v>-0.47759790095546029</v>
      </c>
      <c r="AD53" s="29">
        <f t="shared" si="49"/>
        <v>0.21686770031929758</v>
      </c>
      <c r="AE53" s="29">
        <f t="shared" si="49"/>
        <v>1.1273871687045816</v>
      </c>
      <c r="AF53" s="29">
        <f t="shared" si="49"/>
        <v>-0.28085204212601811</v>
      </c>
      <c r="AG53" s="29">
        <f t="shared" si="49"/>
        <v>-0.5007591504276534</v>
      </c>
      <c r="AH53" s="29">
        <f t="shared" si="50"/>
        <v>0.51718093841289137</v>
      </c>
      <c r="AI53" s="29">
        <f t="shared" si="50"/>
        <v>1.1116736432738916E-2</v>
      </c>
      <c r="AJ53" s="29">
        <f t="shared" si="50"/>
        <v>0.10645575693678788</v>
      </c>
      <c r="AK53" s="29">
        <f t="shared" si="50"/>
        <v>0.18623322098967665</v>
      </c>
      <c r="AL53" s="29">
        <f t="shared" si="50"/>
        <v>-3.0631151555846614E-2</v>
      </c>
      <c r="AM53" s="29">
        <f t="shared" si="50"/>
        <v>9.8211411624664402E-2</v>
      </c>
      <c r="AN53" s="29">
        <f t="shared" si="50"/>
        <v>0.87872033402949601</v>
      </c>
      <c r="AO53" s="29">
        <f t="shared" si="50"/>
        <v>-0.47194951763530035</v>
      </c>
      <c r="AP53" s="29">
        <f t="shared" si="50"/>
        <v>2.0639936812428821</v>
      </c>
      <c r="AQ53" s="29">
        <f t="shared" si="50"/>
        <v>-0.60058728837835162</v>
      </c>
    </row>
    <row r="54" spans="1:43">
      <c r="B54" s="18" t="s">
        <v>14</v>
      </c>
      <c r="C54" s="2">
        <v>240.7</v>
      </c>
      <c r="D54" s="2">
        <v>1038.4000000000001</v>
      </c>
      <c r="E54" s="2">
        <v>878.4</v>
      </c>
      <c r="F54" s="2">
        <v>1079.5999999999999</v>
      </c>
      <c r="G54" s="2">
        <v>1058.7</v>
      </c>
      <c r="H54" s="2">
        <v>741.75404490999995</v>
      </c>
      <c r="I54" s="2">
        <v>788.4</v>
      </c>
      <c r="J54" s="2">
        <v>1649.7742940799999</v>
      </c>
      <c r="K54" s="2">
        <f>4864.58567558</f>
        <v>4864.5856755799996</v>
      </c>
      <c r="L54" s="2">
        <v>3241.7194701399999</v>
      </c>
      <c r="M54" s="2">
        <v>1514.3437429999999</v>
      </c>
      <c r="N54" s="2">
        <v>16353.23931071</v>
      </c>
      <c r="O54" s="2">
        <v>11765.585500000001</v>
      </c>
      <c r="P54" s="2">
        <v>3684.15</v>
      </c>
      <c r="Q54" s="2">
        <v>0</v>
      </c>
      <c r="R54" s="2">
        <v>0</v>
      </c>
      <c r="S54" s="2">
        <v>0</v>
      </c>
      <c r="T54" s="2">
        <v>2.6063171000000001</v>
      </c>
      <c r="U54" s="2">
        <v>1.8389759999999999</v>
      </c>
      <c r="V54" s="2">
        <v>129.83736393999999</v>
      </c>
      <c r="W54" s="2">
        <v>0</v>
      </c>
      <c r="X54" s="29">
        <f t="shared" si="49"/>
        <v>3.3140839218944746</v>
      </c>
      <c r="Y54" s="29">
        <f t="shared" si="49"/>
        <v>-0.15408320493066263</v>
      </c>
      <c r="Z54" s="29">
        <f t="shared" si="49"/>
        <v>0.22905282331511834</v>
      </c>
      <c r="AA54" s="29">
        <f t="shared" si="49"/>
        <v>-1.9359021859947978E-2</v>
      </c>
      <c r="AB54" s="29">
        <f t="shared" si="49"/>
        <v>-0.29937277329744039</v>
      </c>
      <c r="AC54" s="29">
        <f t="shared" si="49"/>
        <v>6.2886013780564909E-2</v>
      </c>
      <c r="AD54" s="29">
        <f t="shared" si="49"/>
        <v>1.0925599874175544</v>
      </c>
      <c r="AE54" s="29">
        <f t="shared" si="49"/>
        <v>1.9486370911681261</v>
      </c>
      <c r="AF54" s="29">
        <f t="shared" si="49"/>
        <v>-0.33360830986834389</v>
      </c>
      <c r="AG54" s="29">
        <f t="shared" si="49"/>
        <v>-0.53285786850192807</v>
      </c>
      <c r="AH54" s="29">
        <f t="shared" si="50"/>
        <v>9.7988951559395066</v>
      </c>
      <c r="AI54" s="29">
        <f t="shared" si="50"/>
        <v>-0.28053486673465788</v>
      </c>
      <c r="AJ54" s="29">
        <f t="shared" si="50"/>
        <v>-0.68687066189778656</v>
      </c>
      <c r="AK54" s="29">
        <f t="shared" si="50"/>
        <v>-1</v>
      </c>
      <c r="AL54" s="41" t="e">
        <f t="shared" si="50"/>
        <v>#DIV/0!</v>
      </c>
      <c r="AM54" s="41" t="e">
        <f t="shared" si="50"/>
        <v>#DIV/0!</v>
      </c>
      <c r="AN54" s="41" t="e">
        <f t="shared" si="50"/>
        <v>#DIV/0!</v>
      </c>
      <c r="AO54" s="41">
        <f t="shared" si="50"/>
        <v>-0.29441586367215256</v>
      </c>
      <c r="AP54" s="41">
        <f t="shared" si="50"/>
        <v>69.603076897142756</v>
      </c>
      <c r="AQ54" s="41">
        <f t="shared" si="50"/>
        <v>-1</v>
      </c>
    </row>
    <row r="55" spans="1:43">
      <c r="C55" s="2"/>
      <c r="D55" s="2"/>
      <c r="E55" s="2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>
      <c r="A56" s="15"/>
      <c r="B56" s="42" t="s">
        <v>9</v>
      </c>
      <c r="C56" s="19">
        <f>+C58+C59</f>
        <v>11943.999999999998</v>
      </c>
      <c r="D56" s="19">
        <f>+D58+D59</f>
        <v>20293.2</v>
      </c>
      <c r="E56" s="19">
        <f t="shared" ref="E56:O56" si="51">+E58+E59</f>
        <v>31242.1</v>
      </c>
      <c r="F56" s="19">
        <f t="shared" si="51"/>
        <v>44503.6</v>
      </c>
      <c r="G56" s="19">
        <f t="shared" si="51"/>
        <v>53218.200000000012</v>
      </c>
      <c r="H56" s="19">
        <f t="shared" si="51"/>
        <v>53140.618571029998</v>
      </c>
      <c r="I56" s="19">
        <f t="shared" si="51"/>
        <v>53044.6</v>
      </c>
      <c r="J56" s="19">
        <f t="shared" si="51"/>
        <v>93927.038141219993</v>
      </c>
      <c r="K56" s="19">
        <f t="shared" si="51"/>
        <v>91668.694194779993</v>
      </c>
      <c r="L56" s="19">
        <f t="shared" si="51"/>
        <v>104113.58773828</v>
      </c>
      <c r="M56" s="19">
        <f t="shared" si="51"/>
        <v>69228.462475690001</v>
      </c>
      <c r="N56" s="19">
        <f t="shared" si="51"/>
        <v>107842.86822838</v>
      </c>
      <c r="O56" s="19">
        <f t="shared" si="51"/>
        <v>72181.151119150003</v>
      </c>
      <c r="P56" s="19">
        <f t="shared" ref="P56:V56" si="52">+P58+P59</f>
        <v>141235.77193122002</v>
      </c>
      <c r="Q56" s="19">
        <f t="shared" si="52"/>
        <v>82136.879977429999</v>
      </c>
      <c r="R56" s="19">
        <f t="shared" si="52"/>
        <v>119650.44072736001</v>
      </c>
      <c r="S56" s="19">
        <f t="shared" si="52"/>
        <v>106445.11252465</v>
      </c>
      <c r="T56" s="19">
        <f t="shared" si="52"/>
        <v>110190.52850918</v>
      </c>
      <c r="U56" s="19">
        <f t="shared" si="52"/>
        <v>103950.76765599</v>
      </c>
      <c r="V56" s="19">
        <f t="shared" si="52"/>
        <v>105368.20708181999</v>
      </c>
      <c r="W56" s="19">
        <f>+W58+W59</f>
        <v>114317.84074405002</v>
      </c>
      <c r="X56" s="28">
        <f t="shared" ref="X56:AQ56" si="53">+D56/C56-1</f>
        <v>0.69902880107166809</v>
      </c>
      <c r="Y56" s="28">
        <f t="shared" si="53"/>
        <v>0.53953541087654955</v>
      </c>
      <c r="Z56" s="28">
        <f t="shared" si="53"/>
        <v>0.42447530735770012</v>
      </c>
      <c r="AA56" s="28">
        <f t="shared" si="53"/>
        <v>0.19581786641979559</v>
      </c>
      <c r="AB56" s="28">
        <f t="shared" si="53"/>
        <v>-1.4577988163826383E-3</v>
      </c>
      <c r="AC56" s="28">
        <f t="shared" si="53"/>
        <v>-1.806877180055011E-3</v>
      </c>
      <c r="AD56" s="28">
        <f t="shared" si="53"/>
        <v>0.77071819075306425</v>
      </c>
      <c r="AE56" s="28">
        <f t="shared" si="53"/>
        <v>-2.4043598000445421E-2</v>
      </c>
      <c r="AF56" s="28">
        <f t="shared" si="53"/>
        <v>0.13575947222567364</v>
      </c>
      <c r="AG56" s="28">
        <f t="shared" si="53"/>
        <v>-0.33506793897338338</v>
      </c>
      <c r="AH56" s="28">
        <f t="shared" si="53"/>
        <v>0.55778222383964815</v>
      </c>
      <c r="AI56" s="28">
        <f t="shared" si="53"/>
        <v>-0.33068220175402596</v>
      </c>
      <c r="AJ56" s="28">
        <f t="shared" si="53"/>
        <v>0.95668494809789051</v>
      </c>
      <c r="AK56" s="28">
        <f t="shared" si="53"/>
        <v>-0.41844138454222779</v>
      </c>
      <c r="AL56" s="28">
        <f t="shared" si="53"/>
        <v>0.45672005998082943</v>
      </c>
      <c r="AM56" s="28">
        <f t="shared" si="53"/>
        <v>-0.11036589687789089</v>
      </c>
      <c r="AN56" s="28">
        <f t="shared" si="53"/>
        <v>3.5186359389330013E-2</v>
      </c>
      <c r="AO56" s="28">
        <f t="shared" si="53"/>
        <v>-5.6627016292694954E-2</v>
      </c>
      <c r="AP56" s="28">
        <f t="shared" si="53"/>
        <v>1.3635680214703072E-2</v>
      </c>
      <c r="AQ56" s="28">
        <f t="shared" si="53"/>
        <v>8.4936755688369114E-2</v>
      </c>
    </row>
    <row r="57" spans="1:43">
      <c r="C57" s="2"/>
      <c r="D57" s="2"/>
      <c r="E57" s="2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>
      <c r="B58" s="1" t="s">
        <v>13</v>
      </c>
      <c r="C58" s="2">
        <v>2899.9</v>
      </c>
      <c r="D58" s="2">
        <v>4776.8</v>
      </c>
      <c r="E58" s="2">
        <v>5674.7999999999993</v>
      </c>
      <c r="F58" s="2">
        <v>7493.1</v>
      </c>
      <c r="G58" s="2">
        <v>8405.7999999999993</v>
      </c>
      <c r="H58" s="2">
        <v>7502.4336248199997</v>
      </c>
      <c r="I58" s="2">
        <v>6208.1</v>
      </c>
      <c r="J58" s="2">
        <v>7762.2405998600007</v>
      </c>
      <c r="K58" s="2">
        <v>12233.966670629999</v>
      </c>
      <c r="L58" s="2">
        <v>10815.40748849</v>
      </c>
      <c r="M58" s="2">
        <v>9009.5127321499986</v>
      </c>
      <c r="N58" s="2">
        <v>11994.496259609998</v>
      </c>
      <c r="O58" s="2">
        <v>7610.0635270899993</v>
      </c>
      <c r="P58" s="2">
        <v>6370.3005306000005</v>
      </c>
      <c r="Q58" s="2">
        <v>7954.9677647199996</v>
      </c>
      <c r="R58" s="2">
        <v>47132.004278199995</v>
      </c>
      <c r="S58" s="2">
        <v>29710.016200849994</v>
      </c>
      <c r="T58" s="2">
        <v>57009.053330809998</v>
      </c>
      <c r="U58" s="2">
        <v>32425.492811360004</v>
      </c>
      <c r="V58" s="2">
        <v>28958.590643989999</v>
      </c>
      <c r="W58" s="2">
        <v>30873.01620029</v>
      </c>
      <c r="X58" s="29">
        <f t="shared" ref="X58:AG63" si="54">+D58/C58-1</f>
        <v>0.64722921480051032</v>
      </c>
      <c r="Y58" s="29">
        <f t="shared" si="54"/>
        <v>0.18799196114553651</v>
      </c>
      <c r="Z58" s="29">
        <f t="shared" si="54"/>
        <v>0.32041657855783479</v>
      </c>
      <c r="AA58" s="29">
        <f t="shared" si="54"/>
        <v>0.1218053942960855</v>
      </c>
      <c r="AB58" s="29">
        <f t="shared" si="54"/>
        <v>-0.10746941102334095</v>
      </c>
      <c r="AC58" s="29">
        <f t="shared" si="54"/>
        <v>-0.17252183618632855</v>
      </c>
      <c r="AD58" s="29">
        <f t="shared" si="54"/>
        <v>0.25034078057054487</v>
      </c>
      <c r="AE58" s="29">
        <f t="shared" si="54"/>
        <v>0.57608702194191852</v>
      </c>
      <c r="AF58" s="29">
        <f t="shared" si="54"/>
        <v>-0.11595251322251232</v>
      </c>
      <c r="AG58" s="29">
        <f t="shared" si="54"/>
        <v>-0.16697426872375132</v>
      </c>
      <c r="AH58" s="29">
        <f t="shared" ref="AH58:AQ63" si="55">+N58/M58-1</f>
        <v>0.33131464666321331</v>
      </c>
      <c r="AI58" s="29">
        <f t="shared" si="55"/>
        <v>-0.3655370461270675</v>
      </c>
      <c r="AJ58" s="29">
        <f t="shared" si="55"/>
        <v>-0.16291099175148016</v>
      </c>
      <c r="AK58" s="29">
        <f t="shared" si="55"/>
        <v>0.2487586302259972</v>
      </c>
      <c r="AL58" s="29">
        <f t="shared" si="55"/>
        <v>4.9248516992399098</v>
      </c>
      <c r="AM58" s="29">
        <f t="shared" si="55"/>
        <v>-0.36964241907718332</v>
      </c>
      <c r="AN58" s="29">
        <f t="shared" si="55"/>
        <v>0.91884962113144142</v>
      </c>
      <c r="AO58" s="29">
        <f t="shared" si="55"/>
        <v>-0.43122204427422139</v>
      </c>
      <c r="AP58" s="29">
        <f t="shared" si="55"/>
        <v>-0.10691902780134166</v>
      </c>
      <c r="AQ58" s="29">
        <f t="shared" si="55"/>
        <v>6.6109072082805698E-2</v>
      </c>
    </row>
    <row r="59" spans="1:43">
      <c r="B59" s="1" t="s">
        <v>5</v>
      </c>
      <c r="C59" s="7">
        <f>+C60+C61+C62+C63</f>
        <v>9044.0999999999985</v>
      </c>
      <c r="D59" s="7">
        <f>+D60+D61+D62+D63</f>
        <v>15516.4</v>
      </c>
      <c r="E59" s="7">
        <f t="shared" ref="E59:O59" si="56">+E60+E61+E62+E63</f>
        <v>25567.3</v>
      </c>
      <c r="F59" s="7">
        <f t="shared" si="56"/>
        <v>37010.5</v>
      </c>
      <c r="G59" s="7">
        <f t="shared" si="56"/>
        <v>44812.400000000009</v>
      </c>
      <c r="H59" s="7">
        <f t="shared" si="56"/>
        <v>45638.18494621</v>
      </c>
      <c r="I59" s="7">
        <f t="shared" si="56"/>
        <v>46836.5</v>
      </c>
      <c r="J59" s="7">
        <f t="shared" si="56"/>
        <v>86164.797541359992</v>
      </c>
      <c r="K59" s="7">
        <f t="shared" si="56"/>
        <v>79434.727524149988</v>
      </c>
      <c r="L59" s="7">
        <f t="shared" si="56"/>
        <v>93298.180249789992</v>
      </c>
      <c r="M59" s="7">
        <f t="shared" si="56"/>
        <v>60218.949743539997</v>
      </c>
      <c r="N59" s="7">
        <f t="shared" si="56"/>
        <v>95848.371968770007</v>
      </c>
      <c r="O59" s="7">
        <f t="shared" si="56"/>
        <v>64571.087592060001</v>
      </c>
      <c r="P59" s="7">
        <f t="shared" ref="P59:W59" si="57">+P60+P61+P62+P63</f>
        <v>134865.47140062001</v>
      </c>
      <c r="Q59" s="7">
        <f t="shared" si="57"/>
        <v>74181.912212709998</v>
      </c>
      <c r="R59" s="7">
        <f t="shared" si="57"/>
        <v>72518.436449160014</v>
      </c>
      <c r="S59" s="7">
        <f t="shared" si="57"/>
        <v>76735.096323800011</v>
      </c>
      <c r="T59" s="7">
        <f t="shared" si="57"/>
        <v>53181.475178370005</v>
      </c>
      <c r="U59" s="7">
        <f t="shared" si="57"/>
        <v>71525.274844629996</v>
      </c>
      <c r="V59" s="7">
        <f t="shared" si="57"/>
        <v>76409.616437829987</v>
      </c>
      <c r="W59" s="7">
        <f t="shared" si="57"/>
        <v>83444.824543760013</v>
      </c>
      <c r="X59" s="30">
        <f t="shared" si="54"/>
        <v>0.71563781913070423</v>
      </c>
      <c r="Y59" s="30">
        <f t="shared" si="54"/>
        <v>0.64775978964192715</v>
      </c>
      <c r="Z59" s="30">
        <f t="shared" si="54"/>
        <v>0.44757170291739845</v>
      </c>
      <c r="AA59" s="30">
        <f t="shared" si="54"/>
        <v>0.21080233987652175</v>
      </c>
      <c r="AB59" s="30">
        <f t="shared" si="54"/>
        <v>1.8427599195981248E-2</v>
      </c>
      <c r="AC59" s="30">
        <f t="shared" si="54"/>
        <v>2.6256851695621863E-2</v>
      </c>
      <c r="AD59" s="30">
        <f t="shared" si="54"/>
        <v>0.83969334901967474</v>
      </c>
      <c r="AE59" s="30">
        <f t="shared" si="54"/>
        <v>-7.8106955615830254E-2</v>
      </c>
      <c r="AF59" s="30">
        <f t="shared" si="54"/>
        <v>0.17452634581550241</v>
      </c>
      <c r="AG59" s="30">
        <f t="shared" si="54"/>
        <v>-0.35455386608491168</v>
      </c>
      <c r="AH59" s="30">
        <f t="shared" si="55"/>
        <v>0.59166462346102544</v>
      </c>
      <c r="AI59" s="30">
        <f t="shared" si="55"/>
        <v>-0.32632045525928177</v>
      </c>
      <c r="AJ59" s="30">
        <f t="shared" si="55"/>
        <v>1.0886355864509825</v>
      </c>
      <c r="AK59" s="30">
        <f t="shared" si="55"/>
        <v>-0.44995623088469061</v>
      </c>
      <c r="AL59" s="30">
        <f t="shared" si="55"/>
        <v>-2.2424277211675503E-2</v>
      </c>
      <c r="AM59" s="30">
        <f t="shared" si="55"/>
        <v>5.8146039560521112E-2</v>
      </c>
      <c r="AN59" s="30">
        <f t="shared" si="55"/>
        <v>-0.3069471763746866</v>
      </c>
      <c r="AO59" s="30">
        <f t="shared" si="55"/>
        <v>0.34492837223366068</v>
      </c>
      <c r="AP59" s="30">
        <f t="shared" si="55"/>
        <v>6.8288330297366251E-2</v>
      </c>
      <c r="AQ59" s="30">
        <f t="shared" si="55"/>
        <v>9.2072286629709232E-2</v>
      </c>
    </row>
    <row r="60" spans="1:43">
      <c r="B60" s="1" t="s">
        <v>6</v>
      </c>
      <c r="C60" s="2">
        <v>0</v>
      </c>
      <c r="D60" s="2">
        <v>29</v>
      </c>
      <c r="E60" s="2">
        <v>159</v>
      </c>
      <c r="F60" s="2">
        <v>1162.9000000000001</v>
      </c>
      <c r="G60" s="2">
        <v>808.8</v>
      </c>
      <c r="H60" s="2">
        <v>859.00781200000006</v>
      </c>
      <c r="I60" s="2">
        <v>360.1</v>
      </c>
      <c r="J60" s="2">
        <v>287.205648</v>
      </c>
      <c r="K60" s="2">
        <v>1950.7893239999999</v>
      </c>
      <c r="L60" s="2">
        <v>1634.5527400000001</v>
      </c>
      <c r="M60" s="2">
        <v>2055.1110720000001</v>
      </c>
      <c r="N60" s="2">
        <v>3053.1529640899998</v>
      </c>
      <c r="O60" s="2">
        <v>3043.0249090000002</v>
      </c>
      <c r="P60" s="2">
        <v>3710.5501672800001</v>
      </c>
      <c r="Q60" s="2">
        <v>3309.4503304700002</v>
      </c>
      <c r="R60" s="2">
        <v>3568.5845640099997</v>
      </c>
      <c r="S60" s="2">
        <v>2088.1013060199998</v>
      </c>
      <c r="T60" s="2">
        <v>294.24186822000001</v>
      </c>
      <c r="U60" s="2">
        <v>1555.5594048199998</v>
      </c>
      <c r="V60" s="2">
        <v>309.01902992999999</v>
      </c>
      <c r="W60" s="2">
        <v>402.85008133000002</v>
      </c>
      <c r="X60" s="41" t="e">
        <f t="shared" si="54"/>
        <v>#DIV/0!</v>
      </c>
      <c r="Y60" s="29">
        <f t="shared" si="54"/>
        <v>4.4827586206896548</v>
      </c>
      <c r="Z60" s="29">
        <f t="shared" si="54"/>
        <v>6.3138364779874223</v>
      </c>
      <c r="AA60" s="29">
        <f t="shared" si="54"/>
        <v>-0.30449737724653891</v>
      </c>
      <c r="AB60" s="29">
        <f t="shared" si="54"/>
        <v>6.2076918892186139E-2</v>
      </c>
      <c r="AC60" s="29">
        <f t="shared" si="54"/>
        <v>-0.58079543053096239</v>
      </c>
      <c r="AD60" s="29">
        <f t="shared" si="54"/>
        <v>-0.20242808108858656</v>
      </c>
      <c r="AE60" s="29">
        <f t="shared" si="54"/>
        <v>5.7923083601754231</v>
      </c>
      <c r="AF60" s="29">
        <f t="shared" si="54"/>
        <v>-0.16210698926297784</v>
      </c>
      <c r="AG60" s="29">
        <f t="shared" si="54"/>
        <v>0.25729260470359616</v>
      </c>
      <c r="AH60" s="29">
        <f t="shared" si="55"/>
        <v>0.48563890569609058</v>
      </c>
      <c r="AI60" s="29">
        <f t="shared" si="55"/>
        <v>-3.317244569506328E-3</v>
      </c>
      <c r="AJ60" s="29">
        <f t="shared" si="55"/>
        <v>0.21936240360890191</v>
      </c>
      <c r="AK60" s="29">
        <f t="shared" si="55"/>
        <v>-0.10809713350514383</v>
      </c>
      <c r="AL60" s="29">
        <f t="shared" si="55"/>
        <v>7.8301291049501121E-2</v>
      </c>
      <c r="AM60" s="29">
        <f t="shared" si="55"/>
        <v>-0.41486567893640958</v>
      </c>
      <c r="AN60" s="29">
        <f t="shared" si="55"/>
        <v>-0.85908640190411245</v>
      </c>
      <c r="AO60" s="29">
        <f t="shared" si="55"/>
        <v>4.2866691413777067</v>
      </c>
      <c r="AP60" s="29">
        <f t="shared" si="55"/>
        <v>-0.80134540090691175</v>
      </c>
      <c r="AQ60" s="29">
        <f t="shared" si="55"/>
        <v>0.30364166058399356</v>
      </c>
    </row>
    <row r="61" spans="1:43">
      <c r="B61" s="1" t="s">
        <v>7</v>
      </c>
      <c r="C61" s="2">
        <f>9763.8-1000</f>
        <v>8763.7999999999993</v>
      </c>
      <c r="D61" s="2">
        <f>16296.4-875</f>
        <v>15421.4</v>
      </c>
      <c r="E61" s="2">
        <f>25608.5-875</f>
        <v>24733.5</v>
      </c>
      <c r="F61" s="2">
        <f>35573.4-887.5</f>
        <v>34685.9</v>
      </c>
      <c r="G61" s="2">
        <f>42259.3-1125</f>
        <v>41134.300000000003</v>
      </c>
      <c r="H61" s="2">
        <f>45933.75990079-2250</f>
        <v>43683.759900789999</v>
      </c>
      <c r="I61" s="2">
        <v>44579.700000000004</v>
      </c>
      <c r="J61" s="2">
        <v>60791.444122179993</v>
      </c>
      <c r="K61" s="2">
        <v>53259.806778549995</v>
      </c>
      <c r="L61" s="2">
        <v>49856.218434919996</v>
      </c>
      <c r="M61" s="2">
        <f>26953.09373907+311.625</f>
        <v>27264.718739069998</v>
      </c>
      <c r="N61" s="2">
        <v>91332.889890940016</v>
      </c>
      <c r="O61" s="2">
        <v>59893.899647160004</v>
      </c>
      <c r="P61" s="2">
        <v>48877.971800669999</v>
      </c>
      <c r="Q61" s="2">
        <v>69284.246805899995</v>
      </c>
      <c r="R61" s="2">
        <v>41112.353487690008</v>
      </c>
      <c r="S61" s="2">
        <v>48017.90860611001</v>
      </c>
      <c r="T61" s="2">
        <v>52445.336713990007</v>
      </c>
      <c r="U61" s="2">
        <v>69892.809230419996</v>
      </c>
      <c r="V61" s="2">
        <v>63069.320275179991</v>
      </c>
      <c r="W61" s="2">
        <v>76710.232664230003</v>
      </c>
      <c r="X61" s="29">
        <f t="shared" si="54"/>
        <v>0.7596704625847237</v>
      </c>
      <c r="Y61" s="29">
        <f t="shared" si="54"/>
        <v>0.60384271207542772</v>
      </c>
      <c r="Z61" s="29">
        <f t="shared" si="54"/>
        <v>0.40238542866961824</v>
      </c>
      <c r="AA61" s="29">
        <f t="shared" si="54"/>
        <v>0.185908395053898</v>
      </c>
      <c r="AB61" s="29">
        <f t="shared" si="54"/>
        <v>6.1978930011936439E-2</v>
      </c>
      <c r="AC61" s="29">
        <f t="shared" si="54"/>
        <v>2.0509683718726857E-2</v>
      </c>
      <c r="AD61" s="29">
        <f t="shared" si="54"/>
        <v>0.36365754193455735</v>
      </c>
      <c r="AE61" s="29">
        <f t="shared" si="54"/>
        <v>-0.12389304864172579</v>
      </c>
      <c r="AF61" s="29">
        <f t="shared" si="54"/>
        <v>-6.3905382867456617E-2</v>
      </c>
      <c r="AG61" s="29">
        <f t="shared" si="54"/>
        <v>-0.45313303746331857</v>
      </c>
      <c r="AH61" s="29">
        <f t="shared" si="55"/>
        <v>2.3498563020223324</v>
      </c>
      <c r="AI61" s="29">
        <f t="shared" si="55"/>
        <v>-0.34422419219758726</v>
      </c>
      <c r="AJ61" s="29">
        <f t="shared" si="55"/>
        <v>-0.18392403752946063</v>
      </c>
      <c r="AK61" s="29">
        <f t="shared" si="55"/>
        <v>0.41749430783358066</v>
      </c>
      <c r="AL61" s="29">
        <f t="shared" si="55"/>
        <v>-0.40661325794785097</v>
      </c>
      <c r="AM61" s="29">
        <f t="shared" si="55"/>
        <v>0.16796788635531867</v>
      </c>
      <c r="AN61" s="29">
        <f t="shared" si="55"/>
        <v>9.2203684758495053E-2</v>
      </c>
      <c r="AO61" s="29">
        <f t="shared" si="55"/>
        <v>0.33267919722928974</v>
      </c>
      <c r="AP61" s="29">
        <f t="shared" si="55"/>
        <v>-9.7627910944952601E-2</v>
      </c>
      <c r="AQ61" s="29">
        <f t="shared" si="55"/>
        <v>0.21628443638734107</v>
      </c>
    </row>
    <row r="62" spans="1:43">
      <c r="B62" s="1" t="s">
        <v>8</v>
      </c>
      <c r="C62" s="2">
        <v>7.5</v>
      </c>
      <c r="D62" s="2">
        <v>0</v>
      </c>
      <c r="E62" s="2">
        <v>21.3</v>
      </c>
      <c r="F62" s="2">
        <v>25</v>
      </c>
      <c r="G62" s="2">
        <v>0</v>
      </c>
      <c r="H62" s="2"/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41">
        <f t="shared" si="54"/>
        <v>-1</v>
      </c>
      <c r="Y62" s="41" t="e">
        <f t="shared" si="54"/>
        <v>#DIV/0!</v>
      </c>
      <c r="Z62" s="41">
        <f t="shared" si="54"/>
        <v>0.17370892018779349</v>
      </c>
      <c r="AA62" s="41">
        <f t="shared" si="54"/>
        <v>-1</v>
      </c>
      <c r="AB62" s="41" t="e">
        <f t="shared" si="54"/>
        <v>#DIV/0!</v>
      </c>
      <c r="AC62" s="41" t="e">
        <f t="shared" si="54"/>
        <v>#DIV/0!</v>
      </c>
      <c r="AD62" s="41" t="e">
        <f t="shared" si="54"/>
        <v>#DIV/0!</v>
      </c>
      <c r="AE62" s="41" t="e">
        <f t="shared" si="54"/>
        <v>#DIV/0!</v>
      </c>
      <c r="AF62" s="41" t="e">
        <f t="shared" si="54"/>
        <v>#DIV/0!</v>
      </c>
      <c r="AG62" s="41" t="e">
        <f t="shared" si="54"/>
        <v>#DIV/0!</v>
      </c>
      <c r="AH62" s="41" t="e">
        <f t="shared" si="55"/>
        <v>#DIV/0!</v>
      </c>
      <c r="AI62" s="41" t="e">
        <f t="shared" si="55"/>
        <v>#DIV/0!</v>
      </c>
      <c r="AJ62" s="41" t="e">
        <f t="shared" si="55"/>
        <v>#DIV/0!</v>
      </c>
      <c r="AK62" s="41" t="e">
        <f t="shared" si="55"/>
        <v>#DIV/0!</v>
      </c>
      <c r="AL62" s="41" t="e">
        <f t="shared" si="55"/>
        <v>#DIV/0!</v>
      </c>
      <c r="AM62" s="41" t="e">
        <f t="shared" si="55"/>
        <v>#DIV/0!</v>
      </c>
      <c r="AN62" s="41" t="e">
        <f t="shared" si="55"/>
        <v>#DIV/0!</v>
      </c>
      <c r="AO62" s="41" t="e">
        <f t="shared" si="55"/>
        <v>#DIV/0!</v>
      </c>
      <c r="AP62" s="41" t="e">
        <f t="shared" si="55"/>
        <v>#DIV/0!</v>
      </c>
      <c r="AQ62" s="41" t="e">
        <f t="shared" si="55"/>
        <v>#DIV/0!</v>
      </c>
    </row>
    <row r="63" spans="1:43">
      <c r="B63" s="18" t="s">
        <v>15</v>
      </c>
      <c r="C63" s="2">
        <v>272.8</v>
      </c>
      <c r="D63" s="2">
        <v>66</v>
      </c>
      <c r="E63" s="2">
        <v>653.5</v>
      </c>
      <c r="F63" s="2">
        <v>1136.7</v>
      </c>
      <c r="G63" s="2">
        <v>2869.3</v>
      </c>
      <c r="H63" s="2">
        <v>1095.41723342</v>
      </c>
      <c r="I63" s="2">
        <v>1896.6999999999998</v>
      </c>
      <c r="J63" s="2">
        <v>25086.14777118</v>
      </c>
      <c r="K63" s="2">
        <v>24224.131421599999</v>
      </c>
      <c r="L63" s="2">
        <v>41807.409074869996</v>
      </c>
      <c r="M63" s="2">
        <f>31210.74493247-311.625</f>
        <v>30899.119932469999</v>
      </c>
      <c r="N63" s="2">
        <v>1462.3291137399999</v>
      </c>
      <c r="O63" s="2">
        <v>1634.1630359000001</v>
      </c>
      <c r="P63" s="2">
        <v>82276.949432669993</v>
      </c>
      <c r="Q63" s="2">
        <v>1588.21507634</v>
      </c>
      <c r="R63" s="2">
        <v>27837.49839746</v>
      </c>
      <c r="S63" s="2">
        <v>26629.08641167</v>
      </c>
      <c r="T63" s="2">
        <v>441.89659616</v>
      </c>
      <c r="U63" s="2">
        <v>76.906209390000001</v>
      </c>
      <c r="V63" s="2">
        <v>13031.277132720001</v>
      </c>
      <c r="W63" s="2">
        <v>6331.7417981999997</v>
      </c>
      <c r="X63" s="29">
        <f t="shared" si="54"/>
        <v>-0.75806451612903225</v>
      </c>
      <c r="Y63" s="29">
        <f t="shared" si="54"/>
        <v>8.9015151515151523</v>
      </c>
      <c r="Z63" s="29">
        <f t="shared" si="54"/>
        <v>0.73940321346595272</v>
      </c>
      <c r="AA63" s="29">
        <f t="shared" si="54"/>
        <v>1.5242368258995338</v>
      </c>
      <c r="AB63" s="29">
        <f t="shared" si="54"/>
        <v>-0.61822840643362498</v>
      </c>
      <c r="AC63" s="29">
        <f t="shared" si="54"/>
        <v>0.73148636166542347</v>
      </c>
      <c r="AD63" s="29">
        <f t="shared" si="54"/>
        <v>12.226207503126483</v>
      </c>
      <c r="AE63" s="29">
        <f t="shared" si="54"/>
        <v>-3.4362244751277471E-2</v>
      </c>
      <c r="AF63" s="29">
        <f t="shared" si="54"/>
        <v>0.72585792023863727</v>
      </c>
      <c r="AG63" s="29">
        <f t="shared" si="54"/>
        <v>-0.26091760728020952</v>
      </c>
      <c r="AH63" s="29">
        <f t="shared" si="55"/>
        <v>-0.95267408531583042</v>
      </c>
      <c r="AI63" s="29">
        <f t="shared" si="55"/>
        <v>0.11750701025196975</v>
      </c>
      <c r="AJ63" s="29">
        <f t="shared" si="55"/>
        <v>49.348066640337834</v>
      </c>
      <c r="AK63" s="29">
        <f t="shared" si="55"/>
        <v>-0.98069671898033006</v>
      </c>
      <c r="AL63" s="29">
        <f t="shared" si="55"/>
        <v>16.527536926302691</v>
      </c>
      <c r="AM63" s="29">
        <f t="shared" si="55"/>
        <v>-4.3409503560142504E-2</v>
      </c>
      <c r="AN63" s="29">
        <f t="shared" si="55"/>
        <v>-0.98340549167445934</v>
      </c>
      <c r="AO63" s="29">
        <f t="shared" si="55"/>
        <v>-0.82596333608744488</v>
      </c>
      <c r="AP63" s="29">
        <f t="shared" si="55"/>
        <v>168.44375800186609</v>
      </c>
      <c r="AQ63" s="29">
        <f t="shared" si="55"/>
        <v>-0.51411195282604016</v>
      </c>
    </row>
    <row r="64" spans="1:43">
      <c r="B64" s="1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</row>
    <row r="65" spans="1:43">
      <c r="B65" s="15" t="s">
        <v>51</v>
      </c>
      <c r="C65" s="8"/>
      <c r="D65" s="8"/>
      <c r="E65" s="2"/>
      <c r="G65" s="2">
        <v>0</v>
      </c>
      <c r="H65" s="15">
        <f t="shared" ref="H65:M65" si="58">+H66-H67</f>
        <v>0</v>
      </c>
      <c r="I65" s="15">
        <f t="shared" si="58"/>
        <v>0</v>
      </c>
      <c r="J65" s="15">
        <f t="shared" si="58"/>
        <v>0</v>
      </c>
      <c r="K65" s="7">
        <f t="shared" si="58"/>
        <v>0</v>
      </c>
      <c r="L65" s="7">
        <f t="shared" si="58"/>
        <v>2527.71710841</v>
      </c>
      <c r="M65" s="7">
        <f t="shared" si="58"/>
        <v>1857.35579351</v>
      </c>
      <c r="N65" s="7">
        <f t="shared" ref="N65:W65" si="59">+N66-N67</f>
        <v>0</v>
      </c>
      <c r="O65" s="7">
        <f t="shared" si="59"/>
        <v>673.14005049000002</v>
      </c>
      <c r="P65" s="7">
        <f t="shared" si="59"/>
        <v>30843.892763330001</v>
      </c>
      <c r="Q65" s="7">
        <f t="shared" si="59"/>
        <v>0</v>
      </c>
      <c r="R65" s="7">
        <f t="shared" si="59"/>
        <v>3901.5</v>
      </c>
      <c r="S65" s="7">
        <f t="shared" si="59"/>
        <v>4038.62586792</v>
      </c>
      <c r="T65" s="7">
        <f t="shared" si="59"/>
        <v>4649.5974864199998</v>
      </c>
      <c r="U65" s="7">
        <f t="shared" si="59"/>
        <v>3300.21</v>
      </c>
      <c r="V65" s="7">
        <f t="shared" si="59"/>
        <v>3247.5524999999998</v>
      </c>
      <c r="W65" s="7">
        <f t="shared" si="59"/>
        <v>3183.4837499999999</v>
      </c>
      <c r="X65" s="41" t="e">
        <f t="shared" ref="X65:AG67" si="60">+D65/C65-1</f>
        <v>#DIV/0!</v>
      </c>
      <c r="Y65" s="41" t="e">
        <f t="shared" si="60"/>
        <v>#DIV/0!</v>
      </c>
      <c r="Z65" s="41" t="e">
        <f t="shared" si="60"/>
        <v>#DIV/0!</v>
      </c>
      <c r="AA65" s="41" t="e">
        <f t="shared" si="60"/>
        <v>#DIV/0!</v>
      </c>
      <c r="AB65" s="41" t="e">
        <f t="shared" si="60"/>
        <v>#DIV/0!</v>
      </c>
      <c r="AC65" s="41" t="e">
        <f t="shared" si="60"/>
        <v>#DIV/0!</v>
      </c>
      <c r="AD65" s="41" t="e">
        <f t="shared" si="60"/>
        <v>#DIV/0!</v>
      </c>
      <c r="AE65" s="41" t="e">
        <f t="shared" si="60"/>
        <v>#DIV/0!</v>
      </c>
      <c r="AF65" s="41" t="e">
        <f t="shared" si="60"/>
        <v>#DIV/0!</v>
      </c>
      <c r="AG65" s="29">
        <f t="shared" si="60"/>
        <v>-0.26520424800292419</v>
      </c>
      <c r="AH65" s="29">
        <f t="shared" ref="AH65:AQ67" si="61">+N65/M65-1</f>
        <v>-1</v>
      </c>
      <c r="AI65" s="41" t="e">
        <f t="shared" si="61"/>
        <v>#DIV/0!</v>
      </c>
      <c r="AJ65" s="29">
        <f t="shared" si="61"/>
        <v>44.820914594039905</v>
      </c>
      <c r="AK65" s="29">
        <f t="shared" si="61"/>
        <v>-1</v>
      </c>
      <c r="AL65" s="41" t="e">
        <f t="shared" si="61"/>
        <v>#DIV/0!</v>
      </c>
      <c r="AM65" s="41">
        <f t="shared" si="61"/>
        <v>3.5146960891964563E-2</v>
      </c>
      <c r="AN65" s="41">
        <f t="shared" si="61"/>
        <v>0.15128205446142662</v>
      </c>
      <c r="AO65" s="41">
        <f t="shared" si="61"/>
        <v>-0.29021597898767215</v>
      </c>
      <c r="AP65" s="41">
        <f t="shared" si="61"/>
        <v>-1.5955802812548381E-2</v>
      </c>
      <c r="AQ65" s="41">
        <f t="shared" si="61"/>
        <v>-1.9728318479839801E-2</v>
      </c>
    </row>
    <row r="66" spans="1:43">
      <c r="B66" s="1" t="s">
        <v>52</v>
      </c>
      <c r="C66" s="8"/>
      <c r="D66" s="8"/>
      <c r="E66" s="2"/>
      <c r="H66" s="2">
        <v>0</v>
      </c>
      <c r="I66" s="2">
        <v>0</v>
      </c>
      <c r="J66" s="2">
        <v>0</v>
      </c>
      <c r="K66" s="2">
        <v>0</v>
      </c>
      <c r="L66" s="2">
        <v>2527.71710841</v>
      </c>
      <c r="M66" s="2">
        <v>1857.35579351</v>
      </c>
      <c r="N66" s="2">
        <v>0</v>
      </c>
      <c r="O66" s="2">
        <v>673.14005049000002</v>
      </c>
      <c r="P66" s="2">
        <v>30843.892763330001</v>
      </c>
      <c r="Q66" s="2">
        <v>0</v>
      </c>
      <c r="R66" s="2">
        <v>3901.5</v>
      </c>
      <c r="S66" s="2">
        <v>4038.62586792</v>
      </c>
      <c r="T66" s="2">
        <v>4649.5974864199998</v>
      </c>
      <c r="U66" s="2">
        <v>3300.21</v>
      </c>
      <c r="V66" s="2">
        <v>3247.5524999999998</v>
      </c>
      <c r="W66" s="2">
        <v>3183.4837499999999</v>
      </c>
      <c r="X66" s="41" t="e">
        <f t="shared" si="60"/>
        <v>#DIV/0!</v>
      </c>
      <c r="Y66" s="41" t="e">
        <f t="shared" si="60"/>
        <v>#DIV/0!</v>
      </c>
      <c r="Z66" s="41" t="e">
        <f t="shared" si="60"/>
        <v>#DIV/0!</v>
      </c>
      <c r="AA66" s="41" t="e">
        <f t="shared" si="60"/>
        <v>#DIV/0!</v>
      </c>
      <c r="AB66" s="41" t="e">
        <f t="shared" si="60"/>
        <v>#DIV/0!</v>
      </c>
      <c r="AC66" s="41" t="e">
        <f t="shared" si="60"/>
        <v>#DIV/0!</v>
      </c>
      <c r="AD66" s="41" t="e">
        <f t="shared" si="60"/>
        <v>#DIV/0!</v>
      </c>
      <c r="AE66" s="41" t="e">
        <f t="shared" si="60"/>
        <v>#DIV/0!</v>
      </c>
      <c r="AF66" s="41" t="e">
        <f t="shared" si="60"/>
        <v>#DIV/0!</v>
      </c>
      <c r="AG66" s="29">
        <f t="shared" si="60"/>
        <v>-0.26520424800292419</v>
      </c>
      <c r="AH66" s="29">
        <f t="shared" si="61"/>
        <v>-1</v>
      </c>
      <c r="AI66" s="41" t="e">
        <f t="shared" si="61"/>
        <v>#DIV/0!</v>
      </c>
      <c r="AJ66" s="29">
        <f t="shared" si="61"/>
        <v>44.820914594039905</v>
      </c>
      <c r="AK66" s="29">
        <f t="shared" si="61"/>
        <v>-1</v>
      </c>
      <c r="AL66" s="41" t="e">
        <f t="shared" si="61"/>
        <v>#DIV/0!</v>
      </c>
      <c r="AM66" s="41">
        <f t="shared" si="61"/>
        <v>3.5146960891964563E-2</v>
      </c>
      <c r="AN66" s="41">
        <f t="shared" si="61"/>
        <v>0.15128205446142662</v>
      </c>
      <c r="AO66" s="41">
        <f t="shared" si="61"/>
        <v>-0.29021597898767215</v>
      </c>
      <c r="AP66" s="41">
        <f t="shared" si="61"/>
        <v>-1.5955802812548381E-2</v>
      </c>
      <c r="AQ66" s="41">
        <f t="shared" si="61"/>
        <v>-1.9728318479839801E-2</v>
      </c>
    </row>
    <row r="67" spans="1:43">
      <c r="B67" s="1" t="s">
        <v>53</v>
      </c>
      <c r="C67" s="8"/>
      <c r="D67" s="8"/>
      <c r="E67" s="2"/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58" t="e">
        <f t="shared" si="60"/>
        <v>#DIV/0!</v>
      </c>
      <c r="Y67" s="58" t="e">
        <f t="shared" si="60"/>
        <v>#DIV/0!</v>
      </c>
      <c r="Z67" s="58" t="e">
        <f t="shared" si="60"/>
        <v>#DIV/0!</v>
      </c>
      <c r="AA67" s="58" t="e">
        <f t="shared" si="60"/>
        <v>#DIV/0!</v>
      </c>
      <c r="AB67" s="58" t="e">
        <f t="shared" si="60"/>
        <v>#DIV/0!</v>
      </c>
      <c r="AC67" s="58" t="e">
        <f t="shared" si="60"/>
        <v>#DIV/0!</v>
      </c>
      <c r="AD67" s="58" t="e">
        <f t="shared" si="60"/>
        <v>#DIV/0!</v>
      </c>
      <c r="AE67" s="58" t="e">
        <f t="shared" si="60"/>
        <v>#DIV/0!</v>
      </c>
      <c r="AF67" s="58" t="e">
        <f t="shared" si="60"/>
        <v>#DIV/0!</v>
      </c>
      <c r="AG67" s="58" t="e">
        <f t="shared" si="60"/>
        <v>#DIV/0!</v>
      </c>
      <c r="AH67" s="58" t="e">
        <f t="shared" si="61"/>
        <v>#DIV/0!</v>
      </c>
      <c r="AI67" s="58" t="e">
        <f t="shared" si="61"/>
        <v>#DIV/0!</v>
      </c>
      <c r="AJ67" s="58" t="e">
        <f t="shared" si="61"/>
        <v>#DIV/0!</v>
      </c>
      <c r="AK67" s="58" t="e">
        <f t="shared" si="61"/>
        <v>#DIV/0!</v>
      </c>
      <c r="AL67" s="58" t="e">
        <f t="shared" si="61"/>
        <v>#DIV/0!</v>
      </c>
      <c r="AM67" s="58" t="e">
        <f t="shared" si="61"/>
        <v>#DIV/0!</v>
      </c>
      <c r="AN67" s="58" t="e">
        <f t="shared" si="61"/>
        <v>#DIV/0!</v>
      </c>
      <c r="AO67" s="58" t="e">
        <f t="shared" si="61"/>
        <v>#DIV/0!</v>
      </c>
      <c r="AP67" s="58" t="e">
        <f t="shared" si="61"/>
        <v>#DIV/0!</v>
      </c>
      <c r="AQ67" s="58" t="e">
        <f t="shared" si="61"/>
        <v>#DIV/0!</v>
      </c>
    </row>
    <row r="68" spans="1:43">
      <c r="C68" s="8"/>
      <c r="D68" s="8"/>
      <c r="E68" s="2"/>
      <c r="I68" s="2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>
      <c r="A69" s="6" t="s">
        <v>18</v>
      </c>
      <c r="B69" s="5" t="s">
        <v>22</v>
      </c>
      <c r="C69" s="20">
        <f t="shared" ref="C69:S69" si="62">+C9-C38</f>
        <v>79092.771183240053</v>
      </c>
      <c r="D69" s="20">
        <f t="shared" si="62"/>
        <v>139310.13556382002</v>
      </c>
      <c r="E69" s="20">
        <f t="shared" si="62"/>
        <v>190962.1411089701</v>
      </c>
      <c r="F69" s="20">
        <f t="shared" si="62"/>
        <v>24758.681248710142</v>
      </c>
      <c r="G69" s="20">
        <f t="shared" si="62"/>
        <v>-102426.82301050983</v>
      </c>
      <c r="H69" s="20">
        <f t="shared" si="62"/>
        <v>-150425.89314815984</v>
      </c>
      <c r="I69" s="20">
        <f t="shared" si="62"/>
        <v>-159457.30424208019</v>
      </c>
      <c r="J69" s="20">
        <f t="shared" si="62"/>
        <v>-194999.47272948979</v>
      </c>
      <c r="K69" s="20">
        <f t="shared" si="62"/>
        <v>-244584.78723122971</v>
      </c>
      <c r="L69" s="20">
        <f t="shared" si="62"/>
        <v>-248440.51214747014</v>
      </c>
      <c r="M69" s="20">
        <f t="shared" si="62"/>
        <v>-151560.3567501402</v>
      </c>
      <c r="N69" s="20">
        <f t="shared" si="62"/>
        <v>-156464.25317742978</v>
      </c>
      <c r="O69" s="20">
        <f t="shared" si="62"/>
        <v>-203754.78428845014</v>
      </c>
      <c r="P69" s="20">
        <f t="shared" si="62"/>
        <v>-205425.26507204026</v>
      </c>
      <c r="Q69" s="20">
        <f t="shared" si="62"/>
        <v>-46704.343311909819</v>
      </c>
      <c r="R69" s="20">
        <f t="shared" si="62"/>
        <v>229012.62361500994</v>
      </c>
      <c r="S69" s="20">
        <f t="shared" si="62"/>
        <v>361748.23201001994</v>
      </c>
      <c r="T69" s="20">
        <f>+T9-T38</f>
        <v>466499.44049074966</v>
      </c>
      <c r="U69" s="20">
        <f>+U9-U38</f>
        <v>351854.52238674997</v>
      </c>
      <c r="V69" s="20">
        <f>+V9-V38</f>
        <v>329312.8294765891</v>
      </c>
      <c r="W69" s="20">
        <f>+W9-W38</f>
        <v>253407.63709927979</v>
      </c>
      <c r="X69" s="39">
        <f t="shared" ref="X69:AQ69" si="63">+D69/C69-1</f>
        <v>0.76135104990909919</v>
      </c>
      <c r="Y69" s="39">
        <f t="shared" si="63"/>
        <v>0.37076990368362339</v>
      </c>
      <c r="Z69" s="39">
        <f t="shared" si="63"/>
        <v>-0.87034769769060183</v>
      </c>
      <c r="AA69" s="39">
        <f t="shared" si="63"/>
        <v>-5.1370064092507342</v>
      </c>
      <c r="AB69" s="39">
        <f t="shared" si="63"/>
        <v>0.46861816784774146</v>
      </c>
      <c r="AC69" s="39">
        <f t="shared" si="63"/>
        <v>6.003893947317307E-2</v>
      </c>
      <c r="AD69" s="39">
        <f t="shared" si="63"/>
        <v>0.2228945776823823</v>
      </c>
      <c r="AE69" s="39">
        <f t="shared" si="63"/>
        <v>0.25428435168399877</v>
      </c>
      <c r="AF69" s="39">
        <f t="shared" si="63"/>
        <v>1.5764369321119132E-2</v>
      </c>
      <c r="AG69" s="39">
        <f t="shared" si="63"/>
        <v>-0.38995313026815648</v>
      </c>
      <c r="AH69" s="39">
        <f t="shared" si="63"/>
        <v>3.235606284151249E-2</v>
      </c>
      <c r="AI69" s="39">
        <f t="shared" si="63"/>
        <v>0.30224495468235224</v>
      </c>
      <c r="AJ69" s="39">
        <f t="shared" si="63"/>
        <v>8.1984861824164756E-3</v>
      </c>
      <c r="AK69" s="39">
        <f t="shared" si="63"/>
        <v>-0.77264557358350672</v>
      </c>
      <c r="AL69" s="39">
        <f t="shared" si="63"/>
        <v>-5.9034545263932809</v>
      </c>
      <c r="AM69" s="39">
        <f t="shared" si="63"/>
        <v>0.57959952730880926</v>
      </c>
      <c r="AN69" s="39">
        <f t="shared" si="63"/>
        <v>0.28956937231922186</v>
      </c>
      <c r="AO69" s="39">
        <f t="shared" si="63"/>
        <v>-0.24575574620924545</v>
      </c>
      <c r="AP69" s="39">
        <f t="shared" si="63"/>
        <v>-6.4065377808000923E-2</v>
      </c>
      <c r="AQ69" s="39">
        <f t="shared" si="63"/>
        <v>-0.23049570372934836</v>
      </c>
    </row>
    <row r="70" spans="1:43" ht="18.75">
      <c r="A70" s="6"/>
      <c r="B70" s="46" t="s">
        <v>48</v>
      </c>
      <c r="C70" s="48">
        <f>+C69/C78</f>
        <v>6.8105219853788626E-3</v>
      </c>
      <c r="D70" s="48">
        <f>+D69/D78</f>
        <v>1.0030211315835655E-2</v>
      </c>
      <c r="E70" s="48">
        <f>+E69/E78</f>
        <v>1.1781259743034216E-2</v>
      </c>
      <c r="F70" s="48">
        <f t="shared" ref="F70:O70" si="64">+F69/F78</f>
        <v>1.4046564042300713E-3</v>
      </c>
      <c r="G70" s="48">
        <f t="shared" si="64"/>
        <v>-5.1725466206199193E-3</v>
      </c>
      <c r="H70" s="48">
        <f t="shared" si="64"/>
        <v>-6.9565852899004183E-3</v>
      </c>
      <c r="I70" s="48">
        <f t="shared" si="64"/>
        <v>-6.7131809183704318E-3</v>
      </c>
      <c r="J70" s="48">
        <f t="shared" si="64"/>
        <v>-7.6581636260502845E-3</v>
      </c>
      <c r="K70" s="48">
        <f t="shared" si="64"/>
        <v>-8.734756820288396E-3</v>
      </c>
      <c r="L70" s="48">
        <f t="shared" si="64"/>
        <v>-8.1718736657075512E-3</v>
      </c>
      <c r="M70" s="48">
        <f t="shared" si="64"/>
        <v>-4.7279446642278502E-3</v>
      </c>
      <c r="N70" s="48">
        <f t="shared" si="64"/>
        <v>-4.5558426249695753E-3</v>
      </c>
      <c r="O70" s="48">
        <f t="shared" si="64"/>
        <v>-5.657542017354425E-3</v>
      </c>
      <c r="P70" s="48">
        <f t="shared" ref="P70:U70" si="65">+P69/P78</f>
        <v>-5.4299125521024526E-3</v>
      </c>
      <c r="Q70" s="48">
        <f t="shared" si="65"/>
        <v>-1.2797377275915894E-3</v>
      </c>
      <c r="R70" s="48">
        <f t="shared" si="65"/>
        <v>5.6789433408811407E-3</v>
      </c>
      <c r="S70" s="48">
        <f t="shared" si="65"/>
        <v>8.0729298142907299E-3</v>
      </c>
      <c r="T70" s="48">
        <f t="shared" si="65"/>
        <v>9.9130185972308698E-3</v>
      </c>
      <c r="U70" s="48">
        <f t="shared" si="65"/>
        <v>7.1637549918550153E-3</v>
      </c>
      <c r="V70" s="48">
        <f>+V69/V78</f>
        <v>6.3558810960912858E-3</v>
      </c>
      <c r="W70" s="48">
        <f>+W69/W78</f>
        <v>4.7249055817396232E-3</v>
      </c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</row>
    <row r="71" spans="1:43">
      <c r="A71" s="6" t="s">
        <v>19</v>
      </c>
      <c r="B71" s="5" t="s">
        <v>21</v>
      </c>
      <c r="C71" s="20">
        <f t="shared" ref="C71:S71" si="66">+C9-C36</f>
        <v>-86804.228816759947</v>
      </c>
      <c r="D71" s="20">
        <f t="shared" si="66"/>
        <v>-43491.264436180005</v>
      </c>
      <c r="E71" s="20">
        <f t="shared" si="66"/>
        <v>45177.341108970111</v>
      </c>
      <c r="F71" s="20">
        <f t="shared" si="66"/>
        <v>-106154.81875128986</v>
      </c>
      <c r="G71" s="20">
        <f t="shared" si="66"/>
        <v>-261408.42301050981</v>
      </c>
      <c r="H71" s="20">
        <f t="shared" si="66"/>
        <v>-316182.84413724986</v>
      </c>
      <c r="I71" s="20">
        <f t="shared" si="66"/>
        <v>-315435.70424208022</v>
      </c>
      <c r="J71" s="20">
        <f t="shared" si="66"/>
        <v>-353093.5322147198</v>
      </c>
      <c r="K71" s="20">
        <f t="shared" si="66"/>
        <v>-405608.85064440966</v>
      </c>
      <c r="L71" s="20">
        <f t="shared" si="66"/>
        <v>-440899.42404366005</v>
      </c>
      <c r="M71" s="20">
        <f t="shared" si="66"/>
        <v>-389683.26766484021</v>
      </c>
      <c r="N71" s="20">
        <f t="shared" si="66"/>
        <v>-409770.1810800198</v>
      </c>
      <c r="O71" s="20">
        <f t="shared" si="66"/>
        <v>-526385.44126535999</v>
      </c>
      <c r="P71" s="20">
        <f t="shared" si="66"/>
        <v>-566000.16710759024</v>
      </c>
      <c r="Q71" s="20">
        <f t="shared" si="66"/>
        <v>-558283.25720649981</v>
      </c>
      <c r="R71" s="20">
        <f t="shared" si="66"/>
        <v>-395529.82495606993</v>
      </c>
      <c r="S71" s="20">
        <f t="shared" si="66"/>
        <v>-331104.56031089998</v>
      </c>
      <c r="T71" s="20">
        <f>+T9-T36</f>
        <v>-251980.17354678037</v>
      </c>
      <c r="U71" s="20">
        <f>+U9-U36</f>
        <v>-348134.46338511002</v>
      </c>
      <c r="V71" s="20">
        <f>+V9-V36</f>
        <v>-357100.86695165071</v>
      </c>
      <c r="W71" s="20">
        <f>+W9-W36</f>
        <v>-417396.08163465024</v>
      </c>
      <c r="X71" s="39">
        <f t="shared" ref="X71:AQ71" si="67">+D71/C71-1</f>
        <v>-0.49897297598267676</v>
      </c>
      <c r="Y71" s="39">
        <f t="shared" si="67"/>
        <v>-2.0387681686115218</v>
      </c>
      <c r="Z71" s="39">
        <f t="shared" si="67"/>
        <v>-3.349735866376883</v>
      </c>
      <c r="AA71" s="39">
        <f t="shared" si="67"/>
        <v>1.4625205533341226</v>
      </c>
      <c r="AB71" s="39">
        <f t="shared" si="67"/>
        <v>0.20953579267236488</v>
      </c>
      <c r="AC71" s="39">
        <f t="shared" si="67"/>
        <v>-2.3629994764843287E-3</v>
      </c>
      <c r="AD71" s="39">
        <f t="shared" si="67"/>
        <v>0.11938353035564808</v>
      </c>
      <c r="AE71" s="39">
        <f t="shared" si="67"/>
        <v>0.14872919959846431</v>
      </c>
      <c r="AF71" s="39">
        <f t="shared" si="67"/>
        <v>8.7006418482196812E-2</v>
      </c>
      <c r="AG71" s="39">
        <f t="shared" si="67"/>
        <v>-0.11616290152773745</v>
      </c>
      <c r="AH71" s="39">
        <f t="shared" si="67"/>
        <v>5.1546769086467492E-2</v>
      </c>
      <c r="AI71" s="39">
        <f t="shared" si="67"/>
        <v>0.28458698453357578</v>
      </c>
      <c r="AJ71" s="39">
        <f t="shared" si="67"/>
        <v>7.5258019574025115E-2</v>
      </c>
      <c r="AK71" s="39">
        <f t="shared" si="67"/>
        <v>-1.363411240764445E-2</v>
      </c>
      <c r="AL71" s="39">
        <f t="shared" si="67"/>
        <v>-0.29152483107733618</v>
      </c>
      <c r="AM71" s="39">
        <f t="shared" si="67"/>
        <v>-0.16288345550762307</v>
      </c>
      <c r="AN71" s="39">
        <f t="shared" si="67"/>
        <v>-0.23897099662361498</v>
      </c>
      <c r="AO71" s="39">
        <f t="shared" si="67"/>
        <v>0.38159466471070802</v>
      </c>
      <c r="AP71" s="39">
        <f t="shared" si="67"/>
        <v>2.5755575817904441E-2</v>
      </c>
      <c r="AQ71" s="39">
        <f t="shared" si="67"/>
        <v>0.16884645281794608</v>
      </c>
    </row>
    <row r="72" spans="1:43" ht="18.75">
      <c r="A72" s="6"/>
      <c r="B72" s="46" t="s">
        <v>48</v>
      </c>
      <c r="C72" s="48">
        <f>+C71/C78</f>
        <v>-7.474540339606585E-3</v>
      </c>
      <c r="D72" s="48">
        <f>+D71/D78</f>
        <v>-3.1313340621072876E-3</v>
      </c>
      <c r="E72" s="48">
        <f>+E71/E78</f>
        <v>2.7871806789216665E-3</v>
      </c>
      <c r="F72" s="48">
        <f t="shared" ref="F72:O72" si="68">+F71/F78</f>
        <v>-6.0225762632914884E-3</v>
      </c>
      <c r="G72" s="48">
        <f t="shared" si="68"/>
        <v>-1.3201105094374093E-2</v>
      </c>
      <c r="H72" s="48">
        <f t="shared" si="68"/>
        <v>-1.4622169603989991E-2</v>
      </c>
      <c r="I72" s="48">
        <f t="shared" si="68"/>
        <v>-1.3279899348328824E-2</v>
      </c>
      <c r="J72" s="48">
        <f t="shared" si="68"/>
        <v>-1.3866950546843443E-2</v>
      </c>
      <c r="K72" s="48">
        <f t="shared" si="68"/>
        <v>-1.4485343567938886E-2</v>
      </c>
      <c r="L72" s="48">
        <f t="shared" si="68"/>
        <v>-1.4502362603524771E-2</v>
      </c>
      <c r="M72" s="48">
        <f t="shared" si="68"/>
        <v>-1.2156219248891088E-2</v>
      </c>
      <c r="N72" s="48">
        <f t="shared" si="68"/>
        <v>-1.1931469453849356E-2</v>
      </c>
      <c r="O72" s="48">
        <f t="shared" si="68"/>
        <v>-1.4615842085290532E-2</v>
      </c>
      <c r="P72" s="48">
        <f t="shared" ref="P72:U72" si="69">+P71/P78</f>
        <v>-1.4960824856630016E-2</v>
      </c>
      <c r="Q72" s="48">
        <f t="shared" si="69"/>
        <v>-1.5297424099477432E-2</v>
      </c>
      <c r="R72" s="48">
        <f t="shared" si="69"/>
        <v>-9.8081556819775984E-3</v>
      </c>
      <c r="S72" s="48">
        <f t="shared" si="69"/>
        <v>-7.389072399136009E-3</v>
      </c>
      <c r="T72" s="48">
        <f t="shared" si="69"/>
        <v>-5.3545276364639644E-3</v>
      </c>
      <c r="U72" s="48">
        <f t="shared" si="69"/>
        <v>-7.0880146231872485E-3</v>
      </c>
      <c r="V72" s="48">
        <f>+V71/V78</f>
        <v>-6.8922023270798771E-3</v>
      </c>
      <c r="W72" s="48">
        <f>+W71/W78</f>
        <v>-7.7825479077379056E-3</v>
      </c>
      <c r="X72" s="20"/>
      <c r="Y72" s="20"/>
      <c r="Z72" s="20"/>
      <c r="AA72" s="20"/>
      <c r="AB72" s="20"/>
      <c r="AC72" s="39"/>
      <c r="AD72" s="39"/>
      <c r="AE72" s="39"/>
      <c r="AF72" s="39"/>
      <c r="AG72" s="39"/>
      <c r="AH72" s="39"/>
      <c r="AI72" s="39"/>
      <c r="AJ72" s="39"/>
    </row>
    <row r="73" spans="1:43">
      <c r="A73" s="2"/>
      <c r="B73" s="4"/>
      <c r="C73" s="4"/>
      <c r="D73" s="4"/>
      <c r="E73" s="32"/>
      <c r="F73" s="3"/>
      <c r="G73" s="4"/>
      <c r="H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37"/>
      <c r="Y73" s="37"/>
      <c r="Z73" s="37"/>
      <c r="AA73" s="37"/>
      <c r="AB73" s="37"/>
      <c r="AC73" s="37"/>
      <c r="AD73" s="37"/>
    </row>
    <row r="74" spans="1:43">
      <c r="A74" s="6"/>
      <c r="B74" s="25" t="s">
        <v>39</v>
      </c>
      <c r="C74" s="34"/>
      <c r="D74" s="34">
        <v>0</v>
      </c>
      <c r="E74" s="34">
        <v>0</v>
      </c>
      <c r="F74" s="20">
        <v>112036</v>
      </c>
      <c r="G74" s="20">
        <f t="shared" ref="G74:O74" si="70">G75+G76</f>
        <v>260334.74170136376</v>
      </c>
      <c r="H74" s="20">
        <f t="shared" si="70"/>
        <v>304589.22961610428</v>
      </c>
      <c r="I74" s="20">
        <f t="shared" si="70"/>
        <v>276017</v>
      </c>
      <c r="J74" s="20">
        <f t="shared" si="70"/>
        <v>353093.48795084096</v>
      </c>
      <c r="K74" s="20">
        <f t="shared" si="70"/>
        <v>405608.8588168709</v>
      </c>
      <c r="L74" s="20">
        <f t="shared" si="70"/>
        <v>440899.40852033591</v>
      </c>
      <c r="M74" s="20">
        <f t="shared" si="70"/>
        <v>389683.27745731344</v>
      </c>
      <c r="N74" s="20">
        <f t="shared" si="70"/>
        <v>409770.23686849215</v>
      </c>
      <c r="O74" s="20">
        <f t="shared" si="70"/>
        <v>526385.40296064166</v>
      </c>
      <c r="P74" s="20">
        <f t="shared" ref="P74:W74" si="71">P75+P76</f>
        <v>566000.15530486149</v>
      </c>
      <c r="Q74" s="20">
        <f t="shared" si="71"/>
        <v>558283.32752847276</v>
      </c>
      <c r="R74" s="20">
        <f t="shared" si="71"/>
        <v>395529.77533896925</v>
      </c>
      <c r="S74" s="20">
        <f t="shared" si="71"/>
        <v>331104.52912009758</v>
      </c>
      <c r="T74" s="20">
        <f t="shared" si="71"/>
        <v>251980.19884167763</v>
      </c>
      <c r="U74" s="20">
        <f t="shared" si="71"/>
        <v>348134.522914175</v>
      </c>
      <c r="V74" s="20">
        <f t="shared" si="71"/>
        <v>357100.87443413056</v>
      </c>
      <c r="W74" s="20">
        <f t="shared" si="71"/>
        <v>417396.10589183006</v>
      </c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  <row r="75" spans="1:43">
      <c r="B75" s="33" t="s">
        <v>41</v>
      </c>
      <c r="C75" s="34"/>
      <c r="D75" s="34">
        <v>0</v>
      </c>
      <c r="E75" s="34">
        <v>0</v>
      </c>
      <c r="F75" s="34">
        <v>120905</v>
      </c>
      <c r="G75" s="34">
        <v>261287.28177321071</v>
      </c>
      <c r="H75" s="34">
        <v>440125.0552380943</v>
      </c>
      <c r="I75" s="34">
        <v>413052</v>
      </c>
      <c r="J75" s="34">
        <f>482058.494099584+5858.6</f>
        <v>487917.09409958398</v>
      </c>
      <c r="K75" s="34">
        <f>530454.475891367+12794.2-537.6</f>
        <v>542711.07589136693</v>
      </c>
      <c r="L75" s="34">
        <f>-79503.5033164172-15615.5</f>
        <v>-95119.003316417205</v>
      </c>
      <c r="M75" s="34">
        <v>394181.30576125102</v>
      </c>
      <c r="N75" s="34">
        <v>419925.26259994495</v>
      </c>
      <c r="O75" s="34">
        <v>528795.30668587296</v>
      </c>
      <c r="P75" s="34">
        <v>564153.7390319081</v>
      </c>
      <c r="Q75" s="34">
        <v>570045.09276268992</v>
      </c>
      <c r="R75" s="34">
        <v>366560.64174885908</v>
      </c>
      <c r="S75" s="34">
        <v>-45323.815333270897</v>
      </c>
      <c r="T75" s="34">
        <v>817134.53416591801</v>
      </c>
      <c r="U75" s="34">
        <f>24915.7896883119-28716.289</f>
        <v>-3800.4993116881014</v>
      </c>
      <c r="V75" s="34">
        <v>400724.96521131403</v>
      </c>
      <c r="W75" s="34">
        <v>464795.13001973595</v>
      </c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43">
      <c r="B76" s="33" t="s">
        <v>42</v>
      </c>
      <c r="C76" s="34"/>
      <c r="D76" s="34">
        <v>0</v>
      </c>
      <c r="E76" s="34">
        <v>0</v>
      </c>
      <c r="F76" s="34">
        <v>-8869</v>
      </c>
      <c r="G76" s="34">
        <v>-952.54007184695001</v>
      </c>
      <c r="H76" s="34">
        <v>-135535.82562199002</v>
      </c>
      <c r="I76" s="34">
        <v>-137035</v>
      </c>
      <c r="J76" s="34">
        <v>-134823.60614874304</v>
      </c>
      <c r="K76" s="34">
        <v>-137102.21707449603</v>
      </c>
      <c r="L76" s="34">
        <v>536018.41183675313</v>
      </c>
      <c r="M76" s="34">
        <v>-4498.0283039376</v>
      </c>
      <c r="N76" s="34">
        <v>-10155.025731452786</v>
      </c>
      <c r="O76" s="34">
        <v>-2409.903725231261</v>
      </c>
      <c r="P76" s="34">
        <v>1846.4162729533309</v>
      </c>
      <c r="Q76" s="34">
        <v>-11761.765234217124</v>
      </c>
      <c r="R76" s="34">
        <v>28969.133590110196</v>
      </c>
      <c r="S76" s="34">
        <v>376428.34445336845</v>
      </c>
      <c r="T76" s="34">
        <v>-565154.33532424038</v>
      </c>
      <c r="U76" s="34">
        <v>351935.02222586313</v>
      </c>
      <c r="V76" s="34">
        <v>-43624.09077718349</v>
      </c>
      <c r="W76" s="34">
        <v>-47399.02412790589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43" ht="13.5" thickBot="1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9"/>
      <c r="AK77" s="9"/>
      <c r="AL77" s="9"/>
      <c r="AM77" s="9"/>
      <c r="AN77" s="9"/>
      <c r="AO77" s="9"/>
      <c r="AP77" s="9"/>
    </row>
    <row r="78" spans="1:43" ht="15" thickTop="1">
      <c r="B78" s="15" t="s">
        <v>78</v>
      </c>
      <c r="C78" s="47">
        <v>11613320</v>
      </c>
      <c r="D78" s="47">
        <v>13889052.9</v>
      </c>
      <c r="E78" s="47">
        <v>16208974.699999999</v>
      </c>
      <c r="F78" s="47">
        <v>17626147.699999999</v>
      </c>
      <c r="G78" s="47">
        <v>19802010.600000001</v>
      </c>
      <c r="H78" s="47">
        <v>21623524.600000001</v>
      </c>
      <c r="I78" s="47">
        <v>23752868.600000001</v>
      </c>
      <c r="J78" s="47">
        <v>25462954.600000001</v>
      </c>
      <c r="K78" s="47">
        <v>28001327.600000001</v>
      </c>
      <c r="L78" s="47">
        <v>30401903.199999999</v>
      </c>
      <c r="M78" s="47">
        <v>32056288.199999999</v>
      </c>
      <c r="N78" s="47">
        <v>34343647.5</v>
      </c>
      <c r="O78" s="47">
        <v>36014718.700000003</v>
      </c>
      <c r="P78" s="47">
        <v>37832149.799999997</v>
      </c>
      <c r="Q78" s="47">
        <v>36495246.100000001</v>
      </c>
      <c r="R78" s="47">
        <v>40326625.899999999</v>
      </c>
      <c r="S78" s="47">
        <v>44810030.600000001</v>
      </c>
      <c r="T78" s="47">
        <v>47059272.200000003</v>
      </c>
      <c r="U78" s="47">
        <v>49115934.700000003</v>
      </c>
      <c r="V78" s="47">
        <v>51812301.787569404</v>
      </c>
      <c r="W78" s="47">
        <v>53632317.665484391</v>
      </c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2"/>
    </row>
    <row r="80" spans="1:43" ht="12.75" customHeight="1">
      <c r="A80" s="53"/>
      <c r="B80" s="193" t="s">
        <v>142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4"/>
      <c r="Y80" s="54"/>
      <c r="Z80" s="54"/>
      <c r="AA80" s="54"/>
      <c r="AB80" s="54"/>
      <c r="AC80" s="54"/>
      <c r="AD80" s="1"/>
      <c r="AE80" s="1"/>
      <c r="AF80" s="1"/>
      <c r="AG80" s="1"/>
    </row>
    <row r="81" spans="1:35" ht="12.75" customHeight="1">
      <c r="A81" s="53"/>
      <c r="B81" s="1" t="s">
        <v>82</v>
      </c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9"/>
      <c r="P81" s="59"/>
      <c r="Q81" s="59"/>
      <c r="R81" s="59"/>
      <c r="S81" s="59"/>
      <c r="T81" s="59"/>
      <c r="U81" s="59"/>
      <c r="V81" s="59"/>
      <c r="W81" s="59"/>
      <c r="X81" s="54"/>
      <c r="Y81" s="54"/>
      <c r="Z81" s="54"/>
      <c r="AA81" s="54"/>
      <c r="AB81" s="54"/>
      <c r="AC81" s="54"/>
      <c r="AD81" s="1"/>
      <c r="AE81" s="1"/>
      <c r="AF81" s="1"/>
      <c r="AG81" s="1"/>
    </row>
    <row r="82" spans="1:35" ht="12.75" customHeight="1">
      <c r="A82" s="53"/>
      <c r="B82" s="1" t="s">
        <v>83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9"/>
      <c r="P82" s="59"/>
      <c r="Q82" s="59"/>
      <c r="R82" s="59"/>
      <c r="S82" s="59"/>
      <c r="T82" s="59"/>
      <c r="U82" s="59"/>
      <c r="V82" s="59"/>
      <c r="W82" s="59"/>
      <c r="X82" s="54"/>
      <c r="Y82" s="54"/>
      <c r="Z82" s="54"/>
      <c r="AA82" s="54"/>
      <c r="AB82" s="54"/>
      <c r="AC82" s="54"/>
      <c r="AD82" s="1"/>
      <c r="AE82" s="1"/>
      <c r="AF82" s="1"/>
      <c r="AG82" s="1"/>
    </row>
    <row r="83" spans="1:35" ht="12.75" customHeight="1">
      <c r="A83" s="53"/>
      <c r="X83" s="54"/>
      <c r="Y83" s="54"/>
      <c r="Z83" s="54"/>
      <c r="AA83" s="54"/>
      <c r="AB83" s="54"/>
      <c r="AC83" s="54"/>
      <c r="AD83" s="1"/>
      <c r="AE83" s="1"/>
      <c r="AF83" s="1"/>
      <c r="AG83" s="1"/>
    </row>
    <row r="84" spans="1:35" ht="12.75" customHeight="1">
      <c r="A84" s="53"/>
      <c r="U84" s="2"/>
      <c r="V84" s="2"/>
      <c r="W84" s="2"/>
      <c r="X84" s="54"/>
      <c r="Y84" s="54"/>
      <c r="Z84" s="54"/>
      <c r="AA84" s="54"/>
      <c r="AB84" s="54"/>
      <c r="AC84" s="54"/>
      <c r="AD84" s="1"/>
      <c r="AE84" s="1"/>
      <c r="AF84" s="1"/>
      <c r="AG84" s="1"/>
    </row>
    <row r="85" spans="1:35" ht="12.75" customHeight="1">
      <c r="A85" s="53"/>
      <c r="X85" s="54"/>
      <c r="Y85" s="54"/>
      <c r="Z85" s="54"/>
      <c r="AA85" s="54"/>
      <c r="AB85" s="54"/>
      <c r="AC85" s="54"/>
      <c r="AD85" s="1"/>
      <c r="AE85" s="1"/>
      <c r="AF85" s="1"/>
      <c r="AG85" s="1"/>
    </row>
    <row r="86" spans="1:35">
      <c r="B86" s="195" t="s">
        <v>55</v>
      </c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52"/>
    </row>
    <row r="87" spans="1:35">
      <c r="X87" s="2"/>
      <c r="Y87" s="2"/>
      <c r="Z87" s="2"/>
    </row>
    <row r="88" spans="1:35">
      <c r="P88" s="2"/>
      <c r="Q88" s="2"/>
      <c r="R88" s="2"/>
      <c r="S88" s="2"/>
      <c r="T88" s="2"/>
      <c r="U88" s="2"/>
      <c r="V88" s="2"/>
      <c r="W88" s="2"/>
    </row>
    <row r="90" spans="1:35">
      <c r="Q90" s="2"/>
      <c r="R90" s="2"/>
      <c r="S90" s="2"/>
      <c r="T90" s="2"/>
      <c r="U90" s="2"/>
      <c r="V90" s="2"/>
      <c r="W90" s="2"/>
    </row>
    <row r="92" spans="1:35">
      <c r="T92" s="2"/>
      <c r="U92" s="2"/>
      <c r="V92" s="2"/>
      <c r="W92" s="2"/>
    </row>
  </sheetData>
  <mergeCells count="6">
    <mergeCell ref="A2:AP2"/>
    <mergeCell ref="X6:AQ6"/>
    <mergeCell ref="C6:W6"/>
    <mergeCell ref="A4:AP4"/>
    <mergeCell ref="B86:AH86"/>
    <mergeCell ref="A3:AP3"/>
  </mergeCells>
  <pageMargins left="0.23622047244094491" right="0.27559055118110237" top="0.78740157480314965" bottom="0.19685039370078741" header="0" footer="0"/>
  <pageSetup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4DEE-AB69-4FCD-AFF7-CD0C0297B263}">
  <dimension ref="A1:N67"/>
  <sheetViews>
    <sheetView workbookViewId="0">
      <selection activeCell="L44" sqref="L44:L64"/>
    </sheetView>
  </sheetViews>
  <sheetFormatPr baseColWidth="10" defaultRowHeight="11.25"/>
  <cols>
    <col min="1" max="1" width="4.7109375" style="50" customWidth="1"/>
    <col min="2" max="2" width="36.85546875" style="50" customWidth="1"/>
    <col min="3" max="5" width="7.85546875" style="50" bestFit="1" customWidth="1"/>
    <col min="6" max="6" width="9.42578125" style="50" bestFit="1" customWidth="1"/>
    <col min="7" max="7" width="6.85546875" style="50" bestFit="1" customWidth="1"/>
    <col min="8" max="8" width="4.7109375" style="50" customWidth="1"/>
    <col min="9" max="9" width="38.7109375" style="50" customWidth="1"/>
    <col min="10" max="12" width="9.140625" style="50" bestFit="1" customWidth="1"/>
    <col min="13" max="13" width="6.140625" style="50" bestFit="1" customWidth="1"/>
    <col min="14" max="14" width="7.140625" style="50" bestFit="1" customWidth="1"/>
    <col min="15" max="16384" width="11.42578125" style="50"/>
  </cols>
  <sheetData>
    <row r="1" spans="1:14">
      <c r="B1" s="84"/>
      <c r="C1" s="85" t="s">
        <v>86</v>
      </c>
      <c r="D1" s="85" t="s">
        <v>86</v>
      </c>
      <c r="E1" s="85" t="s">
        <v>86</v>
      </c>
      <c r="F1" s="86" t="s">
        <v>86</v>
      </c>
      <c r="G1" s="86"/>
      <c r="J1" s="87" t="s">
        <v>86</v>
      </c>
      <c r="K1" s="87" t="s">
        <v>86</v>
      </c>
      <c r="L1" s="87" t="s">
        <v>86</v>
      </c>
      <c r="M1" s="86"/>
      <c r="N1" s="86"/>
    </row>
    <row r="2" spans="1:14">
      <c r="B2" s="199" t="s">
        <v>87</v>
      </c>
      <c r="C2" s="199"/>
      <c r="D2" s="199"/>
      <c r="E2" s="199"/>
      <c r="F2" s="199"/>
      <c r="G2" s="199"/>
      <c r="I2" s="199" t="s">
        <v>87</v>
      </c>
      <c r="J2" s="199"/>
      <c r="K2" s="199"/>
      <c r="L2" s="199"/>
      <c r="M2" s="199"/>
      <c r="N2" s="199"/>
    </row>
    <row r="3" spans="1:14">
      <c r="B3" s="199" t="s">
        <v>88</v>
      </c>
      <c r="C3" s="199"/>
      <c r="D3" s="199"/>
      <c r="E3" s="199"/>
      <c r="F3" s="199"/>
      <c r="G3" s="199"/>
      <c r="I3" s="199" t="s">
        <v>88</v>
      </c>
      <c r="J3" s="199"/>
      <c r="K3" s="199"/>
      <c r="L3" s="199"/>
      <c r="M3" s="199"/>
      <c r="N3" s="199"/>
    </row>
    <row r="4" spans="1:14">
      <c r="B4" s="199" t="s">
        <v>89</v>
      </c>
      <c r="C4" s="199"/>
      <c r="D4" s="199"/>
      <c r="E4" s="199"/>
      <c r="F4" s="199"/>
      <c r="G4" s="199"/>
      <c r="I4" s="199" t="s">
        <v>90</v>
      </c>
      <c r="J4" s="199"/>
      <c r="K4" s="199"/>
      <c r="L4" s="199"/>
      <c r="M4" s="199"/>
      <c r="N4" s="199"/>
    </row>
    <row r="5" spans="1:14">
      <c r="B5" s="199" t="s">
        <v>91</v>
      </c>
      <c r="C5" s="199"/>
      <c r="D5" s="199"/>
      <c r="E5" s="199"/>
      <c r="F5" s="199"/>
      <c r="G5" s="199"/>
      <c r="I5" s="199" t="s">
        <v>91</v>
      </c>
      <c r="J5" s="199"/>
      <c r="K5" s="199"/>
      <c r="L5" s="199"/>
      <c r="M5" s="199"/>
      <c r="N5" s="199"/>
    </row>
    <row r="6" spans="1:14">
      <c r="B6" s="88"/>
      <c r="C6" s="88"/>
      <c r="D6" s="88"/>
      <c r="E6" s="88"/>
      <c r="F6" s="88"/>
      <c r="G6" s="88"/>
      <c r="I6" s="88"/>
      <c r="J6" s="88"/>
      <c r="K6" s="88"/>
      <c r="L6" s="88"/>
      <c r="M6" s="88"/>
      <c r="N6" s="88"/>
    </row>
    <row r="7" spans="1:14" ht="11.25" customHeight="1">
      <c r="B7" s="89" t="s">
        <v>0</v>
      </c>
      <c r="C7" s="90">
        <v>2024</v>
      </c>
      <c r="D7" s="91">
        <v>2025</v>
      </c>
      <c r="E7" s="91">
        <v>2026</v>
      </c>
      <c r="F7" s="200" t="s">
        <v>92</v>
      </c>
      <c r="G7" s="201"/>
      <c r="I7" s="89" t="s">
        <v>0</v>
      </c>
      <c r="J7" s="90">
        <v>2024</v>
      </c>
      <c r="K7" s="91">
        <v>2025</v>
      </c>
      <c r="L7" s="91">
        <v>2026</v>
      </c>
      <c r="M7" s="200" t="s">
        <v>92</v>
      </c>
      <c r="N7" s="201"/>
    </row>
    <row r="8" spans="1:14">
      <c r="B8" s="92"/>
      <c r="C8" s="92"/>
      <c r="D8" s="93"/>
      <c r="E8" s="94"/>
      <c r="F8" s="60" t="s">
        <v>77</v>
      </c>
      <c r="G8" s="60" t="s">
        <v>139</v>
      </c>
      <c r="I8" s="92"/>
      <c r="J8" s="90"/>
      <c r="K8" s="90"/>
      <c r="L8" s="91"/>
      <c r="M8" s="60" t="s">
        <v>77</v>
      </c>
      <c r="N8" s="60" t="s">
        <v>139</v>
      </c>
    </row>
    <row r="9" spans="1:14">
      <c r="A9" s="87"/>
      <c r="B9" s="95" t="s">
        <v>93</v>
      </c>
      <c r="C9" s="96">
        <v>744007.5969764801</v>
      </c>
      <c r="D9" s="97">
        <v>830074.40894819004</v>
      </c>
      <c r="E9" s="98">
        <f>E10+E64</f>
        <v>740771.95325188013</v>
      </c>
      <c r="F9" s="150">
        <f>D9/C9-1</f>
        <v>0.11568001767921565</v>
      </c>
      <c r="G9" s="151">
        <f>E9/D9-1</f>
        <v>-0.10758367531106938</v>
      </c>
      <c r="I9" s="95" t="s">
        <v>93</v>
      </c>
      <c r="J9" s="99">
        <v>1941381.8027136901</v>
      </c>
      <c r="K9" s="100">
        <v>2030018.0904758296</v>
      </c>
      <c r="L9" s="98">
        <f>L10+L64</f>
        <v>1959162.7423709598</v>
      </c>
      <c r="M9" s="151">
        <f>K9/J9-1</f>
        <v>4.5656288545737E-2</v>
      </c>
      <c r="N9" s="151">
        <f>L9/K9-1</f>
        <v>-3.4903801319455918E-2</v>
      </c>
    </row>
    <row r="10" spans="1:14">
      <c r="A10" s="87"/>
      <c r="B10" s="101" t="s">
        <v>94</v>
      </c>
      <c r="C10" s="102">
        <v>736424.16062248009</v>
      </c>
      <c r="D10" s="103">
        <v>822532.70828319003</v>
      </c>
      <c r="E10" s="104">
        <f>E12++E61+E62+E63</f>
        <v>733036.38472088007</v>
      </c>
      <c r="F10" s="152">
        <f t="shared" ref="F10:G63" si="0">D10/C10-1</f>
        <v>0.11692792315222889</v>
      </c>
      <c r="G10" s="153">
        <f>E10/D10-1</f>
        <v>-0.10880579296245718</v>
      </c>
      <c r="I10" s="101" t="s">
        <v>94</v>
      </c>
      <c r="J10" s="102">
        <v>1933798.3663596902</v>
      </c>
      <c r="K10" s="103">
        <v>2022476.3898108297</v>
      </c>
      <c r="L10" s="104">
        <f>L12++L61+L62+L63</f>
        <v>1947909.0210839598</v>
      </c>
      <c r="M10" s="153">
        <f t="shared" ref="M10" si="1">K10/J10-1</f>
        <v>4.5856913002813693E-2</v>
      </c>
      <c r="N10" s="153">
        <f>L10/K10-1</f>
        <v>-3.6869339539654322E-2</v>
      </c>
    </row>
    <row r="11" spans="1:14">
      <c r="A11" s="87"/>
      <c r="B11" s="105"/>
      <c r="C11" s="96"/>
      <c r="D11" s="106"/>
      <c r="E11" s="98"/>
      <c r="F11" s="154"/>
      <c r="G11" s="155"/>
      <c r="I11" s="105"/>
      <c r="J11" s="107"/>
      <c r="K11" s="108"/>
      <c r="L11" s="98"/>
      <c r="M11" s="156"/>
      <c r="N11" s="156"/>
    </row>
    <row r="12" spans="1:14">
      <c r="A12" s="87"/>
      <c r="B12" s="109" t="s">
        <v>95</v>
      </c>
      <c r="C12" s="61">
        <v>663622.71321494016</v>
      </c>
      <c r="D12" s="83">
        <v>748343.26260990999</v>
      </c>
      <c r="E12" s="62">
        <f>E14+E21+E26+E30+E35+E39+E43+E58+E59</f>
        <v>657928.88536113</v>
      </c>
      <c r="F12" s="157">
        <f t="shared" si="0"/>
        <v>0.12766372775961599</v>
      </c>
      <c r="G12" s="158">
        <f>E12/D12-1</f>
        <v>-0.120819391001734</v>
      </c>
      <c r="I12" s="110" t="s">
        <v>95</v>
      </c>
      <c r="J12" s="63">
        <v>1721998.36416252</v>
      </c>
      <c r="K12" s="83">
        <v>1803185.2045727898</v>
      </c>
      <c r="L12" s="62">
        <f>L14+L21+L26+L30+L35+L39+L43+L58+L59</f>
        <v>1723400.8739968799</v>
      </c>
      <c r="M12" s="157">
        <f t="shared" ref="M12" si="2">K12/J12-1</f>
        <v>4.7146874294363483E-2</v>
      </c>
      <c r="N12" s="158">
        <f>L12/K12-1</f>
        <v>-4.4246331643350234E-2</v>
      </c>
    </row>
    <row r="13" spans="1:14">
      <c r="A13" s="87"/>
      <c r="B13" s="111"/>
      <c r="C13" s="65"/>
      <c r="D13" s="65"/>
      <c r="E13" s="66"/>
      <c r="F13" s="159"/>
      <c r="G13" s="160"/>
      <c r="I13" s="112"/>
      <c r="J13" s="64"/>
      <c r="K13" s="65"/>
      <c r="L13" s="66"/>
      <c r="M13" s="159"/>
      <c r="N13" s="160"/>
    </row>
    <row r="14" spans="1:14">
      <c r="A14" s="87"/>
      <c r="B14" s="113" t="s">
        <v>96</v>
      </c>
      <c r="C14" s="114">
        <v>355017.46298970003</v>
      </c>
      <c r="D14" s="114">
        <v>376539.32668256998</v>
      </c>
      <c r="E14" s="115">
        <f>SUM(E15:E19)</f>
        <v>348114.43661478005</v>
      </c>
      <c r="F14" s="161">
        <f t="shared" si="0"/>
        <v>6.062198606127267E-2</v>
      </c>
      <c r="G14" s="162">
        <f>E14/D14-1</f>
        <v>-7.548983081852878E-2</v>
      </c>
      <c r="H14" s="116"/>
      <c r="I14" s="117" t="s">
        <v>96</v>
      </c>
      <c r="J14" s="118">
        <v>664302.4348710801</v>
      </c>
      <c r="K14" s="114">
        <v>676434.41951394</v>
      </c>
      <c r="L14" s="115">
        <f>SUM(L15:L19)</f>
        <v>670890.92498688994</v>
      </c>
      <c r="M14" s="161">
        <f t="shared" ref="M14:N18" si="3">K14/J14-1</f>
        <v>1.8262743000805548E-2</v>
      </c>
      <c r="N14" s="162">
        <f t="shared" si="3"/>
        <v>-8.1951692095050266E-3</v>
      </c>
    </row>
    <row r="15" spans="1:14">
      <c r="A15" s="87"/>
      <c r="B15" s="111" t="s">
        <v>97</v>
      </c>
      <c r="C15" s="68">
        <v>70644.155732009996</v>
      </c>
      <c r="D15" s="68">
        <v>76105.557548330005</v>
      </c>
      <c r="E15" s="69">
        <v>72380.890147539991</v>
      </c>
      <c r="F15" s="163">
        <f>D15/C15-1</f>
        <v>7.7308614700385858E-2</v>
      </c>
      <c r="G15" s="164">
        <f>E15/D15-1</f>
        <v>-4.8940806963075012E-2</v>
      </c>
      <c r="I15" s="112" t="s">
        <v>97</v>
      </c>
      <c r="J15" s="67">
        <v>186914.74723404</v>
      </c>
      <c r="K15" s="68">
        <v>197136.72113091999</v>
      </c>
      <c r="L15" s="69">
        <v>197159.39653098999</v>
      </c>
      <c r="M15" s="165">
        <f t="shared" si="3"/>
        <v>5.4687894070128307E-2</v>
      </c>
      <c r="N15" s="166">
        <f t="shared" si="3"/>
        <v>1.1502372536131844E-4</v>
      </c>
    </row>
    <row r="16" spans="1:14">
      <c r="A16" s="87"/>
      <c r="B16" s="111" t="s">
        <v>98</v>
      </c>
      <c r="C16" s="68">
        <v>269077.31081423</v>
      </c>
      <c r="D16" s="68">
        <v>284709.34208921</v>
      </c>
      <c r="E16" s="69">
        <v>260914.88958313002</v>
      </c>
      <c r="F16" s="163">
        <f t="shared" ref="F16:G18" si="4">D16/C16-1</f>
        <v>5.8094943894293261E-2</v>
      </c>
      <c r="G16" s="164">
        <f t="shared" si="4"/>
        <v>-8.3574540728011293E-2</v>
      </c>
      <c r="I16" s="112" t="s">
        <v>98</v>
      </c>
      <c r="J16" s="67">
        <v>406221.31334855</v>
      </c>
      <c r="K16" s="68">
        <v>416741.16388831998</v>
      </c>
      <c r="L16" s="69">
        <v>413294.80334524001</v>
      </c>
      <c r="M16" s="165">
        <f t="shared" si="3"/>
        <v>2.5896845374884681E-2</v>
      </c>
      <c r="N16" s="166">
        <f t="shared" si="3"/>
        <v>-8.2697867206694697E-3</v>
      </c>
    </row>
    <row r="17" spans="1:14">
      <c r="A17" s="87"/>
      <c r="B17" s="111" t="s">
        <v>99</v>
      </c>
      <c r="C17" s="68">
        <v>0</v>
      </c>
      <c r="D17" s="68">
        <v>0</v>
      </c>
      <c r="E17" s="69">
        <v>0</v>
      </c>
      <c r="F17" s="167" t="e">
        <f t="shared" si="4"/>
        <v>#DIV/0!</v>
      </c>
      <c r="G17" s="168" t="e">
        <f t="shared" si="4"/>
        <v>#DIV/0!</v>
      </c>
      <c r="I17" s="112" t="s">
        <v>99</v>
      </c>
      <c r="J17" s="67">
        <v>0</v>
      </c>
      <c r="K17" s="68">
        <v>0</v>
      </c>
      <c r="L17" s="69">
        <v>0</v>
      </c>
      <c r="M17" s="169" t="e">
        <f t="shared" si="3"/>
        <v>#DIV/0!</v>
      </c>
      <c r="N17" s="170" t="e">
        <f t="shared" si="3"/>
        <v>#DIV/0!</v>
      </c>
    </row>
    <row r="18" spans="1:14">
      <c r="A18" s="87"/>
      <c r="B18" s="111" t="s">
        <v>100</v>
      </c>
      <c r="C18" s="68">
        <v>15295.996443459999</v>
      </c>
      <c r="D18" s="68">
        <v>15724.427045030001</v>
      </c>
      <c r="E18" s="69">
        <v>14818.65688411</v>
      </c>
      <c r="F18" s="163">
        <f t="shared" si="4"/>
        <v>2.8009329313958053E-2</v>
      </c>
      <c r="G18" s="164">
        <f t="shared" si="4"/>
        <v>-5.7602744972910624E-2</v>
      </c>
      <c r="I18" s="112" t="s">
        <v>100</v>
      </c>
      <c r="J18" s="67">
        <v>71166.374288489998</v>
      </c>
      <c r="K18" s="68">
        <v>62556.534494700005</v>
      </c>
      <c r="L18" s="69">
        <v>60436.725110660002</v>
      </c>
      <c r="M18" s="165">
        <f t="shared" si="3"/>
        <v>-0.12098185245306914</v>
      </c>
      <c r="N18" s="166">
        <f t="shared" si="3"/>
        <v>-3.388629822867828E-2</v>
      </c>
    </row>
    <row r="19" spans="1:14">
      <c r="A19" s="87"/>
      <c r="B19" s="111" t="s">
        <v>101</v>
      </c>
      <c r="C19" s="68">
        <v>0</v>
      </c>
      <c r="D19" s="68">
        <v>0</v>
      </c>
      <c r="E19" s="69">
        <v>0</v>
      </c>
      <c r="F19" s="163">
        <v>0</v>
      </c>
      <c r="G19" s="164">
        <v>0</v>
      </c>
      <c r="I19" s="112" t="s">
        <v>101</v>
      </c>
      <c r="J19" s="67">
        <v>0</v>
      </c>
      <c r="K19" s="68">
        <v>0</v>
      </c>
      <c r="L19" s="69">
        <v>0</v>
      </c>
      <c r="M19" s="165">
        <v>0</v>
      </c>
      <c r="N19" s="166">
        <v>0</v>
      </c>
    </row>
    <row r="20" spans="1:14">
      <c r="A20" s="87"/>
      <c r="B20" s="119"/>
      <c r="C20" s="120"/>
      <c r="D20" s="120"/>
      <c r="E20" s="121"/>
      <c r="F20" s="163"/>
      <c r="G20" s="164"/>
      <c r="H20" s="87"/>
      <c r="I20" s="112"/>
      <c r="J20" s="122"/>
      <c r="K20" s="120"/>
      <c r="L20" s="121"/>
      <c r="M20" s="163"/>
      <c r="N20" s="164"/>
    </row>
    <row r="21" spans="1:14">
      <c r="A21" s="87"/>
      <c r="B21" s="123" t="s">
        <v>102</v>
      </c>
      <c r="C21" s="124">
        <v>4273.4153176299997</v>
      </c>
      <c r="D21" s="125">
        <v>6640.1136149499998</v>
      </c>
      <c r="E21" s="126">
        <f t="shared" ref="E21" si="5">SUM(E22:E24)</f>
        <v>5429.7780544599991</v>
      </c>
      <c r="F21" s="171">
        <f t="shared" si="0"/>
        <v>0.55381892968749669</v>
      </c>
      <c r="G21" s="172">
        <f>E21/D21-1</f>
        <v>-0.18227633300806323</v>
      </c>
      <c r="I21" s="123" t="s">
        <v>102</v>
      </c>
      <c r="J21" s="124">
        <v>72179.389085629999</v>
      </c>
      <c r="K21" s="125">
        <v>89722.782437589995</v>
      </c>
      <c r="L21" s="126">
        <f>SUM(L22:L24)</f>
        <v>66792.863486119997</v>
      </c>
      <c r="M21" s="173">
        <f t="shared" ref="M21:N28" si="6">K21/J21-1</f>
        <v>0.2430526716033492</v>
      </c>
      <c r="N21" s="171">
        <f>L21/K21-1</f>
        <v>-0.25556406442722335</v>
      </c>
    </row>
    <row r="22" spans="1:14">
      <c r="A22" s="87"/>
      <c r="B22" s="112" t="s">
        <v>103</v>
      </c>
      <c r="C22" s="67">
        <v>2279.8858949999999</v>
      </c>
      <c r="D22" s="68">
        <v>2483.5103653699998</v>
      </c>
      <c r="E22" s="69">
        <v>2484.3418998899997</v>
      </c>
      <c r="F22" s="164">
        <f t="shared" si="0"/>
        <v>8.9313448017976249E-2</v>
      </c>
      <c r="G22" s="174">
        <f>E22/D22-1</f>
        <v>3.3482224660486004E-4</v>
      </c>
      <c r="I22" s="112" t="s">
        <v>103</v>
      </c>
      <c r="J22" s="67">
        <v>49197.776208600008</v>
      </c>
      <c r="K22" s="68">
        <v>65129.428615609999</v>
      </c>
      <c r="L22" s="69">
        <v>42169.705425649998</v>
      </c>
      <c r="M22" s="175">
        <f t="shared" si="6"/>
        <v>0.32382871005102598</v>
      </c>
      <c r="N22" s="164">
        <f t="shared" si="6"/>
        <v>-0.35252456037142466</v>
      </c>
    </row>
    <row r="23" spans="1:14">
      <c r="A23" s="87"/>
      <c r="B23" s="112" t="s">
        <v>104</v>
      </c>
      <c r="C23" s="67">
        <v>171.34156400000001</v>
      </c>
      <c r="D23" s="68">
        <v>377.12717400000002</v>
      </c>
      <c r="E23" s="69">
        <v>292.73312800000002</v>
      </c>
      <c r="F23" s="164">
        <f t="shared" si="0"/>
        <v>1.2010256308854519</v>
      </c>
      <c r="G23" s="174">
        <f>E23/D23-1</f>
        <v>-0.22378139741264047</v>
      </c>
      <c r="I23" s="112" t="s">
        <v>104</v>
      </c>
      <c r="J23" s="67">
        <v>4631.4526839999999</v>
      </c>
      <c r="K23" s="68">
        <v>4948.0987409999998</v>
      </c>
      <c r="L23" s="69">
        <v>5191.2357561100007</v>
      </c>
      <c r="M23" s="175">
        <f>K23/J23-1</f>
        <v>6.8368626131904087E-2</v>
      </c>
      <c r="N23" s="164">
        <f t="shared" si="6"/>
        <v>4.913746225299942E-2</v>
      </c>
    </row>
    <row r="24" spans="1:14">
      <c r="A24" s="87"/>
      <c r="B24" s="127" t="s">
        <v>105</v>
      </c>
      <c r="C24" s="67">
        <v>1822.1878586300002</v>
      </c>
      <c r="D24" s="68">
        <v>3779.4760755799998</v>
      </c>
      <c r="E24" s="69">
        <v>2652.70302657</v>
      </c>
      <c r="F24" s="164">
        <f t="shared" si="0"/>
        <v>1.0741418387133663</v>
      </c>
      <c r="G24" s="174">
        <f t="shared" si="0"/>
        <v>-0.2981294302377836</v>
      </c>
      <c r="I24" s="127" t="s">
        <v>105</v>
      </c>
      <c r="J24" s="67">
        <v>18350.160193029998</v>
      </c>
      <c r="K24" s="68">
        <v>19645.255080979998</v>
      </c>
      <c r="L24" s="69">
        <v>19431.92230436</v>
      </c>
      <c r="M24" s="175">
        <f>K24/J24-1</f>
        <v>7.0576761964286305E-2</v>
      </c>
      <c r="N24" s="164">
        <f t="shared" si="6"/>
        <v>-1.0859252055553159E-2</v>
      </c>
    </row>
    <row r="25" spans="1:14">
      <c r="A25" s="87"/>
      <c r="B25" s="128"/>
      <c r="C25" s="71"/>
      <c r="D25" s="79"/>
      <c r="E25" s="72"/>
      <c r="F25" s="176"/>
      <c r="G25" s="177"/>
      <c r="I25" s="128"/>
      <c r="J25" s="71"/>
      <c r="K25" s="79"/>
      <c r="L25" s="72"/>
      <c r="M25" s="178"/>
      <c r="N25" s="176"/>
    </row>
    <row r="26" spans="1:14">
      <c r="A26" s="87"/>
      <c r="B26" s="117" t="s">
        <v>106</v>
      </c>
      <c r="C26" s="118">
        <v>12299.011003439997</v>
      </c>
      <c r="D26" s="114">
        <v>15416.95669212</v>
      </c>
      <c r="E26" s="115">
        <f t="shared" ref="E26" si="7">SUM(E27:E28)</f>
        <v>16120.565545770001</v>
      </c>
      <c r="F26" s="179">
        <f t="shared" si="0"/>
        <v>0.25351190333986384</v>
      </c>
      <c r="G26" s="180">
        <f>E26/D26-1</f>
        <v>4.5638634634657338E-2</v>
      </c>
      <c r="I26" s="117" t="s">
        <v>106</v>
      </c>
      <c r="J26" s="118">
        <v>40887.143509130001</v>
      </c>
      <c r="K26" s="114">
        <v>48175.209293250002</v>
      </c>
      <c r="L26" s="115">
        <f>SUM(L27:L28)</f>
        <v>46849.727862209998</v>
      </c>
      <c r="M26" s="180">
        <f t="shared" ref="M26:M28" si="8">K26/J26-1</f>
        <v>0.17824834797991196</v>
      </c>
      <c r="N26" s="180">
        <f>L26/K26-1</f>
        <v>-2.7513765907514642E-2</v>
      </c>
    </row>
    <row r="27" spans="1:14">
      <c r="A27" s="87"/>
      <c r="B27" s="112" t="s">
        <v>107</v>
      </c>
      <c r="C27" s="67">
        <v>10091.372476199997</v>
      </c>
      <c r="D27" s="68">
        <v>12657.56914999</v>
      </c>
      <c r="E27" s="69">
        <v>12847.216848530001</v>
      </c>
      <c r="F27" s="163">
        <f t="shared" si="0"/>
        <v>0.25429610093594812</v>
      </c>
      <c r="G27" s="164">
        <f>E27/D27-1</f>
        <v>1.4982947854576878E-2</v>
      </c>
      <c r="I27" s="112" t="s">
        <v>107</v>
      </c>
      <c r="J27" s="67">
        <v>33313.844418230001</v>
      </c>
      <c r="K27" s="68">
        <v>39721.500898190003</v>
      </c>
      <c r="L27" s="69">
        <v>38018.697788420002</v>
      </c>
      <c r="M27" s="164">
        <f t="shared" si="8"/>
        <v>0.19234215059411164</v>
      </c>
      <c r="N27" s="164">
        <f t="shared" si="6"/>
        <v>-4.2868549054439042E-2</v>
      </c>
    </row>
    <row r="28" spans="1:14">
      <c r="A28" s="87"/>
      <c r="B28" s="112" t="s">
        <v>108</v>
      </c>
      <c r="C28" s="67">
        <v>2207.6385272399998</v>
      </c>
      <c r="D28" s="68">
        <v>2759.3875421299999</v>
      </c>
      <c r="E28" s="69">
        <v>3273.3486972399996</v>
      </c>
      <c r="F28" s="163">
        <f t="shared" si="0"/>
        <v>0.24992724491894025</v>
      </c>
      <c r="G28" s="164">
        <f>E28/D28-1</f>
        <v>0.18625914166201807</v>
      </c>
      <c r="I28" s="112" t="s">
        <v>108</v>
      </c>
      <c r="J28" s="67">
        <v>7573.2990909</v>
      </c>
      <c r="K28" s="68">
        <v>8453.708395059999</v>
      </c>
      <c r="L28" s="69">
        <v>8831.0300737899997</v>
      </c>
      <c r="M28" s="164">
        <f t="shared" si="8"/>
        <v>0.11625175416852218</v>
      </c>
      <c r="N28" s="164">
        <f t="shared" si="6"/>
        <v>4.46338649379594E-2</v>
      </c>
    </row>
    <row r="29" spans="1:14">
      <c r="A29" s="87"/>
      <c r="B29" s="112"/>
      <c r="C29" s="122"/>
      <c r="D29" s="120"/>
      <c r="E29" s="121"/>
      <c r="F29" s="163"/>
      <c r="G29" s="164"/>
      <c r="I29" s="112"/>
      <c r="J29" s="122"/>
      <c r="K29" s="120"/>
      <c r="L29" s="121"/>
      <c r="M29" s="164"/>
      <c r="N29" s="164"/>
    </row>
    <row r="30" spans="1:14">
      <c r="A30" s="87"/>
      <c r="B30" s="123" t="s">
        <v>109</v>
      </c>
      <c r="C30" s="124">
        <v>371.22704553999995</v>
      </c>
      <c r="D30" s="125">
        <v>360.77289616000002</v>
      </c>
      <c r="E30" s="126">
        <f>SUM(E31:E33)</f>
        <v>433.10484876999999</v>
      </c>
      <c r="F30" s="171">
        <f t="shared" si="0"/>
        <v>-2.8161066133511214E-2</v>
      </c>
      <c r="G30" s="172">
        <f>E30/D30-1</f>
        <v>0.20049164829145405</v>
      </c>
      <c r="I30" s="123" t="s">
        <v>109</v>
      </c>
      <c r="J30" s="124">
        <v>1214.05498139</v>
      </c>
      <c r="K30" s="125">
        <v>1209.4080574</v>
      </c>
      <c r="L30" s="126">
        <f>SUM(L31:L33)</f>
        <v>1224.7502567299998</v>
      </c>
      <c r="M30" s="173">
        <f t="shared" ref="M30:N37" si="9">K30/J30-1</f>
        <v>-3.8276058837793947E-3</v>
      </c>
      <c r="N30" s="171">
        <f t="shared" si="9"/>
        <v>1.268570953874959E-2</v>
      </c>
    </row>
    <row r="31" spans="1:14">
      <c r="A31" s="87"/>
      <c r="B31" s="112" t="s">
        <v>110</v>
      </c>
      <c r="C31" s="67">
        <v>13.829311499999999</v>
      </c>
      <c r="D31" s="68">
        <v>12.6187065</v>
      </c>
      <c r="E31" s="69">
        <v>16.250357999999999</v>
      </c>
      <c r="F31" s="164">
        <f t="shared" si="0"/>
        <v>-8.7539065122656301E-2</v>
      </c>
      <c r="G31" s="174">
        <f>E31/D31-1</f>
        <v>0.28779903074851587</v>
      </c>
      <c r="I31" s="112" t="s">
        <v>110</v>
      </c>
      <c r="J31" s="67">
        <v>45.946564499999994</v>
      </c>
      <c r="K31" s="68">
        <v>45.471177000000004</v>
      </c>
      <c r="L31" s="69">
        <v>45.606064500000002</v>
      </c>
      <c r="M31" s="175">
        <f t="shared" si="9"/>
        <v>-1.034652982596751E-2</v>
      </c>
      <c r="N31" s="164">
        <f t="shared" si="9"/>
        <v>2.9664395975499414E-3</v>
      </c>
    </row>
    <row r="32" spans="1:14">
      <c r="A32" s="87"/>
      <c r="B32" s="112" t="s">
        <v>111</v>
      </c>
      <c r="C32" s="67">
        <v>233.32996428999999</v>
      </c>
      <c r="D32" s="68">
        <v>207.91190266000001</v>
      </c>
      <c r="E32" s="69">
        <v>259.01607402000002</v>
      </c>
      <c r="F32" s="164">
        <f t="shared" si="0"/>
        <v>-0.10893612274507747</v>
      </c>
      <c r="G32" s="174">
        <f>E32/D32-1</f>
        <v>0.24579723770587125</v>
      </c>
      <c r="I32" s="112" t="s">
        <v>111</v>
      </c>
      <c r="J32" s="67">
        <v>779.05954213999996</v>
      </c>
      <c r="K32" s="68">
        <v>753.94298939999999</v>
      </c>
      <c r="L32" s="69">
        <v>740.19394173000001</v>
      </c>
      <c r="M32" s="175">
        <f t="shared" si="9"/>
        <v>-3.2239580393312761E-2</v>
      </c>
      <c r="N32" s="164">
        <f t="shared" si="9"/>
        <v>-1.823619008771693E-2</v>
      </c>
    </row>
    <row r="33" spans="1:14">
      <c r="A33" s="87"/>
      <c r="B33" s="129" t="s">
        <v>112</v>
      </c>
      <c r="C33" s="67">
        <v>124.06776975</v>
      </c>
      <c r="D33" s="68">
        <v>140.242287</v>
      </c>
      <c r="E33" s="69">
        <v>157.83841674999999</v>
      </c>
      <c r="F33" s="164">
        <f t="shared" si="0"/>
        <v>0.13036840496602875</v>
      </c>
      <c r="G33" s="174">
        <f t="shared" si="0"/>
        <v>0.12546950086460007</v>
      </c>
      <c r="I33" s="129" t="s">
        <v>112</v>
      </c>
      <c r="J33" s="67">
        <v>389.04887474999998</v>
      </c>
      <c r="K33" s="68">
        <v>409.99389099999996</v>
      </c>
      <c r="L33" s="69">
        <v>438.95025049999992</v>
      </c>
      <c r="M33" s="175">
        <f t="shared" si="9"/>
        <v>5.3836465311611903E-2</v>
      </c>
      <c r="N33" s="164">
        <f t="shared" si="9"/>
        <v>7.0626319405329818E-2</v>
      </c>
    </row>
    <row r="34" spans="1:14">
      <c r="A34" s="87"/>
      <c r="B34" s="130"/>
      <c r="C34" s="71"/>
      <c r="D34" s="79"/>
      <c r="E34" s="72"/>
      <c r="F34" s="176"/>
      <c r="G34" s="177"/>
      <c r="I34" s="130"/>
      <c r="J34" s="71"/>
      <c r="K34" s="79"/>
      <c r="L34" s="72"/>
      <c r="M34" s="178"/>
      <c r="N34" s="176"/>
    </row>
    <row r="35" spans="1:14">
      <c r="A35" s="87"/>
      <c r="B35" s="117" t="s">
        <v>113</v>
      </c>
      <c r="C35" s="118">
        <v>174344.51196023001</v>
      </c>
      <c r="D35" s="114">
        <v>208728.70276844001</v>
      </c>
      <c r="E35" s="131">
        <f t="shared" ref="E35" si="10">SUM(E36:E37)</f>
        <v>191520.70117856</v>
      </c>
      <c r="F35" s="181">
        <f t="shared" si="0"/>
        <v>0.19721980589818289</v>
      </c>
      <c r="G35" s="180">
        <f>E35/D35-1</f>
        <v>-8.2441951498018251E-2</v>
      </c>
      <c r="I35" s="117" t="s">
        <v>113</v>
      </c>
      <c r="J35" s="118">
        <v>597042.05393562</v>
      </c>
      <c r="K35" s="114">
        <v>644670.01753757999</v>
      </c>
      <c r="L35" s="131">
        <f>SUM(L36:L37)</f>
        <v>618269.71900742</v>
      </c>
      <c r="M35" s="180">
        <f t="shared" ref="M35:M37" si="11">K35/J35-1</f>
        <v>7.9773214111138246E-2</v>
      </c>
      <c r="N35" s="180">
        <f t="shared" si="9"/>
        <v>-4.095164628719683E-2</v>
      </c>
    </row>
    <row r="36" spans="1:14">
      <c r="A36" s="87"/>
      <c r="B36" s="112" t="s">
        <v>114</v>
      </c>
      <c r="C36" s="67">
        <v>109670.08431866001</v>
      </c>
      <c r="D36" s="68">
        <v>129626.87962151</v>
      </c>
      <c r="E36" s="70">
        <v>118901.3790842</v>
      </c>
      <c r="F36" s="175">
        <f t="shared" si="0"/>
        <v>0.18197118591486672</v>
      </c>
      <c r="G36" s="164">
        <f>E36/D36-1</f>
        <v>-8.274133087695057E-2</v>
      </c>
      <c r="I36" s="112" t="s">
        <v>114</v>
      </c>
      <c r="J36" s="67">
        <v>385538.91159862</v>
      </c>
      <c r="K36" s="68">
        <v>414807.31370485999</v>
      </c>
      <c r="L36" s="70">
        <v>400833.91591623001</v>
      </c>
      <c r="M36" s="164">
        <f t="shared" si="11"/>
        <v>7.5915559300823388E-2</v>
      </c>
      <c r="N36" s="164">
        <f t="shared" si="9"/>
        <v>-3.3686478822724464E-2</v>
      </c>
    </row>
    <row r="37" spans="1:14">
      <c r="A37" s="87"/>
      <c r="B37" s="112" t="s">
        <v>115</v>
      </c>
      <c r="C37" s="67">
        <v>64674.427641570001</v>
      </c>
      <c r="D37" s="68">
        <v>79101.823146929994</v>
      </c>
      <c r="E37" s="70">
        <v>72619.322094360003</v>
      </c>
      <c r="F37" s="175">
        <f t="shared" si="0"/>
        <v>0.2230772815697355</v>
      </c>
      <c r="G37" s="164">
        <f>E37/D37-1</f>
        <v>-8.1951348207599195E-2</v>
      </c>
      <c r="I37" s="112" t="s">
        <v>115</v>
      </c>
      <c r="J37" s="67">
        <v>211503.142337</v>
      </c>
      <c r="K37" s="68">
        <v>229862.70383271997</v>
      </c>
      <c r="L37" s="70">
        <v>217435.80309119</v>
      </c>
      <c r="M37" s="164">
        <f t="shared" si="11"/>
        <v>8.6805147634481106E-2</v>
      </c>
      <c r="N37" s="164">
        <f t="shared" si="9"/>
        <v>-5.4062275150881023E-2</v>
      </c>
    </row>
    <row r="38" spans="1:14">
      <c r="A38" s="87"/>
      <c r="B38" s="132" t="s">
        <v>86</v>
      </c>
      <c r="C38" s="133"/>
      <c r="D38" s="134"/>
      <c r="E38" s="70"/>
      <c r="F38" s="175"/>
      <c r="G38" s="176"/>
      <c r="I38" s="132" t="s">
        <v>86</v>
      </c>
      <c r="J38" s="133"/>
      <c r="K38" s="134"/>
      <c r="L38" s="135"/>
      <c r="M38" s="164"/>
      <c r="N38" s="164"/>
    </row>
    <row r="39" spans="1:14">
      <c r="A39" s="87"/>
      <c r="B39" s="123" t="s">
        <v>116</v>
      </c>
      <c r="C39" s="124">
        <v>22058.131973330001</v>
      </c>
      <c r="D39" s="125">
        <v>27242.633151400001</v>
      </c>
      <c r="E39" s="136">
        <f t="shared" ref="E39" si="12">SUM(E40:E41)</f>
        <v>22900.529992629999</v>
      </c>
      <c r="F39" s="182">
        <f t="shared" si="0"/>
        <v>0.23503808864406417</v>
      </c>
      <c r="G39" s="171">
        <f>E39/D39-1</f>
        <v>-0.15938632417207665</v>
      </c>
      <c r="I39" s="123" t="s">
        <v>116</v>
      </c>
      <c r="J39" s="124">
        <v>73263.565999640006</v>
      </c>
      <c r="K39" s="125">
        <v>74729.059025059993</v>
      </c>
      <c r="L39" s="136">
        <f>SUM(L40:L41)</f>
        <v>65405.376428249998</v>
      </c>
      <c r="M39" s="171">
        <f t="shared" ref="M39:M41" si="13">K39/J39-1</f>
        <v>2.0003026134807422E-2</v>
      </c>
      <c r="N39" s="171">
        <f>L39/K39-1</f>
        <v>-0.12476649269306794</v>
      </c>
    </row>
    <row r="40" spans="1:14">
      <c r="A40" s="87"/>
      <c r="B40" s="112" t="s">
        <v>117</v>
      </c>
      <c r="C40" s="67">
        <v>1045.5619180000001</v>
      </c>
      <c r="D40" s="68">
        <v>753.43623000000002</v>
      </c>
      <c r="E40" s="70">
        <v>625.626846</v>
      </c>
      <c r="F40" s="163">
        <f t="shared" si="0"/>
        <v>-0.2793958760077947</v>
      </c>
      <c r="G40" s="164">
        <f>E40/D40-1</f>
        <v>-0.16963530410529903</v>
      </c>
      <c r="I40" s="112" t="s">
        <v>117</v>
      </c>
      <c r="J40" s="67">
        <v>3776.8222100000003</v>
      </c>
      <c r="K40" s="68">
        <v>3235.7206720000004</v>
      </c>
      <c r="L40" s="70">
        <v>2512.9976959999999</v>
      </c>
      <c r="M40" s="164">
        <f t="shared" si="13"/>
        <v>-0.14326899915153801</v>
      </c>
      <c r="N40" s="164">
        <f>L40/K40-1</f>
        <v>-0.22335765329004287</v>
      </c>
    </row>
    <row r="41" spans="1:14">
      <c r="A41" s="87"/>
      <c r="B41" s="112" t="s">
        <v>118</v>
      </c>
      <c r="C41" s="67">
        <v>21012.570055330001</v>
      </c>
      <c r="D41" s="68">
        <v>26489.196921400002</v>
      </c>
      <c r="E41" s="70">
        <v>22274.90314663</v>
      </c>
      <c r="F41" s="163">
        <f t="shared" si="0"/>
        <v>0.26063574572977144</v>
      </c>
      <c r="G41" s="164">
        <f>E41/D41-1</f>
        <v>-0.15909481088742905</v>
      </c>
      <c r="I41" s="112" t="s">
        <v>118</v>
      </c>
      <c r="J41" s="67">
        <v>69486.743789640008</v>
      </c>
      <c r="K41" s="68">
        <v>71493.338353059997</v>
      </c>
      <c r="L41" s="70">
        <v>62892.378732249999</v>
      </c>
      <c r="M41" s="164">
        <f t="shared" si="13"/>
        <v>2.8877372200583062E-2</v>
      </c>
      <c r="N41" s="164">
        <f>L41/K41-1</f>
        <v>-0.12030435029254538</v>
      </c>
    </row>
    <row r="42" spans="1:14">
      <c r="A42" s="87"/>
      <c r="B42" s="137" t="s">
        <v>86</v>
      </c>
      <c r="C42" s="133"/>
      <c r="D42" s="134"/>
      <c r="E42" s="70"/>
      <c r="F42" s="183"/>
      <c r="G42" s="176"/>
      <c r="I42" s="137" t="s">
        <v>86</v>
      </c>
      <c r="J42" s="133"/>
      <c r="K42" s="134"/>
      <c r="L42" s="135"/>
      <c r="M42" s="176"/>
      <c r="N42" s="176"/>
    </row>
    <row r="43" spans="1:14">
      <c r="A43" s="87"/>
      <c r="B43" s="123" t="s">
        <v>119</v>
      </c>
      <c r="C43" s="124">
        <v>95258.952925070043</v>
      </c>
      <c r="D43" s="125">
        <v>113414.75680426996</v>
      </c>
      <c r="E43" s="136">
        <f>SUM(E44:E57)-E45-E46</f>
        <v>73409.769126159998</v>
      </c>
      <c r="F43" s="181">
        <f t="shared" si="0"/>
        <v>0.19059419951299628</v>
      </c>
      <c r="G43" s="180">
        <f>E43/D43-1</f>
        <v>-0.35273176794048211</v>
      </c>
      <c r="I43" s="123" t="s">
        <v>119</v>
      </c>
      <c r="J43" s="124">
        <v>273109.72178003</v>
      </c>
      <c r="K43" s="125">
        <v>268244.30870797002</v>
      </c>
      <c r="L43" s="136">
        <f>SUM(L44:L57)-L45-L46</f>
        <v>253967.51196925988</v>
      </c>
      <c r="M43" s="171">
        <f t="shared" ref="M43:M59" si="14">K43/J43-1</f>
        <v>-1.7814865909382416E-2</v>
      </c>
      <c r="N43" s="172">
        <f>L43/K43-1</f>
        <v>-5.3223111451929705E-2</v>
      </c>
    </row>
    <row r="44" spans="1:14">
      <c r="A44" s="87"/>
      <c r="B44" s="112" t="s">
        <v>120</v>
      </c>
      <c r="C44" s="67">
        <v>65953.528642040008</v>
      </c>
      <c r="D44" s="68">
        <v>77969.184056829996</v>
      </c>
      <c r="E44" s="70">
        <v>42198.835338209996</v>
      </c>
      <c r="F44" s="175">
        <f>D44/C44-1</f>
        <v>0.18218366268171104</v>
      </c>
      <c r="G44" s="164">
        <f>E44/D44-1</f>
        <v>-0.45877546560635796</v>
      </c>
      <c r="I44" s="112" t="s">
        <v>120</v>
      </c>
      <c r="J44" s="67">
        <v>174071.69684947003</v>
      </c>
      <c r="K44" s="68">
        <v>166864.50648525998</v>
      </c>
      <c r="L44" s="69">
        <v>156936.38343237998</v>
      </c>
      <c r="M44" s="164">
        <f>K44/J44-1</f>
        <v>-4.140357389887761E-2</v>
      </c>
      <c r="N44" s="174">
        <f>L44/K44-1</f>
        <v>-5.9498111743476079E-2</v>
      </c>
    </row>
    <row r="45" spans="1:14">
      <c r="A45" s="87"/>
      <c r="B45" s="112" t="s">
        <v>121</v>
      </c>
      <c r="C45" s="67">
        <v>38211.328618</v>
      </c>
      <c r="D45" s="68">
        <v>51240.020221999999</v>
      </c>
      <c r="E45" s="70">
        <v>23623.440129999999</v>
      </c>
      <c r="F45" s="175">
        <f t="shared" ref="F45:G59" si="15">D45/C45-1</f>
        <v>0.34096410868745997</v>
      </c>
      <c r="G45" s="164">
        <f t="shared" si="15"/>
        <v>-0.53896505060594746</v>
      </c>
      <c r="I45" s="112" t="s">
        <v>121</v>
      </c>
      <c r="J45" s="67">
        <v>101117.751448</v>
      </c>
      <c r="K45" s="68">
        <v>106397.81260899999</v>
      </c>
      <c r="L45" s="69">
        <v>94636.454911000008</v>
      </c>
      <c r="M45" s="164">
        <f t="shared" ref="M45:N56" si="16">K45/J45-1</f>
        <v>5.2216955830107326E-2</v>
      </c>
      <c r="N45" s="174">
        <f t="shared" si="16"/>
        <v>-0.11054134863863829</v>
      </c>
    </row>
    <row r="46" spans="1:14">
      <c r="A46" s="87"/>
      <c r="B46" s="112" t="s">
        <v>122</v>
      </c>
      <c r="C46" s="67">
        <v>27742.200024040001</v>
      </c>
      <c r="D46" s="68">
        <v>26729.16383483</v>
      </c>
      <c r="E46" s="70">
        <v>18575.39520821</v>
      </c>
      <c r="F46" s="175">
        <f t="shared" si="15"/>
        <v>-3.6516072565699664E-2</v>
      </c>
      <c r="G46" s="164">
        <f t="shared" si="15"/>
        <v>-0.30505139169355755</v>
      </c>
      <c r="I46" s="112" t="s">
        <v>122</v>
      </c>
      <c r="J46" s="67">
        <v>72953.945401470002</v>
      </c>
      <c r="K46" s="68">
        <v>60466.693876260004</v>
      </c>
      <c r="L46" s="69">
        <v>62299.928521380003</v>
      </c>
      <c r="M46" s="164">
        <f t="shared" si="16"/>
        <v>-0.17116622626085398</v>
      </c>
      <c r="N46" s="174">
        <f t="shared" si="16"/>
        <v>3.0318089639092216E-2</v>
      </c>
    </row>
    <row r="47" spans="1:14">
      <c r="A47" s="87"/>
      <c r="B47" s="112" t="s">
        <v>123</v>
      </c>
      <c r="C47" s="67">
        <v>5049.3047294200005</v>
      </c>
      <c r="D47" s="68">
        <v>4822.3342637899996</v>
      </c>
      <c r="E47" s="70">
        <v>4770.8507523400003</v>
      </c>
      <c r="F47" s="175">
        <f t="shared" si="0"/>
        <v>-4.4950835370966447E-2</v>
      </c>
      <c r="G47" s="164">
        <f t="shared" si="15"/>
        <v>-1.0676056165699555E-2</v>
      </c>
      <c r="I47" s="112" t="s">
        <v>123</v>
      </c>
      <c r="J47" s="67">
        <v>16021.34298505</v>
      </c>
      <c r="K47" s="68">
        <v>15401.348395139998</v>
      </c>
      <c r="L47" s="69">
        <v>15692.45842203</v>
      </c>
      <c r="M47" s="164">
        <f>K47/J47-1</f>
        <v>-3.8698041137284034E-2</v>
      </c>
      <c r="N47" s="174">
        <f t="shared" si="16"/>
        <v>1.8901593511245096E-2</v>
      </c>
    </row>
    <row r="48" spans="1:14">
      <c r="A48" s="87"/>
      <c r="B48" s="112" t="s">
        <v>124</v>
      </c>
      <c r="C48" s="67">
        <v>194.62600426</v>
      </c>
      <c r="D48" s="68">
        <v>253.10224721</v>
      </c>
      <c r="E48" s="70">
        <v>200.77588546999999</v>
      </c>
      <c r="F48" s="175">
        <f t="shared" si="0"/>
        <v>0.30045441857749822</v>
      </c>
      <c r="G48" s="164">
        <f t="shared" si="15"/>
        <v>-0.20674001245269313</v>
      </c>
      <c r="I48" s="112" t="s">
        <v>124</v>
      </c>
      <c r="J48" s="67">
        <v>704.62274651000007</v>
      </c>
      <c r="K48" s="68">
        <v>749.83657625000001</v>
      </c>
      <c r="L48" s="69">
        <v>594.52335934999996</v>
      </c>
      <c r="M48" s="164">
        <f t="shared" si="14"/>
        <v>6.4167428548034033E-2</v>
      </c>
      <c r="N48" s="174">
        <f>L48/K48-1</f>
        <v>-0.20712942235591569</v>
      </c>
    </row>
    <row r="49" spans="1:14">
      <c r="A49" s="87"/>
      <c r="B49" s="112" t="s">
        <v>125</v>
      </c>
      <c r="C49" s="67">
        <v>4326.5873495699998</v>
      </c>
      <c r="D49" s="68">
        <v>4719.8085059099994</v>
      </c>
      <c r="E49" s="70">
        <v>4499.1827429300001</v>
      </c>
      <c r="F49" s="175">
        <f t="shared" si="0"/>
        <v>9.0884830137332173E-2</v>
      </c>
      <c r="G49" s="164">
        <f t="shared" si="15"/>
        <v>-4.6744642860772512E-2</v>
      </c>
      <c r="I49" s="112" t="s">
        <v>125</v>
      </c>
      <c r="J49" s="67">
        <v>15020.041316839999</v>
      </c>
      <c r="K49" s="68">
        <v>15026.80310933</v>
      </c>
      <c r="L49" s="69">
        <v>14414.211722960001</v>
      </c>
      <c r="M49" s="164">
        <f t="shared" si="14"/>
        <v>4.5018467974644594E-4</v>
      </c>
      <c r="N49" s="174">
        <f t="shared" si="16"/>
        <v>-4.0766581016134174E-2</v>
      </c>
    </row>
    <row r="50" spans="1:14">
      <c r="A50" s="87"/>
      <c r="B50" s="127" t="s">
        <v>126</v>
      </c>
      <c r="C50" s="67">
        <v>2345.7537823800003</v>
      </c>
      <c r="D50" s="68">
        <v>1702.3732678499998</v>
      </c>
      <c r="E50" s="70">
        <v>1896.35223997</v>
      </c>
      <c r="F50" s="175">
        <f>D50/C50-1</f>
        <v>-0.27427452930598151</v>
      </c>
      <c r="G50" s="164">
        <f t="shared" si="15"/>
        <v>0.11394620426869406</v>
      </c>
      <c r="I50" s="127" t="s">
        <v>126</v>
      </c>
      <c r="J50" s="67">
        <v>7039.7118399199999</v>
      </c>
      <c r="K50" s="68">
        <v>4749.76121745</v>
      </c>
      <c r="L50" s="69">
        <v>4741.4415692599996</v>
      </c>
      <c r="M50" s="164">
        <f t="shared" si="14"/>
        <v>-0.32529039178626706</v>
      </c>
      <c r="N50" s="174">
        <f t="shared" si="16"/>
        <v>-1.7515929347006187E-3</v>
      </c>
    </row>
    <row r="51" spans="1:14">
      <c r="A51" s="87"/>
      <c r="B51" s="112" t="s">
        <v>127</v>
      </c>
      <c r="C51" s="67">
        <v>2231.1875399999999</v>
      </c>
      <c r="D51" s="68">
        <v>2826.0408269999998</v>
      </c>
      <c r="E51" s="70">
        <v>2781.5461380000002</v>
      </c>
      <c r="F51" s="175">
        <f t="shared" si="0"/>
        <v>0.2666083761833844</v>
      </c>
      <c r="G51" s="164">
        <f t="shared" si="15"/>
        <v>-1.5744531563343767E-2</v>
      </c>
      <c r="I51" s="112" t="s">
        <v>127</v>
      </c>
      <c r="J51" s="67">
        <v>7955.206897</v>
      </c>
      <c r="K51" s="68">
        <v>8624.6395310000007</v>
      </c>
      <c r="L51" s="69">
        <v>7977.1458380000004</v>
      </c>
      <c r="M51" s="164">
        <f t="shared" si="14"/>
        <v>8.4150248091278579E-2</v>
      </c>
      <c r="N51" s="174">
        <f t="shared" si="16"/>
        <v>-7.5074870163869378E-2</v>
      </c>
    </row>
    <row r="52" spans="1:14">
      <c r="A52" s="87"/>
      <c r="B52" s="112" t="s">
        <v>128</v>
      </c>
      <c r="C52" s="67">
        <v>4883.7579230000001</v>
      </c>
      <c r="D52" s="68">
        <v>6691.1288809999996</v>
      </c>
      <c r="E52" s="70">
        <v>6055.5689410000005</v>
      </c>
      <c r="F52" s="175">
        <f t="shared" si="0"/>
        <v>0.37007791673870805</v>
      </c>
      <c r="G52" s="164">
        <f t="shared" si="15"/>
        <v>-9.4985457805890294E-2</v>
      </c>
      <c r="I52" s="112" t="s">
        <v>128</v>
      </c>
      <c r="J52" s="67">
        <v>14428.139674000002</v>
      </c>
      <c r="K52" s="68">
        <v>16531.077507000002</v>
      </c>
      <c r="L52" s="69">
        <v>16300.176171000003</v>
      </c>
      <c r="M52" s="164">
        <f t="shared" si="14"/>
        <v>0.14575252808160477</v>
      </c>
      <c r="N52" s="174">
        <f t="shared" si="16"/>
        <v>-1.3967712383069153E-2</v>
      </c>
    </row>
    <row r="53" spans="1:14">
      <c r="A53" s="87"/>
      <c r="B53" s="112" t="s">
        <v>129</v>
      </c>
      <c r="C53" s="67">
        <v>689.67635465000001</v>
      </c>
      <c r="D53" s="68">
        <v>580.59739367999998</v>
      </c>
      <c r="E53" s="70">
        <v>28.777237629999998</v>
      </c>
      <c r="F53" s="175">
        <f t="shared" si="0"/>
        <v>-0.15815963565309687</v>
      </c>
      <c r="G53" s="164">
        <f t="shared" si="15"/>
        <v>-0.95043512433357435</v>
      </c>
      <c r="I53" s="112" t="s">
        <v>129</v>
      </c>
      <c r="J53" s="67">
        <v>1951.0003711100003</v>
      </c>
      <c r="K53" s="68">
        <v>1446.81695309</v>
      </c>
      <c r="L53" s="69">
        <v>85.03428925</v>
      </c>
      <c r="M53" s="164">
        <f t="shared" si="14"/>
        <v>-0.25842302517510574</v>
      </c>
      <c r="N53" s="174">
        <f t="shared" si="16"/>
        <v>-0.94122664303290726</v>
      </c>
    </row>
    <row r="54" spans="1:14">
      <c r="A54" s="87"/>
      <c r="B54" s="112" t="s">
        <v>130</v>
      </c>
      <c r="C54" s="67">
        <v>5380.5689413299997</v>
      </c>
      <c r="D54" s="68">
        <v>5635.9623341300003</v>
      </c>
      <c r="E54" s="70">
        <v>6583.4178027200005</v>
      </c>
      <c r="F54" s="175">
        <f t="shared" si="0"/>
        <v>4.7465871283283168E-2</v>
      </c>
      <c r="G54" s="164">
        <f t="shared" si="15"/>
        <v>0.16810890712530902</v>
      </c>
      <c r="I54" s="112" t="s">
        <v>130</v>
      </c>
      <c r="J54" s="67">
        <v>17668.17771887</v>
      </c>
      <c r="K54" s="68">
        <v>17952.609764239998</v>
      </c>
      <c r="L54" s="69">
        <v>18582.97378113</v>
      </c>
      <c r="M54" s="164">
        <f t="shared" si="14"/>
        <v>1.6098550167186643E-2</v>
      </c>
      <c r="N54" s="174">
        <f t="shared" si="16"/>
        <v>3.5112667471089987E-2</v>
      </c>
    </row>
    <row r="55" spans="1:14">
      <c r="A55" s="87"/>
      <c r="B55" s="112" t="s">
        <v>131</v>
      </c>
      <c r="C55" s="67">
        <v>-0.33350406999999999</v>
      </c>
      <c r="D55" s="68">
        <v>172.07121186000001</v>
      </c>
      <c r="E55" s="70">
        <v>0</v>
      </c>
      <c r="F55" s="175">
        <f t="shared" si="0"/>
        <v>-516.94936115772146</v>
      </c>
      <c r="G55" s="164">
        <f t="shared" si="15"/>
        <v>-1</v>
      </c>
      <c r="I55" s="112" t="s">
        <v>131</v>
      </c>
      <c r="J55" s="67">
        <v>335.77346684999998</v>
      </c>
      <c r="K55" s="68">
        <v>172.07121186000001</v>
      </c>
      <c r="L55" s="69">
        <v>157.97330840000001</v>
      </c>
      <c r="M55" s="164">
        <f t="shared" si="14"/>
        <v>-0.48753779304167189</v>
      </c>
      <c r="N55" s="174">
        <f t="shared" si="16"/>
        <v>-8.1930633878898318E-2</v>
      </c>
    </row>
    <row r="56" spans="1:14">
      <c r="A56" s="87"/>
      <c r="B56" s="112" t="s">
        <v>132</v>
      </c>
      <c r="C56" s="67">
        <v>-0.68724235</v>
      </c>
      <c r="D56" s="68">
        <v>1266.0500550100001</v>
      </c>
      <c r="E56" s="70">
        <v>-4.0979732499999999</v>
      </c>
      <c r="F56" s="175">
        <f t="shared" si="0"/>
        <v>-1843.2177489643939</v>
      </c>
      <c r="G56" s="164">
        <f t="shared" si="15"/>
        <v>-1.0032368177180544</v>
      </c>
      <c r="I56" s="112" t="s">
        <v>132</v>
      </c>
      <c r="J56" s="67">
        <v>4177.61705446</v>
      </c>
      <c r="K56" s="68">
        <v>5046.23773454</v>
      </c>
      <c r="L56" s="69">
        <v>2773.2795300799999</v>
      </c>
      <c r="M56" s="164">
        <f t="shared" si="14"/>
        <v>0.20792252347607243</v>
      </c>
      <c r="N56" s="174">
        <f t="shared" si="16"/>
        <v>-0.45042630253074989</v>
      </c>
    </row>
    <row r="57" spans="1:14">
      <c r="A57" s="87"/>
      <c r="B57" s="112" t="s">
        <v>133</v>
      </c>
      <c r="C57" s="67">
        <v>4204.9824048400005</v>
      </c>
      <c r="D57" s="68">
        <v>6776.1037599999991</v>
      </c>
      <c r="E57" s="70">
        <v>4398.5600211400006</v>
      </c>
      <c r="F57" s="175">
        <f t="shared" si="0"/>
        <v>0.61144640039411291</v>
      </c>
      <c r="G57" s="164">
        <f t="shared" si="15"/>
        <v>-0.3508718023025077</v>
      </c>
      <c r="I57" s="112" t="s">
        <v>133</v>
      </c>
      <c r="J57" s="67">
        <v>13736.390859949999</v>
      </c>
      <c r="K57" s="68">
        <v>15678.600222809997</v>
      </c>
      <c r="L57" s="69">
        <v>15711.91054542</v>
      </c>
      <c r="M57" s="164">
        <f t="shared" si="14"/>
        <v>0.14139153309350916</v>
      </c>
      <c r="N57" s="174">
        <f>L57/K57-1</f>
        <v>2.1245724832974489E-3</v>
      </c>
    </row>
    <row r="58" spans="1:14">
      <c r="A58" s="87"/>
      <c r="B58" s="112" t="s">
        <v>134</v>
      </c>
      <c r="C58" s="67">
        <v>0</v>
      </c>
      <c r="D58" s="68">
        <v>0</v>
      </c>
      <c r="E58" s="70">
        <v>0</v>
      </c>
      <c r="F58" s="184" t="e">
        <f t="shared" si="0"/>
        <v>#DIV/0!</v>
      </c>
      <c r="G58" s="168" t="e">
        <f t="shared" si="15"/>
        <v>#DIV/0!</v>
      </c>
      <c r="I58" s="112" t="s">
        <v>134</v>
      </c>
      <c r="J58" s="67">
        <v>0</v>
      </c>
      <c r="K58" s="68">
        <v>0</v>
      </c>
      <c r="L58" s="69">
        <v>0</v>
      </c>
      <c r="M58" s="168" t="e">
        <f t="shared" si="14"/>
        <v>#DIV/0!</v>
      </c>
      <c r="N58" s="185" t="e">
        <f>L58/K58-1</f>
        <v>#DIV/0!</v>
      </c>
    </row>
    <row r="59" spans="1:14">
      <c r="A59" s="87"/>
      <c r="B59" s="112" t="s">
        <v>135</v>
      </c>
      <c r="C59" s="67">
        <v>0</v>
      </c>
      <c r="D59" s="68">
        <v>0</v>
      </c>
      <c r="E59" s="70">
        <v>0</v>
      </c>
      <c r="F59" s="184" t="e">
        <f t="shared" si="0"/>
        <v>#DIV/0!</v>
      </c>
      <c r="G59" s="168" t="e">
        <f t="shared" si="15"/>
        <v>#DIV/0!</v>
      </c>
      <c r="I59" s="112" t="s">
        <v>135</v>
      </c>
      <c r="J59" s="67">
        <v>0</v>
      </c>
      <c r="K59" s="68">
        <v>0</v>
      </c>
      <c r="L59" s="69">
        <v>0</v>
      </c>
      <c r="M59" s="168" t="e">
        <f t="shared" si="14"/>
        <v>#DIV/0!</v>
      </c>
      <c r="N59" s="185" t="e">
        <f>L59/K59-1</f>
        <v>#DIV/0!</v>
      </c>
    </row>
    <row r="60" spans="1:14">
      <c r="A60" s="87"/>
      <c r="B60" s="138"/>
      <c r="C60" s="139"/>
      <c r="D60" s="140"/>
      <c r="E60" s="141"/>
      <c r="F60" s="178"/>
      <c r="G60" s="176"/>
      <c r="I60" s="138"/>
      <c r="J60" s="142"/>
      <c r="K60" s="143"/>
      <c r="L60" s="144"/>
      <c r="M60" s="176"/>
      <c r="N60" s="177"/>
    </row>
    <row r="61" spans="1:14">
      <c r="A61" s="87"/>
      <c r="B61" s="145" t="s">
        <v>33</v>
      </c>
      <c r="C61" s="73">
        <v>48537.838826269995</v>
      </c>
      <c r="D61" s="80">
        <v>50576.691384530001</v>
      </c>
      <c r="E61" s="80">
        <v>53251.158532100002</v>
      </c>
      <c r="F61" s="186">
        <f t="shared" si="0"/>
        <v>4.2005425201513624E-2</v>
      </c>
      <c r="G61" s="187">
        <f>E61/D61-1</f>
        <v>5.2879440595199778E-2</v>
      </c>
      <c r="I61" s="145" t="s">
        <v>33</v>
      </c>
      <c r="J61" s="73">
        <v>141009.72545852998</v>
      </c>
      <c r="K61" s="80">
        <v>147848.54941492999</v>
      </c>
      <c r="L61" s="74">
        <v>154923.31500176</v>
      </c>
      <c r="M61" s="187">
        <f t="shared" ref="M61:M63" si="17">K61/J61-1</f>
        <v>4.8498952353547065E-2</v>
      </c>
      <c r="N61" s="187">
        <f>L61/K61-1</f>
        <v>4.7851437263513485E-2</v>
      </c>
    </row>
    <row r="62" spans="1:14">
      <c r="A62" s="87"/>
      <c r="B62" s="145" t="s">
        <v>12</v>
      </c>
      <c r="C62" s="75">
        <v>18375.254194720001</v>
      </c>
      <c r="D62" s="146">
        <v>22111.813355689999</v>
      </c>
      <c r="E62" s="75">
        <v>20449.27258053</v>
      </c>
      <c r="F62" s="188">
        <f t="shared" si="0"/>
        <v>0.20334734536862475</v>
      </c>
      <c r="G62" s="189">
        <f t="shared" si="0"/>
        <v>-7.5187898360772887E-2</v>
      </c>
      <c r="I62" s="145" t="s">
        <v>12</v>
      </c>
      <c r="J62" s="75">
        <v>63062.294322000002</v>
      </c>
      <c r="K62" s="81">
        <v>67240.172757330001</v>
      </c>
      <c r="L62" s="76">
        <v>65372.66884292</v>
      </c>
      <c r="M62" s="189">
        <f t="shared" si="17"/>
        <v>6.6250022779023698E-2</v>
      </c>
      <c r="N62" s="189">
        <f>L62/K62-1</f>
        <v>-2.7773633496597783E-2</v>
      </c>
    </row>
    <row r="63" spans="1:14">
      <c r="A63" s="87"/>
      <c r="B63" s="147" t="s">
        <v>136</v>
      </c>
      <c r="C63" s="77">
        <v>5888.3543865500005</v>
      </c>
      <c r="D63" s="82">
        <v>1500.9409330599999</v>
      </c>
      <c r="E63" s="82">
        <v>1407.0682471199998</v>
      </c>
      <c r="F63" s="190">
        <f t="shared" si="0"/>
        <v>-0.74510010190819975</v>
      </c>
      <c r="G63" s="191">
        <f t="shared" si="0"/>
        <v>-6.2542558386105118E-2</v>
      </c>
      <c r="I63" s="145" t="s">
        <v>136</v>
      </c>
      <c r="J63" s="77">
        <v>7727.9824166400003</v>
      </c>
      <c r="K63" s="82">
        <v>4202.4630657799999</v>
      </c>
      <c r="L63" s="78">
        <v>4212.1632423999999</v>
      </c>
      <c r="M63" s="191">
        <f t="shared" si="17"/>
        <v>-0.45620178214546692</v>
      </c>
      <c r="N63" s="191">
        <f>L63/K63-1</f>
        <v>2.3082122241566694E-3</v>
      </c>
    </row>
    <row r="64" spans="1:14">
      <c r="A64" s="87"/>
      <c r="B64" s="147" t="s">
        <v>137</v>
      </c>
      <c r="C64" s="77">
        <v>7583.4363540000004</v>
      </c>
      <c r="D64" s="82">
        <v>7541.7006650000003</v>
      </c>
      <c r="E64" s="82">
        <v>7735.5685309999999</v>
      </c>
      <c r="F64" s="190">
        <v>0</v>
      </c>
      <c r="G64" s="191">
        <v>0</v>
      </c>
      <c r="H64" s="148"/>
      <c r="I64" s="149" t="s">
        <v>137</v>
      </c>
      <c r="J64" s="77">
        <v>7583.4363540000004</v>
      </c>
      <c r="K64" s="82">
        <v>7541.7006650000003</v>
      </c>
      <c r="L64" s="78">
        <v>11253.721287</v>
      </c>
      <c r="M64" s="192">
        <v>0</v>
      </c>
      <c r="N64" s="191">
        <v>0</v>
      </c>
    </row>
    <row r="65" spans="5:5">
      <c r="E65" s="87"/>
    </row>
    <row r="67" spans="5:5">
      <c r="E67" s="87"/>
    </row>
  </sheetData>
  <mergeCells count="10">
    <mergeCell ref="B5:G5"/>
    <mergeCell ref="I5:N5"/>
    <mergeCell ref="F7:G7"/>
    <mergeCell ref="M7:N7"/>
    <mergeCell ref="B2:G2"/>
    <mergeCell ref="I2:N2"/>
    <mergeCell ref="B3:G3"/>
    <mergeCell ref="I3:N3"/>
    <mergeCell ref="B4:G4"/>
    <mergeCell ref="I4:N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1e5b3963d25a1fe7c53d53a2901cfde0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29f927d52f5e5c2374d36927b0e2d5eb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90D3E7-A051-4337-AC5D-A1C0457F55B1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customXml/itemProps2.xml><?xml version="1.0" encoding="utf-8"?>
<ds:datastoreItem xmlns:ds="http://schemas.openxmlformats.org/officeDocument/2006/customXml" ds:itemID="{E2916458-AA06-4FAF-84BD-748D9A6CDE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A45EDD-CD78-472E-A788-A48AFA73F3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6d7f15d-ee0a-4f85-8d7f-2bc9b89bff51}" enabled="0" method="" siteId="{86d7f15d-ee0a-4f85-8d7f-2bc9b89bff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SIMPLE</vt:lpstr>
      <vt:lpstr>Acumul</vt:lpstr>
      <vt:lpstr>Ingresos</vt:lpstr>
      <vt:lpstr>Acumul!Área_de_impresión</vt:lpstr>
      <vt:lpstr>SIMPLE!Área_de_impresión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Vivian Martinez Rivera</cp:lastModifiedBy>
  <cp:lastPrinted>2018-04-20T21:43:28Z</cp:lastPrinted>
  <dcterms:created xsi:type="dcterms:W3CDTF">1996-11-27T10:00:04Z</dcterms:created>
  <dcterms:modified xsi:type="dcterms:W3CDTF">2026-05-25T14:13:42Z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0x010100EB04A67B5499E14787401D8D5CC90E62</vt:lpwstr>
  </property>
</Properties>
</file>